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comments1.xml" ContentType="application/vnd.openxmlformats-officedocument.spreadsheetml.comments+xml"/>
  <Override PartName="/xl/tables/table10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410" yWindow="-225" windowWidth="22620" windowHeight="10245"/>
  </bookViews>
  <sheets>
    <sheet name="OVERVIEW" sheetId="1" r:id="rId1"/>
    <sheet name="CACHEDATA" sheetId="2" r:id="rId2"/>
    <sheet name="Record" sheetId="10" r:id="rId3"/>
    <sheet name="Refine Index" sheetId="7" r:id="rId4"/>
    <sheet name="Ore Index" sheetId="8" r:id="rId5"/>
    <sheet name="Manufacture" sheetId="11" r:id="rId6"/>
  </sheets>
  <definedNames>
    <definedName name="ExternalData_1" localSheetId="0">OVERVIEW!$AT$52:$BO$56</definedName>
    <definedName name="Neodymium_The_Forge" localSheetId="2">Record!#REF!</definedName>
    <definedName name="Tungsten_Carbide_The_Forge" localSheetId="2">Record!#REF!</definedName>
  </definedNames>
  <calcPr calcId="144525"/>
</workbook>
</file>

<file path=xl/calcChain.xml><?xml version="1.0" encoding="utf-8"?>
<calcChain xmlns="http://schemas.openxmlformats.org/spreadsheetml/2006/main">
  <c r="AC51" i="1" l="1"/>
  <c r="AC12" i="1"/>
  <c r="T51" i="1"/>
  <c r="T12" i="1"/>
  <c r="X14" i="1"/>
  <c r="M17" i="1" a="1"/>
  <c r="M17" i="1" s="1"/>
  <c r="J17" i="1" a="1"/>
  <c r="J17" i="1" s="1"/>
  <c r="H17" i="1" a="1"/>
  <c r="H17" i="1" s="1"/>
  <c r="E17" i="1" a="1"/>
  <c r="E17" i="1" s="1"/>
  <c r="G2" i="1"/>
  <c r="X3" i="1"/>
  <c r="K10" i="1" a="1"/>
  <c r="K10" i="1" s="1"/>
  <c r="K18" i="1" a="1"/>
  <c r="K18" i="1" s="1"/>
  <c r="G18" i="1" a="1"/>
  <c r="G18" i="1" s="1"/>
  <c r="K36" i="1" a="1"/>
  <c r="K36" i="1" s="1"/>
  <c r="G36" i="1" a="1"/>
  <c r="G36" i="1" s="1"/>
  <c r="K48" i="1" a="1"/>
  <c r="K48" i="1" s="1"/>
  <c r="G48" i="1" a="1"/>
  <c r="G48" i="1" s="1"/>
  <c r="K37" i="1" a="1"/>
  <c r="K37" i="1" s="1"/>
  <c r="G37" i="1" a="1"/>
  <c r="G37" i="1" s="1"/>
  <c r="K25" i="1" a="1"/>
  <c r="K25" i="1" s="1"/>
  <c r="G25" i="1" a="1"/>
  <c r="G25" i="1" s="1"/>
  <c r="K46" i="1" a="1"/>
  <c r="K46" i="1" s="1"/>
  <c r="G46" i="1" a="1"/>
  <c r="G46" i="1" s="1"/>
  <c r="K23" i="1" a="1"/>
  <c r="K23" i="1" s="1"/>
  <c r="G23" i="1" a="1"/>
  <c r="G23" i="1" s="1"/>
  <c r="K50" i="1" a="1"/>
  <c r="K50" i="1" s="1"/>
  <c r="G50" i="1" a="1"/>
  <c r="G50" i="1" s="1"/>
  <c r="K33" i="1" a="1"/>
  <c r="K33" i="1" s="1"/>
  <c r="G33" i="1" a="1"/>
  <c r="G33" i="1" s="1"/>
  <c r="K35" i="1" a="1"/>
  <c r="K35" i="1" s="1"/>
  <c r="G35" i="1" a="1"/>
  <c r="G35" i="1" s="1"/>
  <c r="K42" i="1" a="1"/>
  <c r="K42" i="1" s="1"/>
  <c r="G42" i="1" a="1"/>
  <c r="G42" i="1" s="1"/>
  <c r="K24" i="1" a="1"/>
  <c r="K24" i="1" s="1"/>
  <c r="G24" i="1" a="1"/>
  <c r="G24" i="1" s="1"/>
  <c r="K49" i="1" a="1"/>
  <c r="K49" i="1" s="1"/>
  <c r="G49" i="1" a="1"/>
  <c r="G49" i="1" s="1"/>
  <c r="K30" i="1" a="1"/>
  <c r="K30" i="1" s="1"/>
  <c r="G30" i="1" a="1"/>
  <c r="G30" i="1" s="1"/>
  <c r="K44" i="1" a="1"/>
  <c r="K44" i="1" s="1"/>
  <c r="G44" i="1" a="1"/>
  <c r="G44" i="1" s="1"/>
  <c r="K32" i="1" a="1"/>
  <c r="K32" i="1" s="1"/>
  <c r="G32" i="1" a="1"/>
  <c r="G32" i="1" s="1"/>
  <c r="K17" i="1" a="1"/>
  <c r="K17" i="1" s="1"/>
  <c r="G17" i="1" a="1"/>
  <c r="G17" i="1" s="1"/>
  <c r="K14" i="1" a="1"/>
  <c r="K14" i="1" s="1"/>
  <c r="G14" i="1" a="1"/>
  <c r="G14" i="1" s="1"/>
  <c r="K26" i="1" a="1"/>
  <c r="K26" i="1" s="1"/>
  <c r="G26" i="1" a="1"/>
  <c r="G26" i="1" s="1"/>
  <c r="K39" i="1" a="1"/>
  <c r="K39" i="1" s="1"/>
  <c r="G39" i="1" a="1"/>
  <c r="G39" i="1" s="1"/>
  <c r="K34" i="1" a="1"/>
  <c r="K34" i="1" s="1"/>
  <c r="G34" i="1" a="1"/>
  <c r="G34" i="1" s="1"/>
  <c r="K29" i="1" a="1"/>
  <c r="K29" i="1" s="1"/>
  <c r="G29" i="1" a="1"/>
  <c r="G29" i="1" s="1"/>
  <c r="K38" i="1" a="1"/>
  <c r="K38" i="1" s="1"/>
  <c r="G38" i="1" a="1"/>
  <c r="G38" i="1" s="1"/>
  <c r="K28" i="1" a="1"/>
  <c r="K28" i="1" s="1"/>
  <c r="G28" i="1" a="1"/>
  <c r="G28" i="1" s="1"/>
  <c r="K41" i="1" a="1"/>
  <c r="K41" i="1" s="1"/>
  <c r="G41" i="1" a="1"/>
  <c r="G41" i="1" s="1"/>
  <c r="K47" i="1" a="1"/>
  <c r="K47" i="1" s="1"/>
  <c r="G47" i="1" a="1"/>
  <c r="G47" i="1" s="1"/>
  <c r="K27" i="1" a="1"/>
  <c r="K27" i="1" s="1"/>
  <c r="G27" i="1" a="1"/>
  <c r="G27" i="1" s="1"/>
  <c r="K45" i="1" a="1"/>
  <c r="K45" i="1" s="1"/>
  <c r="G45" i="1" a="1"/>
  <c r="G45" i="1" s="1"/>
  <c r="K22" i="1" a="1"/>
  <c r="K22" i="1" s="1"/>
  <c r="G22" i="1" a="1"/>
  <c r="G22" i="1" s="1"/>
  <c r="K43" i="1" a="1"/>
  <c r="K43" i="1" s="1"/>
  <c r="G43" i="1" a="1"/>
  <c r="G43" i="1" s="1"/>
  <c r="K13" i="1" a="1"/>
  <c r="K13" i="1" s="1"/>
  <c r="G13" i="1" a="1"/>
  <c r="G13" i="1" s="1"/>
  <c r="K40" i="1" a="1"/>
  <c r="K40" i="1" s="1"/>
  <c r="G40" i="1" a="1"/>
  <c r="G40" i="1" s="1"/>
  <c r="K12" i="1" a="1"/>
  <c r="K12" i="1" s="1"/>
  <c r="G12" i="1" a="1"/>
  <c r="G12" i="1" s="1"/>
  <c r="K21" i="1" a="1"/>
  <c r="K21" i="1" s="1"/>
  <c r="G21" i="1" a="1"/>
  <c r="G21" i="1" s="1"/>
  <c r="K15" i="1" a="1"/>
  <c r="K15" i="1" s="1"/>
  <c r="G15" i="1" a="1"/>
  <c r="G15" i="1" s="1"/>
  <c r="K51" i="1" a="1"/>
  <c r="K51" i="1" s="1"/>
  <c r="G51" i="1" a="1"/>
  <c r="G51" i="1" s="1"/>
  <c r="X11" i="1" a="1"/>
  <c r="X11" i="1" s="1"/>
  <c r="X16" i="1" a="1"/>
  <c r="X16" i="1" s="1"/>
  <c r="X18" i="1" a="1"/>
  <c r="X18" i="1" s="1"/>
  <c r="X36" i="1" a="1"/>
  <c r="X36" i="1" s="1"/>
  <c r="X48" i="1" a="1"/>
  <c r="X48" i="1" s="1"/>
  <c r="X37" i="1" a="1"/>
  <c r="X37" i="1" s="1"/>
  <c r="X25" i="1" a="1"/>
  <c r="X25" i="1" s="1"/>
  <c r="X46" i="1" a="1"/>
  <c r="X46" i="1" s="1"/>
  <c r="X23" i="1" a="1"/>
  <c r="X23" i="1" s="1"/>
  <c r="X50" i="1" a="1"/>
  <c r="X50" i="1" s="1"/>
  <c r="X33" i="1" a="1"/>
  <c r="X33" i="1" s="1"/>
  <c r="X35" i="1" a="1"/>
  <c r="X35" i="1" s="1"/>
  <c r="X42" i="1" a="1"/>
  <c r="X42" i="1" s="1"/>
  <c r="X24" i="1" a="1"/>
  <c r="X24" i="1" s="1"/>
  <c r="X49" i="1" a="1"/>
  <c r="X49" i="1" s="1"/>
  <c r="X30" i="1" a="1"/>
  <c r="X30" i="1" s="1"/>
  <c r="X44" i="1" a="1"/>
  <c r="X44" i="1" s="1"/>
  <c r="X32" i="1" a="1"/>
  <c r="X32" i="1" s="1"/>
  <c r="X17" i="1" a="1"/>
  <c r="X17" i="1" s="1"/>
  <c r="AF17" i="1" s="1" a="1"/>
  <c r="AF17" i="1" s="1"/>
  <c r="X26" i="1" a="1"/>
  <c r="X26" i="1" s="1"/>
  <c r="X39" i="1" a="1"/>
  <c r="X39" i="1" s="1"/>
  <c r="X34" i="1" a="1"/>
  <c r="X34" i="1" s="1"/>
  <c r="X29" i="1" a="1"/>
  <c r="X29" i="1" s="1"/>
  <c r="X38" i="1" a="1"/>
  <c r="X38" i="1" s="1"/>
  <c r="X28" i="1" a="1"/>
  <c r="X28" i="1" s="1"/>
  <c r="X41" i="1" a="1"/>
  <c r="X41" i="1" s="1"/>
  <c r="X19" i="1" a="1"/>
  <c r="X19" i="1" s="1"/>
  <c r="X47" i="1" a="1"/>
  <c r="X47" i="1" s="1"/>
  <c r="X27" i="1" a="1"/>
  <c r="X27" i="1" s="1"/>
  <c r="X45" i="1" a="1"/>
  <c r="X45" i="1" s="1"/>
  <c r="X22" i="1" a="1"/>
  <c r="X22" i="1" s="1"/>
  <c r="X43" i="1" a="1"/>
  <c r="X43" i="1" s="1"/>
  <c r="X31" i="1" a="1"/>
  <c r="X31" i="1" s="1"/>
  <c r="X13" i="1" a="1"/>
  <c r="X13" i="1" s="1"/>
  <c r="X40" i="1" a="1"/>
  <c r="X40" i="1" s="1"/>
  <c r="X12" i="1" a="1"/>
  <c r="X12" i="1" s="1"/>
  <c r="X20" i="1" a="1"/>
  <c r="X20" i="1" s="1"/>
  <c r="X21" i="1" a="1"/>
  <c r="X21" i="1" s="1"/>
  <c r="X15" i="1" a="1"/>
  <c r="X15" i="1" s="1"/>
  <c r="X51" i="1" a="1"/>
  <c r="X51" i="1" s="1"/>
  <c r="X2" i="1"/>
  <c r="X4" i="1"/>
  <c r="X5" i="1"/>
  <c r="X10" i="1" a="1"/>
  <c r="X10" i="1" s="1"/>
  <c r="X7" i="1"/>
  <c r="M10" i="1" a="1"/>
  <c r="M10" i="1" s="1"/>
  <c r="N10" i="1" s="1" a="1"/>
  <c r="N10" i="1" s="1"/>
  <c r="J10" i="1" a="1"/>
  <c r="J10" i="1" s="1"/>
  <c r="H10" i="1" a="1"/>
  <c r="H10" i="1" s="1"/>
  <c r="E10" i="1" a="1"/>
  <c r="E10" i="1" s="1"/>
  <c r="C10" i="1" s="1" a="1"/>
  <c r="C10" i="1" s="1"/>
  <c r="X6" i="1"/>
  <c r="Y51" i="1" l="1"/>
  <c r="Y12" i="1"/>
  <c r="AB10" i="1" a="1"/>
  <c r="AB10" i="1" s="1"/>
  <c r="W17" i="1" a="1"/>
  <c r="W17" i="1" s="1"/>
  <c r="V17" i="1" a="1"/>
  <c r="V17" i="1" s="1"/>
  <c r="U17" i="1" a="1"/>
  <c r="U17" i="1" s="1"/>
  <c r="S17" i="1" a="1"/>
  <c r="S17" i="1" s="1"/>
  <c r="R17" i="1" a="1"/>
  <c r="R17" i="1" s="1"/>
  <c r="Q17" i="1" a="1"/>
  <c r="Q17" i="1" s="1"/>
  <c r="AB17" i="1" a="1"/>
  <c r="AB17" i="1" s="1"/>
  <c r="AA17" i="1" a="1"/>
  <c r="AA17" i="1" s="1"/>
  <c r="Z17" i="1" a="1"/>
  <c r="Z17" i="1" s="1"/>
  <c r="AD17" i="1" a="1"/>
  <c r="AD17" i="1" s="1"/>
  <c r="AE17" i="1" a="1"/>
  <c r="AE17" i="1" s="1"/>
  <c r="Z10" i="1" a="1"/>
  <c r="Z10" i="1" s="1"/>
  <c r="AA10" i="1" a="1"/>
  <c r="AA10" i="1" s="1"/>
  <c r="W10" i="1" a="1"/>
  <c r="W10" i="1" s="1"/>
  <c r="U10" i="1" a="1"/>
  <c r="U10" i="1" s="1"/>
  <c r="V10" i="1" a="1"/>
  <c r="V10" i="1" s="1"/>
  <c r="L10" i="1"/>
  <c r="Q10" i="1" a="1"/>
  <c r="Q10" i="1" s="1"/>
  <c r="S10" i="1" a="1"/>
  <c r="S10" i="1" s="1"/>
  <c r="D10" i="1" a="1"/>
  <c r="D10" i="1" s="1"/>
  <c r="O10" i="1" a="1"/>
  <c r="O10" i="1" s="1"/>
  <c r="R10" i="1" a="1"/>
  <c r="R10" i="1" s="1"/>
  <c r="AE10" i="1" a="1"/>
  <c r="AE10" i="1" s="1"/>
  <c r="AF10" i="1" a="1"/>
  <c r="AF10" i="1" s="1"/>
  <c r="AD10" i="1" a="1"/>
  <c r="AD10" i="1" s="1"/>
  <c r="AF2" i="1" a="1"/>
  <c r="AF2" i="1" s="1"/>
  <c r="AE2" i="1" a="1"/>
  <c r="AE2" i="1" s="1"/>
  <c r="AD2" i="1" a="1"/>
  <c r="AD2" i="1" s="1"/>
  <c r="M2" i="1" a="1"/>
  <c r="M2" i="1" s="1"/>
  <c r="Z2" i="1" s="1" a="1"/>
  <c r="Z2" i="1" s="1"/>
  <c r="J2" i="1" a="1"/>
  <c r="J2" i="1" s="1"/>
  <c r="H2" i="1" a="1"/>
  <c r="H2" i="1" s="1"/>
  <c r="E2" i="1" a="1"/>
  <c r="E2" i="1" s="1"/>
  <c r="D2" i="1" s="1" a="1"/>
  <c r="D2" i="1" s="1"/>
  <c r="AC10" i="1" l="1"/>
  <c r="AC17" i="1"/>
  <c r="T10" i="1"/>
  <c r="T17" i="1"/>
  <c r="AB2" i="1" a="1"/>
  <c r="AB2" i="1" s="1"/>
  <c r="AA2" i="1" a="1"/>
  <c r="AA2" i="1" s="1"/>
  <c r="W2" i="1" a="1"/>
  <c r="W2" i="1" s="1"/>
  <c r="V2" i="1" a="1"/>
  <c r="V2" i="1" s="1"/>
  <c r="U2" i="1" a="1"/>
  <c r="U2" i="1" s="1"/>
  <c r="P10" i="1" a="1"/>
  <c r="P10" i="1" s="1"/>
  <c r="N2" i="1" a="1"/>
  <c r="N2" i="1" s="1"/>
  <c r="O2" i="1" a="1"/>
  <c r="O2" i="1" s="1"/>
  <c r="I2" i="1"/>
  <c r="R2" i="1" a="1"/>
  <c r="R2" i="1" s="1"/>
  <c r="C2" i="1" a="1"/>
  <c r="C2" i="1" s="1"/>
  <c r="S2" i="1" a="1"/>
  <c r="S2" i="1" s="1"/>
  <c r="Q2" i="1" a="1"/>
  <c r="Q2" i="1" s="1"/>
  <c r="M51" i="1" a="1"/>
  <c r="M51" i="1" s="1"/>
  <c r="J51" i="1" a="1"/>
  <c r="J51" i="1" s="1"/>
  <c r="H51" i="1" a="1"/>
  <c r="H51" i="1" s="1"/>
  <c r="AF38" i="1" a="1"/>
  <c r="AF38" i="1" s="1"/>
  <c r="AE38" i="1" a="1"/>
  <c r="AE38" i="1" s="1"/>
  <c r="AD38" i="1" a="1"/>
  <c r="AD38" i="1" s="1"/>
  <c r="M38" i="1" a="1"/>
  <c r="M38" i="1" s="1"/>
  <c r="J38" i="1" a="1"/>
  <c r="J38" i="1" s="1"/>
  <c r="H38" i="1" a="1"/>
  <c r="H38" i="1" s="1"/>
  <c r="E38" i="1" a="1"/>
  <c r="E38" i="1" s="1"/>
  <c r="AF48" i="1" a="1"/>
  <c r="AF48" i="1" s="1"/>
  <c r="AE48" i="1" a="1"/>
  <c r="AE48" i="1" s="1"/>
  <c r="AD48" i="1" a="1"/>
  <c r="AD48" i="1" s="1"/>
  <c r="M48" i="1" a="1"/>
  <c r="M48" i="1" s="1"/>
  <c r="J48" i="1" a="1"/>
  <c r="J48" i="1" s="1"/>
  <c r="H48" i="1" a="1"/>
  <c r="H48" i="1" s="1"/>
  <c r="E48" i="1" a="1"/>
  <c r="E48" i="1" s="1"/>
  <c r="AF39" i="1" a="1"/>
  <c r="AF39" i="1" s="1"/>
  <c r="AE39" i="1" a="1"/>
  <c r="AE39" i="1" s="1"/>
  <c r="AD39" i="1" a="1"/>
  <c r="AD39" i="1" s="1"/>
  <c r="M39" i="1" a="1"/>
  <c r="M39" i="1" s="1"/>
  <c r="J39" i="1" a="1"/>
  <c r="J39" i="1" s="1"/>
  <c r="H39" i="1" a="1"/>
  <c r="H39" i="1" s="1"/>
  <c r="E39" i="1" a="1"/>
  <c r="E39" i="1" s="1"/>
  <c r="AF47" i="1" a="1"/>
  <c r="AF47" i="1" s="1"/>
  <c r="AE47" i="1" a="1"/>
  <c r="AE47" i="1" s="1"/>
  <c r="AD47" i="1" a="1"/>
  <c r="AD47" i="1" s="1"/>
  <c r="M47" i="1" a="1"/>
  <c r="M47" i="1" s="1"/>
  <c r="J47" i="1" a="1"/>
  <c r="J47" i="1" s="1"/>
  <c r="H47" i="1" a="1"/>
  <c r="H47" i="1" s="1"/>
  <c r="E47" i="1" a="1"/>
  <c r="E47" i="1" s="1"/>
  <c r="I10" i="1"/>
  <c r="AF37" i="1" a="1"/>
  <c r="AF37" i="1" s="1"/>
  <c r="AE37" i="1" a="1"/>
  <c r="AE37" i="1" s="1"/>
  <c r="AD37" i="1" a="1"/>
  <c r="AD37" i="1" s="1"/>
  <c r="M37" i="1" a="1"/>
  <c r="M37" i="1" s="1"/>
  <c r="J37" i="1" a="1"/>
  <c r="J37" i="1" s="1"/>
  <c r="H37" i="1" a="1"/>
  <c r="H37" i="1" s="1"/>
  <c r="E37" i="1" a="1"/>
  <c r="E37" i="1" s="1"/>
  <c r="AF41" i="1" a="1"/>
  <c r="AF41" i="1" s="1"/>
  <c r="AE41" i="1" a="1"/>
  <c r="AE41" i="1" s="1"/>
  <c r="AD41" i="1" a="1"/>
  <c r="AD41" i="1" s="1"/>
  <c r="M41" i="1" a="1"/>
  <c r="M41" i="1" s="1"/>
  <c r="J41" i="1" a="1"/>
  <c r="J41" i="1" s="1"/>
  <c r="H41" i="1" a="1"/>
  <c r="H41" i="1" s="1"/>
  <c r="E41" i="1" a="1"/>
  <c r="E41" i="1" s="1"/>
  <c r="AF13" i="1" a="1"/>
  <c r="AF13" i="1" s="1"/>
  <c r="AE13" i="1" a="1"/>
  <c r="AE13" i="1" s="1"/>
  <c r="AD13" i="1" a="1"/>
  <c r="AD13" i="1" s="1"/>
  <c r="M13" i="1" a="1"/>
  <c r="M13" i="1" s="1"/>
  <c r="J13" i="1" a="1"/>
  <c r="J13" i="1" s="1"/>
  <c r="H13" i="1" a="1"/>
  <c r="H13" i="1" s="1"/>
  <c r="E13" i="1" a="1"/>
  <c r="E13" i="1" s="1"/>
  <c r="AF27" i="1" a="1"/>
  <c r="AF27" i="1" s="1"/>
  <c r="AE27" i="1" a="1"/>
  <c r="AE27" i="1" s="1"/>
  <c r="AD27" i="1" a="1"/>
  <c r="AD27" i="1" s="1"/>
  <c r="M27" i="1" a="1"/>
  <c r="M27" i="1" s="1"/>
  <c r="J27" i="1" a="1"/>
  <c r="J27" i="1" s="1"/>
  <c r="H27" i="1" a="1"/>
  <c r="H27" i="1" s="1"/>
  <c r="E27" i="1" a="1"/>
  <c r="E27" i="1" s="1"/>
  <c r="AF49" i="1" a="1"/>
  <c r="AF49" i="1" s="1"/>
  <c r="AE49" i="1" a="1"/>
  <c r="AE49" i="1" s="1"/>
  <c r="AD49" i="1" a="1"/>
  <c r="AD49" i="1" s="1"/>
  <c r="M49" i="1" a="1"/>
  <c r="M49" i="1" s="1"/>
  <c r="J49" i="1" a="1"/>
  <c r="J49" i="1" s="1"/>
  <c r="H49" i="1" a="1"/>
  <c r="H49" i="1" s="1"/>
  <c r="E49" i="1" a="1"/>
  <c r="E49" i="1" s="1"/>
  <c r="AF25" i="1" a="1"/>
  <c r="AF25" i="1" s="1"/>
  <c r="AE25" i="1" a="1"/>
  <c r="AE25" i="1" s="1"/>
  <c r="AD25" i="1" a="1"/>
  <c r="AD25" i="1" s="1"/>
  <c r="M25" i="1" a="1"/>
  <c r="M25" i="1" s="1"/>
  <c r="J25" i="1" a="1"/>
  <c r="J25" i="1" s="1"/>
  <c r="H25" i="1" a="1"/>
  <c r="H25" i="1" s="1"/>
  <c r="E25" i="1" a="1"/>
  <c r="E25" i="1" s="1"/>
  <c r="AF44" i="1" a="1"/>
  <c r="AF44" i="1" s="1"/>
  <c r="AE44" i="1" a="1"/>
  <c r="AE44" i="1" s="1"/>
  <c r="AD44" i="1" a="1"/>
  <c r="AD44" i="1" s="1"/>
  <c r="M44" i="1" a="1"/>
  <c r="M44" i="1" s="1"/>
  <c r="J44" i="1" a="1"/>
  <c r="J44" i="1" s="1"/>
  <c r="H44" i="1" a="1"/>
  <c r="H44" i="1" s="1"/>
  <c r="E44" i="1" a="1"/>
  <c r="E44" i="1" s="1"/>
  <c r="AF24" i="1" a="1"/>
  <c r="AF24" i="1" s="1"/>
  <c r="AE24" i="1" a="1"/>
  <c r="AE24" i="1" s="1"/>
  <c r="AD24" i="1" a="1"/>
  <c r="AD24" i="1" s="1"/>
  <c r="M24" i="1" a="1"/>
  <c r="M24" i="1" s="1"/>
  <c r="J24" i="1" a="1"/>
  <c r="J24" i="1" s="1"/>
  <c r="H24" i="1" a="1"/>
  <c r="H24" i="1" s="1"/>
  <c r="E24" i="1" a="1"/>
  <c r="E24" i="1" s="1"/>
  <c r="AF23" i="1" a="1"/>
  <c r="AF23" i="1" s="1"/>
  <c r="AE23" i="1" a="1"/>
  <c r="AE23" i="1" s="1"/>
  <c r="AD23" i="1" a="1"/>
  <c r="AD23" i="1" s="1"/>
  <c r="M23" i="1" a="1"/>
  <c r="M23" i="1" s="1"/>
  <c r="J23" i="1" a="1"/>
  <c r="J23" i="1" s="1"/>
  <c r="H23" i="1" a="1"/>
  <c r="H23" i="1" s="1"/>
  <c r="E23" i="1" a="1"/>
  <c r="E23" i="1" s="1"/>
  <c r="AF29" i="1" a="1"/>
  <c r="AF29" i="1" s="1"/>
  <c r="AE29" i="1" a="1"/>
  <c r="AE29" i="1" s="1"/>
  <c r="AD29" i="1" a="1"/>
  <c r="AD29" i="1" s="1"/>
  <c r="M29" i="1" a="1"/>
  <c r="M29" i="1" s="1"/>
  <c r="J29" i="1" a="1"/>
  <c r="J29" i="1" s="1"/>
  <c r="H29" i="1" a="1"/>
  <c r="H29" i="1" s="1"/>
  <c r="E29" i="1" a="1"/>
  <c r="E29" i="1" s="1"/>
  <c r="AF18" i="1" a="1"/>
  <c r="AF18" i="1" s="1"/>
  <c r="AE18" i="1" a="1"/>
  <c r="AE18" i="1" s="1"/>
  <c r="AD18" i="1" a="1"/>
  <c r="AD18" i="1" s="1"/>
  <c r="M18" i="1" a="1"/>
  <c r="M18" i="1" s="1"/>
  <c r="J18" i="1" a="1"/>
  <c r="J18" i="1" s="1"/>
  <c r="H18" i="1" a="1"/>
  <c r="H18" i="1" s="1"/>
  <c r="E18" i="1" a="1"/>
  <c r="E18" i="1" s="1"/>
  <c r="AF28" i="1" a="1"/>
  <c r="AF28" i="1" s="1"/>
  <c r="AE28" i="1" a="1"/>
  <c r="AE28" i="1" s="1"/>
  <c r="AD28" i="1" a="1"/>
  <c r="AD28" i="1" s="1"/>
  <c r="M28" i="1" a="1"/>
  <c r="M28" i="1" s="1"/>
  <c r="J28" i="1" a="1"/>
  <c r="J28" i="1" s="1"/>
  <c r="H28" i="1" a="1"/>
  <c r="H28" i="1" s="1"/>
  <c r="E28" i="1" a="1"/>
  <c r="E28" i="1" s="1"/>
  <c r="AF26" i="1" a="1"/>
  <c r="AF26" i="1" s="1"/>
  <c r="AE26" i="1" a="1"/>
  <c r="AE26" i="1" s="1"/>
  <c r="AD26" i="1" a="1"/>
  <c r="AD26" i="1" s="1"/>
  <c r="M26" i="1" a="1"/>
  <c r="M26" i="1" s="1"/>
  <c r="J26" i="1" a="1"/>
  <c r="J26" i="1" s="1"/>
  <c r="H26" i="1" a="1"/>
  <c r="H26" i="1" s="1"/>
  <c r="E26" i="1" a="1"/>
  <c r="E26" i="1" s="1"/>
  <c r="AF50" i="1" a="1"/>
  <c r="AF50" i="1" s="1"/>
  <c r="AE50" i="1" a="1"/>
  <c r="AE50" i="1" s="1"/>
  <c r="AD50" i="1" a="1"/>
  <c r="AD50" i="1" s="1"/>
  <c r="M50" i="1" a="1"/>
  <c r="M50" i="1" s="1"/>
  <c r="J50" i="1" a="1"/>
  <c r="J50" i="1" s="1"/>
  <c r="H50" i="1" a="1"/>
  <c r="H50" i="1" s="1"/>
  <c r="E50" i="1" a="1"/>
  <c r="E50" i="1" s="1"/>
  <c r="AF45" i="1" a="1"/>
  <c r="AF45" i="1" s="1"/>
  <c r="AE45" i="1" a="1"/>
  <c r="AE45" i="1" s="1"/>
  <c r="AD45" i="1" a="1"/>
  <c r="AD45" i="1" s="1"/>
  <c r="M45" i="1" a="1"/>
  <c r="M45" i="1" s="1"/>
  <c r="J45" i="1" a="1"/>
  <c r="J45" i="1" s="1"/>
  <c r="H45" i="1" a="1"/>
  <c r="H45" i="1" s="1"/>
  <c r="E45" i="1" a="1"/>
  <c r="E45" i="1" s="1"/>
  <c r="AF35" i="1" a="1"/>
  <c r="AF35" i="1" s="1"/>
  <c r="AE35" i="1" a="1"/>
  <c r="AE35" i="1" s="1"/>
  <c r="AD35" i="1" a="1"/>
  <c r="AD35" i="1" s="1"/>
  <c r="M35" i="1" a="1"/>
  <c r="M35" i="1" s="1"/>
  <c r="J35" i="1" a="1"/>
  <c r="J35" i="1" s="1"/>
  <c r="H35" i="1" a="1"/>
  <c r="H35" i="1" s="1"/>
  <c r="E35" i="1" a="1"/>
  <c r="E35" i="1" s="1"/>
  <c r="AF34" i="1" a="1"/>
  <c r="AF34" i="1" s="1"/>
  <c r="AE34" i="1" a="1"/>
  <c r="AE34" i="1" s="1"/>
  <c r="AD34" i="1" a="1"/>
  <c r="AD34" i="1" s="1"/>
  <c r="M34" i="1" a="1"/>
  <c r="M34" i="1" s="1"/>
  <c r="J34" i="1" a="1"/>
  <c r="J34" i="1" s="1"/>
  <c r="H34" i="1" a="1"/>
  <c r="H34" i="1" s="1"/>
  <c r="E34" i="1" a="1"/>
  <c r="E34" i="1" s="1"/>
  <c r="AF30" i="1" a="1"/>
  <c r="AF30" i="1" s="1"/>
  <c r="AE30" i="1" a="1"/>
  <c r="AE30" i="1" s="1"/>
  <c r="AD30" i="1" a="1"/>
  <c r="AD30" i="1" s="1"/>
  <c r="M30" i="1" a="1"/>
  <c r="M30" i="1" s="1"/>
  <c r="J30" i="1" a="1"/>
  <c r="J30" i="1" s="1"/>
  <c r="H30" i="1" a="1"/>
  <c r="H30" i="1" s="1"/>
  <c r="E30" i="1" a="1"/>
  <c r="E30" i="1" s="1"/>
  <c r="AF43" i="1" a="1"/>
  <c r="AF43" i="1" s="1"/>
  <c r="AE43" i="1" a="1"/>
  <c r="AE43" i="1" s="1"/>
  <c r="AD43" i="1" a="1"/>
  <c r="AD43" i="1" s="1"/>
  <c r="M43" i="1" a="1"/>
  <c r="M43" i="1" s="1"/>
  <c r="J43" i="1" a="1"/>
  <c r="J43" i="1" s="1"/>
  <c r="H43" i="1" a="1"/>
  <c r="H43" i="1" s="1"/>
  <c r="E43" i="1" a="1"/>
  <c r="E43" i="1" s="1"/>
  <c r="AF36" i="1" a="1"/>
  <c r="AF36" i="1" s="1"/>
  <c r="AE36" i="1" a="1"/>
  <c r="AE36" i="1" s="1"/>
  <c r="AD36" i="1" a="1"/>
  <c r="AD36" i="1" s="1"/>
  <c r="M36" i="1" a="1"/>
  <c r="M36" i="1" s="1"/>
  <c r="J36" i="1" a="1"/>
  <c r="J36" i="1" s="1"/>
  <c r="H36" i="1" a="1"/>
  <c r="H36" i="1" s="1"/>
  <c r="E36" i="1" a="1"/>
  <c r="E36" i="1" s="1"/>
  <c r="AF33" i="1" a="1"/>
  <c r="AF33" i="1" s="1"/>
  <c r="AE33" i="1" a="1"/>
  <c r="AE33" i="1" s="1"/>
  <c r="AD33" i="1" a="1"/>
  <c r="AD33" i="1" s="1"/>
  <c r="M33" i="1" a="1"/>
  <c r="M33" i="1" s="1"/>
  <c r="J33" i="1" a="1"/>
  <c r="J33" i="1" s="1"/>
  <c r="H33" i="1" a="1"/>
  <c r="H33" i="1" s="1"/>
  <c r="E33" i="1" a="1"/>
  <c r="E33" i="1" s="1"/>
  <c r="AF46" i="1" a="1"/>
  <c r="AF46" i="1" s="1"/>
  <c r="AE46" i="1" a="1"/>
  <c r="AE46" i="1" s="1"/>
  <c r="AD46" i="1" a="1"/>
  <c r="AD46" i="1" s="1"/>
  <c r="M46" i="1" a="1"/>
  <c r="M46" i="1" s="1"/>
  <c r="J46" i="1" a="1"/>
  <c r="J46" i="1" s="1"/>
  <c r="H46" i="1" a="1"/>
  <c r="H46" i="1" s="1"/>
  <c r="E46" i="1" a="1"/>
  <c r="E46" i="1" s="1"/>
  <c r="AF21" i="1" a="1"/>
  <c r="AF21" i="1" s="1"/>
  <c r="AE21" i="1" a="1"/>
  <c r="AE21" i="1" s="1"/>
  <c r="AD21" i="1" a="1"/>
  <c r="AD21" i="1" s="1"/>
  <c r="M21" i="1" a="1"/>
  <c r="M21" i="1" s="1"/>
  <c r="J21" i="1" a="1"/>
  <c r="J21" i="1" s="1"/>
  <c r="H21" i="1" a="1"/>
  <c r="H21" i="1" s="1"/>
  <c r="E21" i="1" a="1"/>
  <c r="E21" i="1" s="1"/>
  <c r="E32" i="1" a="1"/>
  <c r="E32" i="1" s="1"/>
  <c r="AF32" i="1" a="1"/>
  <c r="AF32" i="1" s="1"/>
  <c r="AE32" i="1" a="1"/>
  <c r="AE32" i="1" s="1"/>
  <c r="AD32" i="1" a="1"/>
  <c r="AD32" i="1" s="1"/>
  <c r="M32" i="1" a="1"/>
  <c r="M32" i="1" s="1"/>
  <c r="J32" i="1" a="1"/>
  <c r="J32" i="1" s="1"/>
  <c r="H32" i="1" a="1"/>
  <c r="H32" i="1" s="1"/>
  <c r="AF14" i="1" a="1"/>
  <c r="AF14" i="1" s="1"/>
  <c r="AE14" i="1" a="1"/>
  <c r="AE14" i="1" s="1"/>
  <c r="AD14" i="1" a="1"/>
  <c r="AD14" i="1" s="1"/>
  <c r="M14" i="1" a="1"/>
  <c r="M14" i="1" s="1"/>
  <c r="J14" i="1" a="1"/>
  <c r="J14" i="1" s="1"/>
  <c r="H14" i="1" a="1"/>
  <c r="H14" i="1" s="1"/>
  <c r="E14" i="1" a="1"/>
  <c r="E14" i="1" s="1"/>
  <c r="M12" i="1" a="1"/>
  <c r="M12" i="1" s="1"/>
  <c r="J12" i="1" a="1"/>
  <c r="J12" i="1" s="1"/>
  <c r="H12" i="1" a="1"/>
  <c r="H12" i="1" s="1"/>
  <c r="AF42" i="1" a="1"/>
  <c r="AF42" i="1" s="1"/>
  <c r="AE42" i="1" a="1"/>
  <c r="AE42" i="1" s="1"/>
  <c r="AD42" i="1" a="1"/>
  <c r="AD42" i="1" s="1"/>
  <c r="M42" i="1" a="1"/>
  <c r="M42" i="1" s="1"/>
  <c r="J42" i="1" a="1"/>
  <c r="J42" i="1" s="1"/>
  <c r="H42" i="1" a="1"/>
  <c r="H42" i="1" s="1"/>
  <c r="E42" i="1" a="1"/>
  <c r="E42" i="1" s="1"/>
  <c r="D5" i="8"/>
  <c r="D6" i="8"/>
  <c r="D7" i="8"/>
  <c r="D8" i="8"/>
  <c r="D9" i="8"/>
  <c r="D10" i="8"/>
  <c r="D12" i="8"/>
  <c r="D13" i="8"/>
  <c r="D14" i="8"/>
  <c r="D16" i="8"/>
  <c r="D17" i="8"/>
  <c r="D18" i="8"/>
  <c r="D19" i="8"/>
  <c r="D20" i="8"/>
  <c r="D21" i="8"/>
  <c r="K4" i="7"/>
  <c r="K5" i="7"/>
  <c r="M5" i="7"/>
  <c r="Q5" i="7" s="1"/>
  <c r="K6" i="7"/>
  <c r="L6" i="7"/>
  <c r="M6" i="7"/>
  <c r="Q6" i="7"/>
  <c r="K7" i="7"/>
  <c r="L7" i="7"/>
  <c r="M7" i="7"/>
  <c r="Q7" i="7"/>
  <c r="K8" i="7"/>
  <c r="L8" i="7"/>
  <c r="M8" i="7"/>
  <c r="Q8" i="7"/>
  <c r="K9" i="7"/>
  <c r="L9" i="7"/>
  <c r="M9" i="7"/>
  <c r="Q9" i="7"/>
  <c r="K10" i="7"/>
  <c r="L10" i="7"/>
  <c r="M10" i="7"/>
  <c r="Q10" i="7"/>
  <c r="K11" i="7"/>
  <c r="L11" i="7"/>
  <c r="M11" i="7"/>
  <c r="Q11" i="7" s="1"/>
  <c r="K12" i="7"/>
  <c r="L12" i="7"/>
  <c r="M12" i="7"/>
  <c r="Q12" i="7" s="1"/>
  <c r="K13" i="7"/>
  <c r="L13" i="7"/>
  <c r="K14" i="7"/>
  <c r="K15" i="7"/>
  <c r="L15" i="7"/>
  <c r="K16" i="7"/>
  <c r="L16" i="7"/>
  <c r="M16" i="7"/>
  <c r="Q16" i="7" s="1"/>
  <c r="K17" i="7"/>
  <c r="L17" i="7"/>
  <c r="K18" i="7"/>
  <c r="L18" i="7"/>
  <c r="M18" i="7"/>
  <c r="Q18" i="7" s="1"/>
  <c r="K19" i="7"/>
  <c r="L19" i="7"/>
  <c r="M19" i="7"/>
  <c r="Q19" i="7"/>
  <c r="K20" i="7"/>
  <c r="L20" i="7"/>
  <c r="M20" i="7"/>
  <c r="Q20" i="7" s="1"/>
  <c r="K21" i="7"/>
  <c r="L21" i="7"/>
  <c r="K22" i="7"/>
  <c r="L22" i="7"/>
  <c r="M22" i="7"/>
  <c r="Q22" i="7" s="1"/>
  <c r="K23" i="7"/>
  <c r="L23" i="7"/>
  <c r="M23" i="7"/>
  <c r="Q23" i="7"/>
  <c r="K24" i="7"/>
  <c r="L24" i="7"/>
  <c r="K25" i="7"/>
  <c r="L25" i="7"/>
  <c r="M25" i="7"/>
  <c r="Q25" i="7" s="1"/>
  <c r="K26" i="7"/>
  <c r="L26" i="7"/>
  <c r="K27" i="7"/>
  <c r="K28" i="7"/>
  <c r="L28" i="7"/>
  <c r="M28" i="7"/>
  <c r="Q28" i="7"/>
  <c r="K29" i="7"/>
  <c r="L29" i="7"/>
  <c r="M29" i="7"/>
  <c r="Q29" i="7" s="1"/>
  <c r="K30" i="7"/>
  <c r="L30" i="7"/>
  <c r="M30" i="7"/>
  <c r="Q30" i="7"/>
  <c r="K31" i="7"/>
  <c r="L31" i="7"/>
  <c r="M31" i="7"/>
  <c r="Q31" i="7" s="1"/>
  <c r="K32" i="7"/>
  <c r="K33" i="7"/>
  <c r="K34" i="7"/>
  <c r="L34" i="7"/>
  <c r="M34" i="7"/>
  <c r="Q34" i="7"/>
  <c r="K35" i="7"/>
  <c r="L35" i="7"/>
  <c r="M35" i="7"/>
  <c r="Q35" i="7" s="1"/>
  <c r="K36" i="7"/>
  <c r="L36" i="7"/>
  <c r="M36" i="7"/>
  <c r="Q36" i="7"/>
  <c r="K37" i="7"/>
  <c r="L37" i="7"/>
  <c r="K38" i="7"/>
  <c r="L38" i="7"/>
  <c r="M38" i="7"/>
  <c r="Q38" i="7" s="1"/>
  <c r="K39" i="7"/>
  <c r="L39" i="7"/>
  <c r="M39" i="7"/>
  <c r="Q39" i="7" s="1"/>
  <c r="K40" i="7"/>
  <c r="L40" i="7"/>
  <c r="M40" i="7"/>
  <c r="Q40" i="7"/>
  <c r="K41" i="7"/>
  <c r="L41" i="7"/>
  <c r="K42" i="7"/>
  <c r="L42" i="7"/>
  <c r="K43" i="7"/>
  <c r="L43" i="7"/>
  <c r="K44" i="7"/>
  <c r="L44" i="7"/>
  <c r="M44" i="7"/>
  <c r="Q44" i="7" s="1"/>
  <c r="K45" i="7"/>
  <c r="L45" i="7"/>
  <c r="K46" i="7"/>
  <c r="L46" i="7"/>
  <c r="M46" i="7"/>
  <c r="Q46" i="7"/>
  <c r="K47" i="7"/>
  <c r="K48" i="7"/>
  <c r="K49" i="7"/>
  <c r="K50" i="7"/>
  <c r="L50" i="7"/>
  <c r="M50" i="7"/>
  <c r="Q50" i="7" s="1"/>
  <c r="K51" i="7"/>
  <c r="L51" i="7"/>
  <c r="M51" i="7"/>
  <c r="Q51" i="7" s="1"/>
  <c r="K52" i="7"/>
  <c r="L52" i="7"/>
  <c r="M52" i="7"/>
  <c r="Q52" i="7" s="1"/>
  <c r="K53" i="7"/>
  <c r="L53" i="7"/>
  <c r="M53" i="7"/>
  <c r="Q53" i="7" s="1"/>
  <c r="K54" i="7"/>
  <c r="L54" i="7"/>
  <c r="M54" i="7"/>
  <c r="Q54" i="7" s="1"/>
  <c r="K55" i="7"/>
  <c r="L55" i="7"/>
  <c r="M55" i="7"/>
  <c r="Q55" i="7"/>
  <c r="K56" i="7"/>
  <c r="K57" i="7"/>
  <c r="K58" i="7"/>
  <c r="K59" i="7"/>
  <c r="K60" i="7"/>
  <c r="L60" i="7"/>
  <c r="K61" i="7"/>
  <c r="L61" i="7"/>
  <c r="K62" i="7"/>
  <c r="L62" i="7"/>
  <c r="K63" i="7"/>
  <c r="L63" i="7"/>
  <c r="M63" i="7"/>
  <c r="Q63" i="7" s="1"/>
  <c r="K64" i="7"/>
  <c r="L64" i="7"/>
  <c r="M64" i="7"/>
  <c r="Q64" i="7" s="1"/>
  <c r="K65" i="7"/>
  <c r="L65" i="7"/>
  <c r="K66" i="7"/>
  <c r="L66" i="7"/>
  <c r="M66" i="7"/>
  <c r="Q66" i="7"/>
  <c r="K67" i="7"/>
  <c r="L67" i="7"/>
  <c r="K68" i="7"/>
  <c r="L68" i="7"/>
  <c r="K69" i="7"/>
  <c r="L69" i="7"/>
  <c r="M69" i="7"/>
  <c r="Q69" i="7" s="1"/>
  <c r="K70" i="7"/>
  <c r="L70" i="7"/>
  <c r="M70" i="7"/>
  <c r="Q70" i="7" s="1"/>
  <c r="K71" i="7"/>
  <c r="L71" i="7"/>
  <c r="M71" i="7"/>
  <c r="Q71" i="7" s="1"/>
  <c r="K72" i="7"/>
  <c r="L72" i="7"/>
  <c r="M72" i="7"/>
  <c r="Q72" i="7" s="1"/>
  <c r="K73" i="7"/>
  <c r="L73" i="7"/>
  <c r="M73" i="7"/>
  <c r="Q73" i="7" s="1"/>
  <c r="K74" i="7"/>
  <c r="K75" i="7"/>
  <c r="L75" i="7"/>
  <c r="M75" i="7"/>
  <c r="Q75" i="7" s="1"/>
  <c r="K76" i="7"/>
  <c r="L76" i="7"/>
  <c r="K77" i="7"/>
  <c r="K78" i="7"/>
  <c r="K79" i="7"/>
  <c r="L79" i="7"/>
  <c r="K80" i="7"/>
  <c r="K81" i="7"/>
  <c r="L81" i="7"/>
  <c r="K82" i="7"/>
  <c r="K83" i="7"/>
  <c r="K84" i="7"/>
  <c r="L84" i="7"/>
  <c r="K85" i="7"/>
  <c r="K86" i="7"/>
  <c r="L86" i="7"/>
  <c r="K87" i="7"/>
  <c r="L87" i="7"/>
  <c r="K88" i="7"/>
  <c r="K89" i="7"/>
  <c r="L89" i="7"/>
  <c r="M89" i="7"/>
  <c r="Q89" i="7" s="1"/>
  <c r="K90" i="7"/>
  <c r="L90" i="7"/>
  <c r="M90" i="7"/>
  <c r="Q90" i="7"/>
  <c r="K91" i="7"/>
  <c r="L91" i="7"/>
  <c r="M91" i="7"/>
  <c r="Q91" i="7" s="1"/>
  <c r="K92" i="7"/>
  <c r="L92" i="7"/>
  <c r="M92" i="7"/>
  <c r="Q92" i="7" s="1"/>
  <c r="K93" i="7"/>
  <c r="K94" i="7"/>
  <c r="L94" i="7"/>
  <c r="M94" i="7"/>
  <c r="Q94" i="7" s="1"/>
  <c r="K95" i="7"/>
  <c r="L95" i="7"/>
  <c r="M95" i="7"/>
  <c r="Q95" i="7" s="1"/>
  <c r="K96" i="7"/>
  <c r="L96" i="7"/>
  <c r="M96" i="7"/>
  <c r="Q96" i="7" s="1"/>
  <c r="K97" i="7"/>
  <c r="K98" i="7"/>
  <c r="L98" i="7"/>
  <c r="M98" i="7"/>
  <c r="Q98" i="7" s="1"/>
  <c r="K99" i="7"/>
  <c r="K100" i="7"/>
  <c r="L100" i="7"/>
  <c r="M100" i="7"/>
  <c r="Q100" i="7" s="1"/>
  <c r="K101" i="7"/>
  <c r="L101" i="7"/>
  <c r="K102" i="7"/>
  <c r="L102" i="7"/>
  <c r="K103" i="7"/>
  <c r="L103" i="7"/>
  <c r="M103" i="7"/>
  <c r="Q103" i="7" s="1"/>
  <c r="K104" i="7"/>
  <c r="L104" i="7"/>
  <c r="M104" i="7"/>
  <c r="Q104" i="7" s="1"/>
  <c r="K105" i="7"/>
  <c r="L105" i="7"/>
  <c r="M105" i="7"/>
  <c r="Q105" i="7" s="1"/>
  <c r="K106" i="7"/>
  <c r="L106" i="7"/>
  <c r="M106" i="7"/>
  <c r="Q106" i="7" s="1"/>
  <c r="K107" i="7"/>
  <c r="L107" i="7"/>
  <c r="M107" i="7"/>
  <c r="Q107" i="7"/>
  <c r="K108" i="7"/>
  <c r="L108" i="7"/>
  <c r="K109" i="7"/>
  <c r="L109" i="7"/>
  <c r="K110" i="7"/>
  <c r="L110" i="7"/>
  <c r="M110" i="7"/>
  <c r="Q110" i="7" s="1"/>
  <c r="K111" i="7"/>
  <c r="L111" i="7"/>
  <c r="M111" i="7"/>
  <c r="Q111" i="7"/>
  <c r="K112" i="7"/>
  <c r="L112" i="7"/>
  <c r="M112" i="7"/>
  <c r="Q112" i="7" s="1"/>
  <c r="K113" i="7"/>
  <c r="L113" i="7"/>
  <c r="K114" i="7"/>
  <c r="L114" i="7"/>
  <c r="K115" i="7"/>
  <c r="K116" i="7"/>
  <c r="L116" i="7"/>
  <c r="M116" i="7"/>
  <c r="Q116" i="7"/>
  <c r="K117" i="7"/>
  <c r="L117" i="7"/>
  <c r="K118" i="7"/>
  <c r="L118" i="7"/>
  <c r="M118" i="7"/>
  <c r="Q118" i="7" s="1"/>
  <c r="K119" i="7"/>
  <c r="L119" i="7"/>
  <c r="K120" i="7"/>
  <c r="L120" i="7"/>
  <c r="M120" i="7"/>
  <c r="Q120" i="7"/>
  <c r="K121" i="7"/>
  <c r="L121" i="7"/>
  <c r="K122" i="7"/>
  <c r="L122" i="7"/>
  <c r="M122" i="7"/>
  <c r="Q122" i="7" s="1"/>
  <c r="K123" i="7"/>
  <c r="L123" i="7"/>
  <c r="M123" i="7"/>
  <c r="Q123" i="7" s="1"/>
  <c r="K124" i="7"/>
  <c r="L124" i="7"/>
  <c r="K125" i="7"/>
  <c r="L125" i="7"/>
  <c r="M125" i="7"/>
  <c r="Q125" i="7" s="1"/>
  <c r="K126" i="7"/>
  <c r="L126" i="7"/>
  <c r="K127" i="7"/>
  <c r="L127" i="7"/>
  <c r="K128" i="7"/>
  <c r="L128" i="7"/>
  <c r="M128" i="7"/>
  <c r="Q128" i="7" s="1"/>
  <c r="K129" i="7"/>
  <c r="L129" i="7"/>
  <c r="K130" i="7"/>
  <c r="L130" i="7"/>
  <c r="M130" i="7"/>
  <c r="Q130" i="7"/>
  <c r="K131" i="7"/>
  <c r="L131" i="7"/>
  <c r="M131" i="7"/>
  <c r="Q131" i="7" s="1"/>
  <c r="K132" i="7"/>
  <c r="L132" i="7"/>
  <c r="M132" i="7"/>
  <c r="Q132" i="7" s="1"/>
  <c r="K133" i="7"/>
  <c r="L133" i="7"/>
  <c r="M133" i="7"/>
  <c r="Q133" i="7" s="1"/>
  <c r="K134" i="7"/>
  <c r="L134" i="7"/>
  <c r="M134" i="7"/>
  <c r="Q134" i="7" s="1"/>
  <c r="K135" i="7"/>
  <c r="L135" i="7"/>
  <c r="M135" i="7"/>
  <c r="Q135" i="7" s="1"/>
  <c r="K136" i="7"/>
  <c r="L136" i="7"/>
  <c r="M136" i="7"/>
  <c r="Q136" i="7"/>
  <c r="K137" i="7"/>
  <c r="L137" i="7"/>
  <c r="M137" i="7"/>
  <c r="Q137" i="7" s="1"/>
  <c r="K138" i="7"/>
  <c r="L138" i="7"/>
  <c r="M138" i="7"/>
  <c r="Q138" i="7"/>
  <c r="K139" i="7"/>
  <c r="L139" i="7"/>
  <c r="M139" i="7"/>
  <c r="Q139" i="7" s="1"/>
  <c r="K140" i="7"/>
  <c r="L140" i="7"/>
  <c r="K141" i="7"/>
  <c r="L141" i="7"/>
  <c r="K142" i="7"/>
  <c r="L142" i="7"/>
  <c r="K143" i="7"/>
  <c r="K144" i="7"/>
  <c r="L144" i="7"/>
  <c r="M144" i="7"/>
  <c r="Q144" i="7" s="1"/>
  <c r="K145" i="7"/>
  <c r="L145" i="7"/>
  <c r="K146" i="7"/>
  <c r="L146" i="7"/>
  <c r="K147" i="7"/>
  <c r="L147" i="7"/>
  <c r="K148" i="7"/>
  <c r="L148" i="7"/>
  <c r="K149" i="7"/>
  <c r="L149" i="7"/>
  <c r="M149" i="7"/>
  <c r="Q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M155" i="7"/>
  <c r="Q155" i="7" s="1"/>
  <c r="K156" i="7"/>
  <c r="K157" i="7"/>
  <c r="L157" i="7"/>
  <c r="M157" i="7"/>
  <c r="Q157" i="7"/>
  <c r="K158" i="7"/>
  <c r="L158" i="7"/>
  <c r="K160" i="7"/>
  <c r="L160" i="7"/>
  <c r="K161" i="7"/>
  <c r="L161" i="7"/>
  <c r="M161" i="7"/>
  <c r="Q161" i="7"/>
  <c r="K162" i="7"/>
  <c r="L162" i="7"/>
  <c r="M162" i="7"/>
  <c r="Q162" i="7" s="1"/>
  <c r="K163" i="7"/>
  <c r="L163" i="7"/>
  <c r="M163" i="7"/>
  <c r="Q163" i="7" s="1"/>
  <c r="K164" i="7"/>
  <c r="L164" i="7"/>
  <c r="K165" i="7"/>
  <c r="L165" i="7"/>
  <c r="K166" i="7"/>
  <c r="L166" i="7"/>
  <c r="K167" i="7"/>
  <c r="L167" i="7"/>
  <c r="M167" i="7"/>
  <c r="Q167" i="7"/>
  <c r="K168" i="7"/>
  <c r="L168" i="7"/>
  <c r="M168" i="7"/>
  <c r="Q168" i="7" s="1"/>
  <c r="K169" i="7"/>
  <c r="L169" i="7"/>
  <c r="M169" i="7"/>
  <c r="Q169" i="7"/>
  <c r="K170" i="7"/>
  <c r="L170" i="7"/>
  <c r="K171" i="7"/>
  <c r="L171" i="7"/>
  <c r="K172" i="7"/>
  <c r="K173" i="7"/>
  <c r="K174" i="7"/>
  <c r="L174" i="7"/>
  <c r="K175" i="7"/>
  <c r="L175" i="7"/>
  <c r="K176" i="7"/>
  <c r="L176" i="7"/>
  <c r="M176" i="7"/>
  <c r="Q176" i="7" s="1"/>
  <c r="K177" i="7"/>
  <c r="L177" i="7"/>
  <c r="M177" i="7"/>
  <c r="Q177" i="7" s="1"/>
  <c r="K178" i="7"/>
  <c r="L178" i="7"/>
  <c r="M178" i="7"/>
  <c r="Q178" i="7" s="1"/>
  <c r="K179" i="7"/>
  <c r="L179" i="7"/>
  <c r="M179" i="7"/>
  <c r="Q179" i="7" s="1"/>
  <c r="K180" i="7"/>
  <c r="L180" i="7"/>
  <c r="K181" i="7"/>
  <c r="L181" i="7"/>
  <c r="K182" i="7"/>
  <c r="L182" i="7"/>
  <c r="K183" i="7"/>
  <c r="L183" i="7"/>
  <c r="M183" i="7"/>
  <c r="Q183" i="7" s="1"/>
  <c r="K184" i="7"/>
  <c r="L184" i="7"/>
  <c r="M184" i="7"/>
  <c r="Q184" i="7" s="1"/>
  <c r="K185" i="7"/>
  <c r="L185" i="7"/>
  <c r="K186" i="7"/>
  <c r="L186" i="7"/>
  <c r="K187" i="7"/>
  <c r="L187" i="7"/>
  <c r="M187" i="7"/>
  <c r="Q187" i="7" s="1"/>
  <c r="K188" i="7"/>
  <c r="L188" i="7"/>
  <c r="M188" i="7"/>
  <c r="Q188" i="7" s="1"/>
  <c r="K189" i="7"/>
  <c r="K190" i="7"/>
  <c r="L190" i="7"/>
  <c r="M190" i="7"/>
  <c r="Q190" i="7" s="1"/>
  <c r="K191" i="7"/>
  <c r="L191" i="7"/>
  <c r="M191" i="7"/>
  <c r="Q191" i="7" s="1"/>
  <c r="K192" i="7"/>
  <c r="L192" i="7"/>
  <c r="M192" i="7"/>
  <c r="Q192" i="7" s="1"/>
  <c r="K193" i="7"/>
  <c r="K194" i="7"/>
  <c r="L194" i="7"/>
  <c r="K195" i="7"/>
  <c r="L195" i="7"/>
  <c r="M195" i="7"/>
  <c r="Q195" i="7" s="1"/>
  <c r="K196" i="7"/>
  <c r="L196" i="7"/>
  <c r="M196" i="7"/>
  <c r="Q196" i="7"/>
  <c r="K197" i="7"/>
  <c r="L197" i="7"/>
  <c r="M197" i="7"/>
  <c r="Q197" i="7" s="1"/>
  <c r="K198" i="7"/>
  <c r="L198" i="7"/>
  <c r="M198" i="7"/>
  <c r="Q198" i="7"/>
  <c r="K199" i="7"/>
  <c r="L199" i="7"/>
  <c r="K200" i="7"/>
  <c r="L200" i="7"/>
  <c r="M200" i="7"/>
  <c r="Q200" i="7" s="1"/>
  <c r="K201" i="7"/>
  <c r="L201" i="7"/>
  <c r="M201" i="7"/>
  <c r="Q201" i="7" s="1"/>
  <c r="K202" i="7"/>
  <c r="L202" i="7"/>
  <c r="M202" i="7"/>
  <c r="Q202" i="7"/>
  <c r="K203" i="7"/>
  <c r="L203" i="7"/>
  <c r="M203" i="7"/>
  <c r="Q203" i="7" s="1"/>
  <c r="K204" i="7"/>
  <c r="L204" i="7"/>
  <c r="M204" i="7"/>
  <c r="Q204" i="7"/>
  <c r="K205" i="7"/>
  <c r="L205" i="7"/>
  <c r="M205" i="7"/>
  <c r="Q205" i="7" s="1"/>
  <c r="K206" i="7"/>
  <c r="L206" i="7"/>
  <c r="K207" i="7"/>
  <c r="L207" i="7"/>
  <c r="K208" i="7"/>
  <c r="K209" i="7"/>
  <c r="L209" i="7"/>
  <c r="M209" i="7"/>
  <c r="Q209" i="7"/>
  <c r="K210" i="7"/>
  <c r="L210" i="7"/>
  <c r="M210" i="7"/>
  <c r="Q210" i="7" s="1"/>
  <c r="K211" i="7"/>
  <c r="L211" i="7"/>
  <c r="M211" i="7"/>
  <c r="Q211" i="7" s="1"/>
  <c r="K212" i="7"/>
  <c r="L212" i="7"/>
  <c r="K213" i="7"/>
  <c r="L213" i="7"/>
  <c r="K214" i="7"/>
  <c r="L214" i="7"/>
  <c r="M214" i="7"/>
  <c r="Q214" i="7" s="1"/>
  <c r="K215" i="7"/>
  <c r="L215" i="7"/>
  <c r="M215" i="7"/>
  <c r="Q215" i="7" s="1"/>
  <c r="K216" i="7"/>
  <c r="L216" i="7"/>
  <c r="M216" i="7"/>
  <c r="Q216" i="7" s="1"/>
  <c r="K217" i="7"/>
  <c r="L217" i="7"/>
  <c r="K218" i="7"/>
  <c r="L218" i="7"/>
  <c r="M218" i="7"/>
  <c r="Q218" i="7" s="1"/>
  <c r="K219" i="7"/>
  <c r="L219" i="7"/>
  <c r="M219" i="7"/>
  <c r="Q219" i="7" s="1"/>
  <c r="K220" i="7"/>
  <c r="K221" i="7"/>
  <c r="K222" i="7"/>
  <c r="L222" i="7"/>
  <c r="M222" i="7"/>
  <c r="Q222" i="7" s="1"/>
  <c r="K223" i="7"/>
  <c r="L223" i="7"/>
  <c r="M223" i="7"/>
  <c r="Q223" i="7" s="1"/>
  <c r="K224" i="7"/>
  <c r="L224" i="7"/>
  <c r="M224" i="7"/>
  <c r="Q224" i="7" s="1"/>
  <c r="K225" i="7"/>
  <c r="L225" i="7"/>
  <c r="M225" i="7"/>
  <c r="Q225" i="7" s="1"/>
  <c r="K226" i="7"/>
  <c r="L226" i="7"/>
  <c r="M226" i="7"/>
  <c r="Q226" i="7" s="1"/>
  <c r="K227" i="7"/>
  <c r="L227" i="7"/>
  <c r="M227" i="7"/>
  <c r="Q227" i="7"/>
  <c r="K228" i="7"/>
  <c r="L228" i="7"/>
  <c r="M228" i="7"/>
  <c r="Q228" i="7" s="1"/>
  <c r="K229" i="7"/>
  <c r="L229" i="7"/>
  <c r="K230" i="7"/>
  <c r="L230" i="7"/>
  <c r="K231" i="7"/>
  <c r="L231" i="7"/>
  <c r="M231" i="7"/>
  <c r="Q231" i="7"/>
  <c r="K232" i="7"/>
  <c r="L232" i="7"/>
  <c r="M232" i="7"/>
  <c r="Q232" i="7" s="1"/>
  <c r="K233" i="7"/>
  <c r="K234" i="7"/>
  <c r="L234" i="7"/>
  <c r="K235" i="7"/>
  <c r="L235" i="7"/>
  <c r="K236" i="7"/>
  <c r="L236" i="7"/>
  <c r="K237" i="7"/>
  <c r="L237" i="7"/>
  <c r="K238" i="7"/>
  <c r="L238" i="7"/>
  <c r="M238" i="7"/>
  <c r="Q238" i="7"/>
  <c r="K239" i="7"/>
  <c r="L239" i="7"/>
  <c r="M239" i="7"/>
  <c r="Q239" i="7" s="1"/>
  <c r="K240" i="7"/>
  <c r="L240" i="7"/>
  <c r="M240" i="7"/>
  <c r="Q240" i="7" s="1"/>
  <c r="K241" i="7"/>
  <c r="L241" i="7"/>
  <c r="M241" i="7"/>
  <c r="Q241" i="7" s="1"/>
  <c r="K242" i="7"/>
  <c r="L242" i="7"/>
  <c r="M242" i="7"/>
  <c r="Q242" i="7" s="1"/>
  <c r="K243" i="7"/>
  <c r="L243" i="7"/>
  <c r="M243" i="7"/>
  <c r="Q243" i="7" s="1"/>
  <c r="K244" i="7"/>
  <c r="L244" i="7"/>
  <c r="K245" i="7"/>
  <c r="L245" i="7"/>
  <c r="K246" i="7"/>
  <c r="L246" i="7"/>
  <c r="K247" i="7"/>
  <c r="K248" i="7"/>
  <c r="L248" i="7"/>
  <c r="M248" i="7"/>
  <c r="Q248" i="7" s="1"/>
  <c r="K249" i="7"/>
  <c r="L249" i="7"/>
  <c r="M249" i="7"/>
  <c r="Q249" i="7" s="1"/>
  <c r="K250" i="7"/>
  <c r="L250" i="7"/>
  <c r="K251" i="7"/>
  <c r="L251" i="7"/>
  <c r="M251" i="7"/>
  <c r="Q251" i="7"/>
  <c r="K252" i="7"/>
  <c r="L252" i="7"/>
  <c r="K253" i="7"/>
  <c r="L253" i="7"/>
  <c r="M253" i="7"/>
  <c r="Q253" i="7" s="1"/>
  <c r="K254" i="7"/>
  <c r="L254" i="7"/>
  <c r="K255" i="7"/>
  <c r="L255" i="7"/>
  <c r="K256" i="7"/>
  <c r="L256" i="7"/>
  <c r="K257" i="7"/>
  <c r="L257" i="7"/>
  <c r="K258" i="7"/>
  <c r="L258" i="7"/>
  <c r="M258" i="7"/>
  <c r="Q258" i="7" s="1"/>
  <c r="K259" i="7"/>
  <c r="L259" i="7"/>
  <c r="M259" i="7"/>
  <c r="Q259" i="7" s="1"/>
  <c r="K260" i="7"/>
  <c r="L260" i="7"/>
  <c r="M260" i="7"/>
  <c r="Q260" i="7" s="1"/>
  <c r="K261" i="7"/>
  <c r="L261" i="7"/>
  <c r="M261" i="7"/>
  <c r="Q261" i="7"/>
  <c r="K262" i="7"/>
  <c r="L262" i="7"/>
  <c r="M262" i="7"/>
  <c r="Q262" i="7" s="1"/>
  <c r="K263" i="7"/>
  <c r="L263" i="7"/>
  <c r="M263" i="7"/>
  <c r="Q263" i="7"/>
  <c r="K264" i="7"/>
  <c r="L264" i="7"/>
  <c r="M264" i="7"/>
  <c r="Q264" i="7" s="1"/>
  <c r="K265" i="7"/>
  <c r="L265" i="7"/>
  <c r="M265" i="7"/>
  <c r="K266" i="7"/>
  <c r="L266" i="7"/>
  <c r="K267" i="7"/>
  <c r="L267" i="7"/>
  <c r="K268" i="7"/>
  <c r="L268" i="7"/>
  <c r="M268" i="7"/>
  <c r="K269" i="7"/>
  <c r="L269" i="7"/>
  <c r="K270" i="7"/>
  <c r="L270" i="7"/>
  <c r="K271" i="7"/>
  <c r="K272" i="7"/>
  <c r="L272" i="7"/>
  <c r="I274" i="7"/>
  <c r="L274" i="7"/>
  <c r="M274" i="7"/>
  <c r="I275" i="7"/>
  <c r="I276" i="7"/>
  <c r="I277" i="7"/>
  <c r="I278" i="7"/>
  <c r="I279" i="7"/>
  <c r="I280" i="7"/>
  <c r="I281" i="7"/>
  <c r="B282" i="7"/>
  <c r="F282" i="7"/>
  <c r="B283" i="7"/>
  <c r="B289" i="7"/>
  <c r="C289" i="7"/>
  <c r="D289" i="7"/>
  <c r="E289" i="7"/>
  <c r="F289" i="7"/>
  <c r="G289" i="7"/>
  <c r="I291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C290" i="7" l="1"/>
  <c r="Y10" i="1"/>
  <c r="Y17" i="1"/>
  <c r="AC2" i="1"/>
  <c r="T2" i="1"/>
  <c r="S38" i="1" a="1"/>
  <c r="S38" i="1" s="1"/>
  <c r="Q38" i="1" a="1"/>
  <c r="Q38" i="1" s="1"/>
  <c r="R38" i="1" a="1"/>
  <c r="R38" i="1" s="1"/>
  <c r="U38" i="1" a="1"/>
  <c r="U38" i="1" s="1"/>
  <c r="W38" i="1" a="1"/>
  <c r="W38" i="1" s="1"/>
  <c r="V38" i="1" a="1"/>
  <c r="V38" i="1" s="1"/>
  <c r="AA38" i="1" a="1"/>
  <c r="AA38" i="1" s="1"/>
  <c r="AB38" i="1" a="1"/>
  <c r="AB38" i="1" s="1"/>
  <c r="Z38" i="1" a="1"/>
  <c r="Z38" i="1" s="1"/>
  <c r="Z48" i="1" a="1"/>
  <c r="Z48" i="1" s="1"/>
  <c r="AB48" i="1" a="1"/>
  <c r="AB48" i="1" s="1"/>
  <c r="AA48" i="1" a="1"/>
  <c r="AA48" i="1" s="1"/>
  <c r="R48" i="1" a="1"/>
  <c r="R48" i="1" s="1"/>
  <c r="S48" i="1" a="1"/>
  <c r="S48" i="1" s="1"/>
  <c r="Q48" i="1" a="1"/>
  <c r="Q48" i="1" s="1"/>
  <c r="V48" i="1" a="1"/>
  <c r="V48" i="1" s="1"/>
  <c r="U48" i="1" a="1"/>
  <c r="U48" i="1" s="1"/>
  <c r="W48" i="1" a="1"/>
  <c r="W48" i="1" s="1"/>
  <c r="U39" i="1" a="1"/>
  <c r="U39" i="1" s="1"/>
  <c r="W39" i="1" a="1"/>
  <c r="W39" i="1" s="1"/>
  <c r="V39" i="1" a="1"/>
  <c r="V39" i="1" s="1"/>
  <c r="AA39" i="1" a="1"/>
  <c r="AA39" i="1" s="1"/>
  <c r="Z39" i="1" a="1"/>
  <c r="Z39" i="1" s="1"/>
  <c r="AB39" i="1" a="1"/>
  <c r="AB39" i="1" s="1"/>
  <c r="AA47" i="1" a="1"/>
  <c r="AA47" i="1" s="1"/>
  <c r="AB47" i="1" a="1"/>
  <c r="AB47" i="1" s="1"/>
  <c r="Z47" i="1" a="1"/>
  <c r="Z47" i="1" s="1"/>
  <c r="S47" i="1" a="1"/>
  <c r="S47" i="1" s="1"/>
  <c r="Q47" i="1" a="1"/>
  <c r="Q47" i="1" s="1"/>
  <c r="R47" i="1" a="1"/>
  <c r="R47" i="1" s="1"/>
  <c r="U47" i="1" a="1"/>
  <c r="U47" i="1" s="1"/>
  <c r="W47" i="1" a="1"/>
  <c r="W47" i="1" s="1"/>
  <c r="V47" i="1" a="1"/>
  <c r="V47" i="1" s="1"/>
  <c r="Z37" i="1" a="1"/>
  <c r="Z37" i="1" s="1"/>
  <c r="AB37" i="1" a="1"/>
  <c r="AB37" i="1" s="1"/>
  <c r="AA37" i="1" a="1"/>
  <c r="AA37" i="1" s="1"/>
  <c r="R37" i="1" a="1"/>
  <c r="R37" i="1" s="1"/>
  <c r="S37" i="1" a="1"/>
  <c r="S37" i="1" s="1"/>
  <c r="Q37" i="1" a="1"/>
  <c r="Q37" i="1" s="1"/>
  <c r="U37" i="1" a="1"/>
  <c r="U37" i="1" s="1"/>
  <c r="V37" i="1" a="1"/>
  <c r="V37" i="1" s="1"/>
  <c r="W37" i="1" a="1"/>
  <c r="W37" i="1" s="1"/>
  <c r="S41" i="1" a="1"/>
  <c r="S41" i="1" s="1"/>
  <c r="Q41" i="1" a="1"/>
  <c r="Q41" i="1" s="1"/>
  <c r="R41" i="1" a="1"/>
  <c r="R41" i="1" s="1"/>
  <c r="U41" i="1" a="1"/>
  <c r="U41" i="1" s="1"/>
  <c r="W41" i="1" a="1"/>
  <c r="W41" i="1" s="1"/>
  <c r="V41" i="1" a="1"/>
  <c r="V41" i="1" s="1"/>
  <c r="AA41" i="1" a="1"/>
  <c r="AA41" i="1" s="1"/>
  <c r="AB41" i="1" a="1"/>
  <c r="AB41" i="1" s="1"/>
  <c r="Z41" i="1" a="1"/>
  <c r="Z41" i="1" s="1"/>
  <c r="AA13" i="1" a="1"/>
  <c r="AA13" i="1" s="1"/>
  <c r="AB13" i="1" a="1"/>
  <c r="AB13" i="1" s="1"/>
  <c r="Z13" i="1" a="1"/>
  <c r="Z13" i="1" s="1"/>
  <c r="S13" i="1" a="1"/>
  <c r="S13" i="1" s="1"/>
  <c r="Q13" i="1" a="1"/>
  <c r="Q13" i="1" s="1"/>
  <c r="R13" i="1" a="1"/>
  <c r="R13" i="1" s="1"/>
  <c r="U13" i="1" a="1"/>
  <c r="U13" i="1" s="1"/>
  <c r="W13" i="1" a="1"/>
  <c r="W13" i="1" s="1"/>
  <c r="V13" i="1" a="1"/>
  <c r="V13" i="1" s="1"/>
  <c r="V27" i="1" a="1"/>
  <c r="V27" i="1" s="1"/>
  <c r="U27" i="1" a="1"/>
  <c r="U27" i="1" s="1"/>
  <c r="W27" i="1" a="1"/>
  <c r="W27" i="1" s="1"/>
  <c r="Z27" i="1" a="1"/>
  <c r="Z27" i="1" s="1"/>
  <c r="AB27" i="1" a="1"/>
  <c r="AB27" i="1" s="1"/>
  <c r="AA27" i="1" a="1"/>
  <c r="AA27" i="1" s="1"/>
  <c r="AA49" i="1" a="1"/>
  <c r="AA49" i="1" s="1"/>
  <c r="AB49" i="1" a="1"/>
  <c r="AB49" i="1" s="1"/>
  <c r="Z49" i="1" a="1"/>
  <c r="Z49" i="1" s="1"/>
  <c r="S49" i="1" a="1"/>
  <c r="S49" i="1" s="1"/>
  <c r="Q49" i="1" a="1"/>
  <c r="Q49" i="1" s="1"/>
  <c r="R49" i="1" a="1"/>
  <c r="R49" i="1" s="1"/>
  <c r="U49" i="1" a="1"/>
  <c r="U49" i="1" s="1"/>
  <c r="W49" i="1" a="1"/>
  <c r="W49" i="1" s="1"/>
  <c r="V49" i="1" a="1"/>
  <c r="V49" i="1" s="1"/>
  <c r="S25" i="1" a="1"/>
  <c r="S25" i="1" s="1"/>
  <c r="Q25" i="1" a="1"/>
  <c r="Q25" i="1" s="1"/>
  <c r="R25" i="1" a="1"/>
  <c r="R25" i="1" s="1"/>
  <c r="U25" i="1" a="1"/>
  <c r="U25" i="1" s="1"/>
  <c r="W25" i="1" a="1"/>
  <c r="W25" i="1" s="1"/>
  <c r="V25" i="1" a="1"/>
  <c r="V25" i="1" s="1"/>
  <c r="AA25" i="1" a="1"/>
  <c r="AA25" i="1" s="1"/>
  <c r="AB25" i="1" a="1"/>
  <c r="AB25" i="1" s="1"/>
  <c r="Z25" i="1" a="1"/>
  <c r="Z25" i="1" s="1"/>
  <c r="Z44" i="1" a="1"/>
  <c r="Z44" i="1" s="1"/>
  <c r="AB44" i="1" a="1"/>
  <c r="AB44" i="1" s="1"/>
  <c r="AA44" i="1" a="1"/>
  <c r="AA44" i="1" s="1"/>
  <c r="R44" i="1" a="1"/>
  <c r="R44" i="1" s="1"/>
  <c r="S44" i="1" a="1"/>
  <c r="S44" i="1" s="1"/>
  <c r="Q44" i="1" a="1"/>
  <c r="Q44" i="1" s="1"/>
  <c r="V44" i="1" a="1"/>
  <c r="V44" i="1" s="1"/>
  <c r="U44" i="1" a="1"/>
  <c r="U44" i="1" s="1"/>
  <c r="W44" i="1" a="1"/>
  <c r="W44" i="1" s="1"/>
  <c r="R24" i="1" a="1"/>
  <c r="R24" i="1" s="1"/>
  <c r="S24" i="1" a="1"/>
  <c r="S24" i="1" s="1"/>
  <c r="Q24" i="1" a="1"/>
  <c r="Q24" i="1" s="1"/>
  <c r="U24" i="1" a="1"/>
  <c r="U24" i="1" s="1"/>
  <c r="W24" i="1" a="1"/>
  <c r="W24" i="1" s="1"/>
  <c r="V24" i="1" a="1"/>
  <c r="V24" i="1" s="1"/>
  <c r="AA24" i="1" a="1"/>
  <c r="AA24" i="1" s="1"/>
  <c r="AB24" i="1" a="1"/>
  <c r="AB24" i="1" s="1"/>
  <c r="Z24" i="1" a="1"/>
  <c r="Z24" i="1" s="1"/>
  <c r="AA23" i="1" a="1"/>
  <c r="AA23" i="1" s="1"/>
  <c r="AB23" i="1" a="1"/>
  <c r="AB23" i="1" s="1"/>
  <c r="Z23" i="1" a="1"/>
  <c r="Z23" i="1" s="1"/>
  <c r="S23" i="1" a="1"/>
  <c r="S23" i="1" s="1"/>
  <c r="Q23" i="1" a="1"/>
  <c r="Q23" i="1" s="1"/>
  <c r="R23" i="1" a="1"/>
  <c r="R23" i="1" s="1"/>
  <c r="U23" i="1" a="1"/>
  <c r="U23" i="1" s="1"/>
  <c r="W23" i="1" a="1"/>
  <c r="W23" i="1" s="1"/>
  <c r="V23" i="1" a="1"/>
  <c r="V23" i="1" s="1"/>
  <c r="S29" i="1" a="1"/>
  <c r="S29" i="1" s="1"/>
  <c r="Q29" i="1" a="1"/>
  <c r="Q29" i="1" s="1"/>
  <c r="R29" i="1" a="1"/>
  <c r="R29" i="1" s="1"/>
  <c r="U29" i="1" a="1"/>
  <c r="U29" i="1" s="1"/>
  <c r="W29" i="1" a="1"/>
  <c r="W29" i="1" s="1"/>
  <c r="V29" i="1" a="1"/>
  <c r="V29" i="1" s="1"/>
  <c r="AA29" i="1" a="1"/>
  <c r="AA29" i="1" s="1"/>
  <c r="AB29" i="1" a="1"/>
  <c r="AB29" i="1" s="1"/>
  <c r="Z29" i="1" a="1"/>
  <c r="Z29" i="1" s="1"/>
  <c r="AA18" i="1" a="1"/>
  <c r="AA18" i="1" s="1"/>
  <c r="AB18" i="1" a="1"/>
  <c r="AB18" i="1" s="1"/>
  <c r="Z18" i="1" a="1"/>
  <c r="Z18" i="1" s="1"/>
  <c r="S18" i="1" a="1"/>
  <c r="S18" i="1" s="1"/>
  <c r="Q18" i="1" a="1"/>
  <c r="Q18" i="1" s="1"/>
  <c r="R18" i="1" a="1"/>
  <c r="R18" i="1" s="1"/>
  <c r="U18" i="1" a="1"/>
  <c r="U18" i="1" s="1"/>
  <c r="W18" i="1" a="1"/>
  <c r="W18" i="1" s="1"/>
  <c r="V18" i="1" a="1"/>
  <c r="V18" i="1" s="1"/>
  <c r="Z26" i="1" a="1"/>
  <c r="Z26" i="1" s="1"/>
  <c r="AB26" i="1" a="1"/>
  <c r="AB26" i="1" s="1"/>
  <c r="AA26" i="1" a="1"/>
  <c r="AA26" i="1" s="1"/>
  <c r="V26" i="1" a="1"/>
  <c r="V26" i="1" s="1"/>
  <c r="U26" i="1" a="1"/>
  <c r="U26" i="1" s="1"/>
  <c r="W26" i="1" a="1"/>
  <c r="W26" i="1" s="1"/>
  <c r="R50" i="1" a="1"/>
  <c r="R50" i="1" s="1"/>
  <c r="S50" i="1" a="1"/>
  <c r="S50" i="1" s="1"/>
  <c r="Q50" i="1" a="1"/>
  <c r="Q50" i="1" s="1"/>
  <c r="V50" i="1" a="1"/>
  <c r="V50" i="1" s="1"/>
  <c r="U50" i="1" a="1"/>
  <c r="U50" i="1" s="1"/>
  <c r="W50" i="1" a="1"/>
  <c r="W50" i="1" s="1"/>
  <c r="Z50" i="1" a="1"/>
  <c r="Z50" i="1" s="1"/>
  <c r="AB50" i="1" a="1"/>
  <c r="AB50" i="1" s="1"/>
  <c r="AA50" i="1" a="1"/>
  <c r="AA50" i="1" s="1"/>
  <c r="R28" i="1" a="1"/>
  <c r="R28" i="1" s="1"/>
  <c r="S28" i="1" a="1"/>
  <c r="S28" i="1" s="1"/>
  <c r="Q28" i="1" a="1"/>
  <c r="Q28" i="1" s="1"/>
  <c r="V28" i="1" a="1"/>
  <c r="V28" i="1" s="1"/>
  <c r="U28" i="1" a="1"/>
  <c r="U28" i="1" s="1"/>
  <c r="W28" i="1" a="1"/>
  <c r="W28" i="1" s="1"/>
  <c r="AB28" i="1" a="1"/>
  <c r="AB28" i="1" s="1"/>
  <c r="Z28" i="1" a="1"/>
  <c r="Z28" i="1" s="1"/>
  <c r="AA28" i="1" a="1"/>
  <c r="AA28" i="1" s="1"/>
  <c r="Z45" i="1" a="1"/>
  <c r="Z45" i="1" s="1"/>
  <c r="AB45" i="1" a="1"/>
  <c r="AB45" i="1" s="1"/>
  <c r="AA45" i="1" a="1"/>
  <c r="AA45" i="1" s="1"/>
  <c r="R45" i="1" a="1"/>
  <c r="R45" i="1" s="1"/>
  <c r="S45" i="1" a="1"/>
  <c r="S45" i="1" s="1"/>
  <c r="Q45" i="1" a="1"/>
  <c r="Q45" i="1" s="1"/>
  <c r="V45" i="1" a="1"/>
  <c r="V45" i="1" s="1"/>
  <c r="U45" i="1" a="1"/>
  <c r="U45" i="1" s="1"/>
  <c r="W45" i="1" a="1"/>
  <c r="W45" i="1" s="1"/>
  <c r="S35" i="1" a="1"/>
  <c r="S35" i="1" s="1"/>
  <c r="Q35" i="1" a="1"/>
  <c r="Q35" i="1" s="1"/>
  <c r="R35" i="1" a="1"/>
  <c r="R35" i="1" s="1"/>
  <c r="V35" i="1" a="1"/>
  <c r="V35" i="1" s="1"/>
  <c r="U35" i="1" a="1"/>
  <c r="U35" i="1" s="1"/>
  <c r="W35" i="1" a="1"/>
  <c r="W35" i="1" s="1"/>
  <c r="Z35" i="1" a="1"/>
  <c r="Z35" i="1" s="1"/>
  <c r="AB35" i="1" a="1"/>
  <c r="AB35" i="1" s="1"/>
  <c r="AA35" i="1" a="1"/>
  <c r="AA35" i="1" s="1"/>
  <c r="AA34" i="1" a="1"/>
  <c r="AA34" i="1" s="1"/>
  <c r="AB34" i="1" a="1"/>
  <c r="AB34" i="1" s="1"/>
  <c r="Z34" i="1" a="1"/>
  <c r="Z34" i="1" s="1"/>
  <c r="R34" i="1" a="1"/>
  <c r="R34" i="1" s="1"/>
  <c r="S34" i="1" a="1"/>
  <c r="S34" i="1" s="1"/>
  <c r="Q34" i="1" a="1"/>
  <c r="Q34" i="1" s="1"/>
  <c r="U34" i="1" a="1"/>
  <c r="U34" i="1" s="1"/>
  <c r="W34" i="1" a="1"/>
  <c r="W34" i="1" s="1"/>
  <c r="V34" i="1" a="1"/>
  <c r="V34" i="1" s="1"/>
  <c r="R30" i="1" a="1"/>
  <c r="R30" i="1" s="1"/>
  <c r="S30" i="1" a="1"/>
  <c r="S30" i="1" s="1"/>
  <c r="Q30" i="1" a="1"/>
  <c r="Q30" i="1" s="1"/>
  <c r="V30" i="1" a="1"/>
  <c r="V30" i="1" s="1"/>
  <c r="U30" i="1" a="1"/>
  <c r="U30" i="1" s="1"/>
  <c r="W30" i="1" a="1"/>
  <c r="W30" i="1" s="1"/>
  <c r="Z30" i="1" a="1"/>
  <c r="Z30" i="1" s="1"/>
  <c r="AB30" i="1" a="1"/>
  <c r="AB30" i="1" s="1"/>
  <c r="AA30" i="1" a="1"/>
  <c r="AA30" i="1" s="1"/>
  <c r="AA43" i="1" a="1"/>
  <c r="AA43" i="1" s="1"/>
  <c r="AB43" i="1" a="1"/>
  <c r="AB43" i="1" s="1"/>
  <c r="Z43" i="1" a="1"/>
  <c r="Z43" i="1" s="1"/>
  <c r="U43" i="1" a="1"/>
  <c r="U43" i="1" s="1"/>
  <c r="W43" i="1" a="1"/>
  <c r="W43" i="1" s="1"/>
  <c r="V43" i="1" a="1"/>
  <c r="V43" i="1" s="1"/>
  <c r="V36" i="1" a="1"/>
  <c r="V36" i="1" s="1"/>
  <c r="U36" i="1" a="1"/>
  <c r="U36" i="1" s="1"/>
  <c r="W36" i="1" a="1"/>
  <c r="W36" i="1" s="1"/>
  <c r="Z36" i="1" a="1"/>
  <c r="Z36" i="1" s="1"/>
  <c r="AB36" i="1" a="1"/>
  <c r="AB36" i="1" s="1"/>
  <c r="AA36" i="1" a="1"/>
  <c r="AA36" i="1" s="1"/>
  <c r="AA33" i="1" a="1"/>
  <c r="AA33" i="1" s="1"/>
  <c r="AB33" i="1" a="1"/>
  <c r="AB33" i="1" s="1"/>
  <c r="Z33" i="1" a="1"/>
  <c r="Z33" i="1" s="1"/>
  <c r="S33" i="1" a="1"/>
  <c r="S33" i="1" s="1"/>
  <c r="Q33" i="1" a="1"/>
  <c r="Q33" i="1" s="1"/>
  <c r="R33" i="1" a="1"/>
  <c r="R33" i="1" s="1"/>
  <c r="U33" i="1" a="1"/>
  <c r="U33" i="1" s="1"/>
  <c r="W33" i="1" a="1"/>
  <c r="W33" i="1" s="1"/>
  <c r="V33" i="1" a="1"/>
  <c r="V33" i="1" s="1"/>
  <c r="R46" i="1" a="1"/>
  <c r="R46" i="1" s="1"/>
  <c r="S46" i="1" a="1"/>
  <c r="S46" i="1" s="1"/>
  <c r="Q46" i="1" a="1"/>
  <c r="Q46" i="1" s="1"/>
  <c r="W46" i="1" a="1"/>
  <c r="W46" i="1" s="1"/>
  <c r="V46" i="1" a="1"/>
  <c r="V46" i="1" s="1"/>
  <c r="U46" i="1" a="1"/>
  <c r="U46" i="1" s="1"/>
  <c r="Z46" i="1" a="1"/>
  <c r="Z46" i="1" s="1"/>
  <c r="AB46" i="1" a="1"/>
  <c r="AB46" i="1" s="1"/>
  <c r="AA46" i="1" a="1"/>
  <c r="AA46" i="1" s="1"/>
  <c r="Z21" i="1" a="1"/>
  <c r="Z21" i="1" s="1"/>
  <c r="AB21" i="1" a="1"/>
  <c r="AB21" i="1" s="1"/>
  <c r="AA21" i="1" a="1"/>
  <c r="AA21" i="1" s="1"/>
  <c r="V21" i="1" a="1"/>
  <c r="V21" i="1" s="1"/>
  <c r="U21" i="1" a="1"/>
  <c r="U21" i="1" s="1"/>
  <c r="W21" i="1" a="1"/>
  <c r="W21" i="1" s="1"/>
  <c r="Z32" i="1" a="1"/>
  <c r="Z32" i="1" s="1"/>
  <c r="AB32" i="1" a="1"/>
  <c r="AB32" i="1" s="1"/>
  <c r="AA32" i="1" a="1"/>
  <c r="AA32" i="1" s="1"/>
  <c r="R32" i="1" a="1"/>
  <c r="R32" i="1" s="1"/>
  <c r="S32" i="1" a="1"/>
  <c r="S32" i="1" s="1"/>
  <c r="Q32" i="1" a="1"/>
  <c r="Q32" i="1" s="1"/>
  <c r="V32" i="1" a="1"/>
  <c r="V32" i="1" s="1"/>
  <c r="U32" i="1" a="1"/>
  <c r="U32" i="1" s="1"/>
  <c r="W32" i="1" a="1"/>
  <c r="W32" i="1" s="1"/>
  <c r="AB14" i="1" a="1"/>
  <c r="AB14" i="1" s="1"/>
  <c r="Z14" i="1" a="1"/>
  <c r="Z14" i="1" s="1"/>
  <c r="AA14" i="1" a="1"/>
  <c r="AA14" i="1" s="1"/>
  <c r="S14" i="1" a="1"/>
  <c r="S14" i="1" s="1"/>
  <c r="Q14" i="1" a="1"/>
  <c r="Q14" i="1" s="1"/>
  <c r="R14" i="1" a="1"/>
  <c r="R14" i="1" s="1"/>
  <c r="V14" i="1" a="1"/>
  <c r="V14" i="1" s="1"/>
  <c r="U14" i="1" a="1"/>
  <c r="U14" i="1" s="1"/>
  <c r="W14" i="1" a="1"/>
  <c r="W14" i="1" s="1"/>
  <c r="AA42" i="1" a="1"/>
  <c r="AA42" i="1" s="1"/>
  <c r="AB42" i="1" a="1"/>
  <c r="AB42" i="1" s="1"/>
  <c r="Z42" i="1" a="1"/>
  <c r="Z42" i="1" s="1"/>
  <c r="R42" i="1" a="1"/>
  <c r="R42" i="1" s="1"/>
  <c r="S42" i="1" a="1"/>
  <c r="S42" i="1" s="1"/>
  <c r="Q42" i="1" a="1"/>
  <c r="Q42" i="1" s="1"/>
  <c r="U42" i="1" a="1"/>
  <c r="U42" i="1" s="1"/>
  <c r="W42" i="1" a="1"/>
  <c r="W42" i="1" s="1"/>
  <c r="V42" i="1" a="1"/>
  <c r="V42" i="1" s="1"/>
  <c r="S36" i="1" a="1"/>
  <c r="S36" i="1" s="1"/>
  <c r="R36" i="1" a="1"/>
  <c r="R36" i="1" s="1"/>
  <c r="Q36" i="1" a="1"/>
  <c r="Q36" i="1" s="1"/>
  <c r="R27" i="1" a="1"/>
  <c r="R27" i="1" s="1"/>
  <c r="S27" i="1" a="1"/>
  <c r="S27" i="1" s="1"/>
  <c r="Q27" i="1" a="1"/>
  <c r="Q27" i="1" s="1"/>
  <c r="S39" i="1" a="1"/>
  <c r="S39" i="1" s="1"/>
  <c r="Q39" i="1" a="1"/>
  <c r="Q39" i="1" s="1"/>
  <c r="R39" i="1" a="1"/>
  <c r="R39" i="1" s="1"/>
  <c r="S21" i="1" a="1"/>
  <c r="S21" i="1" s="1"/>
  <c r="Q21" i="1" a="1"/>
  <c r="Q21" i="1" s="1"/>
  <c r="R21" i="1" a="1"/>
  <c r="R21" i="1" s="1"/>
  <c r="S43" i="1" a="1"/>
  <c r="S43" i="1" s="1"/>
  <c r="Q43" i="1" a="1"/>
  <c r="Q43" i="1" s="1"/>
  <c r="R43" i="1" a="1"/>
  <c r="R43" i="1" s="1"/>
  <c r="R26" i="1" a="1"/>
  <c r="R26" i="1" s="1"/>
  <c r="S26" i="1" a="1"/>
  <c r="S26" i="1" s="1"/>
  <c r="Q26" i="1" a="1"/>
  <c r="Q26" i="1" s="1"/>
  <c r="N51" i="1" a="1"/>
  <c r="N51" i="1" s="1"/>
  <c r="O51" i="1" a="1"/>
  <c r="O51" i="1" s="1"/>
  <c r="L51" i="1"/>
  <c r="C48" i="1" a="1"/>
  <c r="C48" i="1" s="1"/>
  <c r="D48" i="1" a="1"/>
  <c r="D48" i="1" s="1"/>
  <c r="F48" i="1"/>
  <c r="N48" i="1" a="1"/>
  <c r="N48" i="1" s="1"/>
  <c r="O48" i="1" a="1"/>
  <c r="O48" i="1" s="1"/>
  <c r="L48" i="1"/>
  <c r="D39" i="1" a="1"/>
  <c r="D39" i="1" s="1"/>
  <c r="C39" i="1" a="1"/>
  <c r="C39" i="1" s="1"/>
  <c r="F39" i="1"/>
  <c r="C49" i="1" a="1"/>
  <c r="C49" i="1" s="1"/>
  <c r="D49" i="1" a="1"/>
  <c r="D49" i="1" s="1"/>
  <c r="F49" i="1"/>
  <c r="N49" i="1" a="1"/>
  <c r="N49" i="1" s="1"/>
  <c r="O49" i="1" a="1"/>
  <c r="O49" i="1" s="1"/>
  <c r="L49" i="1"/>
  <c r="D37" i="1" a="1"/>
  <c r="D37" i="1" s="1"/>
  <c r="C37" i="1" a="1"/>
  <c r="C37" i="1" s="1"/>
  <c r="F37" i="1"/>
  <c r="O37" i="1" a="1"/>
  <c r="O37" i="1" s="1"/>
  <c r="N37" i="1" a="1"/>
  <c r="N37" i="1" s="1"/>
  <c r="L37" i="1"/>
  <c r="C23" i="1" a="1"/>
  <c r="C23" i="1" s="1"/>
  <c r="D23" i="1" a="1"/>
  <c r="D23" i="1" s="1"/>
  <c r="F23" i="1"/>
  <c r="N23" i="1" a="1"/>
  <c r="N23" i="1" s="1"/>
  <c r="O23" i="1" a="1"/>
  <c r="O23" i="1" s="1"/>
  <c r="L23" i="1"/>
  <c r="C18" i="1" a="1"/>
  <c r="C18" i="1" s="1"/>
  <c r="F18" i="1"/>
  <c r="D18" i="1" a="1"/>
  <c r="D18" i="1" s="1"/>
  <c r="N18" i="1" a="1"/>
  <c r="N18" i="1" s="1"/>
  <c r="O18" i="1" a="1"/>
  <c r="O18" i="1" s="1"/>
  <c r="L18" i="1"/>
  <c r="C44" i="1" a="1"/>
  <c r="C44" i="1" s="1"/>
  <c r="D44" i="1" a="1"/>
  <c r="D44" i="1" s="1"/>
  <c r="F44" i="1"/>
  <c r="N44" i="1" a="1"/>
  <c r="N44" i="1" s="1"/>
  <c r="O44" i="1" a="1"/>
  <c r="O44" i="1" s="1"/>
  <c r="L44" i="1"/>
  <c r="O50" i="1" a="1"/>
  <c r="O50" i="1" s="1"/>
  <c r="N50" i="1" a="1"/>
  <c r="N50" i="1" s="1"/>
  <c r="L50" i="1"/>
  <c r="D50" i="1" a="1"/>
  <c r="D50" i="1" s="1"/>
  <c r="C50" i="1" a="1"/>
  <c r="C50" i="1" s="1"/>
  <c r="F50" i="1"/>
  <c r="O39" i="1" a="1"/>
  <c r="O39" i="1" s="1"/>
  <c r="N39" i="1" a="1"/>
  <c r="N39" i="1" s="1"/>
  <c r="L39" i="1"/>
  <c r="O24" i="1" a="1"/>
  <c r="O24" i="1" s="1"/>
  <c r="N24" i="1" a="1"/>
  <c r="N24" i="1" s="1"/>
  <c r="L24" i="1"/>
  <c r="D24" i="1" a="1"/>
  <c r="D24" i="1" s="1"/>
  <c r="C24" i="1" a="1"/>
  <c r="C24" i="1" s="1"/>
  <c r="F24" i="1"/>
  <c r="O29" i="1" a="1"/>
  <c r="O29" i="1" s="1"/>
  <c r="N29" i="1" a="1"/>
  <c r="N29" i="1" s="1"/>
  <c r="L29" i="1"/>
  <c r="D29" i="1" a="1"/>
  <c r="D29" i="1" s="1"/>
  <c r="C29" i="1" a="1"/>
  <c r="C29" i="1" s="1"/>
  <c r="F29" i="1"/>
  <c r="O36" i="1" a="1"/>
  <c r="O36" i="1" s="1"/>
  <c r="N36" i="1" a="1"/>
  <c r="N36" i="1" s="1"/>
  <c r="L36" i="1"/>
  <c r="N25" i="1" a="1"/>
  <c r="N25" i="1" s="1"/>
  <c r="O25" i="1" a="1"/>
  <c r="O25" i="1" s="1"/>
  <c r="L25" i="1"/>
  <c r="D36" i="1" a="1"/>
  <c r="D36" i="1" s="1"/>
  <c r="C36" i="1" a="1"/>
  <c r="C36" i="1" s="1"/>
  <c r="F36" i="1"/>
  <c r="C25" i="1" a="1"/>
  <c r="C25" i="1" s="1"/>
  <c r="D25" i="1" a="1"/>
  <c r="D25" i="1" s="1"/>
  <c r="F25" i="1"/>
  <c r="C33" i="1" a="1"/>
  <c r="C33" i="1" s="1"/>
  <c r="D33" i="1" a="1"/>
  <c r="D33" i="1" s="1"/>
  <c r="F33" i="1"/>
  <c r="O35" i="1" a="1"/>
  <c r="O35" i="1" s="1"/>
  <c r="N35" i="1" a="1"/>
  <c r="N35" i="1" s="1"/>
  <c r="L35" i="1"/>
  <c r="O28" i="1" a="1"/>
  <c r="O28" i="1" s="1"/>
  <c r="N28" i="1" a="1"/>
  <c r="N28" i="1" s="1"/>
  <c r="L28" i="1"/>
  <c r="N33" i="1" a="1"/>
  <c r="N33" i="1" s="1"/>
  <c r="O33" i="1" a="1"/>
  <c r="O33" i="1" s="1"/>
  <c r="L33" i="1"/>
  <c r="D35" i="1" a="1"/>
  <c r="D35" i="1" s="1"/>
  <c r="C35" i="1" a="1"/>
  <c r="C35" i="1" s="1"/>
  <c r="F35" i="1"/>
  <c r="D28" i="1" a="1"/>
  <c r="D28" i="1" s="1"/>
  <c r="C28" i="1" a="1"/>
  <c r="C28" i="1" s="1"/>
  <c r="F28" i="1"/>
  <c r="C26" i="1" a="1"/>
  <c r="C26" i="1" s="1"/>
  <c r="D26" i="1" a="1"/>
  <c r="D26" i="1" s="1"/>
  <c r="F26" i="1"/>
  <c r="N26" i="1" a="1"/>
  <c r="N26" i="1" s="1"/>
  <c r="O26" i="1" a="1"/>
  <c r="O26" i="1" s="1"/>
  <c r="L26" i="1"/>
  <c r="C41" i="1" a="1"/>
  <c r="C41" i="1" s="1"/>
  <c r="D41" i="1" a="1"/>
  <c r="D41" i="1" s="1"/>
  <c r="F41" i="1"/>
  <c r="O46" i="1" a="1"/>
  <c r="O46" i="1" s="1"/>
  <c r="N46" i="1" a="1"/>
  <c r="N46" i="1" s="1"/>
  <c r="L46" i="1"/>
  <c r="C47" i="1" a="1"/>
  <c r="C47" i="1" s="1"/>
  <c r="D47" i="1" a="1"/>
  <c r="D47" i="1" s="1"/>
  <c r="F47" i="1"/>
  <c r="O32" i="1" a="1"/>
  <c r="O32" i="1" s="1"/>
  <c r="N32" i="1" a="1"/>
  <c r="N32" i="1" s="1"/>
  <c r="L32" i="1"/>
  <c r="D32" i="1" a="1"/>
  <c r="D32" i="1" s="1"/>
  <c r="C32" i="1" a="1"/>
  <c r="C32" i="1" s="1"/>
  <c r="F32" i="1"/>
  <c r="D46" i="1" a="1"/>
  <c r="D46" i="1" s="1"/>
  <c r="C46" i="1" a="1"/>
  <c r="C46" i="1" s="1"/>
  <c r="F46" i="1"/>
  <c r="N47" i="1" a="1"/>
  <c r="N47" i="1" s="1"/>
  <c r="O47" i="1" a="1"/>
  <c r="O47" i="1" s="1"/>
  <c r="L47" i="1"/>
  <c r="D14" i="1" a="1"/>
  <c r="D14" i="1" s="1"/>
  <c r="C14" i="1" a="1"/>
  <c r="C14" i="1" s="1"/>
  <c r="F14" i="1"/>
  <c r="O30" i="1" a="1"/>
  <c r="O30" i="1" s="1"/>
  <c r="N30" i="1" a="1"/>
  <c r="N30" i="1" s="1"/>
  <c r="L30" i="1"/>
  <c r="O14" i="1" a="1"/>
  <c r="O14" i="1" s="1"/>
  <c r="N14" i="1" a="1"/>
  <c r="N14" i="1" s="1"/>
  <c r="L14" i="1"/>
  <c r="D30" i="1" a="1"/>
  <c r="D30" i="1" s="1"/>
  <c r="C30" i="1" a="1"/>
  <c r="C30" i="1" s="1"/>
  <c r="F30" i="1"/>
  <c r="C45" i="1" a="1"/>
  <c r="C45" i="1" s="1"/>
  <c r="D45" i="1" a="1"/>
  <c r="D45" i="1" s="1"/>
  <c r="F45" i="1"/>
  <c r="N45" i="1" a="1"/>
  <c r="N45" i="1" s="1"/>
  <c r="O45" i="1" a="1"/>
  <c r="O45" i="1" s="1"/>
  <c r="L45" i="1"/>
  <c r="N42" i="1" a="1"/>
  <c r="N42" i="1" s="1"/>
  <c r="O42" i="1" a="1"/>
  <c r="O42" i="1" s="1"/>
  <c r="L42" i="1"/>
  <c r="N38" i="1" a="1"/>
  <c r="N38" i="1" s="1"/>
  <c r="O38" i="1" a="1"/>
  <c r="O38" i="1" s="1"/>
  <c r="L38" i="1"/>
  <c r="C42" i="1" a="1"/>
  <c r="C42" i="1" s="1"/>
  <c r="D42" i="1" a="1"/>
  <c r="D42" i="1" s="1"/>
  <c r="F42" i="1"/>
  <c r="C38" i="1" a="1"/>
  <c r="C38" i="1" s="1"/>
  <c r="D38" i="1" a="1"/>
  <c r="D38" i="1" s="1"/>
  <c r="F38" i="1"/>
  <c r="O27" i="1" a="1"/>
  <c r="O27" i="1" s="1"/>
  <c r="N27" i="1" a="1"/>
  <c r="N27" i="1" s="1"/>
  <c r="L27" i="1"/>
  <c r="D27" i="1" a="1"/>
  <c r="D27" i="1" s="1"/>
  <c r="C27" i="1" a="1"/>
  <c r="C27" i="1" s="1"/>
  <c r="F27" i="1"/>
  <c r="C13" i="1" a="1"/>
  <c r="C13" i="1" s="1"/>
  <c r="D13" i="1" a="1"/>
  <c r="D13" i="1" s="1"/>
  <c r="F13" i="1"/>
  <c r="N13" i="1" a="1"/>
  <c r="N13" i="1" s="1"/>
  <c r="O13" i="1" a="1"/>
  <c r="O13" i="1" s="1"/>
  <c r="L13" i="1"/>
  <c r="C43" i="1" a="1"/>
  <c r="C43" i="1" s="1"/>
  <c r="D43" i="1" a="1"/>
  <c r="D43" i="1" s="1"/>
  <c r="F43" i="1"/>
  <c r="N43" i="1" a="1"/>
  <c r="N43" i="1" s="1"/>
  <c r="O43" i="1" a="1"/>
  <c r="O43" i="1" s="1"/>
  <c r="L43" i="1"/>
  <c r="C34" i="1" a="1"/>
  <c r="C34" i="1" s="1"/>
  <c r="D34" i="1" a="1"/>
  <c r="D34" i="1" s="1"/>
  <c r="F34" i="1"/>
  <c r="N12" i="1" a="1"/>
  <c r="N12" i="1" s="1"/>
  <c r="O12" i="1" a="1"/>
  <c r="O12" i="1" s="1"/>
  <c r="L12" i="1"/>
  <c r="N34" i="1" a="1"/>
  <c r="N34" i="1" s="1"/>
  <c r="O34" i="1" a="1"/>
  <c r="O34" i="1" s="1"/>
  <c r="L34" i="1"/>
  <c r="N41" i="1" a="1"/>
  <c r="N41" i="1" s="1"/>
  <c r="O41" i="1" a="1"/>
  <c r="O41" i="1" s="1"/>
  <c r="L41" i="1"/>
  <c r="C21" i="1" a="1"/>
  <c r="C21" i="1" s="1"/>
  <c r="D21" i="1" a="1"/>
  <c r="D21" i="1" s="1"/>
  <c r="F21" i="1"/>
  <c r="N21" i="1" a="1"/>
  <c r="N21" i="1" s="1"/>
  <c r="O21" i="1" a="1"/>
  <c r="O21" i="1" s="1"/>
  <c r="L21" i="1"/>
  <c r="I35" i="1"/>
  <c r="I50" i="1"/>
  <c r="I28" i="1"/>
  <c r="I29" i="1"/>
  <c r="I24" i="1"/>
  <c r="I25" i="1"/>
  <c r="I27" i="1"/>
  <c r="I41" i="1"/>
  <c r="I42" i="1"/>
  <c r="I46" i="1"/>
  <c r="I36" i="1"/>
  <c r="I30" i="1"/>
  <c r="I39" i="1"/>
  <c r="I38" i="1"/>
  <c r="I32" i="1"/>
  <c r="I14" i="1"/>
  <c r="I21" i="1"/>
  <c r="I33" i="1"/>
  <c r="I43" i="1"/>
  <c r="I34" i="1"/>
  <c r="I45" i="1"/>
  <c r="I26" i="1"/>
  <c r="I18" i="1"/>
  <c r="I23" i="1"/>
  <c r="I44" i="1"/>
  <c r="I49" i="1"/>
  <c r="I13" i="1"/>
  <c r="I37" i="1"/>
  <c r="I47" i="1"/>
  <c r="I48" i="1"/>
  <c r="P2" i="1"/>
  <c r="E40" i="1" a="1"/>
  <c r="E40" i="1" s="1"/>
  <c r="AF40" i="1" a="1"/>
  <c r="AF40" i="1" s="1"/>
  <c r="AE40" i="1" a="1"/>
  <c r="AE40" i="1" s="1"/>
  <c r="AD40" i="1" a="1"/>
  <c r="AD40" i="1" s="1"/>
  <c r="M40" i="1" a="1"/>
  <c r="M40" i="1" s="1"/>
  <c r="J40" i="1" a="1"/>
  <c r="J40" i="1" s="1"/>
  <c r="H40" i="1" a="1"/>
  <c r="H40" i="1" s="1"/>
  <c r="E22" i="1" a="1"/>
  <c r="E22" i="1" s="1"/>
  <c r="AF22" i="1" a="1"/>
  <c r="AF22" i="1" s="1"/>
  <c r="AE22" i="1" a="1"/>
  <c r="AE22" i="1" s="1"/>
  <c r="AD22" i="1" a="1"/>
  <c r="AD22" i="1" s="1"/>
  <c r="M22" i="1" a="1"/>
  <c r="M22" i="1" s="1"/>
  <c r="J22" i="1" a="1"/>
  <c r="J22" i="1" s="1"/>
  <c r="H22" i="1" a="1"/>
  <c r="H22" i="1" s="1"/>
  <c r="E15" i="1" a="1"/>
  <c r="E15" i="1" s="1"/>
  <c r="AF15" i="1" a="1"/>
  <c r="AF15" i="1" s="1"/>
  <c r="AE15" i="1" a="1"/>
  <c r="AE15" i="1" s="1"/>
  <c r="AD15" i="1" a="1"/>
  <c r="AD15" i="1" s="1"/>
  <c r="M15" i="1" a="1"/>
  <c r="M15" i="1" s="1"/>
  <c r="J15" i="1" a="1"/>
  <c r="J15" i="1" s="1"/>
  <c r="H15" i="1" a="1"/>
  <c r="H15" i="1" s="1"/>
  <c r="G31" i="1" a="1"/>
  <c r="G31" i="1" s="1"/>
  <c r="K31" i="1" a="1"/>
  <c r="K31" i="1" s="1"/>
  <c r="G19" i="1" a="1"/>
  <c r="G19" i="1" s="1"/>
  <c r="K19" i="1" a="1"/>
  <c r="K19" i="1" s="1"/>
  <c r="G16" i="1" a="1"/>
  <c r="G16" i="1" s="1"/>
  <c r="K16" i="1" a="1"/>
  <c r="K16" i="1" s="1"/>
  <c r="G20" i="1" a="1"/>
  <c r="G20" i="1" s="1"/>
  <c r="K20" i="1" a="1"/>
  <c r="K20" i="1" s="1"/>
  <c r="K11" i="1" a="1"/>
  <c r="K11" i="1" s="1"/>
  <c r="G11" i="1" a="1"/>
  <c r="G11" i="1" s="1"/>
  <c r="G10" i="1" a="1"/>
  <c r="G10" i="1" s="1"/>
  <c r="F10" i="1" s="1"/>
  <c r="F2" i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AD11" i="1" a="1"/>
  <c r="AD11" i="1" s="1"/>
  <c r="AD20" i="1" a="1"/>
  <c r="AD20" i="1" s="1"/>
  <c r="AD16" i="1" a="1"/>
  <c r="AD16" i="1" s="1"/>
  <c r="AD19" i="1" a="1"/>
  <c r="AD19" i="1" s="1"/>
  <c r="AD31" i="1" a="1"/>
  <c r="AD31" i="1" s="1"/>
  <c r="K8" i="1" a="1"/>
  <c r="K8" i="1" s="1"/>
  <c r="K7" i="1" a="1"/>
  <c r="K7" i="1" s="1"/>
  <c r="K6" i="1" a="1"/>
  <c r="K6" i="1" s="1"/>
  <c r="K5" i="1" a="1"/>
  <c r="K5" i="1" s="1"/>
  <c r="K4" i="1" a="1"/>
  <c r="K4" i="1" s="1"/>
  <c r="K2" i="1" a="1"/>
  <c r="K2" i="1" s="1"/>
  <c r="L2" i="1" s="1"/>
  <c r="K3" i="1" a="1"/>
  <c r="K3" i="1" s="1"/>
  <c r="AF8" i="1" a="1"/>
  <c r="AF8" i="1" s="1"/>
  <c r="AF7" i="1" a="1"/>
  <c r="AF7" i="1" s="1"/>
  <c r="AF6" i="1" a="1"/>
  <c r="AF6" i="1" s="1"/>
  <c r="AF5" i="1" a="1"/>
  <c r="AF5" i="1" s="1"/>
  <c r="AF4" i="1" a="1"/>
  <c r="AF4" i="1" s="1"/>
  <c r="AF3" i="1" a="1"/>
  <c r="AF3" i="1" s="1"/>
  <c r="E31" i="1" a="1"/>
  <c r="E31" i="1" s="1"/>
  <c r="AF31" i="1" a="1"/>
  <c r="AF31" i="1" s="1"/>
  <c r="AE31" i="1" a="1"/>
  <c r="AE31" i="1" s="1"/>
  <c r="M31" i="1" a="1"/>
  <c r="M31" i="1" s="1"/>
  <c r="J31" i="1" a="1"/>
  <c r="J31" i="1" s="1"/>
  <c r="H31" i="1" a="1"/>
  <c r="H31" i="1" s="1"/>
  <c r="E19" i="1" a="1"/>
  <c r="E19" i="1" s="1"/>
  <c r="AF19" i="1" a="1"/>
  <c r="AF19" i="1" s="1"/>
  <c r="AE19" i="1" a="1"/>
  <c r="AE19" i="1" s="1"/>
  <c r="M19" i="1" a="1"/>
  <c r="M19" i="1" s="1"/>
  <c r="J19" i="1" a="1"/>
  <c r="J19" i="1" s="1"/>
  <c r="H19" i="1" a="1"/>
  <c r="H19" i="1" s="1"/>
  <c r="E16" i="1" a="1"/>
  <c r="E16" i="1" s="1"/>
  <c r="AF16" i="1" a="1"/>
  <c r="AF16" i="1" s="1"/>
  <c r="AE16" i="1" a="1"/>
  <c r="AE16" i="1" s="1"/>
  <c r="M16" i="1" a="1"/>
  <c r="M16" i="1" s="1"/>
  <c r="J16" i="1" a="1"/>
  <c r="J16" i="1" s="1"/>
  <c r="H16" i="1" a="1"/>
  <c r="H16" i="1" s="1"/>
  <c r="J20" i="1" a="1"/>
  <c r="J20" i="1" s="1"/>
  <c r="AF20" i="1" a="1"/>
  <c r="AF20" i="1" s="1"/>
  <c r="AE20" i="1" a="1"/>
  <c r="AE20" i="1" s="1"/>
  <c r="M20" i="1" a="1"/>
  <c r="M20" i="1" s="1"/>
  <c r="H20" i="1" a="1"/>
  <c r="H20" i="1" s="1"/>
  <c r="E20" i="1" a="1"/>
  <c r="E20" i="1" s="1"/>
  <c r="H11" i="1" a="1"/>
  <c r="H11" i="1" s="1"/>
  <c r="AF11" i="1" a="1"/>
  <c r="AF11" i="1" s="1"/>
  <c r="AE11" i="1" a="1"/>
  <c r="AE11" i="1" s="1"/>
  <c r="M11" i="1" a="1"/>
  <c r="M11" i="1" s="1"/>
  <c r="J11" i="1" a="1"/>
  <c r="J11" i="1" s="1"/>
  <c r="E11" i="1" a="1"/>
  <c r="E11" i="1" s="1"/>
  <c r="AG22" i="1" a="1"/>
  <c r="AG40" i="1" a="1"/>
  <c r="AG17" i="1" a="1"/>
  <c r="AG42" i="1" a="1"/>
  <c r="AG42" i="1" s="1"/>
  <c r="AH42" i="1" s="1"/>
  <c r="AG12" i="1" a="1"/>
  <c r="AG12" i="1" s="1"/>
  <c r="AG14" i="1" a="1"/>
  <c r="AG14" i="1" s="1"/>
  <c r="AH14" i="1" s="1"/>
  <c r="AG32" i="1" a="1"/>
  <c r="AG32" i="1" s="1"/>
  <c r="AH32" i="1" s="1"/>
  <c r="AG21" i="1" a="1"/>
  <c r="AG21" i="1" s="1"/>
  <c r="AH21" i="1" s="1"/>
  <c r="AG46" i="1" a="1"/>
  <c r="AG46" i="1" s="1"/>
  <c r="AH46" i="1" s="1"/>
  <c r="AG33" i="1" a="1"/>
  <c r="AG33" i="1" s="1"/>
  <c r="AH33" i="1" s="1"/>
  <c r="AG36" i="1" a="1"/>
  <c r="AG36" i="1" s="1"/>
  <c r="AH36" i="1" s="1"/>
  <c r="AG43" i="1" a="1"/>
  <c r="AG43" i="1" s="1"/>
  <c r="AH43" i="1" s="1"/>
  <c r="AG30" i="1" a="1"/>
  <c r="AG30" i="1" s="1"/>
  <c r="AH30" i="1" s="1"/>
  <c r="AG34" i="1" a="1"/>
  <c r="AG34" i="1" s="1"/>
  <c r="AH34" i="1" s="1"/>
  <c r="AG35" i="1" a="1"/>
  <c r="AG35" i="1" s="1"/>
  <c r="AH35" i="1" s="1"/>
  <c r="AG45" i="1" a="1"/>
  <c r="AG45" i="1" s="1"/>
  <c r="AH45" i="1" s="1"/>
  <c r="AG50" i="1" a="1"/>
  <c r="AG50" i="1" s="1"/>
  <c r="AH50" i="1" s="1"/>
  <c r="AG26" i="1" a="1"/>
  <c r="AG26" i="1" s="1"/>
  <c r="AH26" i="1" s="1"/>
  <c r="AG28" i="1" a="1"/>
  <c r="AG28" i="1" s="1"/>
  <c r="AH28" i="1" s="1"/>
  <c r="AG18" i="1" a="1"/>
  <c r="AG18" i="1" s="1"/>
  <c r="AH18" i="1" s="1"/>
  <c r="AG29" i="1" a="1"/>
  <c r="AG29" i="1" s="1"/>
  <c r="AH29" i="1" s="1"/>
  <c r="AG23" i="1" a="1"/>
  <c r="AG23" i="1" s="1"/>
  <c r="AH23" i="1" s="1"/>
  <c r="AG24" i="1" a="1"/>
  <c r="AG24" i="1" s="1"/>
  <c r="AH24" i="1" s="1"/>
  <c r="AG44" i="1" a="1"/>
  <c r="AG44" i="1" s="1"/>
  <c r="AH44" i="1" s="1"/>
  <c r="AG25" i="1" a="1"/>
  <c r="AG25" i="1" s="1"/>
  <c r="AH25" i="1" s="1"/>
  <c r="AG49" i="1" a="1"/>
  <c r="AG49" i="1" s="1"/>
  <c r="AH49" i="1" s="1"/>
  <c r="AG27" i="1" a="1"/>
  <c r="AG27" i="1" s="1"/>
  <c r="AH27" i="1" s="1"/>
  <c r="AG13" i="1" a="1"/>
  <c r="AG13" i="1" s="1"/>
  <c r="AH13" i="1" s="1"/>
  <c r="AG41" i="1" a="1"/>
  <c r="AG41" i="1" s="1"/>
  <c r="AH41" i="1" s="1"/>
  <c r="AG37" i="1" a="1"/>
  <c r="AG37" i="1" s="1"/>
  <c r="AH37" i="1" s="1"/>
  <c r="AG47" i="1" a="1"/>
  <c r="AG47" i="1" s="1"/>
  <c r="AH47" i="1" s="1"/>
  <c r="AG39" i="1" a="1"/>
  <c r="AG39" i="1" s="1"/>
  <c r="AH39" i="1" s="1"/>
  <c r="AG48" i="1" a="1"/>
  <c r="AG48" i="1" s="1"/>
  <c r="AH48" i="1" s="1"/>
  <c r="AG38" i="1" a="1"/>
  <c r="AG38" i="1" s="1"/>
  <c r="AH38" i="1" s="1"/>
  <c r="AG51" i="1" a="1"/>
  <c r="AG51" i="1" s="1"/>
  <c r="AG10" i="1" a="1"/>
  <c r="AG10" i="1" s="1"/>
  <c r="AH10" i="1" s="1"/>
  <c r="J8" i="1" a="1"/>
  <c r="J8" i="1" s="1"/>
  <c r="J7" i="1" a="1"/>
  <c r="J7" i="1" s="1"/>
  <c r="J6" i="1" a="1"/>
  <c r="J6" i="1" s="1"/>
  <c r="J5" i="1" a="1"/>
  <c r="J5" i="1" s="1"/>
  <c r="J4" i="1" a="1"/>
  <c r="J4" i="1" s="1"/>
  <c r="AE3" i="1" a="1"/>
  <c r="AE3" i="1" s="1"/>
  <c r="AD3" i="1" a="1"/>
  <c r="AD3" i="1" s="1"/>
  <c r="J3" i="1" a="1"/>
  <c r="J3" i="1" s="1"/>
  <c r="H3" i="1" a="1"/>
  <c r="H3" i="1" s="1"/>
  <c r="M3" i="1" a="1"/>
  <c r="M3" i="1" s="1"/>
  <c r="E3" i="1" a="1"/>
  <c r="E3" i="1" s="1"/>
  <c r="AE8" i="1" a="1"/>
  <c r="AE8" i="1" s="1"/>
  <c r="AD8" i="1" a="1"/>
  <c r="AD8" i="1" s="1"/>
  <c r="M8" i="1" a="1"/>
  <c r="M8" i="1" s="1"/>
  <c r="E8" i="1" a="1"/>
  <c r="E8" i="1" s="1"/>
  <c r="H8" i="1" a="1"/>
  <c r="H8" i="1" s="1"/>
  <c r="AE5" i="1" a="1"/>
  <c r="AE5" i="1" s="1"/>
  <c r="AD5" i="1" a="1"/>
  <c r="AD5" i="1" s="1"/>
  <c r="M5" i="1" a="1"/>
  <c r="M5" i="1" s="1"/>
  <c r="E5" i="1" a="1"/>
  <c r="E5" i="1" s="1"/>
  <c r="H5" i="1" a="1"/>
  <c r="H5" i="1" s="1"/>
  <c r="AD4" i="1" a="1"/>
  <c r="AD4" i="1" s="1"/>
  <c r="AD6" i="1" a="1"/>
  <c r="AD6" i="1" s="1"/>
  <c r="AD7" i="1" a="1"/>
  <c r="AD7" i="1" s="1"/>
  <c r="M4" i="1" a="1"/>
  <c r="M4" i="1" s="1"/>
  <c r="H4" i="1" a="1"/>
  <c r="H4" i="1" s="1"/>
  <c r="E4" i="1" a="1"/>
  <c r="E4" i="1" s="1"/>
  <c r="AE4" i="1" a="1"/>
  <c r="AE4" i="1" s="1"/>
  <c r="E6" i="1" a="1"/>
  <c r="E6" i="1" s="1"/>
  <c r="AE6" i="1" a="1"/>
  <c r="AE6" i="1" s="1"/>
  <c r="M6" i="1" a="1"/>
  <c r="M6" i="1" s="1"/>
  <c r="H6" i="1" a="1"/>
  <c r="H6" i="1" s="1"/>
  <c r="AE7" i="1" a="1"/>
  <c r="AE7" i="1" s="1"/>
  <c r="M7" i="1" a="1"/>
  <c r="M7" i="1" s="1"/>
  <c r="H7" i="1" a="1"/>
  <c r="H7" i="1" s="1"/>
  <c r="E7" i="1" a="1"/>
  <c r="E7" i="1" s="1"/>
  <c r="AC33" i="1" l="1"/>
  <c r="AC34" i="1"/>
  <c r="AC45" i="1"/>
  <c r="AC42" i="1"/>
  <c r="AC32" i="1"/>
  <c r="AC21" i="1"/>
  <c r="AC43" i="1"/>
  <c r="AC24" i="1"/>
  <c r="AC25" i="1"/>
  <c r="AC37" i="1"/>
  <c r="AC50" i="1"/>
  <c r="AC26" i="1"/>
  <c r="AC29" i="1"/>
  <c r="AC49" i="1"/>
  <c r="AC41" i="1"/>
  <c r="AC39" i="1"/>
  <c r="AC38" i="1"/>
  <c r="AC14" i="1"/>
  <c r="AC28" i="1"/>
  <c r="AC27" i="1"/>
  <c r="AC13" i="1"/>
  <c r="AC48" i="1"/>
  <c r="AC46" i="1"/>
  <c r="AC36" i="1"/>
  <c r="AC30" i="1"/>
  <c r="AC35" i="1"/>
  <c r="AC18" i="1"/>
  <c r="AC23" i="1"/>
  <c r="AC44" i="1"/>
  <c r="AC47" i="1"/>
  <c r="T14" i="1"/>
  <c r="T21" i="1"/>
  <c r="T44" i="1"/>
  <c r="T37" i="1"/>
  <c r="T39" i="1"/>
  <c r="T48" i="1"/>
  <c r="T33" i="1"/>
  <c r="Y33" i="1" s="1"/>
  <c r="T34" i="1"/>
  <c r="Y34" i="1" s="1"/>
  <c r="T50" i="1"/>
  <c r="T26" i="1"/>
  <c r="T42" i="1"/>
  <c r="T32" i="1"/>
  <c r="T46" i="1"/>
  <c r="T36" i="1"/>
  <c r="T43" i="1"/>
  <c r="T30" i="1"/>
  <c r="T35" i="1"/>
  <c r="T45" i="1"/>
  <c r="T28" i="1"/>
  <c r="T18" i="1"/>
  <c r="T29" i="1"/>
  <c r="T23" i="1"/>
  <c r="T24" i="1"/>
  <c r="T25" i="1"/>
  <c r="T49" i="1"/>
  <c r="T47" i="1"/>
  <c r="T27" i="1"/>
  <c r="T13" i="1"/>
  <c r="T41" i="1"/>
  <c r="T38" i="1"/>
  <c r="U20" i="1" a="1"/>
  <c r="U20" i="1" s="1"/>
  <c r="W20" i="1" a="1"/>
  <c r="W20" i="1" s="1"/>
  <c r="V20" i="1" a="1"/>
  <c r="V20" i="1" s="1"/>
  <c r="AA20" i="1" a="1"/>
  <c r="AA20" i="1" s="1"/>
  <c r="AB20" i="1" a="1"/>
  <c r="AB20" i="1" s="1"/>
  <c r="Z20" i="1" a="1"/>
  <c r="Z20" i="1" s="1"/>
  <c r="AA11" i="1" a="1"/>
  <c r="AA11" i="1" s="1"/>
  <c r="AB11" i="1" a="1"/>
  <c r="AB11" i="1" s="1"/>
  <c r="Z11" i="1" a="1"/>
  <c r="Z11" i="1" s="1"/>
  <c r="V11" i="1" a="1"/>
  <c r="V11" i="1" s="1"/>
  <c r="U11" i="1" a="1"/>
  <c r="U11" i="1" s="1"/>
  <c r="W11" i="1" a="1"/>
  <c r="W11" i="1" s="1"/>
  <c r="Z40" i="1" a="1"/>
  <c r="Z40" i="1" s="1"/>
  <c r="AB40" i="1" a="1"/>
  <c r="AB40" i="1" s="1"/>
  <c r="AA40" i="1" a="1"/>
  <c r="AA40" i="1" s="1"/>
  <c r="R40" i="1" a="1"/>
  <c r="R40" i="1" s="1"/>
  <c r="S40" i="1" a="1"/>
  <c r="S40" i="1" s="1"/>
  <c r="Q40" i="1" a="1"/>
  <c r="Q40" i="1" s="1"/>
  <c r="V40" i="1" a="1"/>
  <c r="V40" i="1" s="1"/>
  <c r="U40" i="1" a="1"/>
  <c r="U40" i="1" s="1"/>
  <c r="W40" i="1" a="1"/>
  <c r="W40" i="1" s="1"/>
  <c r="Z22" i="1" a="1"/>
  <c r="Z22" i="1" s="1"/>
  <c r="AB22" i="1" a="1"/>
  <c r="AB22" i="1" s="1"/>
  <c r="AA22" i="1" a="1"/>
  <c r="AA22" i="1" s="1"/>
  <c r="R22" i="1" a="1"/>
  <c r="R22" i="1" s="1"/>
  <c r="S22" i="1" a="1"/>
  <c r="S22" i="1" s="1"/>
  <c r="Q22" i="1" a="1"/>
  <c r="Q22" i="1" s="1"/>
  <c r="V22" i="1" a="1"/>
  <c r="V22" i="1" s="1"/>
  <c r="U22" i="1" a="1"/>
  <c r="U22" i="1" s="1"/>
  <c r="W22" i="1" a="1"/>
  <c r="W22" i="1" s="1"/>
  <c r="AG15" i="1" a="1"/>
  <c r="AG15" i="1" s="1"/>
  <c r="AH15" i="1" s="1"/>
  <c r="Z15" i="1" a="1"/>
  <c r="Z15" i="1" s="1"/>
  <c r="AB15" i="1" a="1"/>
  <c r="AB15" i="1" s="1"/>
  <c r="AA15" i="1" a="1"/>
  <c r="AA15" i="1" s="1"/>
  <c r="R15" i="1" a="1"/>
  <c r="R15" i="1" s="1"/>
  <c r="S15" i="1" a="1"/>
  <c r="S15" i="1" s="1"/>
  <c r="Q15" i="1" a="1"/>
  <c r="Q15" i="1" s="1"/>
  <c r="V15" i="1" a="1"/>
  <c r="V15" i="1" s="1"/>
  <c r="U15" i="1" a="1"/>
  <c r="U15" i="1" s="1"/>
  <c r="W15" i="1" a="1"/>
  <c r="W15" i="1" s="1"/>
  <c r="AA31" i="1" a="1"/>
  <c r="AA31" i="1" s="1"/>
  <c r="AB31" i="1" a="1"/>
  <c r="AB31" i="1" s="1"/>
  <c r="Z31" i="1" a="1"/>
  <c r="Z31" i="1" s="1"/>
  <c r="U31" i="1" a="1"/>
  <c r="U31" i="1" s="1"/>
  <c r="W31" i="1" a="1"/>
  <c r="W31" i="1" s="1"/>
  <c r="V31" i="1" a="1"/>
  <c r="V31" i="1" s="1"/>
  <c r="AA19" i="1" a="1"/>
  <c r="AA19" i="1" s="1"/>
  <c r="AB19" i="1" a="1"/>
  <c r="AB19" i="1" s="1"/>
  <c r="Z19" i="1" a="1"/>
  <c r="Z19" i="1" s="1"/>
  <c r="U19" i="1" a="1"/>
  <c r="U19" i="1" s="1"/>
  <c r="W19" i="1" a="1"/>
  <c r="W19" i="1" s="1"/>
  <c r="V19" i="1" a="1"/>
  <c r="V19" i="1" s="1"/>
  <c r="AA16" i="1" a="1"/>
  <c r="AA16" i="1" s="1"/>
  <c r="AB16" i="1" a="1"/>
  <c r="AB16" i="1" s="1"/>
  <c r="Z16" i="1" a="1"/>
  <c r="Z16" i="1" s="1"/>
  <c r="U16" i="1" a="1"/>
  <c r="U16" i="1" s="1"/>
  <c r="W16" i="1" a="1"/>
  <c r="W16" i="1" s="1"/>
  <c r="V16" i="1" a="1"/>
  <c r="V16" i="1" s="1"/>
  <c r="AA8" i="1" a="1"/>
  <c r="AB8" i="1" a="1"/>
  <c r="Z8" i="1" a="1"/>
  <c r="W8" i="1" a="1"/>
  <c r="W8" i="1" s="1"/>
  <c r="U8" i="1" a="1"/>
  <c r="V8" i="1" a="1"/>
  <c r="V8" i="1" s="1"/>
  <c r="Z3" i="1" a="1"/>
  <c r="Z3" i="1" s="1"/>
  <c r="AB3" i="1" a="1"/>
  <c r="AB3" i="1" s="1"/>
  <c r="AA3" i="1" a="1"/>
  <c r="AA3" i="1" s="1"/>
  <c r="AB8" i="1"/>
  <c r="Z8" i="1"/>
  <c r="AA8" i="1"/>
  <c r="Z5" i="1" a="1"/>
  <c r="Z5" i="1" s="1"/>
  <c r="AB5" i="1" a="1"/>
  <c r="AB5" i="1" s="1"/>
  <c r="AA5" i="1" a="1"/>
  <c r="AA5" i="1" s="1"/>
  <c r="Z4" i="1" a="1"/>
  <c r="Z4" i="1" s="1"/>
  <c r="AB4" i="1" a="1"/>
  <c r="AB4" i="1" s="1"/>
  <c r="AA4" i="1" a="1"/>
  <c r="AA4" i="1" s="1"/>
  <c r="Z6" i="1" a="1"/>
  <c r="Z6" i="1" s="1"/>
  <c r="AB6" i="1" a="1"/>
  <c r="AB6" i="1" s="1"/>
  <c r="AA6" i="1" a="1"/>
  <c r="AA6" i="1" s="1"/>
  <c r="Z7" i="1" a="1"/>
  <c r="Z7" i="1" s="1"/>
  <c r="AB7" i="1" a="1"/>
  <c r="AB7" i="1" s="1"/>
  <c r="AA7" i="1" a="1"/>
  <c r="AA7" i="1" s="1"/>
  <c r="V6" i="1" a="1"/>
  <c r="V6" i="1" s="1"/>
  <c r="U6" i="1" a="1"/>
  <c r="U6" i="1" s="1"/>
  <c r="W6" i="1" a="1"/>
  <c r="W6" i="1" s="1"/>
  <c r="V4" i="1" a="1"/>
  <c r="V4" i="1" s="1"/>
  <c r="U4" i="1" a="1"/>
  <c r="U4" i="1" s="1"/>
  <c r="W4" i="1" a="1"/>
  <c r="W4" i="1" s="1"/>
  <c r="U8" i="1"/>
  <c r="U3" i="1" a="1"/>
  <c r="U3" i="1" s="1"/>
  <c r="V3" i="1" a="1"/>
  <c r="V3" i="1" s="1"/>
  <c r="W3" i="1" a="1"/>
  <c r="W3" i="1" s="1"/>
  <c r="U7" i="1" a="1"/>
  <c r="U7" i="1" s="1"/>
  <c r="W7" i="1" a="1"/>
  <c r="W7" i="1" s="1"/>
  <c r="V7" i="1" a="1"/>
  <c r="V7" i="1" s="1"/>
  <c r="U5" i="1"/>
  <c r="W5" i="1" a="1"/>
  <c r="W5" i="1" s="1"/>
  <c r="V5" i="1" a="1"/>
  <c r="V5" i="1" s="1"/>
  <c r="D3" i="1" a="1"/>
  <c r="D3" i="1" s="1"/>
  <c r="C3" i="1" a="1"/>
  <c r="C3" i="1" s="1"/>
  <c r="O3" i="1" a="1"/>
  <c r="O3" i="1" s="1"/>
  <c r="N3" i="1" a="1"/>
  <c r="N3" i="1" s="1"/>
  <c r="F7" i="1"/>
  <c r="F4" i="1"/>
  <c r="F3" i="1"/>
  <c r="F5" i="1"/>
  <c r="P32" i="1" a="1"/>
  <c r="P32" i="1" s="1"/>
  <c r="P29" i="1" a="1"/>
  <c r="P29" i="1" s="1"/>
  <c r="P24" i="1" a="1"/>
  <c r="P48" i="1" a="1"/>
  <c r="P48" i="1" s="1"/>
  <c r="R16" i="1" a="1"/>
  <c r="R16" i="1" s="1"/>
  <c r="S16" i="1" a="1"/>
  <c r="S16" i="1" s="1"/>
  <c r="Q16" i="1" a="1"/>
  <c r="Q16" i="1" s="1"/>
  <c r="R19" i="1" a="1"/>
  <c r="R19" i="1" s="1"/>
  <c r="S19" i="1" a="1"/>
  <c r="S19" i="1" s="1"/>
  <c r="Q19" i="1" a="1"/>
  <c r="Q19" i="1" s="1"/>
  <c r="S31" i="1" a="1"/>
  <c r="S31" i="1" s="1"/>
  <c r="Q31" i="1" a="1"/>
  <c r="Q31" i="1" s="1"/>
  <c r="R31" i="1" a="1"/>
  <c r="R31" i="1" s="1"/>
  <c r="P42" i="1" a="1"/>
  <c r="P42" i="1" s="1"/>
  <c r="P46" i="1" a="1"/>
  <c r="P46" i="1" s="1"/>
  <c r="P30" i="1" a="1"/>
  <c r="P30" i="1" s="1"/>
  <c r="P35" i="1" a="1"/>
  <c r="P35" i="1" s="1"/>
  <c r="P45" i="1" a="1"/>
  <c r="P45" i="1" s="1"/>
  <c r="R20" i="1" a="1"/>
  <c r="R20" i="1" s="1"/>
  <c r="S20" i="1" a="1"/>
  <c r="S20" i="1" s="1"/>
  <c r="Q20" i="1" a="1"/>
  <c r="Q20" i="1" s="1"/>
  <c r="P14" i="1" a="1"/>
  <c r="P14" i="1" s="1"/>
  <c r="P43" i="1" a="1"/>
  <c r="P43" i="1" s="1"/>
  <c r="P26" i="1" a="1"/>
  <c r="P26" i="1" s="1"/>
  <c r="P18" i="1" a="1"/>
  <c r="P18" i="1" s="1"/>
  <c r="P23" i="1" a="1"/>
  <c r="P23" i="1" s="1"/>
  <c r="P37" i="1" a="1"/>
  <c r="P37" i="1" s="1"/>
  <c r="P39" i="1" a="1"/>
  <c r="P39" i="1" s="1"/>
  <c r="P21" i="1" a="1"/>
  <c r="P21" i="1" s="1"/>
  <c r="P33" i="1" a="1"/>
  <c r="P33" i="1" s="1"/>
  <c r="P36" i="1" a="1"/>
  <c r="P36" i="1" s="1"/>
  <c r="P34" i="1" a="1"/>
  <c r="P34" i="1" s="1"/>
  <c r="P50" i="1" a="1"/>
  <c r="P50" i="1" s="1"/>
  <c r="P28" i="1" a="1"/>
  <c r="P28" i="1" s="1"/>
  <c r="P44" i="1" a="1"/>
  <c r="P44" i="1" s="1"/>
  <c r="P25" i="1" a="1"/>
  <c r="P25" i="1" s="1"/>
  <c r="P49" i="1" a="1"/>
  <c r="P49" i="1" s="1"/>
  <c r="P27" i="1" a="1"/>
  <c r="P27" i="1" s="1"/>
  <c r="P13" i="1" a="1"/>
  <c r="P13" i="1" s="1"/>
  <c r="P41" i="1" a="1"/>
  <c r="P41" i="1" s="1"/>
  <c r="P47" i="1" a="1"/>
  <c r="P47" i="1" s="1"/>
  <c r="P38" i="1" a="1"/>
  <c r="P38" i="1" s="1"/>
  <c r="F6" i="1"/>
  <c r="R11" i="1" a="1"/>
  <c r="R11" i="1" s="1"/>
  <c r="S11" i="1" a="1"/>
  <c r="S11" i="1" s="1"/>
  <c r="Q11" i="1" a="1"/>
  <c r="Q11" i="1" s="1"/>
  <c r="P24" i="1"/>
  <c r="L11" i="1"/>
  <c r="C11" i="1" a="1"/>
  <c r="C11" i="1" s="1"/>
  <c r="D11" i="1" a="1"/>
  <c r="D11" i="1" s="1"/>
  <c r="AG11" i="1" a="1"/>
  <c r="AG11" i="1" s="1"/>
  <c r="AH11" i="1" s="1"/>
  <c r="N11" i="1" a="1"/>
  <c r="N11" i="1" s="1"/>
  <c r="O11" i="1" a="1"/>
  <c r="O11" i="1" s="1"/>
  <c r="F11" i="1"/>
  <c r="N17" i="1" a="1"/>
  <c r="N17" i="1" s="1"/>
  <c r="O17" i="1" a="1"/>
  <c r="O17" i="1" s="1"/>
  <c r="L17" i="1"/>
  <c r="C17" i="1" a="1"/>
  <c r="C17" i="1" s="1"/>
  <c r="D17" i="1" a="1"/>
  <c r="D17" i="1" s="1"/>
  <c r="F17" i="1"/>
  <c r="O15" i="1" a="1"/>
  <c r="O15" i="1" s="1"/>
  <c r="N15" i="1" a="1"/>
  <c r="N15" i="1" s="1"/>
  <c r="L15" i="1"/>
  <c r="D15" i="1" a="1"/>
  <c r="D15" i="1" s="1"/>
  <c r="C15" i="1" a="1"/>
  <c r="C15" i="1" s="1"/>
  <c r="F15" i="1"/>
  <c r="O40" i="1" a="1"/>
  <c r="O40" i="1" s="1"/>
  <c r="N40" i="1" a="1"/>
  <c r="N40" i="1" s="1"/>
  <c r="L40" i="1"/>
  <c r="D40" i="1" a="1"/>
  <c r="D40" i="1" s="1"/>
  <c r="C40" i="1" a="1"/>
  <c r="C40" i="1" s="1"/>
  <c r="F40" i="1"/>
  <c r="D31" i="1" a="1"/>
  <c r="D31" i="1" s="1"/>
  <c r="F31" i="1"/>
  <c r="C31" i="1" a="1"/>
  <c r="C31" i="1" s="1"/>
  <c r="AG31" i="1" a="1"/>
  <c r="AG31" i="1" s="1"/>
  <c r="AH31" i="1" s="1"/>
  <c r="O31" i="1" a="1"/>
  <c r="O31" i="1" s="1"/>
  <c r="L31" i="1"/>
  <c r="N31" i="1" a="1"/>
  <c r="N31" i="1" s="1"/>
  <c r="D20" i="1" a="1"/>
  <c r="D20" i="1" s="1"/>
  <c r="C20" i="1" a="1"/>
  <c r="C20" i="1" s="1"/>
  <c r="AG20" i="1" a="1"/>
  <c r="AG20" i="1" s="1"/>
  <c r="AH20" i="1" s="1"/>
  <c r="O20" i="1" a="1"/>
  <c r="O20" i="1" s="1"/>
  <c r="N20" i="1" a="1"/>
  <c r="N20" i="1" s="1"/>
  <c r="AG19" i="1" a="1"/>
  <c r="AG19" i="1" s="1"/>
  <c r="AH19" i="1" s="1"/>
  <c r="O19" i="1" a="1"/>
  <c r="O19" i="1" s="1"/>
  <c r="L19" i="1"/>
  <c r="N19" i="1" a="1"/>
  <c r="N19" i="1" s="1"/>
  <c r="L20" i="1"/>
  <c r="D19" i="1" a="1"/>
  <c r="D19" i="1" s="1"/>
  <c r="F19" i="1"/>
  <c r="C19" i="1" a="1"/>
  <c r="C19" i="1" s="1"/>
  <c r="F20" i="1"/>
  <c r="D16" i="1" a="1"/>
  <c r="D16" i="1" s="1"/>
  <c r="F16" i="1"/>
  <c r="C16" i="1" a="1"/>
  <c r="C16" i="1" s="1"/>
  <c r="O22" i="1" a="1"/>
  <c r="O22" i="1" s="1"/>
  <c r="N22" i="1" a="1"/>
  <c r="N22" i="1" s="1"/>
  <c r="L22" i="1"/>
  <c r="D22" i="1" a="1"/>
  <c r="D22" i="1" s="1"/>
  <c r="C22" i="1" a="1"/>
  <c r="C22" i="1" s="1"/>
  <c r="F22" i="1"/>
  <c r="AG16" i="1" a="1"/>
  <c r="AG16" i="1" s="1"/>
  <c r="AH16" i="1" s="1"/>
  <c r="O16" i="1" a="1"/>
  <c r="O16" i="1" s="1"/>
  <c r="L16" i="1"/>
  <c r="N16" i="1" a="1"/>
  <c r="N16" i="1" s="1"/>
  <c r="F8" i="1"/>
  <c r="L3" i="1"/>
  <c r="L4" i="1"/>
  <c r="L6" i="1"/>
  <c r="L5" i="1"/>
  <c r="L7" i="1"/>
  <c r="L8" i="1"/>
  <c r="C7" i="1" a="1"/>
  <c r="C7" i="1" s="1"/>
  <c r="D7" i="1" a="1"/>
  <c r="D7" i="1" s="1"/>
  <c r="O7" i="1" a="1"/>
  <c r="O7" i="1" s="1"/>
  <c r="N7" i="1" a="1"/>
  <c r="N7" i="1" s="1"/>
  <c r="N6" i="1" a="1"/>
  <c r="N6" i="1" s="1"/>
  <c r="O6" i="1" a="1"/>
  <c r="O6" i="1" s="1"/>
  <c r="N4" i="1" a="1"/>
  <c r="N4" i="1" s="1"/>
  <c r="O4" i="1" a="1"/>
  <c r="O4" i="1" s="1"/>
  <c r="N5" i="1" a="1"/>
  <c r="N5" i="1" s="1"/>
  <c r="O5" i="1" a="1"/>
  <c r="O5" i="1" s="1"/>
  <c r="N8" i="1" a="1"/>
  <c r="N8" i="1" s="1"/>
  <c r="O8" i="1" a="1"/>
  <c r="O8" i="1" s="1"/>
  <c r="I8" i="1"/>
  <c r="I3" i="1"/>
  <c r="I16" i="1"/>
  <c r="I19" i="1"/>
  <c r="I31" i="1"/>
  <c r="I11" i="1"/>
  <c r="I20" i="1"/>
  <c r="I4" i="1"/>
  <c r="I5" i="1"/>
  <c r="I22" i="1"/>
  <c r="I17" i="1"/>
  <c r="I15" i="1"/>
  <c r="I40" i="1"/>
  <c r="AG6" i="1"/>
  <c r="AH6" i="1" s="1"/>
  <c r="I6" i="1"/>
  <c r="AG7" i="1"/>
  <c r="AH7" i="1" s="1"/>
  <c r="I7" i="1"/>
  <c r="D5" i="1" a="1"/>
  <c r="D5" i="1" s="1"/>
  <c r="C5" i="1" a="1"/>
  <c r="C5" i="1" s="1"/>
  <c r="D6" i="1" a="1"/>
  <c r="D6" i="1" s="1"/>
  <c r="C6" i="1" a="1"/>
  <c r="C6" i="1" s="1"/>
  <c r="D4" i="1" a="1"/>
  <c r="D4" i="1" s="1"/>
  <c r="C4" i="1" a="1"/>
  <c r="C4" i="1" s="1"/>
  <c r="D8" i="1" a="1"/>
  <c r="D8" i="1" s="1"/>
  <c r="C8" i="1" a="1"/>
  <c r="C8" i="1" s="1"/>
  <c r="S6" i="1" a="1"/>
  <c r="S6" i="1" s="1"/>
  <c r="S7" i="1" a="1"/>
  <c r="S7" i="1" s="1"/>
  <c r="S5" i="1" a="1"/>
  <c r="S5" i="1" s="1"/>
  <c r="S4" i="1" a="1"/>
  <c r="S4" i="1" s="1"/>
  <c r="S8" i="1" a="1"/>
  <c r="S8" i="1" s="1"/>
  <c r="R3" i="1" a="1"/>
  <c r="R3" i="1" s="1"/>
  <c r="Q3" i="1" a="1"/>
  <c r="Q3" i="1" s="1"/>
  <c r="S3" i="1" a="1"/>
  <c r="S3" i="1" s="1"/>
  <c r="R4" i="1" a="1"/>
  <c r="R4" i="1" s="1"/>
  <c r="Q4" i="1" a="1"/>
  <c r="Q4" i="1" s="1"/>
  <c r="R6" i="1" a="1"/>
  <c r="R6" i="1" s="1"/>
  <c r="Q6" i="1" a="1"/>
  <c r="Q6" i="1" s="1"/>
  <c r="R8" i="1" a="1"/>
  <c r="R8" i="1" s="1"/>
  <c r="Q8" i="1" a="1"/>
  <c r="Q8" i="1" s="1"/>
  <c r="Q7" i="1" a="1"/>
  <c r="Q7" i="1" s="1"/>
  <c r="R7" i="1" a="1"/>
  <c r="R7" i="1" s="1"/>
  <c r="R5" i="1" a="1"/>
  <c r="R5" i="1" s="1"/>
  <c r="Q5" i="1" a="1"/>
  <c r="Q5" i="1" s="1"/>
  <c r="J2" i="8"/>
  <c r="K2" i="8"/>
  <c r="F2" i="8"/>
  <c r="G2" i="8"/>
  <c r="E2" i="8"/>
  <c r="I2" i="8"/>
  <c r="H2" i="8"/>
  <c r="AG17" i="1"/>
  <c r="AH17" i="1" s="1"/>
  <c r="AG40" i="1"/>
  <c r="AH40" i="1" s="1"/>
  <c r="AG22" i="1"/>
  <c r="AH22" i="1" s="1"/>
  <c r="AG4" i="1"/>
  <c r="AH4" i="1" s="1"/>
  <c r="AG2" i="1"/>
  <c r="AH2" i="1" s="1"/>
  <c r="AG5" i="1"/>
  <c r="AH5" i="1" s="1"/>
  <c r="AG3" i="1"/>
  <c r="AH3" i="1" s="1"/>
  <c r="AG8" i="1"/>
  <c r="AH8" i="1" s="1"/>
  <c r="Y21" i="1" l="1"/>
  <c r="Y43" i="1"/>
  <c r="Y45" i="1"/>
  <c r="Y32" i="1"/>
  <c r="Y42" i="1"/>
  <c r="Y24" i="1"/>
  <c r="Y18" i="1"/>
  <c r="Y30" i="1"/>
  <c r="Y44" i="1"/>
  <c r="Y46" i="1"/>
  <c r="Y13" i="1"/>
  <c r="Y28" i="1"/>
  <c r="Y38" i="1"/>
  <c r="Y41" i="1"/>
  <c r="Y29" i="1"/>
  <c r="Y50" i="1"/>
  <c r="Y25" i="1"/>
  <c r="Y47" i="1"/>
  <c r="Y23" i="1"/>
  <c r="Y35" i="1"/>
  <c r="Y36" i="1"/>
  <c r="Y48" i="1"/>
  <c r="Y27" i="1"/>
  <c r="Y14" i="1"/>
  <c r="Y39" i="1"/>
  <c r="Y49" i="1"/>
  <c r="Y26" i="1"/>
  <c r="Y37" i="1"/>
  <c r="AC4" i="1"/>
  <c r="AC15" i="1"/>
  <c r="AC22" i="1"/>
  <c r="AC8" i="1"/>
  <c r="AC16" i="1"/>
  <c r="AC19" i="1"/>
  <c r="AC31" i="1"/>
  <c r="AC40" i="1"/>
  <c r="AC11" i="1"/>
  <c r="AC7" i="1"/>
  <c r="AC20" i="1"/>
  <c r="AC6" i="1"/>
  <c r="AC5" i="1"/>
  <c r="AC3" i="1"/>
  <c r="T8" i="1"/>
  <c r="T40" i="1"/>
  <c r="T3" i="1"/>
  <c r="T15" i="1"/>
  <c r="T11" i="1"/>
  <c r="T22" i="1"/>
  <c r="T20" i="1"/>
  <c r="T5" i="1"/>
  <c r="T6" i="1"/>
  <c r="T16" i="1"/>
  <c r="T19" i="1"/>
  <c r="T31" i="1"/>
  <c r="T7" i="1"/>
  <c r="T4" i="1"/>
  <c r="P17" i="1" a="1"/>
  <c r="P11" i="1" a="1"/>
  <c r="P11" i="1" s="1"/>
  <c r="P31" i="1" a="1"/>
  <c r="P22" i="1" a="1"/>
  <c r="P22" i="1" s="1"/>
  <c r="P16" i="1" a="1"/>
  <c r="P16" i="1" s="1"/>
  <c r="P19" i="1" a="1"/>
  <c r="P19" i="1" s="1"/>
  <c r="P15" i="1" a="1"/>
  <c r="P15" i="1" s="1"/>
  <c r="P20" i="1" a="1"/>
  <c r="P20" i="1" s="1"/>
  <c r="P17" i="1"/>
  <c r="P40" i="1" a="1"/>
  <c r="P40" i="1" s="1"/>
  <c r="P31" i="1"/>
  <c r="P5" i="1"/>
  <c r="P8" i="1"/>
  <c r="P6" i="1"/>
  <c r="P4" i="1"/>
  <c r="P7" i="1"/>
  <c r="P3" i="1"/>
  <c r="I9" i="7"/>
  <c r="I12" i="7"/>
  <c r="I283" i="7"/>
  <c r="I140" i="7"/>
  <c r="I137" i="7"/>
  <c r="I282" i="7"/>
  <c r="K282" i="7" s="1"/>
  <c r="I76" i="7"/>
  <c r="I204" i="7"/>
  <c r="I73" i="7"/>
  <c r="I201" i="7"/>
  <c r="M18" i="8"/>
  <c r="I44" i="7"/>
  <c r="I108" i="7"/>
  <c r="I172" i="7"/>
  <c r="I236" i="7"/>
  <c r="I41" i="7"/>
  <c r="I105" i="7"/>
  <c r="I169" i="7"/>
  <c r="I233" i="7"/>
  <c r="I267" i="7"/>
  <c r="M8" i="8"/>
  <c r="I28" i="7"/>
  <c r="I60" i="7"/>
  <c r="I92" i="7"/>
  <c r="I124" i="7"/>
  <c r="I156" i="7"/>
  <c r="I188" i="7"/>
  <c r="I220" i="7"/>
  <c r="E51" i="1" s="1"/>
  <c r="AJ20" i="1" s="1" a="1"/>
  <c r="AJ20" i="1" s="1"/>
  <c r="I252" i="7"/>
  <c r="I25" i="7"/>
  <c r="I57" i="7"/>
  <c r="I89" i="7"/>
  <c r="I121" i="7"/>
  <c r="I153" i="7"/>
  <c r="I185" i="7"/>
  <c r="I217" i="7"/>
  <c r="I249" i="7"/>
  <c r="I270" i="7"/>
  <c r="I261" i="7"/>
  <c r="M13" i="8"/>
  <c r="I4" i="7"/>
  <c r="I20" i="7"/>
  <c r="I36" i="7"/>
  <c r="I52" i="7"/>
  <c r="I68" i="7"/>
  <c r="I84" i="7"/>
  <c r="I100" i="7"/>
  <c r="I116" i="7"/>
  <c r="I132" i="7"/>
  <c r="I148" i="7"/>
  <c r="I164" i="7"/>
  <c r="I180" i="7"/>
  <c r="I196" i="7"/>
  <c r="I212" i="7"/>
  <c r="I228" i="7"/>
  <c r="I244" i="7"/>
  <c r="I260" i="7"/>
  <c r="I17" i="7"/>
  <c r="I33" i="7"/>
  <c r="I49" i="7"/>
  <c r="I65" i="7"/>
  <c r="I81" i="7"/>
  <c r="I97" i="7"/>
  <c r="I113" i="7"/>
  <c r="I129" i="7"/>
  <c r="I145" i="7"/>
  <c r="I161" i="7"/>
  <c r="I177" i="7"/>
  <c r="I193" i="7"/>
  <c r="I209" i="7"/>
  <c r="I225" i="7"/>
  <c r="I241" i="7"/>
  <c r="I257" i="7"/>
  <c r="I286" i="7"/>
  <c r="I264" i="7"/>
  <c r="I268" i="7"/>
  <c r="M20" i="8"/>
  <c r="M16" i="8"/>
  <c r="M10" i="8"/>
  <c r="M6" i="8"/>
  <c r="I8" i="7"/>
  <c r="I16" i="7"/>
  <c r="I24" i="7"/>
  <c r="I32" i="7"/>
  <c r="I40" i="7"/>
  <c r="I48" i="7"/>
  <c r="I56" i="7"/>
  <c r="I64" i="7"/>
  <c r="I72" i="7"/>
  <c r="I80" i="7"/>
  <c r="I88" i="7"/>
  <c r="I96" i="7"/>
  <c r="I104" i="7"/>
  <c r="I112" i="7"/>
  <c r="I120" i="7"/>
  <c r="I128" i="7"/>
  <c r="I136" i="7"/>
  <c r="I144" i="7"/>
  <c r="I152" i="7"/>
  <c r="I160" i="7"/>
  <c r="I168" i="7"/>
  <c r="I176" i="7"/>
  <c r="I184" i="7"/>
  <c r="I192" i="7"/>
  <c r="I200" i="7"/>
  <c r="I208" i="7"/>
  <c r="I216" i="7"/>
  <c r="I224" i="7"/>
  <c r="I232" i="7"/>
  <c r="I240" i="7"/>
  <c r="I248" i="7"/>
  <c r="I256" i="7"/>
  <c r="I5" i="7"/>
  <c r="I13" i="7"/>
  <c r="I21" i="7"/>
  <c r="I29" i="7"/>
  <c r="I37" i="7"/>
  <c r="I45" i="7"/>
  <c r="I53" i="7"/>
  <c r="I61" i="7"/>
  <c r="I69" i="7"/>
  <c r="I77" i="7"/>
  <c r="I85" i="7"/>
  <c r="I93" i="7"/>
  <c r="I101" i="7"/>
  <c r="I109" i="7"/>
  <c r="I117" i="7"/>
  <c r="I125" i="7"/>
  <c r="I133" i="7"/>
  <c r="I141" i="7"/>
  <c r="I149" i="7"/>
  <c r="I157" i="7"/>
  <c r="I165" i="7"/>
  <c r="I173" i="7"/>
  <c r="I181" i="7"/>
  <c r="I189" i="7"/>
  <c r="I197" i="7"/>
  <c r="I205" i="7"/>
  <c r="I213" i="7"/>
  <c r="I221" i="7"/>
  <c r="I229" i="7"/>
  <c r="I237" i="7"/>
  <c r="I245" i="7"/>
  <c r="I253" i="7"/>
  <c r="I262" i="7"/>
  <c r="I285" i="7"/>
  <c r="I269" i="7"/>
  <c r="I272" i="7"/>
  <c r="I263" i="7"/>
  <c r="I271" i="7"/>
  <c r="I292" i="7"/>
  <c r="I265" i="7"/>
  <c r="M21" i="8"/>
  <c r="M19" i="8"/>
  <c r="M17" i="8"/>
  <c r="M14" i="8"/>
  <c r="M12" i="8"/>
  <c r="M9" i="8"/>
  <c r="M7" i="8"/>
  <c r="M5" i="8"/>
  <c r="I6" i="7"/>
  <c r="I10" i="7"/>
  <c r="I14" i="7"/>
  <c r="I18" i="7"/>
  <c r="I22" i="7"/>
  <c r="I26" i="7"/>
  <c r="I30" i="7"/>
  <c r="I34" i="7"/>
  <c r="I38" i="7"/>
  <c r="I42" i="7"/>
  <c r="I46" i="7"/>
  <c r="I50" i="7"/>
  <c r="I54" i="7"/>
  <c r="I58" i="7"/>
  <c r="I62" i="7"/>
  <c r="I66" i="7"/>
  <c r="I70" i="7"/>
  <c r="I74" i="7"/>
  <c r="I78" i="7"/>
  <c r="I82" i="7"/>
  <c r="I86" i="7"/>
  <c r="I90" i="7"/>
  <c r="I94" i="7"/>
  <c r="I98" i="7"/>
  <c r="I102" i="7"/>
  <c r="I106" i="7"/>
  <c r="I110" i="7"/>
  <c r="I114" i="7"/>
  <c r="E12" i="1" s="1"/>
  <c r="I118" i="7"/>
  <c r="I122" i="7"/>
  <c r="I126" i="7"/>
  <c r="I130" i="7"/>
  <c r="I134" i="7"/>
  <c r="I138" i="7"/>
  <c r="I142" i="7"/>
  <c r="I146" i="7"/>
  <c r="I150" i="7"/>
  <c r="I154" i="7"/>
  <c r="I158" i="7"/>
  <c r="I162" i="7"/>
  <c r="I166" i="7"/>
  <c r="I170" i="7"/>
  <c r="I174" i="7"/>
  <c r="I178" i="7"/>
  <c r="I182" i="7"/>
  <c r="I186" i="7"/>
  <c r="I190" i="7"/>
  <c r="I194" i="7"/>
  <c r="I198" i="7"/>
  <c r="I202" i="7"/>
  <c r="I206" i="7"/>
  <c r="I210" i="7"/>
  <c r="I214" i="7"/>
  <c r="I218" i="7"/>
  <c r="I222" i="7"/>
  <c r="I226" i="7"/>
  <c r="I230" i="7"/>
  <c r="I234" i="7"/>
  <c r="I238" i="7"/>
  <c r="I242" i="7"/>
  <c r="I246" i="7"/>
  <c r="I250" i="7"/>
  <c r="I254" i="7"/>
  <c r="I258" i="7"/>
  <c r="I266" i="7"/>
  <c r="I7" i="7"/>
  <c r="I11" i="7"/>
  <c r="I15" i="7"/>
  <c r="I19" i="7"/>
  <c r="I23" i="7"/>
  <c r="I27" i="7"/>
  <c r="I31" i="7"/>
  <c r="I35" i="7"/>
  <c r="I39" i="7"/>
  <c r="I43" i="7"/>
  <c r="I47" i="7"/>
  <c r="I51" i="7"/>
  <c r="I55" i="7"/>
  <c r="I59" i="7"/>
  <c r="I63" i="7"/>
  <c r="I67" i="7"/>
  <c r="I71" i="7"/>
  <c r="I75" i="7"/>
  <c r="I79" i="7"/>
  <c r="I83" i="7"/>
  <c r="I87" i="7"/>
  <c r="I91" i="7"/>
  <c r="I95" i="7"/>
  <c r="I99" i="7"/>
  <c r="I103" i="7"/>
  <c r="I107" i="7"/>
  <c r="I111" i="7"/>
  <c r="I115" i="7"/>
  <c r="I119" i="7"/>
  <c r="I123" i="7"/>
  <c r="I127" i="7"/>
  <c r="I131" i="7"/>
  <c r="I135" i="7"/>
  <c r="I139" i="7"/>
  <c r="I143" i="7"/>
  <c r="I147" i="7"/>
  <c r="I151" i="7"/>
  <c r="I155" i="7"/>
  <c r="I159" i="7"/>
  <c r="I163" i="7"/>
  <c r="I167" i="7"/>
  <c r="I171" i="7"/>
  <c r="I175" i="7"/>
  <c r="I179" i="7"/>
  <c r="I183" i="7"/>
  <c r="I187" i="7"/>
  <c r="I191" i="7"/>
  <c r="I195" i="7"/>
  <c r="I199" i="7"/>
  <c r="I203" i="7"/>
  <c r="I207" i="7"/>
  <c r="I211" i="7"/>
  <c r="I215" i="7"/>
  <c r="I219" i="7"/>
  <c r="I223" i="7"/>
  <c r="I227" i="7"/>
  <c r="I231" i="7"/>
  <c r="I235" i="7"/>
  <c r="I239" i="7"/>
  <c r="I243" i="7"/>
  <c r="I247" i="7"/>
  <c r="I251" i="7"/>
  <c r="I255" i="7"/>
  <c r="I259" i="7"/>
  <c r="Y20" i="1" l="1"/>
  <c r="Y11" i="1"/>
  <c r="Y31" i="1"/>
  <c r="Y16" i="1"/>
  <c r="Y22" i="1"/>
  <c r="Y40" i="1"/>
  <c r="Y19" i="1"/>
  <c r="Y15" i="1"/>
  <c r="R12" i="1" a="1"/>
  <c r="R12" i="1" s="1"/>
  <c r="S12" i="1" a="1"/>
  <c r="S12" i="1" s="1"/>
  <c r="Q12" i="1" a="1"/>
  <c r="Q12" i="1" s="1"/>
  <c r="S51" i="1" a="1"/>
  <c r="S51" i="1" s="1"/>
  <c r="Q51" i="1" a="1"/>
  <c r="Q51" i="1" s="1"/>
  <c r="R51" i="1" a="1"/>
  <c r="R51" i="1" s="1"/>
  <c r="AH12" i="1"/>
  <c r="AH51" i="1"/>
  <c r="D51" i="1" a="1"/>
  <c r="D51" i="1" s="1"/>
  <c r="I51" i="1"/>
  <c r="C51" i="1" a="1"/>
  <c r="C51" i="1" s="1"/>
  <c r="F51" i="1"/>
  <c r="C12" i="1" a="1"/>
  <c r="C12" i="1" s="1"/>
  <c r="D12" i="1" a="1"/>
  <c r="D12" i="1" s="1"/>
  <c r="I12" i="1"/>
  <c r="F12" i="1"/>
  <c r="P51" i="1" l="1" a="1"/>
  <c r="P51" i="1" s="1"/>
  <c r="P12" i="1" a="1"/>
  <c r="P12" i="1" s="1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10" authorId="0">
      <text>
        <r>
          <rPr>
            <sz val="8"/>
            <color indexed="81"/>
            <rFont val="Tahoma"/>
            <family val="2"/>
          </rPr>
          <t xml:space="preserve">
</t>
        </r>
      </text>
    </comment>
    <comment ref="A161" authorId="0">
      <text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name="30 Day Pilot's License Extension (PLEX)-history-The Forge" type="4" refreshedVersion="0" background="1">
    <webPr xml="1" sourceData="1" parsePre="1" consecutive="1" url="C:\Documents and Settings\kevin\My Documents\30 Day Pilot's License Extension (PLEX)-history-The Forge.xml" htmlTables="1"/>
  </connection>
  <connection id="2" name="30 Day Pilot's License Extension (PLEX)-The Forge" type="4" refreshedVersion="0" background="1">
    <webPr xml="1" sourceData="1" parsePre="1" consecutive="1" url="C:\Documents and Settings\kevin\My Documents\30 Day Pilot's License Extension (PLEX)-The Forge.xml" htmlTables="1"/>
  </connection>
  <connection id="3" name="Alloyed Tritanium Bar-history-The Forge" type="4" refreshedVersion="0" background="1">
    <webPr xml="1" sourceData="1" parsePre="1" consecutive="1" url="C:\Documents and Settings\kevin\My Documents\Alloyed Tritanium Bar-history-The Forge.xml" htmlTables="1"/>
  </connection>
  <connection id="4" name="Alloyed Tritanium Bar-The Forge" type="4" refreshedVersion="0" background="1">
    <webPr xml="1" sourceData="1" parsePre="1" consecutive="1" url="C:\Documents and Settings\kevin\My Documents\Alloyed Tritanium Bar-The Forge.xml" htmlTables="1"/>
  </connection>
  <connection id="5" name="Armor Plates-history-The Forge" type="4" refreshedVersion="0" background="1">
    <webPr xml="1" sourceData="1" parsePre="1" consecutive="1" url="C:\Documents and Settings\kevin\My Documents\Armor Plates-history-The Forge.xml" htmlTables="1"/>
  </connection>
  <connection id="6" name="Armor Plates-The Forge" type="4" refreshedVersion="0" background="1">
    <webPr xml="1" sourceData="1" parsePre="1" consecutive="1" url="C:\Documents and Settings\kevin\My Documents\Armor Plates-The Forge.xml" htmlTables="1"/>
  </connection>
  <connection id="7" name="Burned Logic Circuit-history-The Forge" type="4" refreshedVersion="0" background="1">
    <webPr xml="1" sourceData="1" parsePre="1" consecutive="1" url="C:\Documents and Settings\kevin\My Documents\Burned Logic Circuit-history-The Forge.xml" htmlTables="1"/>
  </connection>
  <connection id="8" name="Burned Logic Circuit-The Forge" type="4" refreshedVersion="0" background="1">
    <webPr xml="1" sourceData="1" parsePre="1" consecutive="1" url="C:\Documents and Settings\kevin\My Documents\Burned Logic Circuit-The Forge.xml" htmlTables="1"/>
  </connection>
  <connection id="9" name="C3-FTM Acid-history-The Forge" type="4" refreshedVersion="0" background="1">
    <webPr xml="1" sourceData="1" parsePre="1" consecutive="1" url="C:\Documents and Settings\kevin\My Documents\C3-FTM Acid-history-The Forge.xml" htmlTables="1"/>
  </connection>
  <connection id="10" name="C3-FTM Acid-The Forge" type="4" refreshedVersion="0" background="1">
    <webPr xml="1" sourceData="1" parsePre="1" consecutive="1" url="C:\Documents and Settings\kevin\My Documents\C3-FTM Acid-The Forge.xml" htmlTables="1"/>
  </connection>
  <connection id="11" name="Capacitor Console-history-The Forge" type="4" refreshedVersion="0" background="1">
    <webPr xml="1" sourceData="1" parsePre="1" consecutive="1" url="C:\Documents and Settings\kevin\My Documents\Capacitor Console-history-The Forge.xml" htmlTables="1"/>
  </connection>
  <connection id="12" name="Capacitor Console-The Forge" type="4" refreshedVersion="0" background="1">
    <webPr xml="1" sourceData="1" parsePre="1" consecutive="1" url="C:\Documents and Settings\kevin\My Documents\Capacitor Console-The Forge.xml" htmlTables="1"/>
  </connection>
  <connection id="13" name="Carbon-86 Epoxy Resin-history-The Forge" type="4" refreshedVersion="0" background="1">
    <webPr xml="1" sourceData="1" parsePre="1" consecutive="1" url="C:\Documents and Settings\kevin\My Documents\Carbon-86 Epoxy Resin-history-The Forge.xml" htmlTables="1"/>
  </connection>
  <connection id="14" name="Carbon-86 Epoxy Resin-The Forge" type="4" refreshedVersion="0" background="1">
    <webPr xml="1" sourceData="1" parsePre="1" consecutive="1" url="C:\Documents and Settings\kevin\My Documents\Carbon-86 Epoxy Resin-The Forge.xml" htmlTables="1"/>
  </connection>
  <connection id="15" name="Connection" type="4" refreshedVersion="0" background="1" saveData="1">
    <webPr sourceData="1" parsePre="1" consecutive="1" url="https://api.eveonline.com/char/MarketOrders.xml.aspx?userid=6821965&amp;apikey=88383656251D45B7ABEB21FA21A223A556D3E599D1754F8E9537ED8420E663A1&amp;characterid=1783403772"/>
  </connection>
  <connection id="16" name="Connection1" type="4" refreshedVersion="0" background="1" saveData="1">
    <webPr sourceData="1" parsePre="1" consecutive="1" url="https://api.eveonline.com/char/MarketOrders.xml.aspx?userid=6821965&amp;apikey=88383656251D45B7ABEB21FA21A223A556D3E599D1754F8E9537ED8420E663A1&amp;characterid=1783403772"/>
  </connection>
  <connection id="17" name="Connection2" type="4" refreshedVersion="4" minRefreshableVersion="1" background="1" saveData="1">
    <webPr sourceData="1" parsePre="1" consecutive="1" xl2000="1" url="https://api.eveonline.com/char/MarketOrders.xml.aspx?userid=6821965&amp;apikey=88383656251D45B7ABEB21FA21A223A556D3E599D1754F8E9537ED8420E663A1&amp;characterid=1783403772"/>
  </connection>
  <connection id="18" name="Coolant-history-The Forge" type="4" refreshedVersion="0" background="1">
    <webPr xml="1" sourceData="1" parsePre="1" consecutive="1" url="C:\Documents and Settings\kevin\My Documents\Coolant-history-The Forge.xml" htmlTables="1"/>
  </connection>
  <connection id="19" name="Coolant-The Forge" type="4" refreshedVersion="0" background="1">
    <webPr xml="1" sourceData="1" parsePre="1" consecutive="1" url="C:\Documents and Settings\kevin\My Documents\Coolant-The Forge.xml" htmlTables="1"/>
  </connection>
  <connection id="20" name="Crystalline Carbonide-history-The Forge" type="4" refreshedVersion="0" background="1">
    <webPr xml="1" sourceData="1" parsePre="1" consecutive="1" url="C:\Documents and Settings\kevin\My Documents\Crystalline Carbonide-history-The Forge.xml" htmlTables="1"/>
  </connection>
  <connection id="21" name="Crystalline Carbonide-The Forge" type="4" refreshedVersion="0" background="1">
    <webPr xml="1" sourceData="1" parsePre="1" consecutive="1" url="C:\Documents and Settings\kevin\My Documents\Crystalline Carbonide-The Forge.xml" htmlTables="1"/>
  </connection>
  <connection id="22" name="Cybernetic Subprocessor - Improved-history-The Forge" type="4" refreshedVersion="0" background="1">
    <webPr xml="1" sourceData="1" parsePre="1" consecutive="1" url="C:\Documents and Settings\kevin\My Documents\Cybernetic Subprocessor - Improved-history-The Forge.xml" htmlTables="1"/>
  </connection>
  <connection id="23" name="Cybernetic Subprocessor - Improved-The Forge" type="4" refreshedVersion="0" background="1">
    <webPr xml="1" sourceData="1" parsePre="1" consecutive="1" url="C:\Documents and Settings\kevin\My Documents\Cybernetic Subprocessor - Improved-The Forge.xml" htmlTables="1"/>
  </connection>
  <connection id="24" name="Enhanced Ward Console-history-The Forge" type="4" refreshedVersion="0" background="1">
    <webPr xml="1" sourceData="1" parsePre="1" consecutive="1" url="C:\Documents and Settings\kevin\My Documents\Enhanced Ward Console-history-The Forge.xml" htmlTables="1"/>
  </connection>
  <connection id="25" name="Enhanced Ward Console-The Forge" type="4" refreshedVersion="0" background="1">
    <webPr xml="1" sourceData="1" parsePre="1" consecutive="1" url="C:\Documents and Settings\kevin\My Documents\Enhanced Ward Console-The Forge.xml" htmlTables="1"/>
  </connection>
  <connection id="26" name="Enriched Uranium-history-The Forge" type="4" refreshedVersion="0" background="1">
    <webPr xml="1" sourceData="1" parsePre="1" consecutive="1" url="C:\Documents and Settings\kevin\My Documents\Enriched Uranium-history-The Forge.xml" htmlTables="1"/>
  </connection>
  <connection id="27" name="Enriched Uranium-The Forge" type="4" refreshedVersion="0" background="1">
    <webPr xml="1" sourceData="1" parsePre="1" consecutive="1" url="C:\Documents and Settings\kevin\My Documents\Enriched Uranium-The Forge.xml" htmlTables="1"/>
  </connection>
  <connection id="28" name="Fermionic Condensates-history-The Forge" type="4" refreshedVersion="0" background="1">
    <webPr xml="1" sourceData="1" parsePre="1" consecutive="1" url="C:\Documents and Settings\kevin\My Documents\Fermionic Condensates-history-The Forge.xml" htmlTables="1"/>
  </connection>
  <connection id="29" name="Fermionic Condensates-The Forge" type="4" refreshedVersion="0" background="1">
    <webPr xml="1" sourceData="1" parsePre="1" consecutive="1" url="C:\Documents and Settings\kevin\My Documents\Fermionic Condensates-The Forge.xml" htmlTables="1"/>
  </connection>
  <connection id="30" name="Fernite Carbide-history-The Forge" type="4" refreshedVersion="0" background="1">
    <webPr xml="1" sourceData="1" parsePre="1" consecutive="1" url="C:\Documents and Settings\kevin\My Documents\Fernite Carbide-history-The Forge.xml" htmlTables="1"/>
  </connection>
  <connection id="31" name="Fernite Carbide-The Forge" type="4" refreshedVersion="0" background="1">
    <webPr xml="1" sourceData="1" parsePre="1" consecutive="1" url="C:\Documents and Settings\kevin\My Documents\Fernite Carbide-The Forge.xml" htmlTables="1"/>
  </connection>
  <connection id="32" name="Ferrogel-history-The Forge" type="4" refreshedVersion="0" background="1">
    <webPr xml="1" sourceData="1" parsePre="1" consecutive="1" url="C:\Documents and Settings\kevin\My Documents\Ferrogel-history-The Forge.xml" htmlTables="1"/>
  </connection>
  <connection id="33" name="Ferrogel-The Forge" type="4" refreshedVersion="0" background="1">
    <webPr xml="1" sourceData="1" parsePre="1" consecutive="1" url="C:\Documents and Settings\kevin\My Documents\Ferrogel-The Forge.xml" htmlTables="1"/>
  </connection>
  <connection id="34" name="Fullerides-history-The Forge" type="4" refreshedVersion="0" background="1">
    <webPr xml="1" sourceData="1" parsePre="1" consecutive="1" url="C:\Documents and Settings\kevin\My Documents\Fullerides-history-The Forge.xml" htmlTables="1"/>
  </connection>
  <connection id="35" name="Fullerides-The Forge" type="4" refreshedVersion="0" background="1">
    <webPr xml="1" sourceData="1" parsePre="1" consecutive="1" url="C:\Documents and Settings\kevin\My Documents\Fullerides-The Forge.xml" htmlTables="1"/>
  </connection>
  <connection id="36" name="Glossy Compound-history-The Forge" type="4" refreshedVersion="0" background="1">
    <webPr xml="1" sourceData="1" parsePre="1" consecutive="1" url="C:\Documents and Settings\kevin\My Documents\Glossy Compound-history-The Forge.xml" htmlTables="1"/>
  </connection>
  <connection id="37" name="Glossy Compound-The Forge" type="4" refreshedVersion="0" background="1">
    <webPr xml="1" sourceData="1" parsePre="1" consecutive="1" url="C:\Documents and Settings\kevin\My Documents\Glossy Compound-The Forge.xml" htmlTables="1"/>
  </connection>
  <connection id="38" name="Heavy Water-history-The Forge" type="4" refreshedVersion="0" background="1">
    <webPr xml="1" sourceData="1" parsePre="1" consecutive="1" url="C:\Documents and Settings\kevin\My Documents\Heavy Water-history-The Forge.xml" htmlTables="1"/>
  </connection>
  <connection id="39" name="Heavy Water-The Forge" type="4" refreshedVersion="0" background="1">
    <webPr xml="1" sourceData="1" parsePre="1" consecutive="1" url="C:\Documents and Settings\kevin\My Documents\Heavy Water-The Forge.xml" htmlTables="1"/>
  </connection>
  <connection id="40" name="Helium Isotopes-history-The Forge" type="4" refreshedVersion="0" background="1">
    <webPr xml="1" sourceData="1" parsePre="1" consecutive="1" url="C:\Documents and Settings\kevin\My Documents\Helium Isotopes-history-The Forge.xml" htmlTables="1"/>
  </connection>
  <connection id="41" name="Helium Isotopes-The Forge" type="4" refreshedVersion="0" background="1">
    <webPr xml="1" sourceData="1" parsePre="1" consecutive="1" url="C:\Documents and Settings\kevin\My Documents\Helium Isotopes-The Forge.xml" htmlTables="1"/>
  </connection>
  <connection id="42" name="Hydrogen Isotopes-history-The Forge" type="4" refreshedVersion="0" background="1">
    <webPr xml="1" sourceData="1" parsePre="1" consecutive="1" url="C:\Documents and Settings\kevin\My Documents\Hydrogen Isotopes-history-The Forge.xml" htmlTables="1"/>
  </connection>
  <connection id="43" name="Hydrogen Isotopes-The Forge" type="4" refreshedVersion="0" background="1">
    <webPr xml="1" sourceData="1" parsePre="1" consecutive="1" url="C:\Documents and Settings\kevin\My Documents\Hydrogen Isotopes-The Forge.xml" htmlTables="1"/>
  </connection>
  <connection id="44" name="Hypersynaptic Fibers-history-The Forge" type="4" refreshedVersion="0" background="1">
    <webPr xml="1" sourceData="1" parsePre="1" consecutive="1" url="C:\Documents and Settings\kevin\My Documents\Hypersynaptic Fibers-history-The Forge.xml" htmlTables="1"/>
  </connection>
  <connection id="45" name="Hypersynaptic Fibers-The Forge" type="4" refreshedVersion="0" background="1">
    <webPr xml="1" sourceData="1" parsePre="1" consecutive="1" url="C:\Documents and Settings\kevin\My Documents\Hypersynaptic Fibers-The Forge.xml" htmlTables="1"/>
  </connection>
  <connection id="46" name="Intact Armor Plates-history-The Forge" type="4" refreshedVersion="0" background="1">
    <webPr xml="1" sourceData="1" parsePre="1" consecutive="1" url="C:\Documents and Settings\kevin\My Documents\Intact Armor Plates-history-The Forge.xml" htmlTables="1"/>
  </connection>
  <connection id="47" name="Intact Armor Plates-The Forge" type="4" refreshedVersion="0" background="1">
    <webPr xml="1" sourceData="1" parsePre="1" consecutive="1" url="C:\Documents and Settings\kevin\My Documents\Intact Armor Plates-The Forge.xml" htmlTables="1"/>
  </connection>
  <connection id="48" name="isogen-history-The Forge" type="4" refreshedVersion="0" background="1">
    <webPr xml="1" sourceData="1" parsePre="1" consecutive="1" url="C:\Documents and Settings\kevin\My Documents\isogen-history-The Forge.xml" htmlTables="1"/>
  </connection>
  <connection id="49" name="Isogen-The Forge" type="4" refreshedVersion="0" background="1">
    <webPr xml="1" sourceData="1" parsePre="1" consecutive="1" url="C:\Documents and Settings\kevin\My Documents\Isogen-The Forge.xml" htmlTables="1"/>
  </connection>
  <connection id="50" name="Liquid Ozone-history-The Forge" type="4" refreshedVersion="0" background="1">
    <webPr xml="1" sourceData="1" parsePre="1" consecutive="1" url="C:\Documents and Settings\kevin\My Documents\Liquid Ozone-history-The Forge.xml" htmlTables="1"/>
  </connection>
  <connection id="51" name="Liquid Ozone-The Forge" type="4" refreshedVersion="0" background="1">
    <webPr xml="1" sourceData="1" parsePre="1" consecutive="1" url="C:\Documents and Settings\kevin\My Documents\Liquid Ozone-The Forge.xml" htmlTables="1"/>
  </connection>
  <connection id="52" name="Mechanical Parts-history-The Forge" type="4" refreshedVersion="0" background="1">
    <webPr xml="1" sourceData="1" parsePre="1" consecutive="1" url="C:\Documents and Settings\kevin\My Documents\Mechanical Parts-history-The Forge.xml" htmlTables="1"/>
  </connection>
  <connection id="53" name="Mechanical Parts-The Forge" type="4" refreshedVersion="0" background="1">
    <webPr xml="1" sourceData="1" parsePre="1" consecutive="1" url="C:\Documents and Settings\kevin\My Documents\Mechanical Parts-The Forge.xml" htmlTables="1"/>
  </connection>
  <connection id="54" name="Megacyte-history-The Forge" type="4" refreshedVersion="0" background="1">
    <webPr xml="1" sourceData="1" parsePre="1" consecutive="1" url="C:\Documents and Settings\kevin\My Documents\Megacyte-history-The Forge.xml" htmlTables="1"/>
  </connection>
  <connection id="55" name="Megacyte-The Forge" type="4" refreshedVersion="0" background="1">
    <webPr xml="1" sourceData="1" parsePre="1" consecutive="1" url="C:\Documents and Settings\kevin\My Documents\Megacyte-The Forge.xml" htmlTables="1"/>
  </connection>
  <connection id="56" name="Melted Nanoribbons-history-The Forge" type="4" refreshedVersion="0" background="1">
    <webPr xml="1" sourceData="1" parsePre="1" consecutive="1" url="C:\Documents and Settings\kevin\My Documents\Melted Nanoribbons-history-The Forge.xml" htmlTables="1"/>
  </connection>
  <connection id="57" name="Melted Nanoribbons-The Forge" type="4" refreshedVersion="0" background="1">
    <webPr xml="1" sourceData="1" parsePre="1" consecutive="1" url="C:\Documents and Settings\kevin\My Documents\Melted Nanoribbons-The Forge.xml" htmlTables="1"/>
  </connection>
  <connection id="58" name="Memory Augmentation - Improved-history-The Forge" type="4" refreshedVersion="0" background="1">
    <webPr xml="1" sourceData="1" parsePre="1" consecutive="1" url="C:\Documents and Settings\kevin\My Documents\Memory Augmentation - Improved-history-The Forge.xml" htmlTables="1"/>
  </connection>
  <connection id="59" name="Memory Augmentation - Improved-The Forge" type="4" refreshedVersion="0" background="1">
    <webPr xml="1" sourceData="1" parsePre="1" consecutive="1" url="C:\Documents and Settings\kevin\My Documents\Memory Augmentation - Improved-The Forge.xml" htmlTables="1"/>
  </connection>
  <connection id="60" name="Mexallon-history-The Forge" type="4" refreshedVersion="0" background="1">
    <webPr xml="1" sourceData="1" parsePre="1" consecutive="1" url="C:\Documents and Settings\kevin\My Documents\Mexallon-history-The Forge.xml" htmlTables="1"/>
  </connection>
  <connection id="61" name="Mexallon-The Forge" type="4" refreshedVersion="0" background="1">
    <webPr xml="1" sourceData="1" parsePre="1" consecutive="1" url="C:\Documents and Settings\kevin\My Documents\Mexallon-The Forge.xml" htmlTables="1"/>
  </connection>
  <connection id="62" name="Nanotransistors-history-The Forge" type="4" refreshedVersion="0" background="1">
    <webPr xml="1" sourceData="1" parsePre="1" consecutive="1" url="C:\Documents and Settings\kevin\My Documents\Nanotransistors-history-The Forge.xml" htmlTables="1"/>
  </connection>
  <connection id="63" name="Nanotransistors-The Forge" type="4" refreshedVersion="0" background="1">
    <webPr xml="1" sourceData="1" parsePre="1" consecutive="1" url="C:\Documents and Settings\kevin\My Documents\Nanotransistors-The Forge.xml" htmlTables="1"/>
  </connection>
  <connection id="64" name="Neodymium-The Forge" type="6" refreshedVersion="3" background="1">
    <textPr codePage="437" sourceFile="C:\Documents and Settings\kevin\My Documents\Neodymium-The Forge.csv" delimited="0">
      <textFields count="6">
        <textField/>
        <textField position="11"/>
        <textField position="21"/>
        <textField position="31"/>
        <textField position="41"/>
        <textField position="49"/>
      </textFields>
    </textPr>
  </connection>
  <connection id="65" name="Neural Boost - Improved-history-The Forge" type="4" refreshedVersion="0" background="1">
    <webPr xml="1" sourceData="1" parsePre="1" consecutive="1" url="C:\Documents and Settings\kevin\My Documents\Neural Boost - Improved-history-The Forge.xml" htmlTables="1"/>
  </connection>
  <connection id="66" name="Neural Boost - Improved-The Forge" type="4" refreshedVersion="0" background="1">
    <webPr xml="1" sourceData="1" parsePre="1" consecutive="1" url="C:\Documents and Settings\kevin\My Documents\Neural Boost - Improved-The Forge.xml" htmlTables="1"/>
  </connection>
  <connection id="67" name="Nitrogen Isotopes-history-The Forge" type="4" refreshedVersion="0" background="1">
    <webPr xml="1" sourceData="1" parsePre="1" consecutive="1" url="C:\Documents and Settings\kevin\My Documents\Nitrogen Isotopes-history-The Forge.xml" htmlTables="1"/>
  </connection>
  <connection id="68" name="Nitrogen Isotopes-The Forge" type="4" refreshedVersion="0" background="1">
    <webPr xml="1" sourceData="1" parsePre="1" consecutive="1" url="C:\Documents and Settings\kevin\My Documents\Nitrogen Isotopes-The Forge.xml" htmlTables="1"/>
  </connection>
  <connection id="69" name="nocxium-history-The Forge" type="4" refreshedVersion="0" background="1">
    <webPr xml="1" sourceData="1" parsePre="1" consecutive="1" url="C:\Documents and Settings\kevin\My Documents\nocxium-history-The Forge.xml" htmlTables="1"/>
  </connection>
  <connection id="70" name="Nocxium-The Forge" type="4" refreshedVersion="0" background="1">
    <webPr xml="1" sourceData="1" parsePre="1" consecutive="1" url="C:\Documents and Settings\kevin\My Documents\Nocxium-The Forge.xml" htmlTables="1"/>
  </connection>
  <connection id="71" name="Ocular Filter - Improved-history-The Forge" type="4" refreshedVersion="0" background="1">
    <webPr xml="1" sourceData="1" parsePre="1" consecutive="1" url="C:\Documents and Settings\kevin\My Documents\Ocular Filter - Improved-history-The Forge.xml" htmlTables="1"/>
  </connection>
  <connection id="72" name="Ocular Filter - Improved-The Forge" type="4" refreshedVersion="0" background="1">
    <webPr xml="1" sourceData="1" parsePre="1" consecutive="1" url="C:\Documents and Settings\kevin\My Documents\Ocular Filter - Improved-The Forge.xml" htmlTables="1"/>
  </connection>
  <connection id="73" name="Oxygen Isotopes-history-The Forge" type="4" refreshedVersion="0" background="1">
    <webPr xml="1" sourceData="1" parsePre="1" consecutive="1" url="C:\Documents and Settings\kevin\My Documents\Oxygen Isotopes-history-The Forge.xml" htmlTables="1"/>
  </connection>
  <connection id="74" name="Oxygen Isotopes-The Forge" type="4" refreshedVersion="0" background="1">
    <webPr xml="1" sourceData="1" parsePre="1" consecutive="1" url="C:\Documents and Settings\kevin\My Documents\Oxygen Isotopes-The Forge.xml" htmlTables="1"/>
  </connection>
  <connection id="75" name="Phenolic Composites-history-The Forge" type="4" refreshedVersion="0" background="1">
    <webPr xml="1" sourceData="1" parsePre="1" consecutive="1" url="C:\Documents and Settings\kevin\My Documents\Phenolic Composites-history-The Forge.xml" htmlTables="1"/>
  </connection>
  <connection id="76" name="Phenolic Composites-The Forge" type="4" refreshedVersion="0" background="1">
    <webPr xml="1" sourceData="1" parsePre="1" consecutive="1" url="C:\Documents and Settings\kevin\My Documents\Phenolic Composites-The Forge.xml" htmlTables="1"/>
  </connection>
  <connection id="77" name="Plush Compound-history-The Forge" type="4" refreshedVersion="0" background="1">
    <webPr xml="1" sourceData="1" parsePre="1" consecutive="1" url="C:\Documents and Settings\kevin\My Documents\Plush Compound-history-The Forge.xml" htmlTables="1"/>
  </connection>
  <connection id="78" name="Plush Compound-The Forge" type="4" refreshedVersion="0" background="1">
    <webPr xml="1" sourceData="1" parsePre="1" consecutive="1" url="C:\Documents and Settings\kevin\My Documents\Plush Compound-The Forge.xml" htmlTables="1"/>
  </connection>
  <connection id="79" name="Power Circuit-history-The Forge" type="4" refreshedVersion="0" background="1">
    <webPr xml="1" sourceData="1" parsePre="1" consecutive="1" url="C:\Documents and Settings\kevin\My Documents\Power Circuit-history-The Forge.xml" htmlTables="1"/>
  </connection>
  <connection id="80" name="Power Circuit-The Forge" type="4" refreshedVersion="0" background="1">
    <webPr xml="1" sourceData="1" parsePre="1" consecutive="1" url="C:\Documents and Settings\kevin\My Documents\Power Circuit-The Forge.xml" htmlTables="1"/>
  </connection>
  <connection id="81" name="Pyerite-history-The Forge" type="4" refreshedVersion="0" background="1">
    <webPr xml="1" sourceData="1" parsePre="1" consecutive="1" url="C:\Documents and Settings\kevin\My Documents\Pyerite-history-The Forge.xml" htmlTables="1"/>
  </connection>
  <connection id="82" name="Pyerite-The Forge" type="4" refreshedVersion="0" background="1">
    <webPr xml="1" sourceData="1" parsePre="1" consecutive="1" url="C:\Documents and Settings\kevin\My Documents\Pyerite-The Forge.xml" htmlTables="1"/>
  </connection>
  <connection id="83" name="Rocket Fuel-history-The Forge" type="4" refreshedVersion="0" background="1">
    <webPr xml="1" sourceData="1" parsePre="1" consecutive="1" url="C:\Documents and Settings\kevin\My Documents\Rocket Fuel-history-The Forge.xml" htmlTables="1"/>
  </connection>
  <connection id="84" name="Rocket Fuel-The Forge" type="4" refreshedVersion="0" background="1">
    <webPr xml="1" sourceData="1" parsePre="1" consecutive="1" url="C:\Documents and Settings\kevin\My Documents\Rocket Fuel-The Forge.xml" htmlTables="1"/>
  </connection>
  <connection id="85" name="Social Adaptation Chip - Improved-history-The Forge" type="4" refreshedVersion="0" background="1">
    <webPr xml="1" sourceData="1" parsePre="1" consecutive="1" url="C:\Documents and Settings\kevin\My Documents\Social Adaptation Chip - Improved-history-The Forge.xml" htmlTables="1"/>
  </connection>
  <connection id="86" name="Social Adaptation Chip - Improved-The Forge" type="4" refreshedVersion="0" background="1">
    <webPr xml="1" sourceData="1" parsePre="1" consecutive="1" url="C:\Documents and Settings\kevin\My Documents\Social Adaptation Chip - Improved-The Forge.xml" htmlTables="1"/>
  </connection>
  <connection id="87" name="Sylramic Fibers-history-The Forge" type="4" refreshedVersion="0" background="1">
    <webPr xml="1" sourceData="1" parsePre="1" consecutive="1" url="C:\Documents and Settings\kevin\My Documents\Sylramic Fibers-history-The Forge.xml" htmlTables="1"/>
  </connection>
  <connection id="88" name="Sylramic Fibers-The Forge" type="4" refreshedVersion="0" background="1">
    <webPr xml="1" sourceData="1" parsePre="1" consecutive="1" url="C:\Documents and Settings\kevin\My Documents\Sylramic Fibers-The Forge.xml" htmlTables="1"/>
  </connection>
  <connection id="89" name="Technetium-history-The Forge" type="4" refreshedVersion="0" background="1">
    <webPr xml="1" sourceData="1" parsePre="1" consecutive="1" url="C:\Documents and Settings\kevin\My Documents\Technetium-history-The Forge.xml" htmlTables="1"/>
  </connection>
  <connection id="90" name="Technetium-The Forge" type="4" refreshedVersion="0" background="1">
    <webPr xml="1" sourceData="1" parsePre="1" consecutive="1" url="C:\Documents and Settings\kevin\My Documents\Technetium-The Forge.xml" htmlTables="1"/>
  </connection>
  <connection id="91" name="Titanium Carbide-history-The Forge" type="4" refreshedVersion="0" background="1">
    <webPr xml="1" sourceData="1" parsePre="1" consecutive="1" url="C:\Documents and Settings\kevin\My Documents\Titanium Carbide-history-The Forge.xml" htmlTables="1"/>
  </connection>
  <connection id="92" name="Titanium Carbide-The Forge" type="4" refreshedVersion="0" background="1">
    <webPr xml="1" sourceData="1" parsePre="1" consecutive="1" url="C:\Documents and Settings\kevin\My Documents\Titanium Carbide-The Forge.xml" htmlTables="1"/>
  </connection>
  <connection id="93" name="Tripped Power Circuit-history-The Forge" type="4" refreshedVersion="0" background="1">
    <webPr xml="1" sourceData="1" parsePre="1" consecutive="1" url="C:\Documents and Settings\kevin\My Documents\Tripped Power Circuit-history-The Forge.xml" htmlTables="1"/>
  </connection>
  <connection id="94" name="Tripped Power Circuit-The Forge" type="4" refreshedVersion="0" background="1">
    <webPr xml="1" sourceData="1" parsePre="1" consecutive="1" url="C:\Documents and Settings\kevin\My Documents\Tripped Power Circuit-The Forge.xml" htmlTables="1"/>
  </connection>
  <connection id="95" name="Tritanium-history-The Forge" type="4" refreshedVersion="0" background="1">
    <webPr xml="1" sourceData="1" parsePre="1" consecutive="1" url="C:\Documents and Settings\kevin\My Documents\Tritanium-history-The Forge.xml" htmlTables="1"/>
  </connection>
  <connection id="96" name="Tritanium-history-The Forge1" type="4" refreshedVersion="0" background="1">
    <webPr xml="1" sourceData="1" parsePre="1" consecutive="1" url="C:\Documents and Settings\kevin\My Documents\Tritanium-history-The Forge.xml" htmlTables="1"/>
  </connection>
  <connection id="97" name="Tritanium-The Forge" type="4" refreshedVersion="0" background="1">
    <webPr xml="1" sourceData="1" parsePre="1" consecutive="1" url="C:\Documents and Settings\kevin\My Documents\Tritanium-The Forge.xml" htmlTables="1"/>
  </connection>
  <connection id="98" name="Tungsten Carbide-history-The Forge" type="4" refreshedVersion="0" background="1">
    <webPr xml="1" sourceData="1" parsePre="1" consecutive="1" url="C:\Documents and Settings\kevin\My Documents\Tungsten Carbide-history-The Forge.xml" htmlTables="1"/>
  </connection>
  <connection id="99" name="Tungsten Carbide-The Forge" type="4" refreshedVersion="0" background="1">
    <webPr xml="1" sourceData="1" parsePre="1" consecutive="1" url="C:\Documents and Settings\kevin\My Documents\Tungsten Carbide-The Forge.xml" htmlTables="1"/>
  </connection>
  <connection id="100" name="Tungsten Carbide-The Forge1" type="6" refreshedVersion="3" background="1">
    <textPr codePage="437" sourceFile="C:\Documents and Settings\kevin\My Documents\Tungsten Carbide-The Forge.csv" delimited="0">
      <textFields count="5">
        <textField/>
        <textField position="11"/>
        <textField position="18"/>
        <textField position="25"/>
        <textField position="32"/>
      </textFields>
    </textPr>
  </connection>
  <connection id="101" name="Ward Console-history-The Forge" type="4" refreshedVersion="0" background="1">
    <webPr xml="1" sourceData="1" parsePre="1" consecutive="1" url="C:\Documents and Settings\kevin\My Documents\Ward Console-history-The Forge.xml" htmlTables="1"/>
  </connection>
  <connection id="102" name="Ward Console-The Forge" type="4" refreshedVersion="0" background="1">
    <webPr xml="1" sourceData="1" parsePre="1" consecutive="1" url="C:\Documents and Settings\kevin\My Documents\Ward Console-The Forge.xml" htmlTables="1"/>
  </connection>
  <connection id="103" name="zydrine-history-The Forge" type="4" refreshedVersion="0" background="1">
    <webPr xml="1" sourceData="1" parsePre="1" consecutive="1" url="C:\Documents and Settings\kevin\My Documents\zydrine-history-The Forge.xml" htmlTables="1"/>
  </connection>
  <connection id="104" name="Zydrine-The Forge" type="4" refreshedVersion="0" background="1">
    <webPr xml="1" sourceData="1" parsePre="1" consecutive="1" url="C:\Documents and Settings\kevin\My Documents\Zydrine-The Forge.xml" htmlTables="1"/>
  </connection>
</connections>
</file>

<file path=xl/sharedStrings.xml><?xml version="1.0" encoding="utf-8"?>
<sst xmlns="http://schemas.openxmlformats.org/spreadsheetml/2006/main" count="1389" uniqueCount="486">
  <si>
    <t>ID</t>
  </si>
  <si>
    <t>MARGIN ITEMS</t>
  </si>
  <si>
    <t>Cybernetic Subprocessor - Improved</t>
  </si>
  <si>
    <t>Isogen</t>
  </si>
  <si>
    <t>Megacyte</t>
  </si>
  <si>
    <t>Mexallon</t>
  </si>
  <si>
    <t>Nocxium</t>
  </si>
  <si>
    <t>Pyerite</t>
  </si>
  <si>
    <t>Tritanium</t>
  </si>
  <si>
    <t>Zydrine</t>
  </si>
  <si>
    <t>30 Day Pilot's License Extension (PLEX)</t>
  </si>
  <si>
    <t>Technetium</t>
  </si>
  <si>
    <t>Oxygen Isotopes</t>
  </si>
  <si>
    <t>Nitrogen Isotopes</t>
  </si>
  <si>
    <t>Liquid Ozone</t>
  </si>
  <si>
    <t>Hydrogen Isotopes</t>
  </si>
  <si>
    <t>Melted Nanoribbons</t>
  </si>
  <si>
    <t>Power Circuit</t>
  </si>
  <si>
    <t>Enriched Uranium</t>
  </si>
  <si>
    <t>Nanotransistors</t>
  </si>
  <si>
    <t>Ferrogel</t>
  </si>
  <si>
    <t>Glossy Compound</t>
  </si>
  <si>
    <t>Helium Isotopes</t>
  </si>
  <si>
    <t>Neural Boost - Improved</t>
  </si>
  <si>
    <t>Fullerides</t>
  </si>
  <si>
    <t>Heavy Water</t>
  </si>
  <si>
    <t>Social Adaptation Chip - Improved</t>
  </si>
  <si>
    <t>Armor Plates</t>
  </si>
  <si>
    <t>Intact Armor Plates</t>
  </si>
  <si>
    <t>Coolant</t>
  </si>
  <si>
    <t>Memory Augmentation - Improved</t>
  </si>
  <si>
    <t>Ocular Filter - Improved</t>
  </si>
  <si>
    <t>Enhanced Ward Console</t>
  </si>
  <si>
    <t>Tungsten Carbide</t>
  </si>
  <si>
    <t>Fernite Carbide</t>
  </si>
  <si>
    <t>Mechanical Parts</t>
  </si>
  <si>
    <t>Tripped Power Circuit</t>
  </si>
  <si>
    <t>Burned Logic Circuit</t>
  </si>
  <si>
    <t>Crystalline Carbonide</t>
  </si>
  <si>
    <t>Rocket Fuel</t>
  </si>
  <si>
    <t>Titanium Carbide</t>
  </si>
  <si>
    <t>Hypersynaptic Fibers</t>
  </si>
  <si>
    <t>Sylramic Fibers</t>
  </si>
  <si>
    <t>Carbon-86 Epoxy Resin</t>
  </si>
  <si>
    <t>C3-FTM Acid</t>
  </si>
  <si>
    <t>Alloyed Tritanium Bar</t>
  </si>
  <si>
    <t>Ward Console</t>
  </si>
  <si>
    <t>Capacitor Console</t>
  </si>
  <si>
    <t>Phenolic Composites</t>
  </si>
  <si>
    <t>Fermionic Condensates</t>
  </si>
  <si>
    <t>Plush Compound</t>
  </si>
  <si>
    <t>Column1</t>
  </si>
  <si>
    <t>MINERALS</t>
  </si>
  <si>
    <t>ORDER</t>
  </si>
  <si>
    <t>ORDER2</t>
  </si>
  <si>
    <t>EXPENSE</t>
  </si>
  <si>
    <t>PROFIT</t>
  </si>
  <si>
    <t>OrderID</t>
  </si>
  <si>
    <t>TypeID</t>
  </si>
  <si>
    <t>VolEnt</t>
  </si>
  <si>
    <t>VolRem</t>
  </si>
  <si>
    <t>Price</t>
  </si>
  <si>
    <t>MinVol</t>
  </si>
  <si>
    <t>Bid</t>
  </si>
  <si>
    <t>Duration</t>
  </si>
  <si>
    <t>StationID</t>
  </si>
  <si>
    <t>Range</t>
  </si>
  <si>
    <t>Jumps</t>
  </si>
  <si>
    <t>TRIT</t>
  </si>
  <si>
    <t>PYERITE</t>
  </si>
  <si>
    <t>MEXALLON</t>
  </si>
  <si>
    <t>orderID</t>
  </si>
  <si>
    <t>volRemaining</t>
  </si>
  <si>
    <t>typeID</t>
  </si>
  <si>
    <t>price</t>
  </si>
  <si>
    <t>bid</t>
  </si>
  <si>
    <t>ISOGEN</t>
  </si>
  <si>
    <t>NOCXIUM</t>
  </si>
  <si>
    <t>ZYDRINE</t>
  </si>
  <si>
    <t>MEGACYTE</t>
  </si>
  <si>
    <t>BMV</t>
  </si>
  <si>
    <t>SMV</t>
  </si>
  <si>
    <t>REM</t>
  </si>
  <si>
    <t>PLEX</t>
  </si>
  <si>
    <t>TECHNETIUM</t>
  </si>
  <si>
    <t>OXYGEN ISOTOPES</t>
  </si>
  <si>
    <t>NITROGEN ISOTOPES</t>
  </si>
  <si>
    <t>LIQUID OZONE</t>
  </si>
  <si>
    <t>HYDROGEN ISOTOPES</t>
  </si>
  <si>
    <t>MELTED NANORIBBONS</t>
  </si>
  <si>
    <t>POWER CIRCUITS</t>
  </si>
  <si>
    <t>ENRICHED URANIUM</t>
  </si>
  <si>
    <t>NANOTRANSISTORS</t>
  </si>
  <si>
    <t>FERROGEL</t>
  </si>
  <si>
    <t>Raven</t>
  </si>
  <si>
    <t>Wrath</t>
  </si>
  <si>
    <t>Paradise</t>
  </si>
  <si>
    <t>Devastator  Missile`</t>
  </si>
  <si>
    <t>Cataclysm Cruise Missile x1500</t>
  </si>
  <si>
    <t>Widowmaker x1500</t>
  </si>
  <si>
    <t>Scourge Heavy Missile x1500</t>
  </si>
  <si>
    <t>ZW-4100 Siege Missile Bay</t>
  </si>
  <si>
    <t>Y-T8 Overcharged Hydrocarbon I Microwarpdrive</t>
  </si>
  <si>
    <t>Y-S8 Hydrocarbon I Afterburners</t>
  </si>
  <si>
    <t>XT-9000 Cruise Launcher</t>
  </si>
  <si>
    <t>X-Large Neutron Saturation Injector</t>
  </si>
  <si>
    <t>X-Large Converse I Deflection Catalyzer</t>
  </si>
  <si>
    <t>X-Large Clarity Ward Booster</t>
  </si>
  <si>
    <t>X-Large C5-L Emergency Shield Overload</t>
  </si>
  <si>
    <t>Warp Scrambler</t>
  </si>
  <si>
    <t>Warp Disruptor</t>
  </si>
  <si>
    <t>Voltaic Nanite Thermic Hardener</t>
  </si>
  <si>
    <t>Voltaic Nanite Kinetic Hardener</t>
  </si>
  <si>
    <t>Voltaic Nanite Explosive Hardener</t>
  </si>
  <si>
    <t>Voltaic Nanite EM Hardener</t>
  </si>
  <si>
    <t>Veldspar x333</t>
  </si>
  <si>
    <t>Tracking Link</t>
  </si>
  <si>
    <t xml:space="preserve">Tracking Disruptor </t>
  </si>
  <si>
    <t>Target Painter</t>
  </si>
  <si>
    <t>Tachyon Modal Laser</t>
  </si>
  <si>
    <t>Tachyon Anode Particle Stream</t>
  </si>
  <si>
    <t>Tachyon Afocal Maser</t>
  </si>
  <si>
    <t>Stasis Webifier</t>
  </si>
  <si>
    <t>Small Shield Transporter</t>
  </si>
  <si>
    <t>Small Shield Booster</t>
  </si>
  <si>
    <t>Small Rudimentary Energy Destablizer</t>
  </si>
  <si>
    <t>Small Remote Armor Repair System</t>
  </si>
  <si>
    <t>Shield Recharger</t>
  </si>
  <si>
    <t>Small Proton Smartbomb</t>
  </si>
  <si>
    <t>Shield Power Relay</t>
  </si>
  <si>
    <t>Small Hull Repairer</t>
  </si>
  <si>
    <t>Small Nosferatu</t>
  </si>
  <si>
    <t>Small Graviton Smartbomb</t>
  </si>
  <si>
    <t>Small Energy Transfer Array</t>
  </si>
  <si>
    <t>Small Energy Neutralizer</t>
  </si>
  <si>
    <t>Small EMP Smartbomb</t>
  </si>
  <si>
    <t>Small Capacitor Booster</t>
  </si>
  <si>
    <t>Small Capacitor Battery</t>
  </si>
  <si>
    <t>Sheen Compound x100</t>
  </si>
  <si>
    <t>Scordite x333</t>
  </si>
  <si>
    <t>Remote Sensor Dampener</t>
  </si>
  <si>
    <t>Regulated Mega Neutron Phase Cannon</t>
  </si>
  <si>
    <t>Regulated Mega Electron Phase Cannon</t>
  </si>
  <si>
    <t>Radioisotope Thermic Hardener</t>
  </si>
  <si>
    <t>Radioisotope Kinetic Hardener</t>
  </si>
  <si>
    <t>Radioisotope Explosive Hardener</t>
  </si>
  <si>
    <t>Radioisotope EM Hardener</t>
  </si>
  <si>
    <t>Radar Backup Array</t>
  </si>
  <si>
    <t>Quad Lif Fueled I Booster Rockets</t>
  </si>
  <si>
    <t>Pyroxeres x333</t>
  </si>
  <si>
    <t>Precious Alloy x100</t>
  </si>
  <si>
    <t>Plush Compound x100</t>
  </si>
  <si>
    <t>Plagioclase x333</t>
  </si>
  <si>
    <t>Photon Scattering Field</t>
  </si>
  <si>
    <t>Phased Monopropellant I Hydrazine Boosters</t>
  </si>
  <si>
    <t>Passive Targeter</t>
  </si>
  <si>
    <t>Overdrive Injector System</t>
  </si>
  <si>
    <t>Omber x500</t>
  </si>
  <si>
    <t>Neutron Blaster Cannon</t>
  </si>
  <si>
    <t>N-Type Thermic Hardener</t>
  </si>
  <si>
    <t>N-Type Kinetic Hardener</t>
  </si>
  <si>
    <t>N-Type Explosive Hardener</t>
  </si>
  <si>
    <t>N-Type EM Hardener</t>
  </si>
  <si>
    <t>Motley Compound</t>
  </si>
  <si>
    <t xml:space="preserve">Modal Mega Neutron Particle Accelerator </t>
  </si>
  <si>
    <t>Modal Mega Electron Particle Accelerator</t>
  </si>
  <si>
    <t xml:space="preserve">Miner </t>
  </si>
  <si>
    <t>Microcell Nanite Thermic Hardener</t>
  </si>
  <si>
    <t>Microcell Nanite Kinetic Hardener</t>
  </si>
  <si>
    <t>Microcell Nanite Explosive Hardener</t>
  </si>
  <si>
    <t>Microcell Nanite EM Hardener</t>
  </si>
  <si>
    <t>Mega Pulse Laser</t>
  </si>
  <si>
    <t>Mega Modulated Energy Beam</t>
  </si>
  <si>
    <t>Mega Modal Laser</t>
  </si>
  <si>
    <t>Mega Anode Particle Stream</t>
  </si>
  <si>
    <t>Mega Afocal Pulse Maser</t>
  </si>
  <si>
    <t>Mega Afocal Maser</t>
  </si>
  <si>
    <t>Medium YF-12A Smartbomb</t>
  </si>
  <si>
    <t>Medium Shield Transporter</t>
  </si>
  <si>
    <t>Medium Shield Extender</t>
  </si>
  <si>
    <t>Medium Shield Booster</t>
  </si>
  <si>
    <t>Medium Rudimentary Concussion Bomb</t>
  </si>
  <si>
    <t>Medium Remote Armor Repair System</t>
  </si>
  <si>
    <t>Medium Pulse Laser</t>
  </si>
  <si>
    <t>Medium Proton Smartbomb</t>
  </si>
  <si>
    <t>Medium Plasma Smartbomb</t>
  </si>
  <si>
    <t>Medium Nosferatu</t>
  </si>
  <si>
    <t>Medium Hull Repairer</t>
  </si>
  <si>
    <t>Medium Graviton Smartbomb</t>
  </si>
  <si>
    <t>Medium Energy Transfer Array</t>
  </si>
  <si>
    <t>Medium Energy Neutralizer</t>
  </si>
  <si>
    <t>Medium EMP Smartbomb</t>
  </si>
  <si>
    <t>Medium Capacitor Booster</t>
  </si>
  <si>
    <t>Medium Capacitor Battery</t>
  </si>
  <si>
    <t>Medium Beam Laser</t>
  </si>
  <si>
    <t>Medium Armor Repairer</t>
  </si>
  <si>
    <t>Medium 'Notos' Explosive Charge</t>
  </si>
  <si>
    <t>Magnetic Field Stablizer</t>
  </si>
  <si>
    <t>Lustering Alloy x100</t>
  </si>
  <si>
    <t>Lucent Compound x100</t>
  </si>
  <si>
    <t>Limited Neutron Blaster</t>
  </si>
  <si>
    <t>Limited Mega Neutron Blaster</t>
  </si>
  <si>
    <t>Limited Electron Blaster Cannon</t>
  </si>
  <si>
    <t>LIF Fueld I Booster Rockets</t>
  </si>
  <si>
    <t>Large YF-12a Smartbomb</t>
  </si>
  <si>
    <t>Large Supplemental Barrier Emitter</t>
  </si>
  <si>
    <t>Large Subordinate Screen Stabilizer</t>
  </si>
  <si>
    <t>Large Shield Extender</t>
  </si>
  <si>
    <t>Large Shield Booster</t>
  </si>
  <si>
    <t>Large S95A Partial Shield Transporter</t>
  </si>
  <si>
    <t>Large Rudimentary Concussive Bomb</t>
  </si>
  <si>
    <t>Large Remote Armor Repair System</t>
  </si>
  <si>
    <t>Large Neutron Saturation Injector</t>
  </si>
  <si>
    <t>Large Ohm Capacitor Reserve</t>
  </si>
  <si>
    <t>Large Murky Shield Screen Transmitter</t>
  </si>
  <si>
    <t>Large Murky Energy Transmitter</t>
  </si>
  <si>
    <t>Large 'Notos' Explosive Charge</t>
  </si>
  <si>
    <t>Large LD-Acid Capacitor Battery</t>
  </si>
  <si>
    <t>Large Inefficient Armor Repair Unit</t>
  </si>
  <si>
    <t xml:space="preserve">Large I-A Polarized Armor Regenerator </t>
  </si>
  <si>
    <t>Large F-4A LD-Sulfate I Capacitor Charge Unit</t>
  </si>
  <si>
    <t>Large Clarity Ward Booster</t>
  </si>
  <si>
    <t>Large Capacitor Battery</t>
  </si>
  <si>
    <t>Large C5-L Emergency Shield Overload</t>
  </si>
  <si>
    <t>Large Azeotropic Ward Salubrity</t>
  </si>
  <si>
    <t>Large Automated I Carapace Restoration</t>
  </si>
  <si>
    <t>Large Asymmetric Energy Succor</t>
  </si>
  <si>
    <t>Large Asymmetric Barrier Transpositioner</t>
  </si>
  <si>
    <t>Large 'Vehemence' I Shockwave Charge</t>
  </si>
  <si>
    <t>Large 'Atonement' I Ward Projector</t>
  </si>
  <si>
    <t>Large 'Accommodation' Vestment Reconstructer</t>
  </si>
  <si>
    <t>Ladar Backup Array</t>
  </si>
  <si>
    <t>Kernite x400</t>
  </si>
  <si>
    <t>Heavy Tapered Capacitor Infusion</t>
  </si>
  <si>
    <t>Heavy Rudimentary Energy Destabilizer</t>
  </si>
  <si>
    <t>Heavy Pulse Laser</t>
  </si>
  <si>
    <t>Heavy Neutron Blaster</t>
  </si>
  <si>
    <t>Heavy Modal Pulse Laser</t>
  </si>
  <si>
    <t>Heavy Modal Laser</t>
  </si>
  <si>
    <t>Heavy Missile Launcher</t>
  </si>
  <si>
    <t>Heavy Assault Missile Launcher</t>
  </si>
  <si>
    <t>Heavy Ion Blaster</t>
  </si>
  <si>
    <t>Heavy F-RX Prototype I Capacitor Booster</t>
  </si>
  <si>
    <t>Heavy Electron Blaster</t>
  </si>
  <si>
    <t>Heavy Electrochemical Capacitor Booster</t>
  </si>
  <si>
    <t xml:space="preserve">Heavy Diminishing Power System Drain </t>
  </si>
  <si>
    <t>Heavy Capacitor Booster</t>
  </si>
  <si>
    <t>Heavy Brief Capacitor Overcharge</t>
  </si>
  <si>
    <t>Heavy Beam Laser</t>
  </si>
  <si>
    <t>Heavy 'Knave” Energy Drain</t>
  </si>
  <si>
    <t>Heavy 'Gremlin' Power Core Disruptor</t>
  </si>
  <si>
    <t>Heavy 'Ghoul” Energy Siphon</t>
  </si>
  <si>
    <t>Heavy Anode Particle Stream</t>
  </si>
  <si>
    <t>Heavy Afocal Pulse Maser</t>
  </si>
  <si>
    <t>Heavy Afocal Maser</t>
  </si>
  <si>
    <t>Heat Dissipation Field</t>
  </si>
  <si>
    <t>Heat Dissipation Amplifier</t>
  </si>
  <si>
    <t>Gleaming Alloy x100</t>
  </si>
  <si>
    <t>Focused Medium Pulse Laser</t>
  </si>
  <si>
    <t>Focused Medium Beam Laser</t>
  </si>
  <si>
    <t>Focused Afocal Medium Maser</t>
  </si>
  <si>
    <t>F-S15 Braced Deflection Shield Matrix</t>
  </si>
  <si>
    <t>ECM Burst</t>
  </si>
  <si>
    <t>ECCM Projector</t>
  </si>
  <si>
    <t>ECCM – Radar</t>
  </si>
  <si>
    <t>ECCM – Omni</t>
  </si>
  <si>
    <t xml:space="preserve">ECCM – Gravimetric </t>
  </si>
  <si>
    <t>Explosion Dampening Field</t>
  </si>
  <si>
    <t>Explosion Dampening Amplifier</t>
  </si>
  <si>
    <t>E500 Prototype Energy Vampire</t>
  </si>
  <si>
    <t>Dual Modulated Heavy Energy Beam</t>
  </si>
  <si>
    <t>Dual Modal Heavy Pulse Laser</t>
  </si>
  <si>
    <t>Dual Modal Heavy Laser</t>
  </si>
  <si>
    <t>Dual Light Beam Laser</t>
  </si>
  <si>
    <t>Dual Heavy Pulse Laser</t>
  </si>
  <si>
    <t>Dual Heavy Modulated Pulse Energy Beam</t>
  </si>
  <si>
    <t>Dual Heavy Modal Pulse Laser</t>
  </si>
  <si>
    <t>Dual Heavy Beam Laser</t>
  </si>
  <si>
    <t>Dual Heavy Anode Pulse Particle Stream</t>
  </si>
  <si>
    <t>Dual Heavy Afocal Pulse Maser</t>
  </si>
  <si>
    <t>Dual Anode Heavy Particle Stream</t>
  </si>
  <si>
    <t>Dual Afocal Heavy Maser</t>
  </si>
  <si>
    <t>Dual 650mm Prototype I Repeating Siege Cannon</t>
  </si>
  <si>
    <t>Dual 650mm Gallium I Repeating Cannon</t>
  </si>
  <si>
    <t>Dual 650mm Carbine Repeating Howitzer</t>
  </si>
  <si>
    <t>Dual 650mm 'Scout' Repeating Artillery</t>
  </si>
  <si>
    <t>Dual 425 'Scout' Autocannon</t>
  </si>
  <si>
    <t>Dual 250mm Compressed Coil Gun</t>
  </si>
  <si>
    <t>Dual 250mm Carbide Railgun</t>
  </si>
  <si>
    <t>Dual 250mm 'Scout' I Accelerator Cannon</t>
  </si>
  <si>
    <t>Dual 150mm Railgun</t>
  </si>
  <si>
    <t>Dark Compound x100</t>
  </si>
  <si>
    <t>Crystal Compound x100</t>
  </si>
  <si>
    <t>Condensed Alloy x100</t>
  </si>
  <si>
    <t>Co-Processor</t>
  </si>
  <si>
    <t>Ballistic Deflection Field</t>
  </si>
  <si>
    <t>Ballistic Control System</t>
  </si>
  <si>
    <t>Assault Missile Launcher</t>
  </si>
  <si>
    <t>Armor Thermic Hardener</t>
  </si>
  <si>
    <t>Armor Kinetic Hardener</t>
  </si>
  <si>
    <t>Armor Explosive Hardener</t>
  </si>
  <si>
    <t>Armor EM Hardener</t>
  </si>
  <si>
    <t>Anode Mega Neutron Particle Cannon</t>
  </si>
  <si>
    <t>Anode Mega Electron Particle Cannon</t>
  </si>
  <si>
    <t>1600mm Reinforced Titanium Plates</t>
  </si>
  <si>
    <t>1600mm Reinforced Steel Plates</t>
  </si>
  <si>
    <t>1600mm Reinforced Nanofiber Plates</t>
  </si>
  <si>
    <t>1600mm Reinforced Crystalline Carbonite Plates</t>
  </si>
  <si>
    <t>1400mm Howitzer Artillery</t>
  </si>
  <si>
    <t>1400mm Gallium I Cannon</t>
  </si>
  <si>
    <t>1400mm Carbine Howitzer</t>
  </si>
  <si>
    <t>1200mm Heavy Prototype I Siege Cannon</t>
  </si>
  <si>
    <t>1200mm Heavy Gallium I Cannon</t>
  </si>
  <si>
    <t>1200mm Heavy Carbine Howitzer</t>
  </si>
  <si>
    <t>1200mm Artillery Cannon</t>
  </si>
  <si>
    <t>800mm Repeating Artillery</t>
  </si>
  <si>
    <t>800mm Reinforced Rolled Tungsten Plates</t>
  </si>
  <si>
    <t>800mm Reinforced Titanium Plates</t>
  </si>
  <si>
    <t>800mm Reinforced Steel Plates</t>
  </si>
  <si>
    <t>800mm Reinforced Nanofiber Plate</t>
  </si>
  <si>
    <t>800mm Reinforced Crystalline Carbonite Plates</t>
  </si>
  <si>
    <t>800mm Heavy Prototype I Repeating Siege Cannon</t>
  </si>
  <si>
    <t>800mm Heavy Gallium I Repeating Cannon</t>
  </si>
  <si>
    <t>800mm Heavy Carbine Repeating Howitzer</t>
  </si>
  <si>
    <t xml:space="preserve">720mm Howitzer Artillery </t>
  </si>
  <si>
    <t>650mm Medium Carbine Howitzer</t>
  </si>
  <si>
    <t>650mm Artillery Cannon</t>
  </si>
  <si>
    <t>500W Infectious Power System Malfunction</t>
  </si>
  <si>
    <t>425mm Medium Carbide Repeating Cannon</t>
  </si>
  <si>
    <t>425mm Compressed Coil Gun</t>
  </si>
  <si>
    <t>425mm Carbide Railgun</t>
  </si>
  <si>
    <t>425mm 'Scout' Accelerator Cannon</t>
  </si>
  <si>
    <t>425mm Autocannon</t>
  </si>
  <si>
    <t>400mm Reinforced Titanium Plates</t>
  </si>
  <si>
    <t>400mm Reinforced Steel Plates</t>
  </si>
  <si>
    <t>400mm Reinforced Nanofiber Plates</t>
  </si>
  <si>
    <t>400mm Reinforced Crystalline Carbonide Plates</t>
  </si>
  <si>
    <t>350mm Railgun</t>
  </si>
  <si>
    <t>350mm Compressed Coil Gun</t>
  </si>
  <si>
    <t>350mm Carbide Railgun</t>
  </si>
  <si>
    <t>350mm 'Scout' I Accelerator Cannon</t>
  </si>
  <si>
    <t>280mm Howitzer Artillery</t>
  </si>
  <si>
    <t>250mm Railgun</t>
  </si>
  <si>
    <t>250mm Light Artillery Cannon</t>
  </si>
  <si>
    <t>250mm Compressed Coil Gun</t>
  </si>
  <si>
    <t>250mm Carbide Railgun</t>
  </si>
  <si>
    <t>250mm 'Scout' I Accelerator Cannon</t>
  </si>
  <si>
    <t>220mm Vulcan Autocannon</t>
  </si>
  <si>
    <t>200mm Reinforced Titanium Plates</t>
  </si>
  <si>
    <t>200mm Reinforced Nanofiber Plates</t>
  </si>
  <si>
    <t>200mm Reinforced Steel Plates</t>
  </si>
  <si>
    <t>200mm Reinforced Cyrstalline Carbonide Plates</t>
  </si>
  <si>
    <t>200mm Railgun</t>
  </si>
  <si>
    <t>200mm AutoCannon</t>
  </si>
  <si>
    <t>150mm Railgun</t>
  </si>
  <si>
    <t>150mm Light Autocannon</t>
  </si>
  <si>
    <t>150mm Carbide Railgun</t>
  </si>
  <si>
    <t>125mm Railgun</t>
  </si>
  <si>
    <t>100mm Reinforced Steel Plates</t>
  </si>
  <si>
    <t>100mm Reinforced Nanofiber Plates</t>
  </si>
  <si>
    <t>50mm Reinforced Nanofiber Plates</t>
  </si>
  <si>
    <t>50mm Reinforced Steel Plates</t>
  </si>
  <si>
    <t>10MN MicroWarpdrive</t>
  </si>
  <si>
    <t>10MN Afterburner</t>
  </si>
  <si>
    <t>1MN MicroWarpdrive</t>
  </si>
  <si>
    <t>1MN Afterburner</t>
  </si>
  <si>
    <t>Anointed' I EM Ward Reinforcement</t>
  </si>
  <si>
    <t>Mercoxit</t>
  </si>
  <si>
    <t>Arkanor</t>
  </si>
  <si>
    <t>Bistot</t>
  </si>
  <si>
    <t>Spodumain</t>
  </si>
  <si>
    <t>Crokite</t>
  </si>
  <si>
    <t>Dark Ochre</t>
  </si>
  <si>
    <t>Gneiss</t>
  </si>
  <si>
    <t>Hedbergite</t>
  </si>
  <si>
    <t>Hemorphite</t>
  </si>
  <si>
    <t>Jaspet</t>
  </si>
  <si>
    <t>Kernite</t>
  </si>
  <si>
    <t>Omber</t>
  </si>
  <si>
    <t>Plagioclase</t>
  </si>
  <si>
    <t>Pyroxeres</t>
  </si>
  <si>
    <t>Scordite</t>
  </si>
  <si>
    <t>Veldspar</t>
  </si>
  <si>
    <t>Pyrite</t>
  </si>
  <si>
    <t>FULLERIDES</t>
  </si>
  <si>
    <t>HEAVY WATER</t>
  </si>
  <si>
    <t>SOCIAL ADAPTION CHIP - IMPROVED</t>
  </si>
  <si>
    <t>ARMOR PLATES</t>
  </si>
  <si>
    <t>INTACT ARMOR PLATES</t>
  </si>
  <si>
    <t>COOLANT</t>
  </si>
  <si>
    <t>MEMORY AUGMENTATION FILTER - IMPROVED</t>
  </si>
  <si>
    <t>OCULAR FILTER - IMPROVED</t>
  </si>
  <si>
    <t>ENHANCED WARD CONSOLE</t>
  </si>
  <si>
    <t>%</t>
  </si>
  <si>
    <t>10%</t>
  </si>
  <si>
    <t>5%</t>
  </si>
  <si>
    <t>2%</t>
  </si>
  <si>
    <t>historyDate</t>
  </si>
  <si>
    <t>lowPrice</t>
  </si>
  <si>
    <t>highPrice</t>
  </si>
  <si>
    <t>avgPrice</t>
  </si>
  <si>
    <t>volume</t>
  </si>
  <si>
    <t>orders</t>
  </si>
  <si>
    <t>5D</t>
  </si>
  <si>
    <t>MY2</t>
  </si>
  <si>
    <t>1D</t>
  </si>
  <si>
    <t>SELL PRICE</t>
  </si>
  <si>
    <t>RATE</t>
  </si>
  <si>
    <t>BUY PRICE</t>
  </si>
  <si>
    <t>MYS</t>
  </si>
  <si>
    <t>MYB</t>
  </si>
  <si>
    <t>1DB</t>
  </si>
  <si>
    <t>1DS</t>
  </si>
  <si>
    <t>5DS</t>
  </si>
  <si>
    <t>5DB</t>
  </si>
  <si>
    <t>AVG VOL.</t>
  </si>
  <si>
    <t>%S</t>
  </si>
  <si>
    <t>%B</t>
  </si>
  <si>
    <t>PLUSH</t>
  </si>
  <si>
    <t>MELTED</t>
  </si>
  <si>
    <t>GLOSSY</t>
  </si>
  <si>
    <t>ENRICHED</t>
  </si>
  <si>
    <t>CARBON</t>
  </si>
  <si>
    <t>HYDROGEN</t>
  </si>
  <si>
    <t>INTACT</t>
  </si>
  <si>
    <t>POWER CIRCUIT</t>
  </si>
  <si>
    <t>ENHANCED</t>
  </si>
  <si>
    <t>SYLRAMIC</t>
  </si>
  <si>
    <t>WARD</t>
  </si>
  <si>
    <t>LIQUID</t>
  </si>
  <si>
    <t>C3</t>
  </si>
  <si>
    <t>MECHANICAL</t>
  </si>
  <si>
    <t>FERMONIC</t>
  </si>
  <si>
    <t>BURNED</t>
  </si>
  <si>
    <t>MEMORY</t>
  </si>
  <si>
    <t>CAPACITOR CONSOLE</t>
  </si>
  <si>
    <t>FERNITE</t>
  </si>
  <si>
    <t>HELIUM</t>
  </si>
  <si>
    <t>NANOTRAN</t>
  </si>
  <si>
    <t>NEURAL BOOST</t>
  </si>
  <si>
    <t>ROCKET</t>
  </si>
  <si>
    <t>HYPERSYNAPTIC</t>
  </si>
  <si>
    <t>CYBERNETIC</t>
  </si>
  <si>
    <t>OCULAR</t>
  </si>
  <si>
    <t>SOCIAL</t>
  </si>
  <si>
    <t>TUNGSTEN</t>
  </si>
  <si>
    <t>CRYSTAL</t>
  </si>
  <si>
    <t>TITANIUM</t>
  </si>
  <si>
    <t>ALLOYED</t>
  </si>
  <si>
    <t>PHENOLIC</t>
  </si>
  <si>
    <t>TRIPPED</t>
  </si>
  <si>
    <t>NITROGEN</t>
  </si>
  <si>
    <t>2%2</t>
  </si>
  <si>
    <t>5%2</t>
  </si>
  <si>
    <t>10%2</t>
  </si>
  <si>
    <t>2.00%</t>
  </si>
  <si>
    <t>5.00%</t>
  </si>
  <si>
    <t>10.00%</t>
  </si>
  <si>
    <t>Tengu</t>
  </si>
  <si>
    <t>sum</t>
  </si>
  <si>
    <t>sum2</t>
  </si>
  <si>
    <t>/eveapi</t>
  </si>
  <si>
    <t>/@version</t>
  </si>
  <si>
    <t>/@version/#agg</t>
  </si>
  <si>
    <t>/cachedUntil</t>
  </si>
  <si>
    <t>/currentTime</t>
  </si>
  <si>
    <t>/result/rowset/@columns</t>
  </si>
  <si>
    <t>/result/rowset/@key</t>
  </si>
  <si>
    <t>/result/rowset/@name</t>
  </si>
  <si>
    <t>/result/rowset/row/@accountKey</t>
  </si>
  <si>
    <t>/result/rowset/row/@bid</t>
  </si>
  <si>
    <t>/result/rowset/row/@charID</t>
  </si>
  <si>
    <t>/result/rowset/row/@duration</t>
  </si>
  <si>
    <t>/result/rowset/row/@escrow</t>
  </si>
  <si>
    <t>/result/rowset/row/@issued</t>
  </si>
  <si>
    <t>/result/rowset/row/@minVolume</t>
  </si>
  <si>
    <t>/result/rowset/row/@orderID</t>
  </si>
  <si>
    <t>/result/rowset/row/@orderState</t>
  </si>
  <si>
    <t>/result/rowset/row/@price</t>
  </si>
  <si>
    <t>/result/rowset/row/@range</t>
  </si>
  <si>
    <t>/result/rowset/row/@stationID</t>
  </si>
  <si>
    <t>/result/rowset/row/@typeID</t>
  </si>
  <si>
    <t>/result/rowset/row/@volEntered</t>
  </si>
  <si>
    <t>/result/rowset/row/@volRemaining</t>
  </si>
  <si>
    <t>orderID,charID,stationID,volEntered,volRemaining,minVolume,orderState,typeID,range,accountKey,duration,escrow,price,bid,issued</t>
  </si>
  <si>
    <t>2013-03-21 23:44:12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</si>
</sst>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#,##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sz val="10"/>
      <name val="Mangal"/>
      <family val="2"/>
    </font>
    <font>
      <sz val="10"/>
      <color rgb="FF606060"/>
      <name val="Arial"/>
      <family val="2"/>
    </font>
    <font>
      <sz val="10"/>
      <color rgb="FFFF9966"/>
      <name val="Arial"/>
      <family val="2"/>
    </font>
    <font>
      <sz val="10"/>
      <color rgb="FF60C06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11"/>
        <bgColor indexed="15"/>
      </patternFill>
    </fill>
    <fill>
      <patternFill patternType="solid">
        <fgColor indexed="14"/>
        <bgColor indexed="33"/>
      </patternFill>
    </fill>
    <fill>
      <patternFill patternType="solid">
        <fgColor indexed="40"/>
        <bgColor indexed="15"/>
      </patternFill>
    </fill>
    <fill>
      <patternFill patternType="solid">
        <fgColor indexed="13"/>
        <bgColor indexed="34"/>
      </patternFill>
    </fill>
    <fill>
      <patternFill patternType="solid">
        <fgColor indexed="10"/>
        <bgColor indexed="16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2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</cellStyleXfs>
  <cellXfs count="48">
    <xf numFmtId="0" fontId="0" fillId="0" borderId="0" xfId="0"/>
    <xf numFmtId="1" fontId="0" fillId="0" borderId="0" xfId="0" applyNumberFormat="1"/>
    <xf numFmtId="4" fontId="0" fillId="0" borderId="0" xfId="0" applyNumberFormat="1"/>
    <xf numFmtId="164" fontId="0" fillId="0" borderId="0" xfId="0" applyNumberFormat="1"/>
    <xf numFmtId="4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/>
    <xf numFmtId="0" fontId="2" fillId="0" borderId="0" xfId="1"/>
    <xf numFmtId="3" fontId="2" fillId="0" borderId="0" xfId="1" applyNumberFormat="1"/>
    <xf numFmtId="1" fontId="2" fillId="0" borderId="0" xfId="1" applyNumberFormat="1"/>
    <xf numFmtId="4" fontId="2" fillId="0" borderId="0" xfId="1" applyNumberFormat="1"/>
    <xf numFmtId="0" fontId="5" fillId="0" borderId="0" xfId="1" applyFont="1"/>
    <xf numFmtId="0" fontId="6" fillId="0" borderId="0" xfId="1" applyFont="1"/>
    <xf numFmtId="0" fontId="7" fillId="0" borderId="0" xfId="1" applyFont="1"/>
    <xf numFmtId="4" fontId="0" fillId="0" borderId="3" xfId="0" applyNumberFormat="1" applyBorder="1"/>
    <xf numFmtId="4" fontId="0" fillId="0" borderId="0" xfId="0" applyNumberFormat="1" applyBorder="1"/>
    <xf numFmtId="2" fontId="0" fillId="0" borderId="0" xfId="0" applyNumberFormat="1"/>
    <xf numFmtId="1" fontId="0" fillId="0" borderId="2" xfId="0" applyNumberFormat="1" applyBorder="1"/>
    <xf numFmtId="0" fontId="0" fillId="0" borderId="3" xfId="0" applyBorder="1"/>
    <xf numFmtId="164" fontId="0" fillId="0" borderId="3" xfId="0" applyNumberFormat="1" applyBorder="1"/>
    <xf numFmtId="10" fontId="0" fillId="0" borderId="3" xfId="0" applyNumberFormat="1" applyBorder="1"/>
    <xf numFmtId="10" fontId="0" fillId="0" borderId="0" xfId="0" applyNumberFormat="1"/>
    <xf numFmtId="9" fontId="0" fillId="0" borderId="0" xfId="0" applyNumberFormat="1"/>
    <xf numFmtId="4" fontId="0" fillId="0" borderId="7" xfId="0" applyNumberFormat="1" applyFont="1" applyBorder="1"/>
    <xf numFmtId="14" fontId="0" fillId="0" borderId="0" xfId="0" applyNumberFormat="1"/>
    <xf numFmtId="10" fontId="4" fillId="5" borderId="1" xfId="9" applyNumberFormat="1" applyBorder="1"/>
    <xf numFmtId="3" fontId="0" fillId="0" borderId="3" xfId="0" applyNumberFormat="1" applyBorder="1"/>
    <xf numFmtId="3" fontId="0" fillId="0" borderId="0" xfId="0" applyNumberFormat="1"/>
    <xf numFmtId="3" fontId="1" fillId="0" borderId="1" xfId="0" applyNumberFormat="1" applyFont="1" applyBorder="1"/>
    <xf numFmtId="10" fontId="0" fillId="0" borderId="0" xfId="0" applyNumberFormat="1" applyFont="1" applyBorder="1"/>
    <xf numFmtId="10" fontId="0" fillId="0" borderId="0" xfId="0" applyNumberFormat="1" applyBorder="1"/>
    <xf numFmtId="4" fontId="8" fillId="0" borderId="5" xfId="0" applyNumberFormat="1" applyFont="1" applyBorder="1"/>
    <xf numFmtId="4" fontId="9" fillId="0" borderId="1" xfId="0" applyNumberFormat="1" applyFont="1" applyBorder="1"/>
    <xf numFmtId="4" fontId="9" fillId="0" borderId="6" xfId="0" applyNumberFormat="1" applyFont="1" applyBorder="1"/>
    <xf numFmtId="4" fontId="9" fillId="0" borderId="4" xfId="0" applyNumberFormat="1" applyFont="1" applyBorder="1"/>
    <xf numFmtId="165" fontId="8" fillId="0" borderId="0" xfId="0" applyNumberFormat="1" applyFont="1" applyBorder="1"/>
    <xf numFmtId="9" fontId="8" fillId="0" borderId="0" xfId="0" applyNumberFormat="1" applyFont="1"/>
    <xf numFmtId="39" fontId="0" fillId="0" borderId="0" xfId="0" applyNumberFormat="1"/>
    <xf numFmtId="9" fontId="0" fillId="0" borderId="3" xfId="0" applyNumberFormat="1" applyFont="1" applyBorder="1"/>
    <xf numFmtId="10" fontId="0" fillId="0" borderId="3" xfId="0" applyNumberFormat="1" applyFont="1" applyBorder="1"/>
    <xf numFmtId="9" fontId="0" fillId="0" borderId="0" xfId="0" applyNumberFormat="1" applyFont="1" applyBorder="1"/>
    <xf numFmtId="4" fontId="0" fillId="0" borderId="0" xfId="0" applyNumberFormat="1" applyFont="1"/>
    <xf numFmtId="3" fontId="0" fillId="0" borderId="0" xfId="0" applyNumberFormat="1" applyFont="1"/>
    <xf numFmtId="10" fontId="0" fillId="0" borderId="0" xfId="0" applyNumberFormat="1" applyFont="1"/>
    <xf numFmtId="10" fontId="1" fillId="0" borderId="8" xfId="0" applyNumberFormat="1" applyFont="1" applyBorder="1"/>
    <xf numFmtId="10" fontId="1" fillId="0" borderId="1" xfId="0" applyNumberFormat="1" applyFont="1" applyBorder="1"/>
    <xf numFmtId="0" fontId="1" fillId="0" borderId="0" xfId="0" applyFont="1"/>
    <xf numFmtId="9" fontId="0" fillId="0" borderId="3" xfId="0" applyNumberFormat="1" applyBorder="1"/>
  </cellXfs>
  <cellStyles count="11">
    <cellStyle name="Normal" xfId="0" builtinId="0"/>
    <cellStyle name="Normal 2" xfId="1"/>
    <cellStyle name="Untitled1" xfId="2"/>
    <cellStyle name="Untitled2" xfId="3"/>
    <cellStyle name="Untitled3" xfId="4"/>
    <cellStyle name="Untitled4" xfId="5"/>
    <cellStyle name="Untitled5" xfId="6"/>
    <cellStyle name="Untitled6" xfId="7"/>
    <cellStyle name="Untitled7" xfId="8"/>
    <cellStyle name="Untitled8" xfId="9"/>
    <cellStyle name="Untitled9" xfId="10"/>
  </cellStyles>
  <dxfs count="693"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FF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FF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00FF00"/>
        </patternFill>
      </fill>
    </dxf>
    <dxf>
      <font>
        <color rgb="FF00FF00"/>
      </font>
      <fill>
        <patternFill>
          <bgColor rgb="FF00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7" formatCode="#,##0.00_);\(#,##0.00\)"/>
    </dxf>
    <dxf>
      <numFmt numFmtId="7" formatCode="#,##0.00_);\(#,##0.00\)"/>
    </dxf>
    <dxf>
      <numFmt numFmtId="1" formatCode="0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font>
        <b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64" formatCode="0.0000"/>
    </dxf>
    <dxf>
      <numFmt numFmtId="164" formatCode="0.0000"/>
    </dxf>
    <dxf>
      <numFmt numFmtId="164" formatCode="0.0000"/>
    </dxf>
    <dxf>
      <numFmt numFmtId="14" formatCode="0.00%"/>
    </dxf>
    <dxf>
      <numFmt numFmtId="14" formatCode="0.00%"/>
    </dxf>
    <dxf>
      <numFmt numFmtId="14" formatCode="0.00%"/>
    </dxf>
    <dxf>
      <font>
        <b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4" formatCode="#,##0.00"/>
    </dxf>
    <dxf>
      <border>
        <bottom style="medium">
          <color indexed="64"/>
        </bottom>
        <vertical/>
        <horizontal/>
      </border>
    </dxf>
    <dxf>
      <numFmt numFmtId="4" formatCode="#,##0.00"/>
      <border diagonalUp="0" diagonalDown="0">
        <left/>
        <right/>
        <top/>
        <bottom/>
      </border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64" formatCode="0.0000"/>
    </dxf>
    <dxf>
      <numFmt numFmtId="164" formatCode="0.0000"/>
    </dxf>
    <dxf>
      <numFmt numFmtId="164" formatCode="0.0000"/>
    </dxf>
    <dxf>
      <numFmt numFmtId="14" formatCode="0.00%"/>
    </dxf>
    <dxf>
      <numFmt numFmtId="14" formatCode="0.00%"/>
    </dxf>
    <dxf>
      <numFmt numFmtId="14" formatCode="0.00%"/>
    </dxf>
    <dxf>
      <font>
        <b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4" formatCode="#,##0.00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4" formatCode="#,##0.00"/>
    </dxf>
    <dxf>
      <numFmt numFmtId="4" formatCode="#,##0.00"/>
    </dxf>
    <dxf>
      <numFmt numFmtId="1" formatCode="0"/>
    </dxf>
    <dxf>
      <numFmt numFmtId="4" formatCode="#,##0.00"/>
    </dxf>
    <dxf>
      <border>
        <bottom style="medium">
          <color indexed="64"/>
        </bottom>
        <vertical/>
        <horizontal/>
      </border>
    </dxf>
    <dxf>
      <numFmt numFmtId="4" formatCode="#,##0.00"/>
      <border diagonalUp="0" diagonalDown="0">
        <left/>
        <right/>
        <top/>
        <bottom/>
      </border>
    </dxf>
  </dxfs>
  <tableStyles count="0" defaultTableStyle="TableStyleMedium9" defaultPivotStyle="PivotStyleLight16"/>
  <colors>
    <mruColors>
      <color rgb="FFFF00FF"/>
      <color rgb="FF00FF00"/>
      <color rgb="FFF4FF89"/>
      <color rgb="FFFFFF99"/>
      <color rgb="FF66FF33"/>
      <color rgb="FFFF0505"/>
      <color rgb="FFFFFF00"/>
      <color rgb="FFC9DA26"/>
      <color rgb="FFF41C21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eveapi">
        <xsd:complexType>
          <xsd:sequence minOccurs="0">
            <xsd:element minOccurs="0" nillable="true" type="xsd:string" name="currentTime" form="unqualified"/>
            <xsd:element minOccurs="0" nillable="true" name="result" form="unqualified">
              <xsd:complexType>
                <xsd:sequence minOccurs="0">
                  <xsd:element minOccurs="0" nillable="true" name="rowset" form="unqualified">
                    <xsd:complexType>
                      <xsd:sequence minOccurs="0">
                        <xsd:element minOccurs="0" maxOccurs="unbounded" nillable="true" name="row" form="unqualified">
                          <xsd:complexType>
                            <xsd:attribute name="orderID" form="unqualified" type="xsd:integer"/>
                            <xsd:attribute name="charID" form="unqualified" type="xsd:integer"/>
                            <xsd:attribute name="stationID" form="unqualified" type="xsd:integer"/>
                            <xsd:attribute name="volEntered" form="unqualified" type="xsd:integer"/>
                            <xsd:attribute name="volRemaining" form="unqualified" type="xsd:integer"/>
                            <xsd:attribute name="minVolume" form="unqualified" type="xsd:integer"/>
                            <xsd:attribute name="orderState" form="unqualified" type="xsd:integer"/>
                            <xsd:attribute name="typeID" form="unqualified" type="xsd:integer"/>
                            <xsd:attribute name="range" form="unqualified" type="xsd:integer"/>
                            <xsd:attribute name="accountKey" form="unqualified" type="xsd:integer"/>
                            <xsd:attribute name="duration" form="unqualified" type="xsd:integer"/>
                            <xsd:attribute name="escrow" form="unqualified" type="xsd:double"/>
                            <xsd:attribute name="price" form="unqualified" type="xsd:double"/>
                            <xsd:attribute name="bid" form="unqualified" type="xsd:integer"/>
                            <xsd:attribute name="issued" form="unqualified" type="xsd:string"/>
                          </xsd:complexType>
                        </xsd:element>
                      </xsd:sequence>
                      <xsd:attribute name="name" form="unqualified" type="xsd:string"/>
                      <xsd:attribute name="key" form="unqualified" type="xsd:string"/>
                      <xsd:attribute name="columns" form="unqualified" type="xsd:string"/>
                    </xsd:complexType>
                  </xsd:element>
                </xsd:sequence>
              </xsd:complexType>
            </xsd:element>
            <xsd:element minOccurs="0" nillable="true" type="xsd:string" name="cachedUntil" form="unqualified"/>
          </xsd:sequence>
          <xsd:attribute name="version" form="unqualified" type="xsd:integer"/>
        </xsd:complexType>
      </xsd:element>
    </xsd:schema>
  </Schema>
  <Schema ID="Schema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Map ID="1" Name="data_Map" RootElement="data" SchemaID="Schema1" ShowImportExportValidationErrors="false" AutoFit="true" Append="false" PreserveSortAFLayout="true" PreserveFormat="true">
    <DataBinding FileBinding="true" ConnectionID="97" DataBindingLoadMode="1"/>
  </Map>
  <Map ID="2" Name="data_Map1" RootElement="data" SchemaID="Schema2" ShowImportExportValidationErrors="false" AutoFit="true" Append="false" PreserveSortAFLayout="true" PreserveFormat="true">
    <DataBinding FileBinding="true" ConnectionID="82" DataBindingLoadMode="1"/>
  </Map>
  <Map ID="12" Name="data_Map10" RootElement="data" SchemaID="Schema12" ShowImportExportValidationErrors="false" AutoFit="true" Append="false" PreserveSortAFLayout="true" PreserveFormat="true">
    <DataBinding FileBinding="true" ConnectionID="68" DataBindingLoadMode="1"/>
  </Map>
  <Map ID="13" Name="data_Map11" RootElement="data" SchemaID="Schema13" ShowImportExportValidationErrors="false" AutoFit="true" Append="false" PreserveSortAFLayout="true" PreserveFormat="true">
    <DataBinding FileBinding="true" ConnectionID="51" DataBindingLoadMode="1"/>
  </Map>
  <Map ID="14" Name="data_Map12" RootElement="data" SchemaID="Schema14" ShowImportExportValidationErrors="false" AutoFit="true" Append="false" PreserveSortAFLayout="true" PreserveFormat="true">
    <DataBinding FileBinding="true" ConnectionID="43" DataBindingLoadMode="1"/>
  </Map>
  <Map ID="15" Name="data_Map13" RootElement="data" SchemaID="Schema15" ShowImportExportValidationErrors="false" AutoFit="true" Append="false" PreserveSortAFLayout="true" PreserveFormat="true">
    <DataBinding FileBinding="true" ConnectionID="57" DataBindingLoadMode="1"/>
  </Map>
  <Map ID="16" Name="data_Map14" RootElement="data" SchemaID="Schema16" ShowImportExportValidationErrors="false" AutoFit="true" Append="false" PreserveSortAFLayout="true" PreserveFormat="true">
    <DataBinding FileBinding="true" ConnectionID="80" DataBindingLoadMode="1"/>
  </Map>
  <Map ID="17" Name="data_Map15" RootElement="data" SchemaID="Schema17" ShowImportExportValidationErrors="false" AutoFit="true" Append="false" PreserveSortAFLayout="true" PreserveFormat="true">
    <DataBinding FileBinding="true" ConnectionID="27" DataBindingLoadMode="1"/>
  </Map>
  <Map ID="18" Name="data_Map16" RootElement="data" SchemaID="Schema18" ShowImportExportValidationErrors="false" AutoFit="true" Append="false" PreserveSortAFLayout="true" PreserveFormat="true">
    <DataBinding FileBinding="true" ConnectionID="63" DataBindingLoadMode="1"/>
  </Map>
  <Map ID="19" Name="data_Map17" RootElement="data" SchemaID="Schema19" ShowImportExportValidationErrors="false" AutoFit="true" Append="false" PreserveSortAFLayout="true" PreserveFormat="true">
    <DataBinding FileBinding="true" ConnectionID="33" DataBindingLoadMode="1"/>
  </Map>
  <Map ID="20" Name="data_Map18" RootElement="data" SchemaID="Schema20" ShowImportExportValidationErrors="false" AutoFit="true" Append="false" PreserveSortAFLayout="true" PreserveFormat="true">
    <DataBinding FileBinding="true" ConnectionID="37" DataBindingLoadMode="1"/>
  </Map>
  <Map ID="23" Name="data_Map19" RootElement="data" SchemaID="Schema23" ShowImportExportValidationErrors="false" AutoFit="true" Append="false" PreserveSortAFLayout="true" PreserveFormat="true">
    <DataBinding FileBinding="true" ConnectionID="41" DataBindingLoadMode="1"/>
  </Map>
  <Map ID="3" Name="data_Map2" RootElement="data" SchemaID="Schema3" ShowImportExportValidationErrors="false" AutoFit="true" Append="false" PreserveSortAFLayout="true" PreserveFormat="true">
    <DataBinding FileBinding="true" ConnectionID="61" DataBindingLoadMode="1"/>
  </Map>
  <Map ID="24" Name="data_Map20" RootElement="data" SchemaID="Schema24" ShowImportExportValidationErrors="false" AutoFit="true" Append="false" PreserveSortAFLayout="true" PreserveFormat="true">
    <DataBinding FileBinding="true" ConnectionID="66" DataBindingLoadMode="1"/>
  </Map>
  <Map ID="36" Name="data_Map21" RootElement="data" SchemaID="Schema25" ShowImportExportValidationErrors="false" AutoFit="true" Append="false" PreserveSortAFLayout="true" PreserveFormat="true">
    <DataBinding FileBinding="true" ConnectionID="35" DataBindingLoadMode="1"/>
  </Map>
  <Map ID="37" Name="data_Map22" RootElement="data" SchemaID="Schema26" ShowImportExportValidationErrors="false" AutoFit="true" Append="false" PreserveSortAFLayout="true" PreserveFormat="true">
    <DataBinding FileBinding="true" ConnectionID="39" DataBindingLoadMode="1"/>
  </Map>
  <Map ID="38" Name="data_Map23" RootElement="data" SchemaID="Schema27" ShowImportExportValidationErrors="false" AutoFit="true" Append="false" PreserveSortAFLayout="true" PreserveFormat="true">
    <DataBinding FileBinding="true" ConnectionID="86" DataBindingLoadMode="1"/>
  </Map>
  <Map ID="39" Name="data_Map24" RootElement="data" SchemaID="Schema28" ShowImportExportValidationErrors="false" AutoFit="true" Append="false" PreserveSortAFLayout="true" PreserveFormat="true">
    <DataBinding FileBinding="true" ConnectionID="6" DataBindingLoadMode="1"/>
  </Map>
  <Map ID="40" Name="data_Map25" RootElement="data" SchemaID="Schema29" ShowImportExportValidationErrors="false" AutoFit="true" Append="false" PreserveSortAFLayout="true" PreserveFormat="true">
    <DataBinding FileBinding="true" ConnectionID="47" DataBindingLoadMode="1"/>
  </Map>
  <Map ID="41" Name="data_Map26" RootElement="data" SchemaID="Schema30" ShowImportExportValidationErrors="false" AutoFit="true" Append="false" PreserveSortAFLayout="true" PreserveFormat="true">
    <DataBinding FileBinding="true" ConnectionID="19" DataBindingLoadMode="1"/>
  </Map>
  <Map ID="42" Name="data_Map27" RootElement="data" SchemaID="Schema31" ShowImportExportValidationErrors="false" AutoFit="true" Append="false" PreserveSortAFLayout="true" PreserveFormat="true">
    <DataBinding FileBinding="true" ConnectionID="59" DataBindingLoadMode="1"/>
  </Map>
  <Map ID="43" Name="data_Map28" RootElement="data" SchemaID="Schema32" ShowImportExportValidationErrors="false" AutoFit="true" Append="false" PreserveSortAFLayout="true" PreserveFormat="true">
    <DataBinding FileBinding="true" ConnectionID="72" DataBindingLoadMode="1"/>
  </Map>
  <Map ID="44" Name="data_Map29" RootElement="data" SchemaID="Schema33" ShowImportExportValidationErrors="false" AutoFit="true" Append="false" PreserveSortAFLayout="true" PreserveFormat="true">
    <DataBinding FileBinding="true" ConnectionID="25" DataBindingLoadMode="1"/>
  </Map>
  <Map ID="5" Name="data_Map3" RootElement="data" SchemaID="Schema5" ShowImportExportValidationErrors="false" AutoFit="true" Append="false" PreserveSortAFLayout="true" PreserveFormat="true">
    <DataBinding FileBinding="true" ConnectionID="49" DataBindingLoadMode="1"/>
  </Map>
  <Map ID="46" Name="data_Map30" RootElement="data" SchemaID="Schema35" ShowImportExportValidationErrors="false" AutoFit="true" Append="false" PreserveSortAFLayout="true" PreserveFormat="true">
    <DataBinding FileBinding="true" ConnectionID="99" DataBindingLoadMode="1"/>
  </Map>
  <Map ID="47" Name="data_Map31" RootElement="data" SchemaID="Schema36" ShowImportExportValidationErrors="false" AutoFit="true" Append="false" PreserveSortAFLayout="true" PreserveFormat="true">
    <DataBinding FileBinding="true" ConnectionID="31" DataBindingLoadMode="1"/>
  </Map>
  <Map ID="48" Name="data_Map32" RootElement="data" SchemaID="Schema37" ShowImportExportValidationErrors="false" AutoFit="true" Append="false" PreserveSortAFLayout="true" PreserveFormat="true">
    <DataBinding FileBinding="true" ConnectionID="53" DataBindingLoadMode="1"/>
  </Map>
  <Map ID="49" Name="data_Map33" RootElement="data" SchemaID="Schema38" ShowImportExportValidationErrors="false" AutoFit="true" Append="false" PreserveSortAFLayout="true" PreserveFormat="true">
    <DataBinding FileBinding="true" ConnectionID="94" DataBindingLoadMode="1"/>
  </Map>
  <Map ID="50" Name="data_Map34" RootElement="data" SchemaID="Schema39" ShowImportExportValidationErrors="false" AutoFit="true" Append="false" PreserveSortAFLayout="true" PreserveFormat="true">
    <DataBinding FileBinding="true" ConnectionID="8" DataBindingLoadMode="1"/>
  </Map>
  <Map ID="51" Name="data_Map35" RootElement="data" SchemaID="Schema40" ShowImportExportValidationErrors="false" AutoFit="true" Append="false" PreserveSortAFLayout="true" PreserveFormat="true">
    <DataBinding FileBinding="true" ConnectionID="21" DataBindingLoadMode="1"/>
  </Map>
  <Map ID="52" Name="data_Map36" RootElement="data" SchemaID="Schema41" ShowImportExportValidationErrors="false" AutoFit="true" Append="false" PreserveSortAFLayout="true" PreserveFormat="true">
    <DataBinding FileBinding="true" ConnectionID="23" DataBindingLoadMode="1"/>
  </Map>
  <Map ID="53" Name="data_Map37" RootElement="data" SchemaID="Schema42" ShowImportExportValidationErrors="false" AutoFit="true" Append="false" PreserveSortAFLayout="true" PreserveFormat="true">
    <DataBinding FileBinding="true" ConnectionID="84" DataBindingLoadMode="1"/>
  </Map>
  <Map ID="54" Name="data_Map38" RootElement="data" SchemaID="Schema43" ShowImportExportValidationErrors="false" AutoFit="true" Append="false" PreserveSortAFLayout="true" PreserveFormat="true">
    <DataBinding FileBinding="true" ConnectionID="92" DataBindingLoadMode="1"/>
  </Map>
  <Map ID="55" Name="data_Map39" RootElement="data" SchemaID="Schema44" ShowImportExportValidationErrors="false" AutoFit="true" Append="false" PreserveSortAFLayout="true" PreserveFormat="true">
    <DataBinding FileBinding="true" ConnectionID="45" DataBindingLoadMode="1"/>
  </Map>
  <Map ID="6" Name="data_Map4" RootElement="data" SchemaID="Schema6" ShowImportExportValidationErrors="false" AutoFit="true" Append="false" PreserveSortAFLayout="true" PreserveFormat="true">
    <DataBinding FileBinding="true" ConnectionID="70" DataBindingLoadMode="1"/>
  </Map>
  <Map ID="56" Name="data_Map40" RootElement="data" SchemaID="Schema45" ShowImportExportValidationErrors="false" AutoFit="true" Append="false" PreserveSortAFLayout="true" PreserveFormat="true">
    <DataBinding FileBinding="true" ConnectionID="88" DataBindingLoadMode="1"/>
  </Map>
  <Map ID="57" Name="data_Map41" RootElement="data" SchemaID="Schema46" ShowImportExportValidationErrors="false" AutoFit="true" Append="false" PreserveSortAFLayout="true" PreserveFormat="true">
    <DataBinding FileBinding="true" ConnectionID="14" DataBindingLoadMode="1"/>
  </Map>
  <Map ID="58" Name="data_Map42" RootElement="data" SchemaID="Schema47" ShowImportExportValidationErrors="false" AutoFit="true" Append="false" PreserveSortAFLayout="true" PreserveFormat="true">
    <DataBinding FileBinding="true" ConnectionID="10" DataBindingLoadMode="1"/>
  </Map>
  <Map ID="59" Name="data_Map43" RootElement="data" SchemaID="Schema48" ShowImportExportValidationErrors="false" AutoFit="true" Append="false" PreserveSortAFLayout="true" PreserveFormat="true">
    <DataBinding FileBinding="true" ConnectionID="4" DataBindingLoadMode="1"/>
  </Map>
  <Map ID="60" Name="data_Map44" RootElement="data" SchemaID="Schema49" ShowImportExportValidationErrors="false" AutoFit="true" Append="false" PreserveSortAFLayout="true" PreserveFormat="true">
    <DataBinding FileBinding="true" ConnectionID="102" DataBindingLoadMode="1"/>
  </Map>
  <Map ID="61" Name="data_Map45" RootElement="data" SchemaID="Schema50" ShowImportExportValidationErrors="false" AutoFit="true" Append="false" PreserveSortAFLayout="true" PreserveFormat="true">
    <DataBinding FileBinding="true" ConnectionID="12" DataBindingLoadMode="1"/>
  </Map>
  <Map ID="62" Name="data_Map46" RootElement="data" SchemaID="Schema51" ShowImportExportValidationErrors="false" AutoFit="true" Append="false" PreserveSortAFLayout="true" PreserveFormat="true">
    <DataBinding FileBinding="true" ConnectionID="76" DataBindingLoadMode="1"/>
  </Map>
  <Map ID="63" Name="data_Map47" RootElement="data" SchemaID="Schema52" ShowImportExportValidationErrors="false" AutoFit="true" Append="false" PreserveSortAFLayout="true" PreserveFormat="true">
    <DataBinding FileBinding="true" ConnectionID="29" DataBindingLoadMode="1"/>
  </Map>
  <Map ID="64" Name="data_Map48" RootElement="data" SchemaID="Schema53" ShowImportExportValidationErrors="false" AutoFit="true" Append="false" PreserveSortAFLayout="true" PreserveFormat="true">
    <DataBinding FileBinding="true" ConnectionID="78" DataBindingLoadMode="1"/>
  </Map>
  <Map ID="7" Name="data_Map5" RootElement="data" SchemaID="Schema7" ShowImportExportValidationErrors="false" AutoFit="true" Append="false" PreserveSortAFLayout="true" PreserveFormat="true">
    <DataBinding FileBinding="true" ConnectionID="104" DataBindingLoadMode="1"/>
  </Map>
  <Map ID="66" Name="data_Map50" RootElement="data" SchemaID="Schema55" ShowImportExportValidationErrors="false" AutoFit="true" Append="false" PreserveSortAFLayout="true" PreserveFormat="true">
    <DataBinding FileBinding="true" ConnectionID="96" DataBindingLoadMode="1"/>
  </Map>
  <Map ID="67" Name="data_Map51" RootElement="data" SchemaID="Schema56" ShowImportExportValidationErrors="false" AutoFit="true" Append="false" PreserveSortAFLayout="true" PreserveFormat="true">
    <DataBinding FileBinding="true" ConnectionID="81" DataBindingLoadMode="1"/>
  </Map>
  <Map ID="69" Name="data_Map52" RootElement="data" SchemaID="Schema58" ShowImportExportValidationErrors="false" AutoFit="true" Append="false" PreserveSortAFLayout="true" PreserveFormat="true">
    <DataBinding FileBinding="true" ConnectionID="60" DataBindingLoadMode="1"/>
  </Map>
  <Map ID="70" Name="data_Map53" RootElement="data" SchemaID="Schema59" ShowImportExportValidationErrors="false" AutoFit="true" Append="false" PreserveSortAFLayout="true" PreserveFormat="true">
    <DataBinding FileBinding="true" ConnectionID="48" DataBindingLoadMode="1"/>
  </Map>
  <Map ID="71" Name="data_Map54" RootElement="data" SchemaID="Schema60" ShowImportExportValidationErrors="false" AutoFit="true" Append="false" PreserveSortAFLayout="true" PreserveFormat="true">
    <DataBinding FileBinding="true" ConnectionID="69" DataBindingLoadMode="1"/>
  </Map>
  <Map ID="73" Name="data_Map55" RootElement="data" SchemaID="Schema62" ShowImportExportValidationErrors="false" AutoFit="true" Append="false" PreserveSortAFLayout="true" PreserveFormat="true">
    <DataBinding FileBinding="true" ConnectionID="103" DataBindingLoadMode="1"/>
  </Map>
  <Map ID="74" Name="data_Map56" RootElement="data" SchemaID="Schema63" ShowImportExportValidationErrors="false" AutoFit="true" Append="false" PreserveSortAFLayout="true" PreserveFormat="true">
    <DataBinding FileBinding="true" ConnectionID="54" DataBindingLoadMode="1"/>
  </Map>
  <Map ID="76" Name="data_Map57" RootElement="data" SchemaID="Schema65" ShowImportExportValidationErrors="false" AutoFit="true" Append="false" PreserveSortAFLayout="true" PreserveFormat="true">
    <DataBinding FileBinding="true" ConnectionID="1" DataBindingLoadMode="1"/>
  </Map>
  <Map ID="77" Name="data_Map58" RootElement="data" SchemaID="Schema66" ShowImportExportValidationErrors="false" AutoFit="true" Append="false" PreserveSortAFLayout="true" PreserveFormat="true">
    <DataBinding FileBinding="true" ConnectionID="77" DataBindingLoadMode="1"/>
  </Map>
  <Map ID="78" Name="data_Map59" RootElement="data" SchemaID="Schema67" ShowImportExportValidationErrors="false" AutoFit="true" Append="false" PreserveSortAFLayout="true" PreserveFormat="true">
    <DataBinding FileBinding="true" ConnectionID="56" DataBindingLoadMode="1"/>
  </Map>
  <Map ID="8" Name="data_Map6" RootElement="data" SchemaID="Schema8" ShowImportExportValidationErrors="false" AutoFit="true" Append="false" PreserveSortAFLayout="true" PreserveFormat="true">
    <DataBinding FileBinding="true" ConnectionID="55" DataBindingLoadMode="1"/>
  </Map>
  <Map ID="79" Name="data_Map60" RootElement="data" SchemaID="Schema68" ShowImportExportValidationErrors="false" AutoFit="true" Append="false" PreserveSortAFLayout="true" PreserveFormat="true">
    <DataBinding FileBinding="true" ConnectionID="34" DataBindingLoadMode="1"/>
  </Map>
  <Map ID="80" Name="data_Map61" RootElement="data" SchemaID="Schema69" ShowImportExportValidationErrors="false" AutoFit="true" Append="false" PreserveSortAFLayout="true" PreserveFormat="true">
    <DataBinding FileBinding="true" ConnectionID="73" DataBindingLoadMode="1"/>
  </Map>
  <Map ID="81" Name="data_Map62" RootElement="data" SchemaID="Schema70" ShowImportExportValidationErrors="false" AutoFit="true" Append="false" PreserveSortAFLayout="true" PreserveFormat="true">
    <DataBinding FileBinding="true" ConnectionID="36" DataBindingLoadMode="1"/>
  </Map>
  <Map ID="82" Name="data_Map63" RootElement="data" SchemaID="Schema71" ShowImportExportValidationErrors="false" AutoFit="true" Append="false" PreserveSortAFLayout="true" PreserveFormat="true">
    <DataBinding FileBinding="true" ConnectionID="26" DataBindingLoadMode="1"/>
  </Map>
  <Map ID="83" Name="data_Map64" RootElement="data" SchemaID="Schema72" ShowImportExportValidationErrors="false" AutoFit="true" Append="false" PreserveSortAFLayout="true" PreserveFormat="true">
    <DataBinding FileBinding="true" ConnectionID="13" DataBindingLoadMode="1"/>
  </Map>
  <Map ID="84" Name="data_Map65" RootElement="data" SchemaID="Schema73" ShowImportExportValidationErrors="false" AutoFit="true" Append="false" PreserveSortAFLayout="true" PreserveFormat="true">
    <DataBinding FileBinding="true" ConnectionID="42" DataBindingLoadMode="1"/>
  </Map>
  <Map ID="85" Name="data_Map66" RootElement="data" SchemaID="Schema74" ShowImportExportValidationErrors="false" AutoFit="true" Append="false" PreserveSortAFLayout="true" PreserveFormat="true">
    <DataBinding FileBinding="true" ConnectionID="46" DataBindingLoadMode="1"/>
  </Map>
  <Map ID="86" Name="data_Map67" RootElement="data" SchemaID="Schema75" ShowImportExportValidationErrors="false" AutoFit="true" Append="false" PreserveSortAFLayout="true" PreserveFormat="true">
    <DataBinding FileBinding="true" ConnectionID="79" DataBindingLoadMode="1"/>
  </Map>
  <Map ID="87" Name="data_Map68" RootElement="data" SchemaID="Schema76" ShowImportExportValidationErrors="false" AutoFit="true" Append="false" PreserveSortAFLayout="true" PreserveFormat="true">
    <DataBinding FileBinding="true" ConnectionID="24" DataBindingLoadMode="1"/>
  </Map>
  <Map ID="88" Name="data_Map69" RootElement="data" SchemaID="Schema77" ShowImportExportValidationErrors="false" AutoFit="true" Append="false" PreserveSortAFLayout="true" PreserveFormat="true">
    <DataBinding FileBinding="true" ConnectionID="87" DataBindingLoadMode="1"/>
  </Map>
  <Map ID="9" Name="data_Map7" RootElement="data" SchemaID="Schema9" ShowImportExportValidationErrors="false" AutoFit="true" Append="false" PreserveSortAFLayout="true" PreserveFormat="true">
    <DataBinding FileBinding="true" ConnectionID="2" DataBindingLoadMode="1"/>
  </Map>
  <Map ID="89" Name="data_Map70" RootElement="data" SchemaID="Schema78" ShowImportExportValidationErrors="false" AutoFit="true" Append="false" PreserveSortAFLayout="true" PreserveFormat="true">
    <DataBinding FileBinding="true" ConnectionID="101" DataBindingLoadMode="1"/>
  </Map>
  <Map ID="90" Name="data_Map71" RootElement="data" SchemaID="Schema79" ShowImportExportValidationErrors="false" AutoFit="true" Append="false" PreserveSortAFLayout="true" PreserveFormat="true">
    <DataBinding FileBinding="true" ConnectionID="50" DataBindingLoadMode="1"/>
  </Map>
  <Map ID="91" Name="data_Map72" RootElement="data" SchemaID="Schema80" ShowImportExportValidationErrors="false" AutoFit="true" Append="false" PreserveSortAFLayout="true" PreserveFormat="true">
    <DataBinding FileBinding="true" ConnectionID="9" DataBindingLoadMode="1"/>
  </Map>
  <Map ID="92" Name="data_Map73" RootElement="data" SchemaID="Schema81" ShowImportExportValidationErrors="false" AutoFit="true" Append="false" PreserveSortAFLayout="true" PreserveFormat="true">
    <DataBinding FileBinding="true" ConnectionID="52" DataBindingLoadMode="1"/>
  </Map>
  <Map ID="93" Name="data_Map74" RootElement="data" SchemaID="Schema82" ShowImportExportValidationErrors="false" AutoFit="true" Append="false" PreserveSortAFLayout="true" PreserveFormat="true">
    <DataBinding FileBinding="true" ConnectionID="28" DataBindingLoadMode="1"/>
  </Map>
  <Map ID="94" Name="data_Map75" RootElement="data" SchemaID="Schema83" ShowImportExportValidationErrors="false" AutoFit="true" Append="false" PreserveSortAFLayout="true" PreserveFormat="true">
    <DataBinding FileBinding="true" ConnectionID="7" DataBindingLoadMode="1"/>
  </Map>
  <Map ID="95" Name="data_Map76" RootElement="data" SchemaID="Schema84" ShowImportExportValidationErrors="false" AutoFit="true" Append="false" PreserveSortAFLayout="true" PreserveFormat="true">
    <DataBinding FileBinding="true" ConnectionID="58" DataBindingLoadMode="1"/>
  </Map>
  <Map ID="96" Name="data_Map77" RootElement="data" SchemaID="Schema85" ShowImportExportValidationErrors="false" AutoFit="true" Append="false" PreserveSortAFLayout="true" PreserveFormat="true">
    <DataBinding FileBinding="true" ConnectionID="11" DataBindingLoadMode="1"/>
  </Map>
  <Map ID="97" Name="data_Map78" RootElement="data" SchemaID="Schema86" ShowImportExportValidationErrors="false" AutoFit="true" Append="false" PreserveSortAFLayout="true" PreserveFormat="true">
    <DataBinding FileBinding="true" ConnectionID="30" DataBindingLoadMode="1"/>
  </Map>
  <Map ID="98" Name="data_Map79" RootElement="data" SchemaID="Schema87" ShowImportExportValidationErrors="false" AutoFit="true" Append="false" PreserveSortAFLayout="true" PreserveFormat="true">
    <DataBinding FileBinding="true" ConnectionID="40" DataBindingLoadMode="1"/>
  </Map>
  <Map ID="10" Name="data_Map8" RootElement="data" SchemaID="Schema10" ShowImportExportValidationErrors="false" AutoFit="true" Append="false" PreserveSortAFLayout="true" PreserveFormat="true">
    <DataBinding FileBinding="true" ConnectionID="90" DataBindingLoadMode="1"/>
  </Map>
  <Map ID="99" Name="data_Map80" RootElement="data" SchemaID="Schema88" ShowImportExportValidationErrors="false" AutoFit="true" Append="false" PreserveSortAFLayout="true" PreserveFormat="true">
    <DataBinding FileBinding="true" ConnectionID="62" DataBindingLoadMode="1"/>
  </Map>
  <Map ID="100" Name="data_Map81" RootElement="data" SchemaID="Schema89" ShowImportExportValidationErrors="false" AutoFit="true" Append="false" PreserveSortAFLayout="true" PreserveFormat="true">
    <DataBinding FileBinding="true" ConnectionID="65" DataBindingLoadMode="1"/>
  </Map>
  <Map ID="101" Name="data_Map82" RootElement="data" SchemaID="Schema90" ShowImportExportValidationErrors="false" AutoFit="true" Append="false" PreserveSortAFLayout="true" PreserveFormat="true">
    <DataBinding FileBinding="true" ConnectionID="83" DataBindingLoadMode="1"/>
  </Map>
  <Map ID="102" Name="data_Map83" RootElement="data" SchemaID="Schema91" ShowImportExportValidationErrors="false" AutoFit="true" Append="false" PreserveSortAFLayout="true" PreserveFormat="true">
    <DataBinding FileBinding="true" ConnectionID="18" DataBindingLoadMode="1"/>
  </Map>
  <Map ID="103" Name="data_Map84" RootElement="data" SchemaID="Schema92" ShowImportExportValidationErrors="false" AutoFit="true" Append="false" PreserveSortAFLayout="true" PreserveFormat="true">
    <DataBinding FileBinding="true" ConnectionID="44" DataBindingLoadMode="1"/>
  </Map>
  <Map ID="104" Name="data_Map85" RootElement="data" SchemaID="Schema93" ShowImportExportValidationErrors="false" AutoFit="true" Append="false" PreserveSortAFLayout="true" PreserveFormat="true">
    <DataBinding FileBinding="true" ConnectionID="22" DataBindingLoadMode="1"/>
  </Map>
  <Map ID="105" Name="data_Map86" RootElement="data" SchemaID="Schema94" ShowImportExportValidationErrors="false" AutoFit="true" Append="false" PreserveSortAFLayout="true" PreserveFormat="true">
    <DataBinding FileBinding="true" ConnectionID="32" DataBindingLoadMode="1"/>
  </Map>
  <Map ID="106" Name="data_Map87" RootElement="data" SchemaID="Schema95" ShowImportExportValidationErrors="false" AutoFit="true" Append="false" PreserveSortAFLayout="true" PreserveFormat="true">
    <DataBinding FileBinding="true" ConnectionID="71" DataBindingLoadMode="1"/>
  </Map>
  <Map ID="107" Name="data_Map88" RootElement="data" SchemaID="Schema96" ShowImportExportValidationErrors="false" AutoFit="true" Append="false" PreserveSortAFLayout="true" PreserveFormat="true">
    <DataBinding FileBinding="true" ConnectionID="85" DataBindingLoadMode="1"/>
  </Map>
  <Map ID="108" Name="data_Map89" RootElement="data" SchemaID="Schema97" ShowImportExportValidationErrors="false" AutoFit="true" Append="false" PreserveSortAFLayout="true" PreserveFormat="true">
    <DataBinding FileBinding="true" ConnectionID="98" DataBindingLoadMode="1"/>
  </Map>
  <Map ID="11" Name="data_Map9" RootElement="data" SchemaID="Schema11" ShowImportExportValidationErrors="false" AutoFit="true" Append="false" PreserveSortAFLayout="true" PreserveFormat="true">
    <DataBinding FileBinding="true" ConnectionID="74" DataBindingLoadMode="1"/>
  </Map>
  <Map ID="109" Name="data_Map90" RootElement="data" SchemaID="Schema98" ShowImportExportValidationErrors="false" AutoFit="true" Append="false" PreserveSortAFLayout="true" PreserveFormat="true">
    <DataBinding FileBinding="true" ConnectionID="20" DataBindingLoadMode="1"/>
  </Map>
  <Map ID="110" Name="data_Map91" RootElement="data" SchemaID="Schema99" ShowImportExportValidationErrors="false" AutoFit="true" Append="false" PreserveSortAFLayout="true" PreserveFormat="true">
    <DataBinding FileBinding="true" ConnectionID="38" DataBindingLoadMode="1"/>
  </Map>
  <Map ID="111" Name="data_Map92" RootElement="data" SchemaID="Schema100" ShowImportExportValidationErrors="false" AutoFit="true" Append="false" PreserveSortAFLayout="true" PreserveFormat="true">
    <DataBinding FileBinding="true" ConnectionID="91" DataBindingLoadMode="1"/>
  </Map>
  <Map ID="112" Name="data_Map93" RootElement="data" SchemaID="Schema101" ShowImportExportValidationErrors="false" AutoFit="true" Append="false" PreserveSortAFLayout="true" PreserveFormat="true">
    <DataBinding FileBinding="true" ConnectionID="3" DataBindingLoadMode="1"/>
  </Map>
  <Map ID="113" Name="data_Map94" RootElement="data" SchemaID="Schema102" ShowImportExportValidationErrors="false" AutoFit="true" Append="false" PreserveSortAFLayout="true" PreserveFormat="true">
    <DataBinding FileBinding="true" ConnectionID="75" DataBindingLoadMode="1"/>
  </Map>
  <Map ID="114" Name="data_Map95" RootElement="data" SchemaID="Schema103" ShowImportExportValidationErrors="false" AutoFit="true" Append="false" PreserveSortAFLayout="true" PreserveFormat="true">
    <DataBinding FileBinding="true" ConnectionID="5" DataBindingLoadMode="1"/>
  </Map>
  <Map ID="115" Name="data_Map96" RootElement="data" SchemaID="Schema104" ShowImportExportValidationErrors="false" AutoFit="true" Append="false" PreserveSortAFLayout="true" PreserveFormat="true">
    <DataBinding FileBinding="true" ConnectionID="93" DataBindingLoadMode="1"/>
  </Map>
  <Map ID="116" Name="data_Map97" RootElement="data" SchemaID="Schema105" ShowImportExportValidationErrors="false" AutoFit="true" Append="false" PreserveSortAFLayout="true" PreserveFormat="true">
    <DataBinding FileBinding="true" ConnectionID="67" DataBindingLoadMode="1"/>
  </Map>
  <Map ID="117" Name="data_Map98" RootElement="data" SchemaID="Schema106" ShowImportExportValidationErrors="false" AutoFit="true" Append="false" PreserveSortAFLayout="true" PreserveFormat="true">
    <DataBinding FileBinding="true" ConnectionID="89" DataBindingLoadMode="1"/>
  </Map>
  <Map ID="4" Name="eveapi_Map" RootElement="eveapi" SchemaID="Schema4" ShowImportExportValidationErrors="false" AutoFit="true" Append="false" PreserveSortAFLayout="true" PreserveFormat="true">
    <DataBinding FileBinding="true" ConnectionID="15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7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H8" totalsRowShown="0" headerRowDxfId="692" dataDxfId="690" headerRowBorderDxfId="691">
  <autoFilter ref="A1:AH8"/>
  <tableColumns count="34">
    <tableColumn id="1" name="ID" dataDxfId="689"/>
    <tableColumn id="2" name="MINERALS" dataDxfId="688"/>
    <tableColumn id="32" name="5DS" dataDxfId="687"/>
    <tableColumn id="33" name="1DS" dataDxfId="686"/>
    <tableColumn id="4" name="SELL PRICE" dataDxfId="685"/>
    <tableColumn id="37" name="%S" dataDxfId="684">
      <calculatedColumnFormula>((Table1[[#This Row],[MYS]]/Table1[[#This Row],[SELL PRICE]])-1)</calculatedColumnFormula>
    </tableColumn>
    <tableColumn id="18" name="MYS" dataDxfId="683"/>
    <tableColumn id="5" name="ORDER" dataDxfId="682"/>
    <tableColumn id="6" name="RATE" dataDxfId="681" dataCellStyle="Untitled8">
      <calculatedColumnFormula>(E2/M2)-1</calculatedColumnFormula>
    </tableColumn>
    <tableColumn id="7" name="ORDER2" dataDxfId="680"/>
    <tableColumn id="17" name="MYB" dataDxfId="679">
      <calculatedColumnFormula array="1">INDEX(Table0[orderID], MATCH(MAX(IF((Table0[bid]=1)*(Table0[typeID]=37)*(Table0[volRemaining]&gt;0),Table0[price])), Table0[price], 0))</calculatedColumnFormula>
    </tableColumn>
    <tableColumn id="36" name="%B" dataDxfId="678">
      <calculatedColumnFormula>(K2/M2)-1</calculatedColumnFormula>
    </tableColumn>
    <tableColumn id="9" name="BUY PRICE" dataDxfId="677"/>
    <tableColumn id="35" name="1DB" dataDxfId="676"/>
    <tableColumn id="34" name="5DB" dataDxfId="675"/>
    <tableColumn id="24" name="%" dataDxfId="674">
      <calculatedColumnFormula>SUM(Table1[[#This Row],[10%]:[2%]])</calculatedColumnFormula>
    </tableColumn>
    <tableColumn id="22" name="10%" dataDxfId="673">
      <calculatedColumnFormula array="1">SUM((Table6[VolRem])*(Table6[StationID]=60003760)*(Table6[Price]&gt;=(Table1[[#This Row],[SELL PRICE]]+(Table1[[#This Row],[SELL PRICE]]*0.05)))*(Table6[Price]&lt;=(Table1[[#This Row],[SELL PRICE]]+(Table1[[#This Row],[SELL PRICE]]*0.1)))/(SUM(IF((Table6[Bid]=0)*(Table6[StationID]=60003760),Table6[VolRem]))))</calculatedColumnFormula>
    </tableColumn>
    <tableColumn id="21" name="5%" dataDxfId="672">
      <calculatedColumnFormula array="1">SUM((Table6[VolRem])*(Table6[StationID]=60003760)*(Table6[Price]&gt;=(Table1[[#This Row],[SELL PRICE]]+(Table1[[#This Row],[SELL PRICE]]*0.02)))*(Table6[Price]&lt;=(Table1[[#This Row],[SELL PRICE]]+(Table1[[#This Row],[SELL PRICE]]*0.05)))/(SUM(IF((Table6[Bid]=0)*(Table6[StationID]=60003760),Table6[VolRem]))))</calculatedColumnFormula>
    </tableColumn>
    <tableColumn id="13" name="2%" dataDxfId="671">
      <calculatedColumnFormula array="1">SUM((Table6[VolRem])*(Table6[StationID]=60003760)*(Table6[Price]&lt;=(Table1[[#This Row],[SELL PRICE]]+(Table1[[#This Row],[SELL PRICE]]*0.05)))*(Table6[Price]&gt;=Table1[[#This Row],[SELL PRICE]]))/(SUM(IF((Table6[Bid]=0)*(Table6[StationID]=60003760),Table6[VolRem])))</calculatedColumnFormula>
    </tableColumn>
    <tableColumn id="20" name="sum" dataDxfId="670">
      <calculatedColumnFormula>SUM(Table1[[#This Row],[2%2]],Table1[[#This Row],[5%2]],Table1[[#This Row],[10%2]],)</calculatedColumnFormula>
    </tableColumn>
    <tableColumn id="19" name="10%2" dataDxfId="669">
      <calculatedColumnFormula array="1">SUM((Table6[VolRem])*(Table6[StationID]=60003760)*(Table6[Price]&gt;=(Table1[[#This Row],[SELL PRICE]]+(Table1[[#This Row],[SELL PRICE]]*0.05)))*(Table6[Price]&lt;=(Table1[[#This Row],[SELL PRICE]]+(Table1[[#This Row],[SELL PRICE]]*0.1)))/Table1[[#This Row],[AVG VOL.]])</calculatedColumnFormula>
    </tableColumn>
    <tableColumn id="16" name="5%2" dataDxfId="668">
      <calculatedColumnFormula array="1">SUM((Table6[VolRem])*(Table6[StationID]=60003760)*(Table6[Price]&gt;=(Table1[[#This Row],[SELL PRICE]]+(Table1[[#This Row],[SELL PRICE]]*0.02)))*(Table6[Price]&lt;=(Table1[[#This Row],[SELL PRICE]]+(Table1[[#This Row],[SELL PRICE]]*0.05)))/Table1[[#This Row],[AVG VOL.]])</calculatedColumnFormula>
    </tableColumn>
    <tableColumn id="15" name="2%2" dataDxfId="667">
      <calculatedColumnFormula array="1">SUM((Table6[VolRem])*(Table6[StationID]=60003760)*(Table6[Price]&lt;=(Table1[[#This Row],[SELL PRICE]]+(Table1[[#This Row],[SELL PRICE]]*0.02)))*(Table6[Price]&gt;=Table1[[#This Row],[SELL PRICE]]))/Table1[[#This Row],[AVG VOL.]]</calculatedColumnFormula>
    </tableColumn>
    <tableColumn id="3" name="AVG VOL." dataDxfId="666"/>
    <tableColumn id="28" name="Column1" dataDxfId="665"/>
    <tableColumn id="26" name="2.00%" dataDxfId="664">
      <calculatedColumnFormula array="1">SUM((Table6[VolRem])*(Table6[StationID]=60003760)*(Table6[Price]&gt;=(Table1[[#This Row],[BUY PRICE]]-(Table1[[#This Row],[BUY PRICE]]*0.02)))*(Table6[Price]&lt;=Table1[[#This Row],[BUY PRICE]]))/Table1[[#This Row],[AVG VOL.]]</calculatedColumnFormula>
    </tableColumn>
    <tableColumn id="25" name="5.00%" dataDxfId="663">
      <calculatedColumnFormula array="1">SUM((Table6[VolRem])*(Table6[StationID]=60003760)*(Table6[Price]&lt;=(Table1[[#This Row],[BUY PRICE]]-(Table1[[#This Row],[BUY PRICE]]*0.02)))*(Table6[Price]&gt;=(Table1[[#This Row],[BUY PRICE]]-(Table1[[#This Row],[BUY PRICE]]*0.05))))/Table1[[#This Row],[AVG VOL.]]</calculatedColumnFormula>
    </tableColumn>
    <tableColumn id="23" name="10.00%" dataDxfId="662">
      <calculatedColumnFormula array="1">SUM((Table6[VolRem])*(Table6[StationID]=60003760)*(Table6[Price]&lt;=(Table1[[#This Row],[BUY PRICE]]-(Table1[[#This Row],[BUY PRICE]]*0.05)))*(Table6[Price]&gt;=(Table1[[#This Row],[BUY PRICE]]-(Table1[[#This Row],[BUY PRICE]]*0.1))))/Table1[[#This Row],[AVG VOL.]]</calculatedColumnFormula>
    </tableColumn>
    <tableColumn id="27" name="sum2" dataDxfId="661">
      <calculatedColumnFormula>SUM(Table1[[#This Row],[10.00%]],Table1[[#This Row],[5.00%]],Table1[[#This Row],[2.00%]])</calculatedColumnFormula>
    </tableColumn>
    <tableColumn id="8" name="SMV" dataDxfId="660"/>
    <tableColumn id="12" name="REM" dataDxfId="659"/>
    <tableColumn id="14" name="BMV" dataDxfId="658"/>
    <tableColumn id="11" name="EXPENSE" dataDxfId="657"/>
    <tableColumn id="10" name="PROFIT" dataDxfId="656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AH51" totalsRowShown="0" headerRowDxfId="655" dataDxfId="653" headerRowBorderDxfId="654">
  <autoFilter ref="A9:AH51"/>
  <sortState ref="A10:AH51">
    <sortCondition descending="1" ref="AH9:AH51"/>
  </sortState>
  <tableColumns count="34">
    <tableColumn id="1" name="ID" dataDxfId="652"/>
    <tableColumn id="2" name="MARGIN ITEMS" dataDxfId="651"/>
    <tableColumn id="27" name="5D" dataDxfId="650">
      <calculatedColumnFormula array="1">((Table2[[#This Row],[SELL PRICE]])/AVERAGE(OFFSET(Table62[avgPrice],COUNTA(Table62[avgPrice])-5,):OFFSET(Table62[avgPrice],COUNTA(Table62[avgPrice]),)))-1</calculatedColumnFormula>
    </tableColumn>
    <tableColumn id="28" name="1D" dataDxfId="649">
      <calculatedColumnFormula array="1">((Table2[[#This Row],[SELL PRICE]])/AVERAGE(OFFSET(Table62[avgPrice],COUNTA(Table62[avgPrice])-1,):OFFSET(Table62[avgPrice],COUNTA(Table62[avgPrice]),)))-1</calculatedColumnFormula>
    </tableColumn>
    <tableColumn id="4" name="SELL PRICE" dataDxfId="648">
      <calculatedColumnFormula array="1">MIN(IF((Table10[Bid]=0)*(Table10[StationID]=60003760),Table10[Price]))</calculatedColumnFormula>
    </tableColumn>
    <tableColumn id="32" name="%S" dataDxfId="647">
      <calculatedColumnFormula>((Table2[[#This Row],[MYS]]/Table2[[#This Row],[SELL PRICE]])-1)</calculatedColumnFormula>
    </tableColumn>
    <tableColumn id="17" name="MYS" dataDxfId="646">
      <calculatedColumnFormula array="1">INDEX(Table0[price], MATCH(MIN(IF((Table0[bid]=0)*(Table0[typeID]=29668)*(Table0[volRemaining]&gt;0),Table0[price])), Table0[price], 0))</calculatedColumnFormula>
    </tableColumn>
    <tableColumn id="7" name="ORDER" dataDxfId="645">
      <calculatedColumnFormula array="1">INDEX(Table10[OrderID], MATCH(MIN(IF((Table10[Bid]=0)*(Table10[StationID]=60003760),Table10[Price])), Table10[Price], 0))</calculatedColumnFormula>
    </tableColumn>
    <tableColumn id="6" name="RATE" dataDxfId="644" dataCellStyle="Untitled8">
      <calculatedColumnFormula>E10/M10</calculatedColumnFormula>
    </tableColumn>
    <tableColumn id="11" name="ORDER2" dataDxfId="643">
      <calculatedColumnFormula array="1">INDEX(Table10[OrderID], MATCH(MAX(IF((Table10[Bid]=1)*(Table10[StationID]=60003760),Table10[Price])), Table10[Price], 0))</calculatedColumnFormula>
    </tableColumn>
    <tableColumn id="16" name="MY2">
      <calculatedColumnFormula array="1">INDEX(Table0[price], MATCH(MAX(IF((Table0[bid]=1)*(Table0[typeID]=29668)*(Table0[volRemaining]&gt;0),Table0[price])), Table0[price], 0))</calculatedColumnFormula>
    </tableColumn>
    <tableColumn id="31" name="%B" dataDxfId="642">
      <calculatedColumnFormula>((Table2[[#This Row],[MY2]]/Table2[[#This Row],[BUY PRICE]])-1)</calculatedColumnFormula>
    </tableColumn>
    <tableColumn id="10" name="BUY PRICE" dataDxfId="641">
      <calculatedColumnFormula array="1">MAX(IF((Table10[Bid]=1)*(Table10[StationID]=60003760),Table10[Price]))</calculatedColumnFormula>
    </tableColumn>
    <tableColumn id="30" name="1DB" dataDxfId="640">
      <calculatedColumnFormula array="1">((Table2[[#This Row],[BUY PRICE]])/AVERAGE(OFFSET(Table62[avgPrice],COUNTA(Table62[avgPrice])-1,):OFFSET(Table62[avgPrice],COUNTA(Table62[avgPrice]),)))-1</calculatedColumnFormula>
    </tableColumn>
    <tableColumn id="29" name="5DB" dataDxfId="639">
      <calculatedColumnFormula array="1">((Table2[[#This Row],[BUY PRICE]])/AVERAGE(OFFSET(Table62[avgPrice],COUNTA(Table62[avgPrice])-5,):OFFSET(Table62[avgPrice],COUNTA(Table62[avgPrice]),)))-1</calculatedColumnFormula>
    </tableColumn>
    <tableColumn id="18" name="%" dataDxfId="638"/>
    <tableColumn id="13" name="10%" dataDxfId="637"/>
    <tableColumn id="5" name="5%" dataDxfId="636"/>
    <tableColumn id="14" name="2%" dataDxfId="635"/>
    <tableColumn id="26" name="sum" dataDxfId="634">
      <calculatedColumnFormula>SUM(Table2[[#This Row],[2%2]],Table2[[#This Row],[5%2]],Table2[[#This Row],[10%2]])</calculatedColumnFormula>
    </tableColumn>
    <tableColumn id="19" name="10%2" dataDxfId="633">
      <calculatedColumnFormula array="1">SUM((Table31[VolRem])*(Table31[StationID]=60003760)*(Table31[Price]&gt;=(Table2[[#This Row],[SELL PRICE]]+(Table2[[#This Row],[SELL PRICE]]*0.05)))*(Table31[Price]&lt;=(Table2[[#This Row],[SELL PRICE]]+(Table2[[#This Row],[SELL PRICE]]*0.1)))/Table2[[#This Row],[AVG VOL.]])</calculatedColumnFormula>
    </tableColumn>
    <tableColumn id="15" name="5%2" dataDxfId="632">
      <calculatedColumnFormula array="1">SUM((Table31[VolRem])*(Table31[StationID]=60003760)*(Table31[Price]&gt;=(Table2[[#This Row],[SELL PRICE]]+(Table2[[#This Row],[SELL PRICE]]*0.02)))*(Table31[Price]&lt;=(Table2[[#This Row],[SELL PRICE]]+(Table2[[#This Row],[SELL PRICE]]*0.05)))/Table2[[#This Row],[AVG VOL.]])</calculatedColumnFormula>
    </tableColumn>
    <tableColumn id="12" name="2%2" dataDxfId="631">
      <calculatedColumnFormula array="1">SUM((Table31[VolRem])*(Table31[StationID]=60003760)*(Table31[Price]&lt;=(Table2[[#This Row],[SELL PRICE]]+(Table2[[#This Row],[SELL PRICE]]*0.02)))*(Table31[Price]&gt;=Table2[[#This Row],[SELL PRICE]]))/Table2[[#This Row],[AVG VOL.]]</calculatedColumnFormula>
    </tableColumn>
    <tableColumn id="3" name="AVG VOL." dataDxfId="630">
      <calculatedColumnFormula array="1">AVERAGE(OFFSET(Table62[volume],COUNTA(Table62[volume])-30,):OFFSET(Table62[volume],COUNTA(Table62[volume]),))</calculatedColumnFormula>
    </tableColumn>
    <tableColumn id="34" name="Column1" dataDxfId="629">
      <calculatedColumnFormula>Table2[[#This Row],[sum2]]-Table2[[#This Row],[sum]]</calculatedColumnFormula>
    </tableColumn>
    <tableColumn id="25" name="2.00%" dataDxfId="628">
      <calculatedColumnFormula array="1">SUM((Table31[VolRem])*(Table31[StationID]=60003760)*(Table31[Price]&gt;=(Table2[[#This Row],[BUY PRICE]]-(Table2[[#This Row],[BUY PRICE]]*0.02)))*(Table31[Price]&lt;=Table2[[#This Row],[BUY PRICE]]))/Table2[[#This Row],[AVG VOL.]]</calculatedColumnFormula>
    </tableColumn>
    <tableColumn id="24" name="5.00%" dataDxfId="627">
      <calculatedColumnFormula array="1">SUM((Table31[VolRem])*(Table31[StationID]=60003760)*(Table31[Price]&lt;=(Table2[[#This Row],[BUY PRICE]]-(Table2[[#This Row],[BUY PRICE]]*0.02)))*(Table31[Price]&gt;=(Table2[[#This Row],[BUY PRICE]]-(Table2[[#This Row],[BUY PRICE]]*0.05))))/Table2[[#This Row],[AVG VOL.]]</calculatedColumnFormula>
    </tableColumn>
    <tableColumn id="23" name="10.00%" dataDxfId="626">
      <calculatedColumnFormula array="1">SUM((Table31[VolRem])*(Table31[StationID]=60003760)*(Table31[Price]&lt;=(Table2[[#This Row],[BUY PRICE]]-(Table2[[#This Row],[BUY PRICE]]*0.05)))*(Table31[Price]&gt;=(Table2[[#This Row],[BUY PRICE]]-(Table2[[#This Row],[BUY PRICE]]*0.1))))/Table2[[#This Row],[AVG VOL.]]</calculatedColumnFormula>
    </tableColumn>
    <tableColumn id="33" name="sum2" dataDxfId="625">
      <calculatedColumnFormula>SUM(Table2[[#This Row],[10.00%]],Table2[[#This Row],[5.00%]],Table2[[#This Row],[2.00%]])</calculatedColumnFormula>
    </tableColumn>
    <tableColumn id="20" name="SMV" dataDxfId="624"/>
    <tableColumn id="21" name="REM" dataDxfId="623"/>
    <tableColumn id="22" name="BMV" dataDxfId="622"/>
    <tableColumn id="8" name="EXPENSE" dataDxfId="621">
      <calculatedColumnFormula array="1">Table2[[#This Row],[AVG VOL.]]*Table2[[#This Row],[BUY PRICE]]</calculatedColumnFormula>
    </tableColumn>
    <tableColumn id="9" name="PROFIT" dataDxfId="620">
      <calculatedColumnFormula>((E10-M10)*X10)-(Table2[[#This Row],[EXPENSE]]*0.0092)</calculatedColumnFormula>
    </tableColumn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id="8" name="Table0" displayName="Table0" ref="AM52:AR55" tableType="xml" totalsRowShown="0" headerRowDxfId="619" dataDxfId="618" connectionId="15">
  <autoFilter ref="AM52:AR55"/>
  <tableColumns count="6">
    <tableColumn id="7" uniqueName="currentTime" name="Column1" dataDxfId="617">
      <xmlColumnPr mapId="4" xpath="/eveapi/currentTime" xmlDataType="string"/>
    </tableColumn>
    <tableColumn id="3" uniqueName="typeID" name="typeID" dataDxfId="616">
      <xmlColumnPr mapId="4" xpath="/eveapi/result/rowset/row/@typeID" xmlDataType="integer"/>
    </tableColumn>
    <tableColumn id="1" uniqueName="orderID" name="orderID" dataDxfId="615">
      <xmlColumnPr mapId="4" xpath="/eveapi/result/rowset/row/@orderID" xmlDataType="integer"/>
    </tableColumn>
    <tableColumn id="4" uniqueName="bid" name="bid" dataDxfId="614">
      <xmlColumnPr mapId="4" xpath="/eveapi/result/rowset/row/@bid" xmlDataType="integer"/>
    </tableColumn>
    <tableColumn id="5" uniqueName="price" name="price" dataDxfId="613">
      <xmlColumnPr mapId="4" xpath="/eveapi/result/rowset/row/@price" xmlDataType="double"/>
    </tableColumn>
    <tableColumn id="6" uniqueName="volRemaining" name="volRemaining" dataDxfId="612">
      <xmlColumnPr mapId="4" xpath="/eveapi/result/rowset/row/@volRemaining" xmlDataType="integer"/>
    </tableColumn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B1:L741" tableType="xml" totalsRowShown="0" headerRowDxfId="611" dataDxfId="610" connectionId="97">
  <autoFilter ref="B1:L741"/>
  <sortState ref="B2:L284">
    <sortCondition descending="1" ref="H1:H284"/>
  </sortState>
  <tableColumns count="11">
    <tableColumn id="1" uniqueName="OrderID" name="OrderID" dataDxfId="609">
      <xmlColumnPr mapId="1" xpath="/data/entry/OrderID" xmlDataType="integer"/>
    </tableColumn>
    <tableColumn id="2" uniqueName="TypeID" name="TypeID" dataDxfId="608">
      <xmlColumnPr mapId="1" xpath="/data/entry/TypeID" xmlDataType="integer"/>
    </tableColumn>
    <tableColumn id="3" uniqueName="VolEnt" name="VolEnt" dataDxfId="607">
      <xmlColumnPr mapId="1" xpath="/data/entry/VolEnt" xmlDataType="integer"/>
    </tableColumn>
    <tableColumn id="4" uniqueName="VolRem" name="VolRem" dataDxfId="606">
      <xmlColumnPr mapId="1" xpath="/data/entry/VolRem" xmlDataType="integer"/>
    </tableColumn>
    <tableColumn id="5" uniqueName="Price" name="Price" dataDxfId="605">
      <xmlColumnPr mapId="1" xpath="/data/entry/Price" xmlDataType="double"/>
    </tableColumn>
    <tableColumn id="6" uniqueName="MinVol" name="MinVol" dataDxfId="604">
      <xmlColumnPr mapId="1" xpath="/data/entry/MinVol" xmlDataType="integer"/>
    </tableColumn>
    <tableColumn id="7" uniqueName="Bid" name="Bid" dataDxfId="603">
      <xmlColumnPr mapId="1" xpath="/data/entry/Bid" xmlDataType="integer"/>
    </tableColumn>
    <tableColumn id="8" uniqueName="Duration" name="Duration" dataDxfId="602">
      <xmlColumnPr mapId="1" xpath="/data/entry/Duration" xmlDataType="integer"/>
    </tableColumn>
    <tableColumn id="9" uniqueName="StationID" name="StationID" dataDxfId="601">
      <xmlColumnPr mapId="1" xpath="/data/entry/StationID" xmlDataType="integer"/>
    </tableColumn>
    <tableColumn id="10" uniqueName="Range" name="Range" dataDxfId="600">
      <xmlColumnPr mapId="1" xpath="/data/entry/Range" xmlDataType="integer"/>
    </tableColumn>
    <tableColumn id="11" uniqueName="Jumps" name="Jumps" dataDxfId="599">
      <xmlColumnPr mapId="1" xpath="/data/entry/Jumps" xmlDataType="integer"/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N1:X466" tableType="xml" totalsRowShown="0" headerRowDxfId="598" dataDxfId="597" connectionId="82">
  <autoFilter ref="N1:X466"/>
  <tableColumns count="11">
    <tableColumn id="1" uniqueName="OrderID" name="OrderID" dataDxfId="596">
      <xmlColumnPr mapId="2" xpath="/data/entry/OrderID" xmlDataType="integer"/>
    </tableColumn>
    <tableColumn id="2" uniqueName="TypeID" name="TypeID" dataDxfId="595">
      <xmlColumnPr mapId="2" xpath="/data/entry/TypeID" xmlDataType="integer"/>
    </tableColumn>
    <tableColumn id="3" uniqueName="VolEnt" name="VolEnt" dataDxfId="594">
      <xmlColumnPr mapId="2" xpath="/data/entry/VolEnt" xmlDataType="integer"/>
    </tableColumn>
    <tableColumn id="4" uniqueName="VolRem" name="VolRem" dataDxfId="593">
      <xmlColumnPr mapId="2" xpath="/data/entry/VolRem" xmlDataType="integer"/>
    </tableColumn>
    <tableColumn id="5" uniqueName="Price" name="Price" dataDxfId="592">
      <xmlColumnPr mapId="2" xpath="/data/entry/Price" xmlDataType="double"/>
    </tableColumn>
    <tableColumn id="6" uniqueName="MinVol" name="MinVol" dataDxfId="591">
      <xmlColumnPr mapId="2" xpath="/data/entry/MinVol" xmlDataType="integer"/>
    </tableColumn>
    <tableColumn id="7" uniqueName="Bid" name="Bid" dataDxfId="590">
      <xmlColumnPr mapId="2" xpath="/data/entry/Bid" xmlDataType="integer"/>
    </tableColumn>
    <tableColumn id="8" uniqueName="Duration" name="Duration" dataDxfId="589">
      <xmlColumnPr mapId="2" xpath="/data/entry/Duration" xmlDataType="integer"/>
    </tableColumn>
    <tableColumn id="9" uniqueName="StationID" name="StationID" dataDxfId="588">
      <xmlColumnPr mapId="2" xpath="/data/entry/StationID" xmlDataType="integer"/>
    </tableColumn>
    <tableColumn id="10" uniqueName="Range" name="Range" dataDxfId="587">
      <xmlColumnPr mapId="2" xpath="/data/entry/Range" xmlDataType="integer"/>
    </tableColumn>
    <tableColumn id="11" uniqueName="Jumps" name="Jumps" dataDxfId="586">
      <xmlColumnPr mapId="2" xpath="/data/entry/Jumps" xmlDataType="integer"/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Z1:AJ476" tableType="xml" totalsRowShown="0" headerRowDxfId="585" dataDxfId="584" connectionId="61">
  <autoFilter ref="Z1:AJ476"/>
  <sortState ref="Z2:AJ275">
    <sortCondition ref="AF1:AF275"/>
  </sortState>
  <tableColumns count="11">
    <tableColumn id="1" uniqueName="OrderID" name="OrderID" dataDxfId="583">
      <xmlColumnPr mapId="3" xpath="/data/entry/OrderID" xmlDataType="integer"/>
    </tableColumn>
    <tableColumn id="2" uniqueName="TypeID" name="TypeID" dataDxfId="582">
      <xmlColumnPr mapId="3" xpath="/data/entry/TypeID" xmlDataType="integer"/>
    </tableColumn>
    <tableColumn id="3" uniqueName="VolEnt" name="VolEnt" dataDxfId="581">
      <xmlColumnPr mapId="3" xpath="/data/entry/VolEnt" xmlDataType="integer"/>
    </tableColumn>
    <tableColumn id="4" uniqueName="VolRem" name="VolRem" dataDxfId="580">
      <xmlColumnPr mapId="3" xpath="/data/entry/VolRem" xmlDataType="integer"/>
    </tableColumn>
    <tableColumn id="5" uniqueName="Price" name="Price" dataDxfId="579">
      <xmlColumnPr mapId="3" xpath="/data/entry/Price" xmlDataType="double"/>
    </tableColumn>
    <tableColumn id="6" uniqueName="MinVol" name="MinVol" dataDxfId="578">
      <xmlColumnPr mapId="3" xpath="/data/entry/MinVol" xmlDataType="integer"/>
    </tableColumn>
    <tableColumn id="7" uniqueName="Bid" name="Bid" dataDxfId="577">
      <xmlColumnPr mapId="3" xpath="/data/entry/Bid" xmlDataType="integer"/>
    </tableColumn>
    <tableColumn id="8" uniqueName="Duration" name="Duration" dataDxfId="576">
      <xmlColumnPr mapId="3" xpath="/data/entry/Duration" xmlDataType="integer"/>
    </tableColumn>
    <tableColumn id="9" uniqueName="StationID" name="StationID" dataDxfId="575">
      <xmlColumnPr mapId="3" xpath="/data/entry/StationID" xmlDataType="integer"/>
    </tableColumn>
    <tableColumn id="10" uniqueName="Range" name="Range" dataDxfId="574">
      <xmlColumnPr mapId="3" xpath="/data/entry/Range" xmlDataType="integer"/>
    </tableColumn>
    <tableColumn id="11" uniqueName="Jumps" name="Jumps" dataDxfId="573">
      <xmlColumnPr mapId="3" xpath="/data/entry/Jumps" xmlDataType="integer"/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9" name="Table6" displayName="Table6" ref="AL1:AV250" tableType="xml" totalsRowShown="0" headerRowDxfId="572" dataDxfId="571" connectionId="49">
  <autoFilter ref="AL1:AV250">
    <filterColumn colId="8">
      <filters>
        <filter val="60003760"/>
      </filters>
    </filterColumn>
  </autoFilter>
  <sortState ref="AL2:AV173">
    <sortCondition ref="AR1:AR173"/>
  </sortState>
  <tableColumns count="11">
    <tableColumn id="1" uniqueName="OrderID" name="OrderID" dataDxfId="570">
      <xmlColumnPr mapId="5" xpath="/data/entry/OrderID" xmlDataType="integer"/>
    </tableColumn>
    <tableColumn id="2" uniqueName="TypeID" name="TypeID" dataDxfId="569">
      <xmlColumnPr mapId="5" xpath="/data/entry/TypeID" xmlDataType="integer"/>
    </tableColumn>
    <tableColumn id="3" uniqueName="VolEnt" name="VolEnt" dataDxfId="568">
      <xmlColumnPr mapId="5" xpath="/data/entry/VolEnt" xmlDataType="integer"/>
    </tableColumn>
    <tableColumn id="4" uniqueName="VolRem" name="VolRem" dataDxfId="567">
      <xmlColumnPr mapId="5" xpath="/data/entry/VolRem" xmlDataType="integer"/>
    </tableColumn>
    <tableColumn id="5" uniqueName="Price" name="Price" dataDxfId="566">
      <xmlColumnPr mapId="5" xpath="/data/entry/Price" xmlDataType="double"/>
    </tableColumn>
    <tableColumn id="6" uniqueName="MinVol" name="MinVol" dataDxfId="565">
      <xmlColumnPr mapId="5" xpath="/data/entry/MinVol" xmlDataType="integer"/>
    </tableColumn>
    <tableColumn id="7" uniqueName="Bid" name="Bid" dataDxfId="564">
      <xmlColumnPr mapId="5" xpath="/data/entry/Bid" xmlDataType="integer"/>
    </tableColumn>
    <tableColumn id="8" uniqueName="Duration" name="Duration" dataDxfId="563">
      <xmlColumnPr mapId="5" xpath="/data/entry/Duration" xmlDataType="integer"/>
    </tableColumn>
    <tableColumn id="9" uniqueName="StationID" name="StationID" dataDxfId="562">
      <xmlColumnPr mapId="5" xpath="/data/entry/StationID" xmlDataType="integer"/>
    </tableColumn>
    <tableColumn id="10" uniqueName="Range" name="Range" dataDxfId="561">
      <xmlColumnPr mapId="5" xpath="/data/entry/Range" xmlDataType="integer"/>
    </tableColumn>
    <tableColumn id="11" uniqueName="Jumps" name="Jumps" dataDxfId="560">
      <xmlColumnPr mapId="5" xpath="/data/entry/Jumps" xmlDataType="integer"/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0" name="Table7" displayName="Table7" ref="AX1:BH241" tableType="xml" totalsRowShown="0" headerRowDxfId="559" connectionId="70">
  <autoFilter ref="AX1:BH241"/>
  <tableColumns count="11">
    <tableColumn id="1" uniqueName="OrderID" name="OrderID" dataDxfId="558">
      <xmlColumnPr mapId="6" xpath="/data/entry/OrderID" xmlDataType="integer"/>
    </tableColumn>
    <tableColumn id="2" uniqueName="TypeID" name="TypeID" dataDxfId="557">
      <xmlColumnPr mapId="6" xpath="/data/entry/TypeID" xmlDataType="integer"/>
    </tableColumn>
    <tableColumn id="3" uniqueName="VolEnt" name="VolEnt" dataDxfId="556">
      <xmlColumnPr mapId="6" xpath="/data/entry/VolEnt" xmlDataType="integer"/>
    </tableColumn>
    <tableColumn id="4" uniqueName="VolRem" name="VolRem" dataDxfId="555">
      <xmlColumnPr mapId="6" xpath="/data/entry/VolRem" xmlDataType="integer"/>
    </tableColumn>
    <tableColumn id="5" uniqueName="Price" name="Price" dataDxfId="554">
      <xmlColumnPr mapId="6" xpath="/data/entry/Price" xmlDataType="double"/>
    </tableColumn>
    <tableColumn id="6" uniqueName="MinVol" name="MinVol" dataDxfId="553">
      <xmlColumnPr mapId="6" xpath="/data/entry/MinVol" xmlDataType="integer"/>
    </tableColumn>
    <tableColumn id="7" uniqueName="Bid" name="Bid" dataDxfId="552">
      <xmlColumnPr mapId="6" xpath="/data/entry/Bid" xmlDataType="integer"/>
    </tableColumn>
    <tableColumn id="8" uniqueName="Duration" name="Duration" dataDxfId="551">
      <xmlColumnPr mapId="6" xpath="/data/entry/Duration" xmlDataType="integer"/>
    </tableColumn>
    <tableColumn id="9" uniqueName="StationID" name="StationID" dataDxfId="550">
      <xmlColumnPr mapId="6" xpath="/data/entry/StationID" xmlDataType="integer"/>
    </tableColumn>
    <tableColumn id="10" uniqueName="Range" name="Range" dataDxfId="549">
      <xmlColumnPr mapId="6" xpath="/data/entry/Range" xmlDataType="integer"/>
    </tableColumn>
    <tableColumn id="11" uniqueName="Jumps" name="Jumps" dataDxfId="548">
      <xmlColumnPr mapId="6" xpath="/data/entry/Jumps" xmlDataType="integer"/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1" name="Table8" displayName="Table8" ref="BJ1:BT193" tableType="xml" totalsRowShown="0" headerRowDxfId="547" connectionId="104">
  <autoFilter ref="BJ1:BT193"/>
  <tableColumns count="11">
    <tableColumn id="1" uniqueName="OrderID" name="OrderID" dataDxfId="546">
      <xmlColumnPr mapId="7" xpath="/data/entry/OrderID" xmlDataType="integer"/>
    </tableColumn>
    <tableColumn id="2" uniqueName="TypeID" name="TypeID" dataDxfId="545">
      <xmlColumnPr mapId="7" xpath="/data/entry/TypeID" xmlDataType="integer"/>
    </tableColumn>
    <tableColumn id="3" uniqueName="VolEnt" name="VolEnt" dataDxfId="544">
      <xmlColumnPr mapId="7" xpath="/data/entry/VolEnt" xmlDataType="integer"/>
    </tableColumn>
    <tableColumn id="4" uniqueName="VolRem" name="VolRem" dataDxfId="543">
      <xmlColumnPr mapId="7" xpath="/data/entry/VolRem" xmlDataType="integer"/>
    </tableColumn>
    <tableColumn id="5" uniqueName="Price" name="Price" dataDxfId="542">
      <xmlColumnPr mapId="7" xpath="/data/entry/Price" xmlDataType="double"/>
    </tableColumn>
    <tableColumn id="6" uniqueName="MinVol" name="MinVol" dataDxfId="541">
      <xmlColumnPr mapId="7" xpath="/data/entry/MinVol" xmlDataType="integer"/>
    </tableColumn>
    <tableColumn id="7" uniqueName="Bid" name="Bid" dataDxfId="540">
      <xmlColumnPr mapId="7" xpath="/data/entry/Bid" xmlDataType="integer"/>
    </tableColumn>
    <tableColumn id="8" uniqueName="Duration" name="Duration" dataDxfId="539">
      <xmlColumnPr mapId="7" xpath="/data/entry/Duration" xmlDataType="integer"/>
    </tableColumn>
    <tableColumn id="9" uniqueName="StationID" name="StationID" dataDxfId="538">
      <xmlColumnPr mapId="7" xpath="/data/entry/StationID" xmlDataType="integer"/>
    </tableColumn>
    <tableColumn id="10" uniqueName="Range" name="Range" dataDxfId="537">
      <xmlColumnPr mapId="7" xpath="/data/entry/Range" xmlDataType="integer"/>
    </tableColumn>
    <tableColumn id="11" uniqueName="Jumps" name="Jumps" dataDxfId="536">
      <xmlColumnPr mapId="7" xpath="/data/entry/Jumps" xmlDataType="integer"/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2" name="Table9" displayName="Table9" ref="BV1:CF232" tableType="xml" totalsRowShown="0" headerRowDxfId="535" connectionId="55">
  <autoFilter ref="BV1:CF232"/>
  <sortState ref="BV2:CF228">
    <sortCondition ref="CB1:CB228"/>
  </sortState>
  <tableColumns count="11">
    <tableColumn id="1" uniqueName="OrderID" name="OrderID" dataDxfId="534">
      <xmlColumnPr mapId="8" xpath="/data/entry/OrderID" xmlDataType="integer"/>
    </tableColumn>
    <tableColumn id="2" uniqueName="TypeID" name="TypeID" dataDxfId="533">
      <xmlColumnPr mapId="8" xpath="/data/entry/TypeID" xmlDataType="integer"/>
    </tableColumn>
    <tableColumn id="3" uniqueName="VolEnt" name="VolEnt" dataDxfId="532">
      <xmlColumnPr mapId="8" xpath="/data/entry/VolEnt" xmlDataType="integer"/>
    </tableColumn>
    <tableColumn id="4" uniqueName="VolRem" name="VolRem" dataDxfId="531">
      <xmlColumnPr mapId="8" xpath="/data/entry/VolRem" xmlDataType="integer"/>
    </tableColumn>
    <tableColumn id="5" uniqueName="Price" name="Price" dataDxfId="530">
      <xmlColumnPr mapId="8" xpath="/data/entry/Price" xmlDataType="double"/>
    </tableColumn>
    <tableColumn id="6" uniqueName="MinVol" name="MinVol" dataDxfId="529">
      <xmlColumnPr mapId="8" xpath="/data/entry/MinVol" xmlDataType="integer"/>
    </tableColumn>
    <tableColumn id="7" uniqueName="Bid" name="Bid" dataDxfId="528">
      <xmlColumnPr mapId="8" xpath="/data/entry/Bid" xmlDataType="integer"/>
    </tableColumn>
    <tableColumn id="8" uniqueName="Duration" name="Duration" dataDxfId="527">
      <xmlColumnPr mapId="8" xpath="/data/entry/Duration" xmlDataType="integer"/>
    </tableColumn>
    <tableColumn id="9" uniqueName="StationID" name="StationID" dataDxfId="526">
      <xmlColumnPr mapId="8" xpath="/data/entry/StationID" xmlDataType="integer"/>
    </tableColumn>
    <tableColumn id="10" uniqueName="Range" name="Range" dataDxfId="525">
      <xmlColumnPr mapId="8" xpath="/data/entry/Range" xmlDataType="integer"/>
    </tableColumn>
    <tableColumn id="11" uniqueName="Jumps" name="Jumps" dataDxfId="524">
      <xmlColumnPr mapId="8" xpath="/data/entry/Jumps" xmlDataType="integer"/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6" name="Table10" displayName="Table10" ref="CH1:CR580" tableType="xml" totalsRowShown="0" headerRowDxfId="523" connectionId="2">
  <autoFilter ref="CH1:CR580"/>
  <tableColumns count="11">
    <tableColumn id="1" uniqueName="OrderID" name="OrderID" dataDxfId="522">
      <xmlColumnPr mapId="9" xpath="/data/entry/OrderID" xmlDataType="integer"/>
    </tableColumn>
    <tableColumn id="2" uniqueName="TypeID" name="TypeID" dataDxfId="521">
      <xmlColumnPr mapId="9" xpath="/data/entry/TypeID" xmlDataType="integer"/>
    </tableColumn>
    <tableColumn id="3" uniqueName="VolEnt" name="VolEnt" dataDxfId="520">
      <xmlColumnPr mapId="9" xpath="/data/entry/VolEnt" xmlDataType="integer"/>
    </tableColumn>
    <tableColumn id="4" uniqueName="VolRem" name="VolRem" dataDxfId="519">
      <xmlColumnPr mapId="9" xpath="/data/entry/VolRem" xmlDataType="integer"/>
    </tableColumn>
    <tableColumn id="5" uniqueName="Price" name="Price" dataDxfId="518">
      <xmlColumnPr mapId="9" xpath="/data/entry/Price" xmlDataType="double"/>
    </tableColumn>
    <tableColumn id="6" uniqueName="MinVol" name="MinVol" dataDxfId="517">
      <xmlColumnPr mapId="9" xpath="/data/entry/MinVol" xmlDataType="integer"/>
    </tableColumn>
    <tableColumn id="7" uniqueName="Bid" name="Bid" dataDxfId="516">
      <xmlColumnPr mapId="9" xpath="/data/entry/Bid" xmlDataType="integer"/>
    </tableColumn>
    <tableColumn id="8" uniqueName="Duration" name="Duration" dataDxfId="515">
      <xmlColumnPr mapId="9" xpath="/data/entry/Duration" xmlDataType="integer"/>
    </tableColumn>
    <tableColumn id="9" uniqueName="StationID" name="StationID" dataDxfId="514">
      <xmlColumnPr mapId="9" xpath="/data/entry/StationID" xmlDataType="integer"/>
    </tableColumn>
    <tableColumn id="10" uniqueName="Range" name="Range" dataDxfId="513">
      <xmlColumnPr mapId="9" xpath="/data/entry/Range" xmlDataType="integer"/>
    </tableColumn>
    <tableColumn id="11" uniqueName="Jumps" name="Jumps" dataDxfId="512">
      <xmlColumnPr mapId="9" xpath="/data/entry/Jumps" xmlDataType="integer"/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7" name="Table17" displayName="Table17" ref="CT1:DD137" tableType="xml" totalsRowShown="0" headerRowDxfId="511" connectionId="90">
  <autoFilter ref="CT1:DD137"/>
  <tableColumns count="11">
    <tableColumn id="1" uniqueName="OrderID" name="OrderID" dataDxfId="510">
      <xmlColumnPr mapId="10" xpath="/data/entry/OrderID" xmlDataType="integer"/>
    </tableColumn>
    <tableColumn id="2" uniqueName="TypeID" name="TypeID" dataDxfId="509">
      <xmlColumnPr mapId="10" xpath="/data/entry/TypeID" xmlDataType="integer"/>
    </tableColumn>
    <tableColumn id="3" uniqueName="VolEnt" name="VolEnt" dataDxfId="508">
      <xmlColumnPr mapId="10" xpath="/data/entry/VolEnt" xmlDataType="integer"/>
    </tableColumn>
    <tableColumn id="4" uniqueName="VolRem" name="VolRem" dataDxfId="507">
      <xmlColumnPr mapId="10" xpath="/data/entry/VolRem" xmlDataType="integer"/>
    </tableColumn>
    <tableColumn id="5" uniqueName="Price" name="Price" dataDxfId="506">
      <xmlColumnPr mapId="10" xpath="/data/entry/Price" xmlDataType="double"/>
    </tableColumn>
    <tableColumn id="6" uniqueName="MinVol" name="MinVol" dataDxfId="505">
      <xmlColumnPr mapId="10" xpath="/data/entry/MinVol" xmlDataType="integer"/>
    </tableColumn>
    <tableColumn id="7" uniqueName="Bid" name="Bid" dataDxfId="504">
      <xmlColumnPr mapId="10" xpath="/data/entry/Bid" xmlDataType="integer"/>
    </tableColumn>
    <tableColumn id="8" uniqueName="Duration" name="Duration" dataDxfId="503">
      <xmlColumnPr mapId="10" xpath="/data/entry/Duration" xmlDataType="integer"/>
    </tableColumn>
    <tableColumn id="9" uniqueName="StationID" name="StationID" dataDxfId="502">
      <xmlColumnPr mapId="10" xpath="/data/entry/StationID" xmlDataType="integer"/>
    </tableColumn>
    <tableColumn id="10" uniqueName="Range" name="Range" dataDxfId="501">
      <xmlColumnPr mapId="10" xpath="/data/entry/Range" xmlDataType="integer"/>
    </tableColumn>
    <tableColumn id="11" uniqueName="Jumps" name="Jumps" dataDxfId="500">
      <xmlColumnPr mapId="10" xpath="/data/entry/Jumps" xmlDataType="integer"/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8" name="Table18" displayName="Table18" ref="DF1:DP200" tableType="xml" totalsRowShown="0" headerRowDxfId="499" connectionId="74">
  <autoFilter ref="DF1:DP200"/>
  <tableColumns count="11">
    <tableColumn id="1" uniqueName="OrderID" name="OrderID" dataDxfId="498">
      <xmlColumnPr mapId="11" xpath="/data/entry/OrderID" xmlDataType="integer"/>
    </tableColumn>
    <tableColumn id="2" uniqueName="TypeID" name="TypeID" dataDxfId="497">
      <xmlColumnPr mapId="11" xpath="/data/entry/TypeID" xmlDataType="integer"/>
    </tableColumn>
    <tableColumn id="3" uniqueName="VolEnt" name="VolEnt" dataDxfId="496">
      <xmlColumnPr mapId="11" xpath="/data/entry/VolEnt" xmlDataType="integer"/>
    </tableColumn>
    <tableColumn id="4" uniqueName="VolRem" name="VolRem" dataDxfId="495">
      <xmlColumnPr mapId="11" xpath="/data/entry/VolRem" xmlDataType="integer"/>
    </tableColumn>
    <tableColumn id="5" uniqueName="Price" name="Price" dataDxfId="494">
      <xmlColumnPr mapId="11" xpath="/data/entry/Price" xmlDataType="double"/>
    </tableColumn>
    <tableColumn id="6" uniqueName="MinVol" name="MinVol" dataDxfId="493">
      <xmlColumnPr mapId="11" xpath="/data/entry/MinVol" xmlDataType="integer"/>
    </tableColumn>
    <tableColumn id="7" uniqueName="Bid" name="Bid" dataDxfId="492">
      <xmlColumnPr mapId="11" xpath="/data/entry/Bid" xmlDataType="integer"/>
    </tableColumn>
    <tableColumn id="8" uniqueName="Duration" name="Duration" dataDxfId="491">
      <xmlColumnPr mapId="11" xpath="/data/entry/Duration" xmlDataType="integer"/>
    </tableColumn>
    <tableColumn id="9" uniqueName="StationID" name="StationID" dataDxfId="490">
      <xmlColumnPr mapId="11" xpath="/data/entry/StationID" xmlDataType="integer"/>
    </tableColumn>
    <tableColumn id="10" uniqueName="Range" name="Range" dataDxfId="489">
      <xmlColumnPr mapId="11" xpath="/data/entry/Range" xmlDataType="integer"/>
    </tableColumn>
    <tableColumn id="11" uniqueName="Jumps" name="Jumps" dataDxfId="488">
      <xmlColumnPr mapId="11" xpath="/data/entry/Jumps" xmlDataType="integer"/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9" name="Table19" displayName="Table19" ref="DR1:EB354" tableType="xml" totalsRowShown="0" headerRowDxfId="487" connectionId="68">
  <autoFilter ref="DR1:EB354"/>
  <tableColumns count="11">
    <tableColumn id="1" uniqueName="OrderID" name="OrderID" dataDxfId="486">
      <xmlColumnPr mapId="12" xpath="/data/entry/OrderID" xmlDataType="integer"/>
    </tableColumn>
    <tableColumn id="2" uniqueName="TypeID" name="TypeID" dataDxfId="485">
      <xmlColumnPr mapId="12" xpath="/data/entry/TypeID" xmlDataType="integer"/>
    </tableColumn>
    <tableColumn id="3" uniqueName="VolEnt" name="VolEnt" dataDxfId="484">
      <xmlColumnPr mapId="12" xpath="/data/entry/VolEnt" xmlDataType="integer"/>
    </tableColumn>
    <tableColumn id="4" uniqueName="VolRem" name="VolRem" dataDxfId="483">
      <xmlColumnPr mapId="12" xpath="/data/entry/VolRem" xmlDataType="integer"/>
    </tableColumn>
    <tableColumn id="5" uniqueName="Price" name="Price" dataDxfId="482">
      <xmlColumnPr mapId="12" xpath="/data/entry/Price" xmlDataType="double"/>
    </tableColumn>
    <tableColumn id="6" uniqueName="MinVol" name="MinVol" dataDxfId="481">
      <xmlColumnPr mapId="12" xpath="/data/entry/MinVol" xmlDataType="integer"/>
    </tableColumn>
    <tableColumn id="7" uniqueName="Bid" name="Bid" dataDxfId="480">
      <xmlColumnPr mapId="12" xpath="/data/entry/Bid" xmlDataType="integer"/>
    </tableColumn>
    <tableColumn id="8" uniqueName="Duration" name="Duration" dataDxfId="479">
      <xmlColumnPr mapId="12" xpath="/data/entry/Duration" xmlDataType="integer"/>
    </tableColumn>
    <tableColumn id="9" uniqueName="StationID" name="StationID" dataDxfId="478">
      <xmlColumnPr mapId="12" xpath="/data/entry/StationID" xmlDataType="integer"/>
    </tableColumn>
    <tableColumn id="10" uniqueName="Range" name="Range" dataDxfId="477">
      <xmlColumnPr mapId="12" xpath="/data/entry/Range" xmlDataType="integer"/>
    </tableColumn>
    <tableColumn id="11" uniqueName="Jumps" name="Jumps" dataDxfId="476">
      <xmlColumnPr mapId="12" xpath="/data/entry/Jumps" xmlDataType="integer"/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20" name="Table20" displayName="Table20" ref="ED1:EN240" tableType="xml" totalsRowShown="0" headerRowDxfId="475" connectionId="51">
  <autoFilter ref="ED1:EN240"/>
  <tableColumns count="11">
    <tableColumn id="1" uniqueName="OrderID" name="OrderID" dataDxfId="474">
      <xmlColumnPr mapId="13" xpath="/data/entry/OrderID" xmlDataType="integer"/>
    </tableColumn>
    <tableColumn id="2" uniqueName="TypeID" name="TypeID" dataDxfId="473">
      <xmlColumnPr mapId="13" xpath="/data/entry/TypeID" xmlDataType="integer"/>
    </tableColumn>
    <tableColumn id="3" uniqueName="VolEnt" name="VolEnt" dataDxfId="472">
      <xmlColumnPr mapId="13" xpath="/data/entry/VolEnt" xmlDataType="integer"/>
    </tableColumn>
    <tableColumn id="4" uniqueName="VolRem" name="VolRem" dataDxfId="471">
      <xmlColumnPr mapId="13" xpath="/data/entry/VolRem" xmlDataType="integer"/>
    </tableColumn>
    <tableColumn id="5" uniqueName="Price" name="Price" dataDxfId="470">
      <xmlColumnPr mapId="13" xpath="/data/entry/Price" xmlDataType="double"/>
    </tableColumn>
    <tableColumn id="6" uniqueName="MinVol" name="MinVol" dataDxfId="469">
      <xmlColumnPr mapId="13" xpath="/data/entry/MinVol" xmlDataType="integer"/>
    </tableColumn>
    <tableColumn id="7" uniqueName="Bid" name="Bid" dataDxfId="468">
      <xmlColumnPr mapId="13" xpath="/data/entry/Bid" xmlDataType="integer"/>
    </tableColumn>
    <tableColumn id="8" uniqueName="Duration" name="Duration" dataDxfId="467">
      <xmlColumnPr mapId="13" xpath="/data/entry/Duration" xmlDataType="integer"/>
    </tableColumn>
    <tableColumn id="9" uniqueName="StationID" name="StationID" dataDxfId="466">
      <xmlColumnPr mapId="13" xpath="/data/entry/StationID" xmlDataType="integer"/>
    </tableColumn>
    <tableColumn id="10" uniqueName="Range" name="Range" dataDxfId="465">
      <xmlColumnPr mapId="13" xpath="/data/entry/Range" xmlDataType="integer"/>
    </tableColumn>
    <tableColumn id="11" uniqueName="Jumps" name="Jumps" dataDxfId="464">
      <xmlColumnPr mapId="13" xpath="/data/entry/Jumps" xmlDataType="integer"/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21" name="Table21" displayName="Table21" ref="EP1:EZ115" tableType="xml" totalsRowShown="0" headerRowDxfId="463" connectionId="43">
  <autoFilter ref="EP1:EZ115"/>
  <tableColumns count="11">
    <tableColumn id="1" uniqueName="OrderID" name="OrderID" dataDxfId="462">
      <xmlColumnPr mapId="14" xpath="/data/entry/OrderID" xmlDataType="integer"/>
    </tableColumn>
    <tableColumn id="2" uniqueName="TypeID" name="TypeID" dataDxfId="461">
      <xmlColumnPr mapId="14" xpath="/data/entry/TypeID" xmlDataType="integer"/>
    </tableColumn>
    <tableColumn id="3" uniqueName="VolEnt" name="VolEnt" dataDxfId="460">
      <xmlColumnPr mapId="14" xpath="/data/entry/VolEnt" xmlDataType="integer"/>
    </tableColumn>
    <tableColumn id="4" uniqueName="VolRem" name="VolRem" dataDxfId="459">
      <xmlColumnPr mapId="14" xpath="/data/entry/VolRem" xmlDataType="integer"/>
    </tableColumn>
    <tableColumn id="5" uniqueName="Price" name="Price" dataDxfId="458">
      <xmlColumnPr mapId="14" xpath="/data/entry/Price" xmlDataType="double"/>
    </tableColumn>
    <tableColumn id="6" uniqueName="MinVol" name="MinVol" dataDxfId="457">
      <xmlColumnPr mapId="14" xpath="/data/entry/MinVol" xmlDataType="integer"/>
    </tableColumn>
    <tableColumn id="7" uniqueName="Bid" name="Bid" dataDxfId="456">
      <xmlColumnPr mapId="14" xpath="/data/entry/Bid" xmlDataType="integer"/>
    </tableColumn>
    <tableColumn id="8" uniqueName="Duration" name="Duration" dataDxfId="455">
      <xmlColumnPr mapId="14" xpath="/data/entry/Duration" xmlDataType="integer"/>
    </tableColumn>
    <tableColumn id="9" uniqueName="StationID" name="StationID" dataDxfId="454">
      <xmlColumnPr mapId="14" xpath="/data/entry/StationID" xmlDataType="integer"/>
    </tableColumn>
    <tableColumn id="10" uniqueName="Range" name="Range" dataDxfId="453">
      <xmlColumnPr mapId="14" xpath="/data/entry/Range" xmlDataType="integer"/>
    </tableColumn>
    <tableColumn id="11" uniqueName="Jumps" name="Jumps" dataDxfId="452">
      <xmlColumnPr mapId="14" xpath="/data/entry/Jumps" xmlDataType="integer"/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28" name="Table28" displayName="Table28" ref="FB1:FL143" tableType="xml" totalsRowShown="0" headerRowDxfId="451" connectionId="57">
  <autoFilter ref="FB1:FL143"/>
  <tableColumns count="11">
    <tableColumn id="1" uniqueName="OrderID" name="OrderID" dataDxfId="450">
      <xmlColumnPr mapId="15" xpath="/data/entry/OrderID" xmlDataType="integer"/>
    </tableColumn>
    <tableColumn id="2" uniqueName="TypeID" name="TypeID" dataDxfId="449">
      <xmlColumnPr mapId="15" xpath="/data/entry/TypeID" xmlDataType="integer"/>
    </tableColumn>
    <tableColumn id="3" uniqueName="VolEnt" name="VolEnt" dataDxfId="448">
      <xmlColumnPr mapId="15" xpath="/data/entry/VolEnt" xmlDataType="integer"/>
    </tableColumn>
    <tableColumn id="4" uniqueName="VolRem" name="VolRem" dataDxfId="447">
      <xmlColumnPr mapId="15" xpath="/data/entry/VolRem" xmlDataType="integer"/>
    </tableColumn>
    <tableColumn id="5" uniqueName="Price" name="Price" dataDxfId="446">
      <xmlColumnPr mapId="15" xpath="/data/entry/Price" xmlDataType="double"/>
    </tableColumn>
    <tableColumn id="6" uniqueName="MinVol" name="MinVol" dataDxfId="445">
      <xmlColumnPr mapId="15" xpath="/data/entry/MinVol" xmlDataType="integer"/>
    </tableColumn>
    <tableColumn id="7" uniqueName="Bid" name="Bid" dataDxfId="444">
      <xmlColumnPr mapId="15" xpath="/data/entry/Bid" xmlDataType="integer"/>
    </tableColumn>
    <tableColumn id="8" uniqueName="Duration" name="Duration" dataDxfId="443">
      <xmlColumnPr mapId="15" xpath="/data/entry/Duration" xmlDataType="integer"/>
    </tableColumn>
    <tableColumn id="9" uniqueName="StationID" name="StationID" dataDxfId="442">
      <xmlColumnPr mapId="15" xpath="/data/entry/StationID" xmlDataType="integer"/>
    </tableColumn>
    <tableColumn id="10" uniqueName="Range" name="Range" dataDxfId="441">
      <xmlColumnPr mapId="15" xpath="/data/entry/Range" xmlDataType="integer"/>
    </tableColumn>
    <tableColumn id="11" uniqueName="Jumps" name="Jumps" dataDxfId="440">
      <xmlColumnPr mapId="15" xpath="/data/entry/Jumps" xmlDataType="integer"/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29" name="Table29" displayName="Table29" ref="FN1:FX106" tableType="xml" totalsRowShown="0" headerRowDxfId="439" connectionId="80">
  <autoFilter ref="FN1:FX106"/>
  <tableColumns count="11">
    <tableColumn id="1" uniqueName="OrderID" name="OrderID" dataDxfId="438">
      <xmlColumnPr mapId="16" xpath="/data/entry/OrderID" xmlDataType="integer"/>
    </tableColumn>
    <tableColumn id="2" uniqueName="TypeID" name="TypeID" dataDxfId="437">
      <xmlColumnPr mapId="16" xpath="/data/entry/TypeID" xmlDataType="integer"/>
    </tableColumn>
    <tableColumn id="3" uniqueName="VolEnt" name="VolEnt" dataDxfId="436">
      <xmlColumnPr mapId="16" xpath="/data/entry/VolEnt" xmlDataType="integer"/>
    </tableColumn>
    <tableColumn id="4" uniqueName="VolRem" name="VolRem" dataDxfId="435">
      <xmlColumnPr mapId="16" xpath="/data/entry/VolRem" xmlDataType="integer"/>
    </tableColumn>
    <tableColumn id="5" uniqueName="Price" name="Price" dataDxfId="434">
      <xmlColumnPr mapId="16" xpath="/data/entry/Price" xmlDataType="double"/>
    </tableColumn>
    <tableColumn id="6" uniqueName="MinVol" name="MinVol" dataDxfId="433">
      <xmlColumnPr mapId="16" xpath="/data/entry/MinVol" xmlDataType="integer"/>
    </tableColumn>
    <tableColumn id="7" uniqueName="Bid" name="Bid" dataDxfId="432">
      <xmlColumnPr mapId="16" xpath="/data/entry/Bid" xmlDataType="integer"/>
    </tableColumn>
    <tableColumn id="8" uniqueName="Duration" name="Duration" dataDxfId="431">
      <xmlColumnPr mapId="16" xpath="/data/entry/Duration" xmlDataType="integer"/>
    </tableColumn>
    <tableColumn id="9" uniqueName="StationID" name="StationID" dataDxfId="430">
      <xmlColumnPr mapId="16" xpath="/data/entry/StationID" xmlDataType="integer"/>
    </tableColumn>
    <tableColumn id="10" uniqueName="Range" name="Range" dataDxfId="429">
      <xmlColumnPr mapId="16" xpath="/data/entry/Range" xmlDataType="integer"/>
    </tableColumn>
    <tableColumn id="11" uniqueName="Jumps" name="Jumps" dataDxfId="428">
      <xmlColumnPr mapId="16" xpath="/data/entry/Jumps" xmlDataType="integer"/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30" name="Table30" displayName="Table30" ref="FZ1:GJ139" tableType="xml" totalsRowShown="0" headerRowDxfId="427" connectionId="27">
  <autoFilter ref="FZ1:GJ139"/>
  <tableColumns count="11">
    <tableColumn id="1" uniqueName="OrderID" name="OrderID" dataDxfId="426">
      <xmlColumnPr mapId="17" xpath="/data/entry/OrderID" xmlDataType="integer"/>
    </tableColumn>
    <tableColumn id="2" uniqueName="TypeID" name="TypeID" dataDxfId="425">
      <xmlColumnPr mapId="17" xpath="/data/entry/TypeID" xmlDataType="integer"/>
    </tableColumn>
    <tableColumn id="3" uniqueName="VolEnt" name="VolEnt" dataDxfId="424">
      <xmlColumnPr mapId="17" xpath="/data/entry/VolEnt" xmlDataType="integer"/>
    </tableColumn>
    <tableColumn id="4" uniqueName="VolRem" name="VolRem" dataDxfId="423">
      <xmlColumnPr mapId="17" xpath="/data/entry/VolRem" xmlDataType="integer"/>
    </tableColumn>
    <tableColumn id="5" uniqueName="Price" name="Price" dataDxfId="422">
      <xmlColumnPr mapId="17" xpath="/data/entry/Price" xmlDataType="double"/>
    </tableColumn>
    <tableColumn id="6" uniqueName="MinVol" name="MinVol" dataDxfId="421">
      <xmlColumnPr mapId="17" xpath="/data/entry/MinVol" xmlDataType="integer"/>
    </tableColumn>
    <tableColumn id="7" uniqueName="Bid" name="Bid" dataDxfId="420">
      <xmlColumnPr mapId="17" xpath="/data/entry/Bid" xmlDataType="integer"/>
    </tableColumn>
    <tableColumn id="8" uniqueName="Duration" name="Duration" dataDxfId="419">
      <xmlColumnPr mapId="17" xpath="/data/entry/Duration" xmlDataType="integer"/>
    </tableColumn>
    <tableColumn id="9" uniqueName="StationID" name="StationID" dataDxfId="418">
      <xmlColumnPr mapId="17" xpath="/data/entry/StationID" xmlDataType="integer"/>
    </tableColumn>
    <tableColumn id="10" uniqueName="Range" name="Range" dataDxfId="417">
      <xmlColumnPr mapId="17" xpath="/data/entry/Range" xmlDataType="integer"/>
    </tableColumn>
    <tableColumn id="11" uniqueName="Jumps" name="Jumps" dataDxfId="416">
      <xmlColumnPr mapId="17" xpath="/data/entry/Jumps" xmlDataType="integer"/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31" name="Table31" displayName="Table31" ref="GL1:GV141" tableType="xml" totalsRowShown="0" headerRowDxfId="415" connectionId="63">
  <autoFilter ref="GL1:GV141"/>
  <tableColumns count="11">
    <tableColumn id="1" uniqueName="OrderID" name="OrderID" dataDxfId="414">
      <xmlColumnPr mapId="18" xpath="/data/entry/OrderID" xmlDataType="integer"/>
    </tableColumn>
    <tableColumn id="2" uniqueName="TypeID" name="TypeID" dataDxfId="413">
      <xmlColumnPr mapId="18" xpath="/data/entry/TypeID" xmlDataType="integer"/>
    </tableColumn>
    <tableColumn id="3" uniqueName="VolEnt" name="VolEnt" dataDxfId="412">
      <xmlColumnPr mapId="18" xpath="/data/entry/VolEnt" xmlDataType="integer"/>
    </tableColumn>
    <tableColumn id="4" uniqueName="VolRem" name="VolRem" dataDxfId="411">
      <xmlColumnPr mapId="18" xpath="/data/entry/VolRem" xmlDataType="integer"/>
    </tableColumn>
    <tableColumn id="5" uniqueName="Price" name="Price" dataDxfId="410">
      <xmlColumnPr mapId="18" xpath="/data/entry/Price" xmlDataType="double"/>
    </tableColumn>
    <tableColumn id="6" uniqueName="MinVol" name="MinVol" dataDxfId="409">
      <xmlColumnPr mapId="18" xpath="/data/entry/MinVol" xmlDataType="integer"/>
    </tableColumn>
    <tableColumn id="7" uniqueName="Bid" name="Bid" dataDxfId="408">
      <xmlColumnPr mapId="18" xpath="/data/entry/Bid" xmlDataType="integer"/>
    </tableColumn>
    <tableColumn id="8" uniqueName="Duration" name="Duration" dataDxfId="407">
      <xmlColumnPr mapId="18" xpath="/data/entry/Duration" xmlDataType="integer"/>
    </tableColumn>
    <tableColumn id="9" uniqueName="StationID" name="StationID" dataDxfId="406">
      <xmlColumnPr mapId="18" xpath="/data/entry/StationID" xmlDataType="integer"/>
    </tableColumn>
    <tableColumn id="10" uniqueName="Range" name="Range" dataDxfId="405">
      <xmlColumnPr mapId="18" xpath="/data/entry/Range" xmlDataType="integer"/>
    </tableColumn>
    <tableColumn id="11" uniqueName="Jumps" name="Jumps" dataDxfId="404">
      <xmlColumnPr mapId="18" xpath="/data/entry/Jumps" xmlDataType="integer"/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33" name="Table33" displayName="Table33" ref="GX1:HH91" tableType="xml" totalsRowShown="0" headerRowDxfId="403" connectionId="33">
  <autoFilter ref="GX1:HH91"/>
  <tableColumns count="11">
    <tableColumn id="1" uniqueName="OrderID" name="OrderID" dataDxfId="402">
      <xmlColumnPr mapId="19" xpath="/data/entry/OrderID" xmlDataType="integer"/>
    </tableColumn>
    <tableColumn id="2" uniqueName="TypeID" name="TypeID" dataDxfId="401">
      <xmlColumnPr mapId="19" xpath="/data/entry/TypeID" xmlDataType="integer"/>
    </tableColumn>
    <tableColumn id="3" uniqueName="VolEnt" name="VolEnt" dataDxfId="400">
      <xmlColumnPr mapId="19" xpath="/data/entry/VolEnt" xmlDataType="integer"/>
    </tableColumn>
    <tableColumn id="4" uniqueName="VolRem" name="VolRem" dataDxfId="399">
      <xmlColumnPr mapId="19" xpath="/data/entry/VolRem" xmlDataType="integer"/>
    </tableColumn>
    <tableColumn id="5" uniqueName="Price" name="Price" dataDxfId="398">
      <xmlColumnPr mapId="19" xpath="/data/entry/Price" xmlDataType="double"/>
    </tableColumn>
    <tableColumn id="6" uniqueName="MinVol" name="MinVol" dataDxfId="397">
      <xmlColumnPr mapId="19" xpath="/data/entry/MinVol" xmlDataType="integer"/>
    </tableColumn>
    <tableColumn id="7" uniqueName="Bid" name="Bid" dataDxfId="396">
      <xmlColumnPr mapId="19" xpath="/data/entry/Bid" xmlDataType="integer"/>
    </tableColumn>
    <tableColumn id="8" uniqueName="Duration" name="Duration" dataDxfId="395">
      <xmlColumnPr mapId="19" xpath="/data/entry/Duration" xmlDataType="integer"/>
    </tableColumn>
    <tableColumn id="9" uniqueName="StationID" name="StationID" dataDxfId="394">
      <xmlColumnPr mapId="19" xpath="/data/entry/StationID" xmlDataType="integer"/>
    </tableColumn>
    <tableColumn id="10" uniqueName="Range" name="Range" dataDxfId="393">
      <xmlColumnPr mapId="19" xpath="/data/entry/Range" xmlDataType="integer"/>
    </tableColumn>
    <tableColumn id="11" uniqueName="Jumps" name="Jumps" dataDxfId="392">
      <xmlColumnPr mapId="19" xpath="/data/entry/Jumps" xmlDataType="integer"/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34" name="Table34" displayName="Table34" ref="HJ1:HT35" tableType="xml" totalsRowShown="0" headerRowDxfId="391" connectionId="37">
  <autoFilter ref="HJ1:HT35"/>
  <tableColumns count="11">
    <tableColumn id="1" uniqueName="OrderID" name="OrderID" dataDxfId="390">
      <xmlColumnPr mapId="20" xpath="/data/entry/OrderID" xmlDataType="integer"/>
    </tableColumn>
    <tableColumn id="2" uniqueName="TypeID" name="TypeID" dataDxfId="389">
      <xmlColumnPr mapId="20" xpath="/data/entry/TypeID" xmlDataType="integer"/>
    </tableColumn>
    <tableColumn id="3" uniqueName="VolEnt" name="VolEnt" dataDxfId="388">
      <xmlColumnPr mapId="20" xpath="/data/entry/VolEnt" xmlDataType="integer"/>
    </tableColumn>
    <tableColumn id="4" uniqueName="VolRem" name="VolRem" dataDxfId="387">
      <xmlColumnPr mapId="20" xpath="/data/entry/VolRem" xmlDataType="integer"/>
    </tableColumn>
    <tableColumn id="5" uniqueName="Price" name="Price" dataDxfId="386">
      <xmlColumnPr mapId="20" xpath="/data/entry/Price" xmlDataType="double"/>
    </tableColumn>
    <tableColumn id="6" uniqueName="MinVol" name="MinVol" dataDxfId="385">
      <xmlColumnPr mapId="20" xpath="/data/entry/MinVol" xmlDataType="integer"/>
    </tableColumn>
    <tableColumn id="7" uniqueName="Bid" name="Bid" dataDxfId="384">
      <xmlColumnPr mapId="20" xpath="/data/entry/Bid" xmlDataType="integer"/>
    </tableColumn>
    <tableColumn id="8" uniqueName="Duration" name="Duration" dataDxfId="383">
      <xmlColumnPr mapId="20" xpath="/data/entry/Duration" xmlDataType="integer"/>
    </tableColumn>
    <tableColumn id="9" uniqueName="StationID" name="StationID" dataDxfId="382">
      <xmlColumnPr mapId="20" xpath="/data/entry/StationID" xmlDataType="integer"/>
    </tableColumn>
    <tableColumn id="10" uniqueName="Range" name="Range" dataDxfId="381">
      <xmlColumnPr mapId="20" xpath="/data/entry/Range" xmlDataType="integer"/>
    </tableColumn>
    <tableColumn id="11" uniqueName="Jumps" name="Jumps" dataDxfId="380">
      <xmlColumnPr mapId="20" xpath="/data/entry/Jumps" xmlDataType="integer"/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8" name="Table38" displayName="Table38" ref="HV1:IF122" tableType="xml" totalsRowShown="0" headerRowDxfId="379" connectionId="41">
  <autoFilter ref="HV1:IF122"/>
  <tableColumns count="11">
    <tableColumn id="1" uniqueName="OrderID" name="OrderID" dataDxfId="378">
      <xmlColumnPr mapId="23" xpath="/data/entry/OrderID" xmlDataType="integer"/>
    </tableColumn>
    <tableColumn id="2" uniqueName="TypeID" name="TypeID" dataDxfId="377">
      <xmlColumnPr mapId="23" xpath="/data/entry/TypeID" xmlDataType="integer"/>
    </tableColumn>
    <tableColumn id="3" uniqueName="VolEnt" name="VolEnt" dataDxfId="376">
      <xmlColumnPr mapId="23" xpath="/data/entry/VolEnt" xmlDataType="integer"/>
    </tableColumn>
    <tableColumn id="4" uniqueName="VolRem" name="VolRem" dataDxfId="375">
      <xmlColumnPr mapId="23" xpath="/data/entry/VolRem" xmlDataType="integer"/>
    </tableColumn>
    <tableColumn id="5" uniqueName="Price" name="Price" dataDxfId="374">
      <xmlColumnPr mapId="23" xpath="/data/entry/Price" xmlDataType="double"/>
    </tableColumn>
    <tableColumn id="6" uniqueName="MinVol" name="MinVol" dataDxfId="373">
      <xmlColumnPr mapId="23" xpath="/data/entry/MinVol" xmlDataType="integer"/>
    </tableColumn>
    <tableColumn id="7" uniqueName="Bid" name="Bid" dataDxfId="372">
      <xmlColumnPr mapId="23" xpath="/data/entry/Bid" xmlDataType="integer"/>
    </tableColumn>
    <tableColumn id="8" uniqueName="Duration" name="Duration" dataDxfId="371">
      <xmlColumnPr mapId="23" xpath="/data/entry/Duration" xmlDataType="integer"/>
    </tableColumn>
    <tableColumn id="9" uniqueName="StationID" name="StationID" dataDxfId="370">
      <xmlColumnPr mapId="23" xpath="/data/entry/StationID" xmlDataType="integer"/>
    </tableColumn>
    <tableColumn id="10" uniqueName="Range" name="Range" dataDxfId="369">
      <xmlColumnPr mapId="23" xpath="/data/entry/Range" xmlDataType="integer"/>
    </tableColumn>
    <tableColumn id="11" uniqueName="Jumps" name="Jumps" dataDxfId="368">
      <xmlColumnPr mapId="23" xpath="/data/entry/Jumps" xmlDataType="integer"/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9" name="Table39" displayName="Table39" ref="IH1:IR51" tableType="xml" totalsRowShown="0" headerRowDxfId="367" connectionId="66">
  <autoFilter ref="IH1:IR51"/>
  <tableColumns count="11">
    <tableColumn id="1" uniqueName="OrderID" name="OrderID" dataDxfId="366">
      <xmlColumnPr mapId="24" xpath="/data/entry/OrderID" xmlDataType="integer"/>
    </tableColumn>
    <tableColumn id="2" uniqueName="TypeID" name="TypeID" dataDxfId="365">
      <xmlColumnPr mapId="24" xpath="/data/entry/TypeID" xmlDataType="integer"/>
    </tableColumn>
    <tableColumn id="3" uniqueName="VolEnt" name="VolEnt" dataDxfId="364">
      <xmlColumnPr mapId="24" xpath="/data/entry/VolEnt" xmlDataType="integer"/>
    </tableColumn>
    <tableColumn id="4" uniqueName="VolRem" name="VolRem" dataDxfId="363">
      <xmlColumnPr mapId="24" xpath="/data/entry/VolRem" xmlDataType="integer"/>
    </tableColumn>
    <tableColumn id="5" uniqueName="Price" name="Price" dataDxfId="362">
      <xmlColumnPr mapId="24" xpath="/data/entry/Price" xmlDataType="double"/>
    </tableColumn>
    <tableColumn id="6" uniqueName="MinVol" name="MinVol" dataDxfId="361">
      <xmlColumnPr mapId="24" xpath="/data/entry/MinVol" xmlDataType="integer"/>
    </tableColumn>
    <tableColumn id="7" uniqueName="Bid" name="Bid" dataDxfId="360">
      <xmlColumnPr mapId="24" xpath="/data/entry/Bid" xmlDataType="integer"/>
    </tableColumn>
    <tableColumn id="8" uniqueName="Duration" name="Duration" dataDxfId="359">
      <xmlColumnPr mapId="24" xpath="/data/entry/Duration" xmlDataType="integer"/>
    </tableColumn>
    <tableColumn id="9" uniqueName="StationID" name="StationID" dataDxfId="358">
      <xmlColumnPr mapId="24" xpath="/data/entry/StationID" xmlDataType="integer"/>
    </tableColumn>
    <tableColumn id="10" uniqueName="Range" name="Range" dataDxfId="357">
      <xmlColumnPr mapId="24" xpath="/data/entry/Range" xmlDataType="integer"/>
    </tableColumn>
    <tableColumn id="11" uniqueName="Jumps" name="Jumps" dataDxfId="356">
      <xmlColumnPr mapId="24" xpath="/data/entry/Jumps" xmlDataType="integer"/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6" name="Table11" displayName="Table11" ref="IT1:JD125" tableType="xml" totalsRowShown="0" headerRowDxfId="355" connectionId="35">
  <autoFilter ref="IT1:JD125"/>
  <sortState ref="IT2:JD92">
    <sortCondition ref="IZ1:IZ92"/>
  </sortState>
  <tableColumns count="11">
    <tableColumn id="1" uniqueName="OrderID" name="OrderID" dataDxfId="354">
      <xmlColumnPr mapId="36" xpath="/data/entry/OrderID" xmlDataType="integer"/>
    </tableColumn>
    <tableColumn id="2" uniqueName="TypeID" name="TypeID" dataDxfId="353">
      <xmlColumnPr mapId="36" xpath="/data/entry/TypeID" xmlDataType="integer"/>
    </tableColumn>
    <tableColumn id="3" uniqueName="VolEnt" name="VolEnt" dataDxfId="352">
      <xmlColumnPr mapId="36" xpath="/data/entry/VolEnt" xmlDataType="integer"/>
    </tableColumn>
    <tableColumn id="4" uniqueName="VolRem" name="VolRem" dataDxfId="351">
      <xmlColumnPr mapId="36" xpath="/data/entry/VolRem" xmlDataType="integer"/>
    </tableColumn>
    <tableColumn id="5" uniqueName="Price" name="Price" dataDxfId="350">
      <xmlColumnPr mapId="36" xpath="/data/entry/Price" xmlDataType="double"/>
    </tableColumn>
    <tableColumn id="6" uniqueName="MinVol" name="MinVol" dataDxfId="349">
      <xmlColumnPr mapId="36" xpath="/data/entry/MinVol" xmlDataType="integer"/>
    </tableColumn>
    <tableColumn id="7" uniqueName="Bid" name="Bid" dataDxfId="348">
      <xmlColumnPr mapId="36" xpath="/data/entry/Bid" xmlDataType="integer"/>
    </tableColumn>
    <tableColumn id="8" uniqueName="Duration" name="Duration" dataDxfId="347">
      <xmlColumnPr mapId="36" xpath="/data/entry/Duration" xmlDataType="integer"/>
    </tableColumn>
    <tableColumn id="9" uniqueName="StationID" name="StationID" dataDxfId="346">
      <xmlColumnPr mapId="36" xpath="/data/entry/StationID" xmlDataType="integer"/>
    </tableColumn>
    <tableColumn id="10" uniqueName="Range" name="Range" dataDxfId="345">
      <xmlColumnPr mapId="36" xpath="/data/entry/Range" xmlDataType="integer"/>
    </tableColumn>
    <tableColumn id="11" uniqueName="Jumps" name="Jumps" dataDxfId="344">
      <xmlColumnPr mapId="36" xpath="/data/entry/Jumps" xmlDataType="integer"/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7" name="Table12" displayName="Table12" ref="JF1:JP152" tableType="xml" totalsRowShown="0" headerRowDxfId="343" connectionId="39">
  <autoFilter ref="JF1:JP152"/>
  <tableColumns count="11">
    <tableColumn id="1" uniqueName="OrderID" name="OrderID" dataDxfId="342">
      <xmlColumnPr mapId="37" xpath="/data/entry/OrderID" xmlDataType="integer"/>
    </tableColumn>
    <tableColumn id="2" uniqueName="TypeID" name="TypeID" dataDxfId="341">
      <xmlColumnPr mapId="37" xpath="/data/entry/TypeID" xmlDataType="integer"/>
    </tableColumn>
    <tableColumn id="3" uniqueName="VolEnt" name="VolEnt" dataDxfId="340">
      <xmlColumnPr mapId="37" xpath="/data/entry/VolEnt" xmlDataType="integer"/>
    </tableColumn>
    <tableColumn id="4" uniqueName="VolRem" name="VolRem" dataDxfId="339">
      <xmlColumnPr mapId="37" xpath="/data/entry/VolRem" xmlDataType="integer"/>
    </tableColumn>
    <tableColumn id="5" uniqueName="Price" name="Price" dataDxfId="338">
      <xmlColumnPr mapId="37" xpath="/data/entry/Price" xmlDataType="double"/>
    </tableColumn>
    <tableColumn id="6" uniqueName="MinVol" name="MinVol" dataDxfId="337">
      <xmlColumnPr mapId="37" xpath="/data/entry/MinVol" xmlDataType="integer"/>
    </tableColumn>
    <tableColumn id="7" uniqueName="Bid" name="Bid" dataDxfId="336">
      <xmlColumnPr mapId="37" xpath="/data/entry/Bid" xmlDataType="integer"/>
    </tableColumn>
    <tableColumn id="8" uniqueName="Duration" name="Duration" dataDxfId="335">
      <xmlColumnPr mapId="37" xpath="/data/entry/Duration" xmlDataType="integer"/>
    </tableColumn>
    <tableColumn id="9" uniqueName="StationID" name="StationID" dataDxfId="334">
      <xmlColumnPr mapId="37" xpath="/data/entry/StationID" xmlDataType="integer"/>
    </tableColumn>
    <tableColumn id="10" uniqueName="Range" name="Range" dataDxfId="333">
      <xmlColumnPr mapId="37" xpath="/data/entry/Range" xmlDataType="integer"/>
    </tableColumn>
    <tableColumn id="11" uniqueName="Jumps" name="Jumps" dataDxfId="332">
      <xmlColumnPr mapId="37" xpath="/data/entry/Jumps" xmlDataType="integer"/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13" name="Table13" displayName="Table13" ref="JR1:KB60" tableType="xml" totalsRowShown="0" headerRowDxfId="331" connectionId="86">
  <autoFilter ref="JR1:KB60"/>
  <tableColumns count="11">
    <tableColumn id="1" uniqueName="OrderID" name="OrderID" dataDxfId="330">
      <xmlColumnPr mapId="38" xpath="/data/entry/OrderID" xmlDataType="integer"/>
    </tableColumn>
    <tableColumn id="2" uniqueName="TypeID" name="TypeID" dataDxfId="329">
      <xmlColumnPr mapId="38" xpath="/data/entry/TypeID" xmlDataType="integer"/>
    </tableColumn>
    <tableColumn id="3" uniqueName="VolEnt" name="VolEnt" dataDxfId="328">
      <xmlColumnPr mapId="38" xpath="/data/entry/VolEnt" xmlDataType="integer"/>
    </tableColumn>
    <tableColumn id="4" uniqueName="VolRem" name="VolRem" dataDxfId="327">
      <xmlColumnPr mapId="38" xpath="/data/entry/VolRem" xmlDataType="integer"/>
    </tableColumn>
    <tableColumn id="5" uniqueName="Price" name="Price" dataDxfId="326">
      <xmlColumnPr mapId="38" xpath="/data/entry/Price" xmlDataType="double"/>
    </tableColumn>
    <tableColumn id="6" uniqueName="MinVol" name="MinVol" dataDxfId="325">
      <xmlColumnPr mapId="38" xpath="/data/entry/MinVol" xmlDataType="integer"/>
    </tableColumn>
    <tableColumn id="7" uniqueName="Bid" name="Bid" dataDxfId="324">
      <xmlColumnPr mapId="38" xpath="/data/entry/Bid" xmlDataType="integer"/>
    </tableColumn>
    <tableColumn id="8" uniqueName="Duration" name="Duration" dataDxfId="323">
      <xmlColumnPr mapId="38" xpath="/data/entry/Duration" xmlDataType="integer"/>
    </tableColumn>
    <tableColumn id="9" uniqueName="StationID" name="StationID" dataDxfId="322">
      <xmlColumnPr mapId="38" xpath="/data/entry/StationID" xmlDataType="integer"/>
    </tableColumn>
    <tableColumn id="10" uniqueName="Range" name="Range" dataDxfId="321">
      <xmlColumnPr mapId="38" xpath="/data/entry/Range" xmlDataType="integer"/>
    </tableColumn>
    <tableColumn id="11" uniqueName="Jumps" name="Jumps" dataDxfId="320">
      <xmlColumnPr mapId="38" xpath="/data/entry/Jumps" xmlDataType="integer"/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14" name="Table14" displayName="Table14" ref="KD1:KN116" tableType="xml" totalsRowShown="0" headerRowDxfId="319" connectionId="6">
  <autoFilter ref="KD1:KN116"/>
  <tableColumns count="11">
    <tableColumn id="1" uniqueName="OrderID" name="OrderID" dataDxfId="318">
      <xmlColumnPr mapId="39" xpath="/data/entry/OrderID" xmlDataType="integer"/>
    </tableColumn>
    <tableColumn id="2" uniqueName="TypeID" name="TypeID" dataDxfId="317">
      <xmlColumnPr mapId="39" xpath="/data/entry/TypeID" xmlDataType="integer"/>
    </tableColumn>
    <tableColumn id="3" uniqueName="VolEnt" name="VolEnt" dataDxfId="316">
      <xmlColumnPr mapId="39" xpath="/data/entry/VolEnt" xmlDataType="integer"/>
    </tableColumn>
    <tableColumn id="4" uniqueName="VolRem" name="VolRem" dataDxfId="315">
      <xmlColumnPr mapId="39" xpath="/data/entry/VolRem" xmlDataType="integer"/>
    </tableColumn>
    <tableColumn id="5" uniqueName="Price" name="Price" dataDxfId="314">
      <xmlColumnPr mapId="39" xpath="/data/entry/Price" xmlDataType="double"/>
    </tableColumn>
    <tableColumn id="6" uniqueName="MinVol" name="MinVol" dataDxfId="313">
      <xmlColumnPr mapId="39" xpath="/data/entry/MinVol" xmlDataType="integer"/>
    </tableColumn>
    <tableColumn id="7" uniqueName="Bid" name="Bid" dataDxfId="312">
      <xmlColumnPr mapId="39" xpath="/data/entry/Bid" xmlDataType="integer"/>
    </tableColumn>
    <tableColumn id="8" uniqueName="Duration" name="Duration" dataDxfId="311">
      <xmlColumnPr mapId="39" xpath="/data/entry/Duration" xmlDataType="integer"/>
    </tableColumn>
    <tableColumn id="9" uniqueName="StationID" name="StationID" dataDxfId="310">
      <xmlColumnPr mapId="39" xpath="/data/entry/StationID" xmlDataType="integer"/>
    </tableColumn>
    <tableColumn id="10" uniqueName="Range" name="Range" dataDxfId="309">
      <xmlColumnPr mapId="39" xpath="/data/entry/Range" xmlDataType="integer"/>
    </tableColumn>
    <tableColumn id="11" uniqueName="Jumps" name="Jumps" dataDxfId="308">
      <xmlColumnPr mapId="39" xpath="/data/entry/Jumps" xmlDataType="integer"/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15" name="Table15" displayName="Table15" ref="KP1:KZ107" tableType="xml" totalsRowShown="0" headerRowDxfId="307" connectionId="47">
  <autoFilter ref="KP1:KZ107"/>
  <tableColumns count="11">
    <tableColumn id="1" uniqueName="OrderID" name="OrderID" dataDxfId="306">
      <xmlColumnPr mapId="40" xpath="/data/entry/OrderID" xmlDataType="integer"/>
    </tableColumn>
    <tableColumn id="2" uniqueName="TypeID" name="TypeID" dataDxfId="305">
      <xmlColumnPr mapId="40" xpath="/data/entry/TypeID" xmlDataType="integer"/>
    </tableColumn>
    <tableColumn id="3" uniqueName="VolEnt" name="VolEnt" dataDxfId="304">
      <xmlColumnPr mapId="40" xpath="/data/entry/VolEnt" xmlDataType="integer"/>
    </tableColumn>
    <tableColumn id="4" uniqueName="VolRem" name="VolRem" dataDxfId="303">
      <xmlColumnPr mapId="40" xpath="/data/entry/VolRem" xmlDataType="integer"/>
    </tableColumn>
    <tableColumn id="5" uniqueName="Price" name="Price" dataDxfId="302">
      <xmlColumnPr mapId="40" xpath="/data/entry/Price" xmlDataType="double"/>
    </tableColumn>
    <tableColumn id="6" uniqueName="MinVol" name="MinVol" dataDxfId="301">
      <xmlColumnPr mapId="40" xpath="/data/entry/MinVol" xmlDataType="integer"/>
    </tableColumn>
    <tableColumn id="7" uniqueName="Bid" name="Bid" dataDxfId="300">
      <xmlColumnPr mapId="40" xpath="/data/entry/Bid" xmlDataType="integer"/>
    </tableColumn>
    <tableColumn id="8" uniqueName="Duration" name="Duration" dataDxfId="299">
      <xmlColumnPr mapId="40" xpath="/data/entry/Duration" xmlDataType="integer"/>
    </tableColumn>
    <tableColumn id="9" uniqueName="StationID" name="StationID" dataDxfId="298">
      <xmlColumnPr mapId="40" xpath="/data/entry/StationID" xmlDataType="integer"/>
    </tableColumn>
    <tableColumn id="10" uniqueName="Range" name="Range" dataDxfId="297">
      <xmlColumnPr mapId="40" xpath="/data/entry/Range" xmlDataType="integer"/>
    </tableColumn>
    <tableColumn id="11" uniqueName="Jumps" name="Jumps" dataDxfId="296">
      <xmlColumnPr mapId="40" xpath="/data/entry/Jumps" xmlDataType="integer"/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22" name="Table22" displayName="Table22" ref="LB1:LL164" tableType="xml" totalsRowShown="0" headerRowDxfId="295" connectionId="19">
  <autoFilter ref="LB1:LL164"/>
  <tableColumns count="11">
    <tableColumn id="1" uniqueName="OrderID" name="OrderID" dataDxfId="294">
      <xmlColumnPr mapId="41" xpath="/data/entry/OrderID" xmlDataType="integer"/>
    </tableColumn>
    <tableColumn id="2" uniqueName="TypeID" name="TypeID" dataDxfId="293">
      <xmlColumnPr mapId="41" xpath="/data/entry/TypeID" xmlDataType="integer"/>
    </tableColumn>
    <tableColumn id="3" uniqueName="VolEnt" name="VolEnt" dataDxfId="292">
      <xmlColumnPr mapId="41" xpath="/data/entry/VolEnt" xmlDataType="integer"/>
    </tableColumn>
    <tableColumn id="4" uniqueName="VolRem" name="VolRem" dataDxfId="291">
      <xmlColumnPr mapId="41" xpath="/data/entry/VolRem" xmlDataType="integer"/>
    </tableColumn>
    <tableColumn id="5" uniqueName="Price" name="Price" dataDxfId="290">
      <xmlColumnPr mapId="41" xpath="/data/entry/Price" xmlDataType="double"/>
    </tableColumn>
    <tableColumn id="6" uniqueName="MinVol" name="MinVol" dataDxfId="289">
      <xmlColumnPr mapId="41" xpath="/data/entry/MinVol" xmlDataType="integer"/>
    </tableColumn>
    <tableColumn id="7" uniqueName="Bid" name="Bid" dataDxfId="288">
      <xmlColumnPr mapId="41" xpath="/data/entry/Bid" xmlDataType="integer"/>
    </tableColumn>
    <tableColumn id="8" uniqueName="Duration" name="Duration" dataDxfId="287">
      <xmlColumnPr mapId="41" xpath="/data/entry/Duration" xmlDataType="integer"/>
    </tableColumn>
    <tableColumn id="9" uniqueName="StationID" name="StationID" dataDxfId="286">
      <xmlColumnPr mapId="41" xpath="/data/entry/StationID" xmlDataType="integer"/>
    </tableColumn>
    <tableColumn id="10" uniqueName="Range" name="Range" dataDxfId="285">
      <xmlColumnPr mapId="41" xpath="/data/entry/Range" xmlDataType="integer"/>
    </tableColumn>
    <tableColumn id="11" uniqueName="Jumps" name="Jumps" dataDxfId="284">
      <xmlColumnPr mapId="41" xpath="/data/entry/Jumps" xmlDataType="integer"/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23" name="Table23" displayName="Table23" ref="LN1:LX74" tableType="xml" totalsRowShown="0" headerRowDxfId="283" connectionId="59">
  <autoFilter ref="LN1:LX74"/>
  <tableColumns count="11">
    <tableColumn id="1" uniqueName="OrderID" name="OrderID" dataDxfId="282">
      <xmlColumnPr mapId="42" xpath="/data/entry/OrderID" xmlDataType="integer"/>
    </tableColumn>
    <tableColumn id="2" uniqueName="TypeID" name="TypeID" dataDxfId="281">
      <xmlColumnPr mapId="42" xpath="/data/entry/TypeID" xmlDataType="integer"/>
    </tableColumn>
    <tableColumn id="3" uniqueName="VolEnt" name="VolEnt" dataDxfId="280">
      <xmlColumnPr mapId="42" xpath="/data/entry/VolEnt" xmlDataType="integer"/>
    </tableColumn>
    <tableColumn id="4" uniqueName="VolRem" name="VolRem" dataDxfId="279">
      <xmlColumnPr mapId="42" xpath="/data/entry/VolRem" xmlDataType="integer"/>
    </tableColumn>
    <tableColumn id="5" uniqueName="Price" name="Price" dataDxfId="278">
      <xmlColumnPr mapId="42" xpath="/data/entry/Price" xmlDataType="double"/>
    </tableColumn>
    <tableColumn id="6" uniqueName="MinVol" name="MinVol" dataDxfId="277">
      <xmlColumnPr mapId="42" xpath="/data/entry/MinVol" xmlDataType="integer"/>
    </tableColumn>
    <tableColumn id="7" uniqueName="Bid" name="Bid" dataDxfId="276">
      <xmlColumnPr mapId="42" xpath="/data/entry/Bid" xmlDataType="integer"/>
    </tableColumn>
    <tableColumn id="8" uniqueName="Duration" name="Duration" dataDxfId="275">
      <xmlColumnPr mapId="42" xpath="/data/entry/Duration" xmlDataType="integer"/>
    </tableColumn>
    <tableColumn id="9" uniqueName="StationID" name="StationID" dataDxfId="274">
      <xmlColumnPr mapId="42" xpath="/data/entry/StationID" xmlDataType="integer"/>
    </tableColumn>
    <tableColumn id="10" uniqueName="Range" name="Range" dataDxfId="273">
      <xmlColumnPr mapId="42" xpath="/data/entry/Range" xmlDataType="integer"/>
    </tableColumn>
    <tableColumn id="11" uniqueName="Jumps" name="Jumps" dataDxfId="272">
      <xmlColumnPr mapId="42" xpath="/data/entry/Jumps" xmlDataType="integer"/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24" name="Table25" displayName="Table25" ref="LZ1:MJ65" tableType="xml" totalsRowShown="0" headerRowDxfId="271" connectionId="72">
  <autoFilter ref="LZ1:MJ65"/>
  <tableColumns count="11">
    <tableColumn id="1" uniqueName="OrderID" name="OrderID" dataDxfId="270">
      <xmlColumnPr mapId="43" xpath="/data/entry/OrderID" xmlDataType="integer"/>
    </tableColumn>
    <tableColumn id="2" uniqueName="TypeID" name="TypeID" dataDxfId="269">
      <xmlColumnPr mapId="43" xpath="/data/entry/TypeID" xmlDataType="integer"/>
    </tableColumn>
    <tableColumn id="3" uniqueName="VolEnt" name="VolEnt" dataDxfId="268">
      <xmlColumnPr mapId="43" xpath="/data/entry/VolEnt" xmlDataType="integer"/>
    </tableColumn>
    <tableColumn id="4" uniqueName="VolRem" name="VolRem" dataDxfId="267">
      <xmlColumnPr mapId="43" xpath="/data/entry/VolRem" xmlDataType="integer"/>
    </tableColumn>
    <tableColumn id="5" uniqueName="Price" name="Price" dataDxfId="266">
      <xmlColumnPr mapId="43" xpath="/data/entry/Price" xmlDataType="double"/>
    </tableColumn>
    <tableColumn id="6" uniqueName="MinVol" name="MinVol" dataDxfId="265">
      <xmlColumnPr mapId="43" xpath="/data/entry/MinVol" xmlDataType="integer"/>
    </tableColumn>
    <tableColumn id="7" uniqueName="Bid" name="Bid" dataDxfId="264">
      <xmlColumnPr mapId="43" xpath="/data/entry/Bid" xmlDataType="integer"/>
    </tableColumn>
    <tableColumn id="8" uniqueName="Duration" name="Duration" dataDxfId="263">
      <xmlColumnPr mapId="43" xpath="/data/entry/Duration" xmlDataType="integer"/>
    </tableColumn>
    <tableColumn id="9" uniqueName="StationID" name="StationID" dataDxfId="262">
      <xmlColumnPr mapId="43" xpath="/data/entry/StationID" xmlDataType="integer"/>
    </tableColumn>
    <tableColumn id="10" uniqueName="Range" name="Range" dataDxfId="261">
      <xmlColumnPr mapId="43" xpath="/data/entry/Range" xmlDataType="integer"/>
    </tableColumn>
    <tableColumn id="11" uniqueName="Jumps" name="Jumps" dataDxfId="260">
      <xmlColumnPr mapId="43" xpath="/data/entry/Jumps" xmlDataType="integer"/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25" name="Table26" displayName="Table26" ref="ML1:MV80" tableType="xml" totalsRowShown="0" headerRowDxfId="259" connectionId="25">
  <autoFilter ref="ML1:MV80"/>
  <tableColumns count="11">
    <tableColumn id="1" uniqueName="OrderID" name="OrderID" dataDxfId="258">
      <xmlColumnPr mapId="44" xpath="/data/entry/OrderID" xmlDataType="integer"/>
    </tableColumn>
    <tableColumn id="2" uniqueName="TypeID" name="TypeID" dataDxfId="257">
      <xmlColumnPr mapId="44" xpath="/data/entry/TypeID" xmlDataType="integer"/>
    </tableColumn>
    <tableColumn id="3" uniqueName="VolEnt" name="VolEnt" dataDxfId="256">
      <xmlColumnPr mapId="44" xpath="/data/entry/VolEnt" xmlDataType="integer"/>
    </tableColumn>
    <tableColumn id="4" uniqueName="VolRem" name="VolRem" dataDxfId="255">
      <xmlColumnPr mapId="44" xpath="/data/entry/VolRem" xmlDataType="integer"/>
    </tableColumn>
    <tableColumn id="5" uniqueName="Price" name="Price" dataDxfId="254">
      <xmlColumnPr mapId="44" xpath="/data/entry/Price" xmlDataType="double"/>
    </tableColumn>
    <tableColumn id="6" uniqueName="MinVol" name="MinVol" dataDxfId="253">
      <xmlColumnPr mapId="44" xpath="/data/entry/MinVol" xmlDataType="integer"/>
    </tableColumn>
    <tableColumn id="7" uniqueName="Bid" name="Bid" dataDxfId="252">
      <xmlColumnPr mapId="44" xpath="/data/entry/Bid" xmlDataType="integer"/>
    </tableColumn>
    <tableColumn id="8" uniqueName="Duration" name="Duration" dataDxfId="251">
      <xmlColumnPr mapId="44" xpath="/data/entry/Duration" xmlDataType="integer"/>
    </tableColumn>
    <tableColumn id="9" uniqueName="StationID" name="StationID" dataDxfId="250">
      <xmlColumnPr mapId="44" xpath="/data/entry/StationID" xmlDataType="integer"/>
    </tableColumn>
    <tableColumn id="10" uniqueName="Range" name="Range" dataDxfId="249">
      <xmlColumnPr mapId="44" xpath="/data/entry/Range" xmlDataType="integer"/>
    </tableColumn>
    <tableColumn id="11" uniqueName="Jumps" name="Jumps" dataDxfId="248">
      <xmlColumnPr mapId="44" xpath="/data/entry/Jumps" xmlDataType="integer"/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26" name="Table27" displayName="Table27" ref="MX1:NH94" tableType="xml" totalsRowShown="0" headerRowDxfId="247" connectionId="99">
  <autoFilter ref="MX1:NH94"/>
  <tableColumns count="11">
    <tableColumn id="1" uniqueName="OrderID" name="OrderID" dataDxfId="246">
      <xmlColumnPr mapId="46" xpath="/data/entry/OrderID" xmlDataType="integer"/>
    </tableColumn>
    <tableColumn id="2" uniqueName="TypeID" name="TypeID" dataDxfId="245">
      <xmlColumnPr mapId="46" xpath="/data/entry/TypeID" xmlDataType="integer"/>
    </tableColumn>
    <tableColumn id="3" uniqueName="VolEnt" name="VolEnt" dataDxfId="244">
      <xmlColumnPr mapId="46" xpath="/data/entry/VolEnt" xmlDataType="integer"/>
    </tableColumn>
    <tableColumn id="4" uniqueName="VolRem" name="VolRem" dataDxfId="243">
      <xmlColumnPr mapId="46" xpath="/data/entry/VolRem" xmlDataType="integer"/>
    </tableColumn>
    <tableColumn id="5" uniqueName="Price" name="Price" dataDxfId="242">
      <xmlColumnPr mapId="46" xpath="/data/entry/Price" xmlDataType="double"/>
    </tableColumn>
    <tableColumn id="6" uniqueName="MinVol" name="MinVol" dataDxfId="241">
      <xmlColumnPr mapId="46" xpath="/data/entry/MinVol" xmlDataType="integer"/>
    </tableColumn>
    <tableColumn id="7" uniqueName="Bid" name="Bid" dataDxfId="240">
      <xmlColumnPr mapId="46" xpath="/data/entry/Bid" xmlDataType="integer"/>
    </tableColumn>
    <tableColumn id="8" uniqueName="Duration" name="Duration" dataDxfId="239">
      <xmlColumnPr mapId="46" xpath="/data/entry/Duration" xmlDataType="integer"/>
    </tableColumn>
    <tableColumn id="9" uniqueName="StationID" name="StationID" dataDxfId="238">
      <xmlColumnPr mapId="46" xpath="/data/entry/StationID" xmlDataType="integer"/>
    </tableColumn>
    <tableColumn id="10" uniqueName="Range" name="Range" dataDxfId="237">
      <xmlColumnPr mapId="46" xpath="/data/entry/Range" xmlDataType="integer"/>
    </tableColumn>
    <tableColumn id="11" uniqueName="Jumps" name="Jumps" dataDxfId="236">
      <xmlColumnPr mapId="46" xpath="/data/entry/Jumps" xmlDataType="integer"/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27" name="Table32" displayName="Table32" ref="NJ1:NT122" tableType="xml" totalsRowShown="0" headerRowDxfId="235" connectionId="31">
  <autoFilter ref="NJ1:NT122"/>
  <tableColumns count="11">
    <tableColumn id="1" uniqueName="OrderID" name="OrderID" dataDxfId="234">
      <xmlColumnPr mapId="47" xpath="/data/entry/OrderID" xmlDataType="integer"/>
    </tableColumn>
    <tableColumn id="2" uniqueName="TypeID" name="TypeID" dataDxfId="233">
      <xmlColumnPr mapId="47" xpath="/data/entry/TypeID" xmlDataType="integer"/>
    </tableColumn>
    <tableColumn id="3" uniqueName="VolEnt" name="VolEnt" dataDxfId="232">
      <xmlColumnPr mapId="47" xpath="/data/entry/VolEnt" xmlDataType="integer"/>
    </tableColumn>
    <tableColumn id="4" uniqueName="VolRem" name="VolRem" dataDxfId="231">
      <xmlColumnPr mapId="47" xpath="/data/entry/VolRem" xmlDataType="integer"/>
    </tableColumn>
    <tableColumn id="5" uniqueName="Price" name="Price" dataDxfId="230">
      <xmlColumnPr mapId="47" xpath="/data/entry/Price" xmlDataType="double"/>
    </tableColumn>
    <tableColumn id="6" uniqueName="MinVol" name="MinVol" dataDxfId="229">
      <xmlColumnPr mapId="47" xpath="/data/entry/MinVol" xmlDataType="integer"/>
    </tableColumn>
    <tableColumn id="7" uniqueName="Bid" name="Bid" dataDxfId="228">
      <xmlColumnPr mapId="47" xpath="/data/entry/Bid" xmlDataType="integer"/>
    </tableColumn>
    <tableColumn id="8" uniqueName="Duration" name="Duration" dataDxfId="227">
      <xmlColumnPr mapId="47" xpath="/data/entry/Duration" xmlDataType="integer"/>
    </tableColumn>
    <tableColumn id="9" uniqueName="StationID" name="StationID" dataDxfId="226">
      <xmlColumnPr mapId="47" xpath="/data/entry/StationID" xmlDataType="integer"/>
    </tableColumn>
    <tableColumn id="10" uniqueName="Range" name="Range" dataDxfId="225">
      <xmlColumnPr mapId="47" xpath="/data/entry/Range" xmlDataType="integer"/>
    </tableColumn>
    <tableColumn id="11" uniqueName="Jumps" name="Jumps" dataDxfId="224">
      <xmlColumnPr mapId="47" xpath="/data/entry/Jumps" xmlDataType="integer"/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35" name="Table35" displayName="Table35" ref="NV1:OF143" tableType="xml" totalsRowShown="0" headerRowDxfId="223" connectionId="53">
  <autoFilter ref="NV1:OF143"/>
  <tableColumns count="11">
    <tableColumn id="1" uniqueName="OrderID" name="OrderID" dataDxfId="222">
      <xmlColumnPr mapId="48" xpath="/data/entry/OrderID" xmlDataType="integer"/>
    </tableColumn>
    <tableColumn id="2" uniqueName="TypeID" name="TypeID" dataDxfId="221">
      <xmlColumnPr mapId="48" xpath="/data/entry/TypeID" xmlDataType="integer"/>
    </tableColumn>
    <tableColumn id="3" uniqueName="VolEnt" name="VolEnt" dataDxfId="220">
      <xmlColumnPr mapId="48" xpath="/data/entry/VolEnt" xmlDataType="integer"/>
    </tableColumn>
    <tableColumn id="4" uniqueName="VolRem" name="VolRem" dataDxfId="219">
      <xmlColumnPr mapId="48" xpath="/data/entry/VolRem" xmlDataType="integer"/>
    </tableColumn>
    <tableColumn id="5" uniqueName="Price" name="Price" dataDxfId="218">
      <xmlColumnPr mapId="48" xpath="/data/entry/Price" xmlDataType="double"/>
    </tableColumn>
    <tableColumn id="6" uniqueName="MinVol" name="MinVol" dataDxfId="217">
      <xmlColumnPr mapId="48" xpath="/data/entry/MinVol" xmlDataType="integer"/>
    </tableColumn>
    <tableColumn id="7" uniqueName="Bid" name="Bid" dataDxfId="216">
      <xmlColumnPr mapId="48" xpath="/data/entry/Bid" xmlDataType="integer"/>
    </tableColumn>
    <tableColumn id="8" uniqueName="Duration" name="Duration" dataDxfId="215">
      <xmlColumnPr mapId="48" xpath="/data/entry/Duration" xmlDataType="integer"/>
    </tableColumn>
    <tableColumn id="9" uniqueName="StationID" name="StationID" dataDxfId="214">
      <xmlColumnPr mapId="48" xpath="/data/entry/StationID" xmlDataType="integer"/>
    </tableColumn>
    <tableColumn id="10" uniqueName="Range" name="Range" dataDxfId="213">
      <xmlColumnPr mapId="48" xpath="/data/entry/Range" xmlDataType="integer"/>
    </tableColumn>
    <tableColumn id="11" uniqueName="Jumps" name="Jumps" dataDxfId="212">
      <xmlColumnPr mapId="48" xpath="/data/entry/Jumps" xmlDataType="integer"/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36" name="Table36" displayName="Table36" ref="OH1:OR238" tableType="xml" totalsRowShown="0" headerRowDxfId="211" connectionId="94">
  <autoFilter ref="OH1:OR238"/>
  <tableColumns count="11">
    <tableColumn id="1" uniqueName="OrderID" name="OrderID" dataDxfId="210">
      <xmlColumnPr mapId="49" xpath="/data/entry/OrderID" xmlDataType="integer"/>
    </tableColumn>
    <tableColumn id="2" uniqueName="TypeID" name="TypeID" dataDxfId="209">
      <xmlColumnPr mapId="49" xpath="/data/entry/TypeID" xmlDataType="integer"/>
    </tableColumn>
    <tableColumn id="3" uniqueName="VolEnt" name="VolEnt" dataDxfId="208">
      <xmlColumnPr mapId="49" xpath="/data/entry/VolEnt" xmlDataType="integer"/>
    </tableColumn>
    <tableColumn id="4" uniqueName="VolRem" name="VolRem" dataDxfId="207">
      <xmlColumnPr mapId="49" xpath="/data/entry/VolRem" xmlDataType="integer"/>
    </tableColumn>
    <tableColumn id="5" uniqueName="Price" name="Price" dataDxfId="206">
      <xmlColumnPr mapId="49" xpath="/data/entry/Price" xmlDataType="double"/>
    </tableColumn>
    <tableColumn id="6" uniqueName="MinVol" name="MinVol" dataDxfId="205">
      <xmlColumnPr mapId="49" xpath="/data/entry/MinVol" xmlDataType="integer"/>
    </tableColumn>
    <tableColumn id="7" uniqueName="Bid" name="Bid" dataDxfId="204">
      <xmlColumnPr mapId="49" xpath="/data/entry/Bid" xmlDataType="integer"/>
    </tableColumn>
    <tableColumn id="8" uniqueName="Duration" name="Duration" dataDxfId="203">
      <xmlColumnPr mapId="49" xpath="/data/entry/Duration" xmlDataType="integer"/>
    </tableColumn>
    <tableColumn id="9" uniqueName="StationID" name="StationID" dataDxfId="202">
      <xmlColumnPr mapId="49" xpath="/data/entry/StationID" xmlDataType="integer"/>
    </tableColumn>
    <tableColumn id="10" uniqueName="Range" name="Range" dataDxfId="201">
      <xmlColumnPr mapId="49" xpath="/data/entry/Range" xmlDataType="integer"/>
    </tableColumn>
    <tableColumn id="11" uniqueName="Jumps" name="Jumps" dataDxfId="200">
      <xmlColumnPr mapId="49" xpath="/data/entry/Jumps" xmlDataType="integer"/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37" name="Table37" displayName="Table37" ref="OT1:PD153" tableType="xml" totalsRowShown="0" headerRowDxfId="199" connectionId="8">
  <autoFilter ref="OT1:PD153"/>
  <tableColumns count="11">
    <tableColumn id="1" uniqueName="OrderID" name="OrderID" dataDxfId="198">
      <xmlColumnPr mapId="50" xpath="/data/entry/OrderID" xmlDataType="integer"/>
    </tableColumn>
    <tableColumn id="2" uniqueName="TypeID" name="TypeID" dataDxfId="197">
      <xmlColumnPr mapId="50" xpath="/data/entry/TypeID" xmlDataType="integer"/>
    </tableColumn>
    <tableColumn id="3" uniqueName="VolEnt" name="VolEnt" dataDxfId="196">
      <xmlColumnPr mapId="50" xpath="/data/entry/VolEnt" xmlDataType="integer"/>
    </tableColumn>
    <tableColumn id="4" uniqueName="VolRem" name="VolRem" dataDxfId="195">
      <xmlColumnPr mapId="50" xpath="/data/entry/VolRem" xmlDataType="integer"/>
    </tableColumn>
    <tableColumn id="5" uniqueName="Price" name="Price" dataDxfId="194">
      <xmlColumnPr mapId="50" xpath="/data/entry/Price" xmlDataType="double"/>
    </tableColumn>
    <tableColumn id="6" uniqueName="MinVol" name="MinVol" dataDxfId="193">
      <xmlColumnPr mapId="50" xpath="/data/entry/MinVol" xmlDataType="integer"/>
    </tableColumn>
    <tableColumn id="7" uniqueName="Bid" name="Bid" dataDxfId="192">
      <xmlColumnPr mapId="50" xpath="/data/entry/Bid" xmlDataType="integer"/>
    </tableColumn>
    <tableColumn id="8" uniqueName="Duration" name="Duration" dataDxfId="191">
      <xmlColumnPr mapId="50" xpath="/data/entry/Duration" xmlDataType="integer"/>
    </tableColumn>
    <tableColumn id="9" uniqueName="StationID" name="StationID" dataDxfId="190">
      <xmlColumnPr mapId="50" xpath="/data/entry/StationID" xmlDataType="integer"/>
    </tableColumn>
    <tableColumn id="10" uniqueName="Range" name="Range" dataDxfId="189">
      <xmlColumnPr mapId="50" xpath="/data/entry/Range" xmlDataType="integer"/>
    </tableColumn>
    <tableColumn id="11" uniqueName="Jumps" name="Jumps" dataDxfId="188">
      <xmlColumnPr mapId="50" xpath="/data/entry/Jumps" xmlDataType="integer"/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PF1:PP132" tableType="xml" totalsRowShown="0" headerRowDxfId="187" connectionId="21">
  <autoFilter ref="PF1:PP132"/>
  <tableColumns count="11">
    <tableColumn id="1" uniqueName="OrderID" name="OrderID" dataDxfId="186">
      <xmlColumnPr mapId="51" xpath="/data/entry/OrderID" xmlDataType="integer"/>
    </tableColumn>
    <tableColumn id="2" uniqueName="TypeID" name="TypeID" dataDxfId="185">
      <xmlColumnPr mapId="51" xpath="/data/entry/TypeID" xmlDataType="integer"/>
    </tableColumn>
    <tableColumn id="3" uniqueName="VolEnt" name="VolEnt" dataDxfId="184">
      <xmlColumnPr mapId="51" xpath="/data/entry/VolEnt" xmlDataType="integer"/>
    </tableColumn>
    <tableColumn id="4" uniqueName="VolRem" name="VolRem" dataDxfId="183">
      <xmlColumnPr mapId="51" xpath="/data/entry/VolRem" xmlDataType="integer"/>
    </tableColumn>
    <tableColumn id="5" uniqueName="Price" name="Price" dataDxfId="182">
      <xmlColumnPr mapId="51" xpath="/data/entry/Price" xmlDataType="double"/>
    </tableColumn>
    <tableColumn id="6" uniqueName="MinVol" name="MinVol" dataDxfId="181">
      <xmlColumnPr mapId="51" xpath="/data/entry/MinVol" xmlDataType="integer"/>
    </tableColumn>
    <tableColumn id="7" uniqueName="Bid" name="Bid" dataDxfId="180">
      <xmlColumnPr mapId="51" xpath="/data/entry/Bid" xmlDataType="integer"/>
    </tableColumn>
    <tableColumn id="8" uniqueName="Duration" name="Duration" dataDxfId="179">
      <xmlColumnPr mapId="51" xpath="/data/entry/Duration" xmlDataType="integer"/>
    </tableColumn>
    <tableColumn id="9" uniqueName="StationID" name="StationID" dataDxfId="178">
      <xmlColumnPr mapId="51" xpath="/data/entry/StationID" xmlDataType="integer"/>
    </tableColumn>
    <tableColumn id="10" uniqueName="Range" name="Range" dataDxfId="177">
      <xmlColumnPr mapId="51" xpath="/data/entry/Range" xmlDataType="integer"/>
    </tableColumn>
    <tableColumn id="11" uniqueName="Jumps" name="Jumps" dataDxfId="176">
      <xmlColumnPr mapId="51" xpath="/data/entry/Jumps" xmlDataType="integer"/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PR1:QB73" tableType="xml" totalsRowShown="0" headerRowDxfId="175" connectionId="23">
  <autoFilter ref="PR1:QB73"/>
  <tableColumns count="11">
    <tableColumn id="1" uniqueName="OrderID" name="OrderID" dataDxfId="174">
      <xmlColumnPr mapId="52" xpath="/data/entry/OrderID" xmlDataType="integer"/>
    </tableColumn>
    <tableColumn id="2" uniqueName="TypeID" name="TypeID" dataDxfId="173">
      <xmlColumnPr mapId="52" xpath="/data/entry/TypeID" xmlDataType="integer"/>
    </tableColumn>
    <tableColumn id="3" uniqueName="VolEnt" name="VolEnt" dataDxfId="172">
      <xmlColumnPr mapId="52" xpath="/data/entry/VolEnt" xmlDataType="integer"/>
    </tableColumn>
    <tableColumn id="4" uniqueName="VolRem" name="VolRem" dataDxfId="171">
      <xmlColumnPr mapId="52" xpath="/data/entry/VolRem" xmlDataType="integer"/>
    </tableColumn>
    <tableColumn id="5" uniqueName="Price" name="Price" dataDxfId="170">
      <xmlColumnPr mapId="52" xpath="/data/entry/Price" xmlDataType="double"/>
    </tableColumn>
    <tableColumn id="6" uniqueName="MinVol" name="MinVol" dataDxfId="169">
      <xmlColumnPr mapId="52" xpath="/data/entry/MinVol" xmlDataType="integer"/>
    </tableColumn>
    <tableColumn id="7" uniqueName="Bid" name="Bid" dataDxfId="168">
      <xmlColumnPr mapId="52" xpath="/data/entry/Bid" xmlDataType="integer"/>
    </tableColumn>
    <tableColumn id="8" uniqueName="Duration" name="Duration" dataDxfId="167">
      <xmlColumnPr mapId="52" xpath="/data/entry/Duration" xmlDataType="integer"/>
    </tableColumn>
    <tableColumn id="9" uniqueName="StationID" name="StationID" dataDxfId="166">
      <xmlColumnPr mapId="52" xpath="/data/entry/StationID" xmlDataType="integer"/>
    </tableColumn>
    <tableColumn id="10" uniqueName="Range" name="Range" dataDxfId="165">
      <xmlColumnPr mapId="52" xpath="/data/entry/Range" xmlDataType="integer"/>
    </tableColumn>
    <tableColumn id="11" uniqueName="Jumps" name="Jumps" dataDxfId="164">
      <xmlColumnPr mapId="52" xpath="/data/entry/Jumps" xmlDataType="integer"/>
    </tableColumn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QD1:QN92" tableType="xml" totalsRowShown="0" headerRowDxfId="163" connectionId="84">
  <autoFilter ref="QD1:QN92"/>
  <tableColumns count="11">
    <tableColumn id="1" uniqueName="OrderID" name="OrderID" dataDxfId="162">
      <xmlColumnPr mapId="53" xpath="/data/entry/OrderID" xmlDataType="integer"/>
    </tableColumn>
    <tableColumn id="2" uniqueName="TypeID" name="TypeID" dataDxfId="161">
      <xmlColumnPr mapId="53" xpath="/data/entry/TypeID" xmlDataType="integer"/>
    </tableColumn>
    <tableColumn id="3" uniqueName="VolEnt" name="VolEnt" dataDxfId="160">
      <xmlColumnPr mapId="53" xpath="/data/entry/VolEnt" xmlDataType="integer"/>
    </tableColumn>
    <tableColumn id="4" uniqueName="VolRem" name="VolRem" dataDxfId="159">
      <xmlColumnPr mapId="53" xpath="/data/entry/VolRem" xmlDataType="integer"/>
    </tableColumn>
    <tableColumn id="5" uniqueName="Price" name="Price" dataDxfId="158">
      <xmlColumnPr mapId="53" xpath="/data/entry/Price" xmlDataType="double"/>
    </tableColumn>
    <tableColumn id="6" uniqueName="MinVol" name="MinVol" dataDxfId="157">
      <xmlColumnPr mapId="53" xpath="/data/entry/MinVol" xmlDataType="integer"/>
    </tableColumn>
    <tableColumn id="7" uniqueName="Bid" name="Bid" dataDxfId="156">
      <xmlColumnPr mapId="53" xpath="/data/entry/Bid" xmlDataType="integer"/>
    </tableColumn>
    <tableColumn id="8" uniqueName="Duration" name="Duration" dataDxfId="155">
      <xmlColumnPr mapId="53" xpath="/data/entry/Duration" xmlDataType="integer"/>
    </tableColumn>
    <tableColumn id="9" uniqueName="StationID" name="StationID" dataDxfId="154">
      <xmlColumnPr mapId="53" xpath="/data/entry/StationID" xmlDataType="integer"/>
    </tableColumn>
    <tableColumn id="10" uniqueName="Range" name="Range" dataDxfId="153">
      <xmlColumnPr mapId="53" xpath="/data/entry/Range" xmlDataType="integer"/>
    </tableColumn>
    <tableColumn id="11" uniqueName="Jumps" name="Jumps" dataDxfId="152">
      <xmlColumnPr mapId="53" xpath="/data/entry/Jumps" xmlDataType="integer"/>
    </tableColumn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QP1:QZ95" tableType="xml" totalsRowShown="0" headerRowDxfId="151" connectionId="92">
  <autoFilter ref="QP1:QZ95"/>
  <tableColumns count="11">
    <tableColumn id="1" uniqueName="OrderID" name="OrderID" dataDxfId="150">
      <xmlColumnPr mapId="54" xpath="/data/entry/OrderID" xmlDataType="integer"/>
    </tableColumn>
    <tableColumn id="2" uniqueName="TypeID" name="TypeID" dataDxfId="149">
      <xmlColumnPr mapId="54" xpath="/data/entry/TypeID" xmlDataType="integer"/>
    </tableColumn>
    <tableColumn id="3" uniqueName="VolEnt" name="VolEnt" dataDxfId="148">
      <xmlColumnPr mapId="54" xpath="/data/entry/VolEnt" xmlDataType="integer"/>
    </tableColumn>
    <tableColumn id="4" uniqueName="VolRem" name="VolRem" dataDxfId="147">
      <xmlColumnPr mapId="54" xpath="/data/entry/VolRem" xmlDataType="integer"/>
    </tableColumn>
    <tableColumn id="5" uniqueName="Price" name="Price" dataDxfId="146">
      <xmlColumnPr mapId="54" xpath="/data/entry/Price" xmlDataType="double"/>
    </tableColumn>
    <tableColumn id="6" uniqueName="MinVol" name="MinVol" dataDxfId="145">
      <xmlColumnPr mapId="54" xpath="/data/entry/MinVol" xmlDataType="integer"/>
    </tableColumn>
    <tableColumn id="7" uniqueName="Bid" name="Bid" dataDxfId="144">
      <xmlColumnPr mapId="54" xpath="/data/entry/Bid" xmlDataType="integer"/>
    </tableColumn>
    <tableColumn id="8" uniqueName="Duration" name="Duration" dataDxfId="143">
      <xmlColumnPr mapId="54" xpath="/data/entry/Duration" xmlDataType="integer"/>
    </tableColumn>
    <tableColumn id="9" uniqueName="StationID" name="StationID" dataDxfId="142">
      <xmlColumnPr mapId="54" xpath="/data/entry/StationID" xmlDataType="integer"/>
    </tableColumn>
    <tableColumn id="10" uniqueName="Range" name="Range" dataDxfId="141">
      <xmlColumnPr mapId="54" xpath="/data/entry/Range" xmlDataType="integer"/>
    </tableColumn>
    <tableColumn id="11" uniqueName="Jumps" name="Jumps" dataDxfId="140">
      <xmlColumnPr mapId="54" xpath="/data/entry/Jumps" xmlDataType="integer"/>
    </tableColumn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RB1:RL97" tableType="xml" totalsRowShown="0" headerRowDxfId="139" connectionId="45">
  <autoFilter ref="RB1:RL97"/>
  <tableColumns count="11">
    <tableColumn id="1" uniqueName="OrderID" name="OrderID" dataDxfId="138">
      <xmlColumnPr mapId="55" xpath="/data/entry/OrderID" xmlDataType="integer"/>
    </tableColumn>
    <tableColumn id="2" uniqueName="TypeID" name="TypeID" dataDxfId="137">
      <xmlColumnPr mapId="55" xpath="/data/entry/TypeID" xmlDataType="integer"/>
    </tableColumn>
    <tableColumn id="3" uniqueName="VolEnt" name="VolEnt" dataDxfId="136">
      <xmlColumnPr mapId="55" xpath="/data/entry/VolEnt" xmlDataType="integer"/>
    </tableColumn>
    <tableColumn id="4" uniqueName="VolRem" name="VolRem" dataDxfId="135">
      <xmlColumnPr mapId="55" xpath="/data/entry/VolRem" xmlDataType="integer"/>
    </tableColumn>
    <tableColumn id="5" uniqueName="Price" name="Price" dataDxfId="134">
      <xmlColumnPr mapId="55" xpath="/data/entry/Price" xmlDataType="double"/>
    </tableColumn>
    <tableColumn id="6" uniqueName="MinVol" name="MinVol" dataDxfId="133">
      <xmlColumnPr mapId="55" xpath="/data/entry/MinVol" xmlDataType="integer"/>
    </tableColumn>
    <tableColumn id="7" uniqueName="Bid" name="Bid" dataDxfId="132">
      <xmlColumnPr mapId="55" xpath="/data/entry/Bid" xmlDataType="integer"/>
    </tableColumn>
    <tableColumn id="8" uniqueName="Duration" name="Duration" dataDxfId="131">
      <xmlColumnPr mapId="55" xpath="/data/entry/Duration" xmlDataType="integer"/>
    </tableColumn>
    <tableColumn id="9" uniqueName="StationID" name="StationID" dataDxfId="130">
      <xmlColumnPr mapId="55" xpath="/data/entry/StationID" xmlDataType="integer"/>
    </tableColumn>
    <tableColumn id="10" uniqueName="Range" name="Range" dataDxfId="129">
      <xmlColumnPr mapId="55" xpath="/data/entry/Range" xmlDataType="integer"/>
    </tableColumn>
    <tableColumn id="11" uniqueName="Jumps" name="Jumps" dataDxfId="128">
      <xmlColumnPr mapId="55" xpath="/data/entry/Jumps" xmlDataType="integer"/>
    </tableColumn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RN1:RX98" tableType="xml" totalsRowShown="0" headerRowDxfId="127" connectionId="88">
  <autoFilter ref="RN1:RX98"/>
  <tableColumns count="11">
    <tableColumn id="1" uniqueName="OrderID" name="OrderID" dataDxfId="126">
      <xmlColumnPr mapId="56" xpath="/data/entry/OrderID" xmlDataType="integer"/>
    </tableColumn>
    <tableColumn id="2" uniqueName="TypeID" name="TypeID" dataDxfId="125">
      <xmlColumnPr mapId="56" xpath="/data/entry/TypeID" xmlDataType="integer"/>
    </tableColumn>
    <tableColumn id="3" uniqueName="VolEnt" name="VolEnt" dataDxfId="124">
      <xmlColumnPr mapId="56" xpath="/data/entry/VolEnt" xmlDataType="integer"/>
    </tableColumn>
    <tableColumn id="4" uniqueName="VolRem" name="VolRem" dataDxfId="123">
      <xmlColumnPr mapId="56" xpath="/data/entry/VolRem" xmlDataType="integer"/>
    </tableColumn>
    <tableColumn id="5" uniqueName="Price" name="Price" dataDxfId="122">
      <xmlColumnPr mapId="56" xpath="/data/entry/Price" xmlDataType="double"/>
    </tableColumn>
    <tableColumn id="6" uniqueName="MinVol" name="MinVol" dataDxfId="121">
      <xmlColumnPr mapId="56" xpath="/data/entry/MinVol" xmlDataType="integer"/>
    </tableColumn>
    <tableColumn id="7" uniqueName="Bid" name="Bid" dataDxfId="120">
      <xmlColumnPr mapId="56" xpath="/data/entry/Bid" xmlDataType="integer"/>
    </tableColumn>
    <tableColumn id="8" uniqueName="Duration" name="Duration" dataDxfId="119">
      <xmlColumnPr mapId="56" xpath="/data/entry/Duration" xmlDataType="integer"/>
    </tableColumn>
    <tableColumn id="9" uniqueName="StationID" name="StationID" dataDxfId="118">
      <xmlColumnPr mapId="56" xpath="/data/entry/StationID" xmlDataType="integer"/>
    </tableColumn>
    <tableColumn id="10" uniqueName="Range" name="Range" dataDxfId="117">
      <xmlColumnPr mapId="56" xpath="/data/entry/Range" xmlDataType="integer"/>
    </tableColumn>
    <tableColumn id="11" uniqueName="Jumps" name="Jumps" dataDxfId="116">
      <xmlColumnPr mapId="56" xpath="/data/entry/Jumps" xmlDataType="integer"/>
    </tableColumn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RZ1:SJ69" tableType="xml" totalsRowShown="0" headerRowDxfId="115" connectionId="14">
  <autoFilter ref="RZ1:SJ69"/>
  <tableColumns count="11">
    <tableColumn id="1" uniqueName="OrderID" name="OrderID" dataDxfId="114">
      <xmlColumnPr mapId="57" xpath="/data/entry/OrderID" xmlDataType="integer"/>
    </tableColumn>
    <tableColumn id="2" uniqueName="TypeID" name="TypeID" dataDxfId="113">
      <xmlColumnPr mapId="57" xpath="/data/entry/TypeID" xmlDataType="integer"/>
    </tableColumn>
    <tableColumn id="3" uniqueName="VolEnt" name="VolEnt" dataDxfId="112">
      <xmlColumnPr mapId="57" xpath="/data/entry/VolEnt" xmlDataType="integer"/>
    </tableColumn>
    <tableColumn id="4" uniqueName="VolRem" name="VolRem" dataDxfId="111">
      <xmlColumnPr mapId="57" xpath="/data/entry/VolRem" xmlDataType="integer"/>
    </tableColumn>
    <tableColumn id="5" uniqueName="Price" name="Price" dataDxfId="110">
      <xmlColumnPr mapId="57" xpath="/data/entry/Price" xmlDataType="double"/>
    </tableColumn>
    <tableColumn id="6" uniqueName="MinVol" name="MinVol" dataDxfId="109">
      <xmlColumnPr mapId="57" xpath="/data/entry/MinVol" xmlDataType="integer"/>
    </tableColumn>
    <tableColumn id="7" uniqueName="Bid" name="Bid" dataDxfId="108">
      <xmlColumnPr mapId="57" xpath="/data/entry/Bid" xmlDataType="integer"/>
    </tableColumn>
    <tableColumn id="8" uniqueName="Duration" name="Duration" dataDxfId="107">
      <xmlColumnPr mapId="57" xpath="/data/entry/Duration" xmlDataType="integer"/>
    </tableColumn>
    <tableColumn id="9" uniqueName="StationID" name="StationID" dataDxfId="106">
      <xmlColumnPr mapId="57" xpath="/data/entry/StationID" xmlDataType="integer"/>
    </tableColumn>
    <tableColumn id="10" uniqueName="Range" name="Range" dataDxfId="105">
      <xmlColumnPr mapId="57" xpath="/data/entry/Range" xmlDataType="integer"/>
    </tableColumn>
    <tableColumn id="11" uniqueName="Jumps" name="Jumps" dataDxfId="104">
      <xmlColumnPr mapId="57" xpath="/data/entry/Jumps" xmlDataType="integer"/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SL1:SV78" tableType="xml" totalsRowShown="0" headerRowDxfId="103" connectionId="10">
  <autoFilter ref="SL1:SV78"/>
  <tableColumns count="11">
    <tableColumn id="1" uniqueName="OrderID" name="OrderID" dataDxfId="102">
      <xmlColumnPr mapId="58" xpath="/data/entry/OrderID" xmlDataType="integer"/>
    </tableColumn>
    <tableColumn id="2" uniqueName="TypeID" name="TypeID" dataDxfId="101">
      <xmlColumnPr mapId="58" xpath="/data/entry/TypeID" xmlDataType="integer"/>
    </tableColumn>
    <tableColumn id="3" uniqueName="VolEnt" name="VolEnt" dataDxfId="100">
      <xmlColumnPr mapId="58" xpath="/data/entry/VolEnt" xmlDataType="integer"/>
    </tableColumn>
    <tableColumn id="4" uniqueName="VolRem" name="VolRem" dataDxfId="99">
      <xmlColumnPr mapId="58" xpath="/data/entry/VolRem" xmlDataType="integer"/>
    </tableColumn>
    <tableColumn id="5" uniqueName="Price" name="Price" dataDxfId="98">
      <xmlColumnPr mapId="58" xpath="/data/entry/Price" xmlDataType="double"/>
    </tableColumn>
    <tableColumn id="6" uniqueName="MinVol" name="MinVol" dataDxfId="97">
      <xmlColumnPr mapId="58" xpath="/data/entry/MinVol" xmlDataType="integer"/>
    </tableColumn>
    <tableColumn id="7" uniqueName="Bid" name="Bid" dataDxfId="96">
      <xmlColumnPr mapId="58" xpath="/data/entry/Bid" xmlDataType="integer"/>
    </tableColumn>
    <tableColumn id="8" uniqueName="Duration" name="Duration" dataDxfId="95">
      <xmlColumnPr mapId="58" xpath="/data/entry/Duration" xmlDataType="integer"/>
    </tableColumn>
    <tableColumn id="9" uniqueName="StationID" name="StationID" dataDxfId="94">
      <xmlColumnPr mapId="58" xpath="/data/entry/StationID" xmlDataType="integer"/>
    </tableColumn>
    <tableColumn id="10" uniqueName="Range" name="Range" dataDxfId="93">
      <xmlColumnPr mapId="58" xpath="/data/entry/Range" xmlDataType="integer"/>
    </tableColumn>
    <tableColumn id="11" uniqueName="Jumps" name="Jumps" dataDxfId="92">
      <xmlColumnPr mapId="58" xpath="/data/entry/Jumps" xmlDataType="integer"/>
    </tableColumn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48" name="Table48" displayName="Table48" ref="SX1:TH208" tableType="xml" totalsRowShown="0" headerRowDxfId="91" connectionId="4">
  <autoFilter ref="SX1:TH208"/>
  <tableColumns count="11">
    <tableColumn id="1" uniqueName="OrderID" name="OrderID" dataDxfId="90">
      <xmlColumnPr mapId="59" xpath="/data/entry/OrderID" xmlDataType="integer"/>
    </tableColumn>
    <tableColumn id="2" uniqueName="TypeID" name="TypeID" dataDxfId="89">
      <xmlColumnPr mapId="59" xpath="/data/entry/TypeID" xmlDataType="integer"/>
    </tableColumn>
    <tableColumn id="3" uniqueName="VolEnt" name="VolEnt" dataDxfId="88">
      <xmlColumnPr mapId="59" xpath="/data/entry/VolEnt" xmlDataType="integer"/>
    </tableColumn>
    <tableColumn id="4" uniqueName="VolRem" name="VolRem" dataDxfId="87">
      <xmlColumnPr mapId="59" xpath="/data/entry/VolRem" xmlDataType="integer"/>
    </tableColumn>
    <tableColumn id="5" uniqueName="Price" name="Price" dataDxfId="86">
      <xmlColumnPr mapId="59" xpath="/data/entry/Price" xmlDataType="double"/>
    </tableColumn>
    <tableColumn id="6" uniqueName="MinVol" name="MinVol" dataDxfId="85">
      <xmlColumnPr mapId="59" xpath="/data/entry/MinVol" xmlDataType="integer"/>
    </tableColumn>
    <tableColumn id="7" uniqueName="Bid" name="Bid" dataDxfId="84">
      <xmlColumnPr mapId="59" xpath="/data/entry/Bid" xmlDataType="integer"/>
    </tableColumn>
    <tableColumn id="8" uniqueName="Duration" name="Duration" dataDxfId="83">
      <xmlColumnPr mapId="59" xpath="/data/entry/Duration" xmlDataType="integer"/>
    </tableColumn>
    <tableColumn id="9" uniqueName="StationID" name="StationID" dataDxfId="82">
      <xmlColumnPr mapId="59" xpath="/data/entry/StationID" xmlDataType="integer"/>
    </tableColumn>
    <tableColumn id="10" uniqueName="Range" name="Range" dataDxfId="81">
      <xmlColumnPr mapId="59" xpath="/data/entry/Range" xmlDataType="integer"/>
    </tableColumn>
    <tableColumn id="11" uniqueName="Jumps" name="Jumps" dataDxfId="80">
      <xmlColumnPr mapId="59" xpath="/data/entry/Jumps" xmlDataType="integer"/>
    </tableColumn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49" name="Table49" displayName="Table49" ref="TJ1:TT133" tableType="xml" totalsRowShown="0" headerRowDxfId="79" connectionId="102">
  <autoFilter ref="TJ1:TT133"/>
  <tableColumns count="11">
    <tableColumn id="1" uniqueName="OrderID" name="OrderID" dataDxfId="78">
      <xmlColumnPr mapId="60" xpath="/data/entry/OrderID" xmlDataType="integer"/>
    </tableColumn>
    <tableColumn id="2" uniqueName="TypeID" name="TypeID" dataDxfId="77">
      <xmlColumnPr mapId="60" xpath="/data/entry/TypeID" xmlDataType="integer"/>
    </tableColumn>
    <tableColumn id="3" uniqueName="VolEnt" name="VolEnt" dataDxfId="76">
      <xmlColumnPr mapId="60" xpath="/data/entry/VolEnt" xmlDataType="integer"/>
    </tableColumn>
    <tableColumn id="4" uniqueName="VolRem" name="VolRem" dataDxfId="75">
      <xmlColumnPr mapId="60" xpath="/data/entry/VolRem" xmlDataType="integer"/>
    </tableColumn>
    <tableColumn id="5" uniqueName="Price" name="Price" dataDxfId="74">
      <xmlColumnPr mapId="60" xpath="/data/entry/Price" xmlDataType="double"/>
    </tableColumn>
    <tableColumn id="6" uniqueName="MinVol" name="MinVol" dataDxfId="73">
      <xmlColumnPr mapId="60" xpath="/data/entry/MinVol" xmlDataType="integer"/>
    </tableColumn>
    <tableColumn id="7" uniqueName="Bid" name="Bid" dataDxfId="72">
      <xmlColumnPr mapId="60" xpath="/data/entry/Bid" xmlDataType="integer"/>
    </tableColumn>
    <tableColumn id="8" uniqueName="Duration" name="Duration" dataDxfId="71">
      <xmlColumnPr mapId="60" xpath="/data/entry/Duration" xmlDataType="integer"/>
    </tableColumn>
    <tableColumn id="9" uniqueName="StationID" name="StationID" dataDxfId="70">
      <xmlColumnPr mapId="60" xpath="/data/entry/StationID" xmlDataType="integer"/>
    </tableColumn>
    <tableColumn id="10" uniqueName="Range" name="Range" dataDxfId="69">
      <xmlColumnPr mapId="60" xpath="/data/entry/Range" xmlDataType="integer"/>
    </tableColumn>
    <tableColumn id="11" uniqueName="Jumps" name="Jumps" dataDxfId="68">
      <xmlColumnPr mapId="60" xpath="/data/entry/Jumps" xmlDataType="integer"/>
    </tableColumn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0" name="Table50" displayName="Table50" ref="TV1:UF73" tableType="xml" totalsRowShown="0" headerRowDxfId="67" connectionId="12">
  <autoFilter ref="TV1:UF73"/>
  <tableColumns count="11">
    <tableColumn id="1" uniqueName="OrderID" name="OrderID" dataDxfId="66">
      <xmlColumnPr mapId="61" xpath="/data/entry/OrderID" xmlDataType="integer"/>
    </tableColumn>
    <tableColumn id="2" uniqueName="TypeID" name="TypeID" dataDxfId="65">
      <xmlColumnPr mapId="61" xpath="/data/entry/TypeID" xmlDataType="integer"/>
    </tableColumn>
    <tableColumn id="3" uniqueName="VolEnt" name="VolEnt" dataDxfId="64">
      <xmlColumnPr mapId="61" xpath="/data/entry/VolEnt" xmlDataType="integer"/>
    </tableColumn>
    <tableColumn id="4" uniqueName="VolRem" name="VolRem" dataDxfId="63">
      <xmlColumnPr mapId="61" xpath="/data/entry/VolRem" xmlDataType="integer"/>
    </tableColumn>
    <tableColumn id="5" uniqueName="Price" name="Price" dataDxfId="62">
      <xmlColumnPr mapId="61" xpath="/data/entry/Price" xmlDataType="double"/>
    </tableColumn>
    <tableColumn id="6" uniqueName="MinVol" name="MinVol" dataDxfId="61">
      <xmlColumnPr mapId="61" xpath="/data/entry/MinVol" xmlDataType="integer"/>
    </tableColumn>
    <tableColumn id="7" uniqueName="Bid" name="Bid" dataDxfId="60">
      <xmlColumnPr mapId="61" xpath="/data/entry/Bid" xmlDataType="integer"/>
    </tableColumn>
    <tableColumn id="8" uniqueName="Duration" name="Duration" dataDxfId="59">
      <xmlColumnPr mapId="61" xpath="/data/entry/Duration" xmlDataType="integer"/>
    </tableColumn>
    <tableColumn id="9" uniqueName="StationID" name="StationID" dataDxfId="58">
      <xmlColumnPr mapId="61" xpath="/data/entry/StationID" xmlDataType="integer"/>
    </tableColumn>
    <tableColumn id="10" uniqueName="Range" name="Range" dataDxfId="57">
      <xmlColumnPr mapId="61" xpath="/data/entry/Range" xmlDataType="integer"/>
    </tableColumn>
    <tableColumn id="11" uniqueName="Jumps" name="Jumps" dataDxfId="56">
      <xmlColumnPr mapId="61" xpath="/data/entry/Jumps" xmlDataType="integer"/>
    </tableColumn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51" name="Table51" displayName="Table51" ref="UH1:UR80" tableType="xml" totalsRowShown="0" headerRowDxfId="55" connectionId="76">
  <autoFilter ref="UH1:UR80"/>
  <tableColumns count="11">
    <tableColumn id="1" uniqueName="OrderID" name="OrderID" dataDxfId="54">
      <xmlColumnPr mapId="62" xpath="/data/entry/OrderID" xmlDataType="integer"/>
    </tableColumn>
    <tableColumn id="2" uniqueName="TypeID" name="TypeID" dataDxfId="53">
      <xmlColumnPr mapId="62" xpath="/data/entry/TypeID" xmlDataType="integer"/>
    </tableColumn>
    <tableColumn id="3" uniqueName="VolEnt" name="VolEnt" dataDxfId="52">
      <xmlColumnPr mapId="62" xpath="/data/entry/VolEnt" xmlDataType="integer"/>
    </tableColumn>
    <tableColumn id="4" uniqueName="VolRem" name="VolRem" dataDxfId="51">
      <xmlColumnPr mapId="62" xpath="/data/entry/VolRem" xmlDataType="integer"/>
    </tableColumn>
    <tableColumn id="5" uniqueName="Price" name="Price" dataDxfId="50">
      <xmlColumnPr mapId="62" xpath="/data/entry/Price" xmlDataType="double"/>
    </tableColumn>
    <tableColumn id="6" uniqueName="MinVol" name="MinVol" dataDxfId="49">
      <xmlColumnPr mapId="62" xpath="/data/entry/MinVol" xmlDataType="integer"/>
    </tableColumn>
    <tableColumn id="7" uniqueName="Bid" name="Bid" dataDxfId="48">
      <xmlColumnPr mapId="62" xpath="/data/entry/Bid" xmlDataType="integer"/>
    </tableColumn>
    <tableColumn id="8" uniqueName="Duration" name="Duration" dataDxfId="47">
      <xmlColumnPr mapId="62" xpath="/data/entry/Duration" xmlDataType="integer"/>
    </tableColumn>
    <tableColumn id="9" uniqueName="StationID" name="StationID" dataDxfId="46">
      <xmlColumnPr mapId="62" xpath="/data/entry/StationID" xmlDataType="integer"/>
    </tableColumn>
    <tableColumn id="10" uniqueName="Range" name="Range" dataDxfId="45">
      <xmlColumnPr mapId="62" xpath="/data/entry/Range" xmlDataType="integer"/>
    </tableColumn>
    <tableColumn id="11" uniqueName="Jumps" name="Jumps" dataDxfId="44">
      <xmlColumnPr mapId="62" xpath="/data/entry/Jumps" xmlDataType="integer"/>
    </tableColumn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52" name="Table52" displayName="Table52" ref="UT1:VD64" tableType="xml" totalsRowShown="0" headerRowDxfId="43" connectionId="29">
  <autoFilter ref="UT1:VD64"/>
  <tableColumns count="11">
    <tableColumn id="1" uniqueName="OrderID" name="OrderID" dataDxfId="42">
      <xmlColumnPr mapId="63" xpath="/data/entry/OrderID" xmlDataType="integer"/>
    </tableColumn>
    <tableColumn id="2" uniqueName="TypeID" name="TypeID" dataDxfId="41">
      <xmlColumnPr mapId="63" xpath="/data/entry/TypeID" xmlDataType="integer"/>
    </tableColumn>
    <tableColumn id="3" uniqueName="VolEnt" name="VolEnt" dataDxfId="40">
      <xmlColumnPr mapId="63" xpath="/data/entry/VolEnt" xmlDataType="integer"/>
    </tableColumn>
    <tableColumn id="4" uniqueName="VolRem" name="VolRem" dataDxfId="39">
      <xmlColumnPr mapId="63" xpath="/data/entry/VolRem" xmlDataType="integer"/>
    </tableColumn>
    <tableColumn id="5" uniqueName="Price" name="Price" dataDxfId="38">
      <xmlColumnPr mapId="63" xpath="/data/entry/Price" xmlDataType="double"/>
    </tableColumn>
    <tableColumn id="6" uniqueName="MinVol" name="MinVol" dataDxfId="37">
      <xmlColumnPr mapId="63" xpath="/data/entry/MinVol" xmlDataType="integer"/>
    </tableColumn>
    <tableColumn id="7" uniqueName="Bid" name="Bid" dataDxfId="36">
      <xmlColumnPr mapId="63" xpath="/data/entry/Bid" xmlDataType="integer"/>
    </tableColumn>
    <tableColumn id="8" uniqueName="Duration" name="Duration" dataDxfId="35">
      <xmlColumnPr mapId="63" xpath="/data/entry/Duration" xmlDataType="integer"/>
    </tableColumn>
    <tableColumn id="9" uniqueName="StationID" name="StationID" dataDxfId="34">
      <xmlColumnPr mapId="63" xpath="/data/entry/StationID" xmlDataType="integer"/>
    </tableColumn>
    <tableColumn id="10" uniqueName="Range" name="Range" dataDxfId="33">
      <xmlColumnPr mapId="63" xpath="/data/entry/Range" xmlDataType="integer"/>
    </tableColumn>
    <tableColumn id="11" uniqueName="Jumps" name="Jumps" dataDxfId="32">
      <xmlColumnPr mapId="63" xpath="/data/entry/Jumps" xmlDataType="integer"/>
    </tableColumn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53" name="Table53" displayName="Table53" ref="VF1:VP33" tableType="xml" totalsRowShown="0" headerRowDxfId="31" connectionId="78">
  <autoFilter ref="VF1:VP33"/>
  <tableColumns count="11">
    <tableColumn id="1" uniqueName="OrderID" name="OrderID" dataDxfId="30">
      <xmlColumnPr mapId="64" xpath="/data/entry/OrderID" xmlDataType="integer"/>
    </tableColumn>
    <tableColumn id="2" uniqueName="TypeID" name="TypeID" dataDxfId="29">
      <xmlColumnPr mapId="64" xpath="/data/entry/TypeID" xmlDataType="integer"/>
    </tableColumn>
    <tableColumn id="3" uniqueName="VolEnt" name="VolEnt" dataDxfId="28">
      <xmlColumnPr mapId="64" xpath="/data/entry/VolEnt" xmlDataType="integer"/>
    </tableColumn>
    <tableColumn id="4" uniqueName="VolRem" name="VolRem" dataDxfId="27">
      <xmlColumnPr mapId="64" xpath="/data/entry/VolRem" xmlDataType="integer"/>
    </tableColumn>
    <tableColumn id="5" uniqueName="Price" name="Price" dataDxfId="26">
      <xmlColumnPr mapId="64" xpath="/data/entry/Price" xmlDataType="double"/>
    </tableColumn>
    <tableColumn id="6" uniqueName="MinVol" name="MinVol" dataDxfId="25">
      <xmlColumnPr mapId="64" xpath="/data/entry/MinVol" xmlDataType="integer"/>
    </tableColumn>
    <tableColumn id="7" uniqueName="Bid" name="Bid" dataDxfId="24">
      <xmlColumnPr mapId="64" xpath="/data/entry/Bid" xmlDataType="integer"/>
    </tableColumn>
    <tableColumn id="8" uniqueName="Duration" name="Duration" dataDxfId="23">
      <xmlColumnPr mapId="64" xpath="/data/entry/Duration" xmlDataType="integer"/>
    </tableColumn>
    <tableColumn id="9" uniqueName="StationID" name="StationID" dataDxfId="22">
      <xmlColumnPr mapId="64" xpath="/data/entry/StationID" xmlDataType="integer"/>
    </tableColumn>
    <tableColumn id="10" uniqueName="Range" name="Range" dataDxfId="21">
      <xmlColumnPr mapId="64" xpath="/data/entry/Range" xmlDataType="integer"/>
    </tableColumn>
    <tableColumn id="11" uniqueName="Jumps" name="Jumps" dataDxfId="20">
      <xmlColumnPr mapId="64" xpath="/data/entry/Jumps" xmlDataType="integer"/>
    </tableColumn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55" name="Table55" displayName="Table55" ref="B1:G418" tableType="xml" totalsRowShown="0" connectionId="96">
  <autoFilter ref="B1:G418"/>
  <tableColumns count="6">
    <tableColumn id="1" uniqueName="historyDate" name="historyDate">
      <xmlColumnPr mapId="66" xpath="/data/entry/historyDate" xmlDataType="date"/>
    </tableColumn>
    <tableColumn id="2" uniqueName="lowPrice" name="lowPrice">
      <xmlColumnPr mapId="66" xpath="/data/entry/lowPrice" xmlDataType="double"/>
    </tableColumn>
    <tableColumn id="3" uniqueName="highPrice" name="highPrice">
      <xmlColumnPr mapId="66" xpath="/data/entry/highPrice" xmlDataType="double"/>
    </tableColumn>
    <tableColumn id="4" uniqueName="avgPrice" name="avgPrice">
      <xmlColumnPr mapId="66" xpath="/data/entry/avgPrice" xmlDataType="double"/>
    </tableColumn>
    <tableColumn id="5" uniqueName="volume" name="volume">
      <xmlColumnPr mapId="66" xpath="/data/entry/volume" xmlDataType="integer"/>
    </tableColumn>
    <tableColumn id="6" uniqueName="orders" name="orders">
      <xmlColumnPr mapId="66" xpath="/data/entry/orders" xmlDataType="integer"/>
    </tableColumn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56" name="Table56" displayName="Table56" ref="I1:N418" tableType="xml" totalsRowShown="0" connectionId="81">
  <autoFilter ref="I1:N418"/>
  <tableColumns count="6">
    <tableColumn id="1" uniqueName="historyDate" name="historyDate">
      <xmlColumnPr mapId="67" xpath="/data/entry/historyDate" xmlDataType="date"/>
    </tableColumn>
    <tableColumn id="2" uniqueName="lowPrice" name="lowPrice">
      <xmlColumnPr mapId="67" xpath="/data/entry/lowPrice" xmlDataType="double"/>
    </tableColumn>
    <tableColumn id="3" uniqueName="highPrice" name="highPrice">
      <xmlColumnPr mapId="67" xpath="/data/entry/highPrice" xmlDataType="double"/>
    </tableColumn>
    <tableColumn id="4" uniqueName="avgPrice" name="avgPrice">
      <xmlColumnPr mapId="67" xpath="/data/entry/avgPrice" xmlDataType="double"/>
    </tableColumn>
    <tableColumn id="5" uniqueName="volume" name="volume">
      <xmlColumnPr mapId="67" xpath="/data/entry/volume" xmlDataType="integer"/>
    </tableColumn>
    <tableColumn id="6" uniqueName="orders" name="orders">
      <xmlColumnPr mapId="67" xpath="/data/entry/orders" xmlDataType="integer"/>
    </tableColumn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57" name="Table57" displayName="Table57" ref="P1:U418" tableType="xml" totalsRowShown="0" connectionId="60">
  <autoFilter ref="P1:U418"/>
  <tableColumns count="6">
    <tableColumn id="1" uniqueName="historyDate" name="historyDate">
      <xmlColumnPr mapId="69" xpath="/data/entry/historyDate" xmlDataType="date"/>
    </tableColumn>
    <tableColumn id="2" uniqueName="lowPrice" name="lowPrice">
      <xmlColumnPr mapId="69" xpath="/data/entry/lowPrice" xmlDataType="double"/>
    </tableColumn>
    <tableColumn id="3" uniqueName="highPrice" name="highPrice">
      <xmlColumnPr mapId="69" xpath="/data/entry/highPrice" xmlDataType="double"/>
    </tableColumn>
    <tableColumn id="4" uniqueName="avgPrice" name="avgPrice">
      <xmlColumnPr mapId="69" xpath="/data/entry/avgPrice" xmlDataType="double"/>
    </tableColumn>
    <tableColumn id="5" uniqueName="volume" name="volume">
      <xmlColumnPr mapId="69" xpath="/data/entry/volume" xmlDataType="integer"/>
    </tableColumn>
    <tableColumn id="6" uniqueName="orders" name="orders">
      <xmlColumnPr mapId="69" xpath="/data/entry/orders" xmlDataType="integer"/>
    </tableColumn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58" name="Table58" displayName="Table58" ref="W1:AB418" tableType="xml" totalsRowShown="0" connectionId="48">
  <autoFilter ref="W1:AB418"/>
  <tableColumns count="6">
    <tableColumn id="1" uniqueName="historyDate" name="historyDate">
      <xmlColumnPr mapId="70" xpath="/data/entry/historyDate" xmlDataType="date"/>
    </tableColumn>
    <tableColumn id="2" uniqueName="lowPrice" name="lowPrice">
      <xmlColumnPr mapId="70" xpath="/data/entry/lowPrice" xmlDataType="double"/>
    </tableColumn>
    <tableColumn id="3" uniqueName="highPrice" name="highPrice">
      <xmlColumnPr mapId="70" xpath="/data/entry/highPrice" xmlDataType="double"/>
    </tableColumn>
    <tableColumn id="4" uniqueName="avgPrice" name="avgPrice">
      <xmlColumnPr mapId="70" xpath="/data/entry/avgPrice" xmlDataType="double"/>
    </tableColumn>
    <tableColumn id="5" uniqueName="volume" name="volume">
      <xmlColumnPr mapId="70" xpath="/data/entry/volume" xmlDataType="integer"/>
    </tableColumn>
    <tableColumn id="6" uniqueName="orders" name="orders">
      <xmlColumnPr mapId="70" xpath="/data/entry/orders" xmlDataType="integer"/>
    </tableColumn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9" name="Table59" displayName="Table59" ref="AD1:AI418" tableType="xml" totalsRowShown="0" connectionId="69">
  <autoFilter ref="AD1:AI418"/>
  <tableColumns count="6">
    <tableColumn id="1" uniqueName="historyDate" name="historyDate">
      <xmlColumnPr mapId="71" xpath="/data/entry/historyDate" xmlDataType="date"/>
    </tableColumn>
    <tableColumn id="2" uniqueName="lowPrice" name="lowPrice">
      <xmlColumnPr mapId="71" xpath="/data/entry/lowPrice" xmlDataType="double"/>
    </tableColumn>
    <tableColumn id="3" uniqueName="highPrice" name="highPrice">
      <xmlColumnPr mapId="71" xpath="/data/entry/highPrice" xmlDataType="double"/>
    </tableColumn>
    <tableColumn id="4" uniqueName="avgPrice" name="avgPrice">
      <xmlColumnPr mapId="71" xpath="/data/entry/avgPrice" xmlDataType="double"/>
    </tableColumn>
    <tableColumn id="5" uniqueName="volume" name="volume">
      <xmlColumnPr mapId="71" xpath="/data/entry/volume" xmlDataType="integer"/>
    </tableColumn>
    <tableColumn id="6" uniqueName="orders" name="orders">
      <xmlColumnPr mapId="71" xpath="/data/entry/orders" xmlDataType="integer"/>
    </tableColumn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0" name="Table60" displayName="Table60" ref="AK1:AP418" tableType="xml" totalsRowShown="0" connectionId="103">
  <autoFilter ref="AK1:AP418"/>
  <tableColumns count="6">
    <tableColumn id="1" uniqueName="historyDate" name="historyDate">
      <xmlColumnPr mapId="73" xpath="/data/entry/historyDate" xmlDataType="date"/>
    </tableColumn>
    <tableColumn id="2" uniqueName="lowPrice" name="lowPrice">
      <xmlColumnPr mapId="73" xpath="/data/entry/lowPrice" xmlDataType="double"/>
    </tableColumn>
    <tableColumn id="3" uniqueName="highPrice" name="highPrice">
      <xmlColumnPr mapId="73" xpath="/data/entry/highPrice" xmlDataType="double"/>
    </tableColumn>
    <tableColumn id="4" uniqueName="avgPrice" name="avgPrice">
      <xmlColumnPr mapId="73" xpath="/data/entry/avgPrice" xmlDataType="double"/>
    </tableColumn>
    <tableColumn id="5" uniqueName="volume" name="volume">
      <xmlColumnPr mapId="73" xpath="/data/entry/volume" xmlDataType="integer"/>
    </tableColumn>
    <tableColumn id="6" uniqueName="orders" name="orders">
      <xmlColumnPr mapId="73" xpath="/data/entry/orders" xmlDataType="integer"/>
    </tableColumn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61" name="Table61" displayName="Table61" ref="AR1:AW417" tableType="xml" totalsRowShown="0" connectionId="54">
  <autoFilter ref="AR1:AW417"/>
  <tableColumns count="6">
    <tableColumn id="1" uniqueName="historyDate" name="historyDate">
      <xmlColumnPr mapId="74" xpath="/data/entry/historyDate" xmlDataType="date"/>
    </tableColumn>
    <tableColumn id="2" uniqueName="lowPrice" name="lowPrice">
      <xmlColumnPr mapId="74" xpath="/data/entry/lowPrice" xmlDataType="double"/>
    </tableColumn>
    <tableColumn id="3" uniqueName="highPrice" name="highPrice">
      <xmlColumnPr mapId="74" xpath="/data/entry/highPrice" xmlDataType="double"/>
    </tableColumn>
    <tableColumn id="4" uniqueName="avgPrice" name="avgPrice">
      <xmlColumnPr mapId="74" xpath="/data/entry/avgPrice" xmlDataType="double"/>
    </tableColumn>
    <tableColumn id="5" uniqueName="volume" name="volume">
      <xmlColumnPr mapId="74" xpath="/data/entry/volume" xmlDataType="integer"/>
    </tableColumn>
    <tableColumn id="6" uniqueName="orders" name="orders">
      <xmlColumnPr mapId="74" xpath="/data/entry/orders" xmlDataType="integer"/>
    </tableColumn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62" name="Table62" displayName="Table62" ref="AY1:BD418" tableType="xml" totalsRowShown="0" connectionId="1">
  <autoFilter ref="AY1:BD418"/>
  <tableColumns count="6">
    <tableColumn id="1" uniqueName="historyDate" name="historyDate">
      <xmlColumnPr mapId="76" xpath="/data/entry/historyDate" xmlDataType="date"/>
    </tableColumn>
    <tableColumn id="2" uniqueName="lowPrice" name="lowPrice">
      <xmlColumnPr mapId="76" xpath="/data/entry/lowPrice" xmlDataType="double"/>
    </tableColumn>
    <tableColumn id="3" uniqueName="highPrice" name="highPrice">
      <xmlColumnPr mapId="76" xpath="/data/entry/highPrice" xmlDataType="double"/>
    </tableColumn>
    <tableColumn id="4" uniqueName="avgPrice" name="avgPrice">
      <xmlColumnPr mapId="76" xpath="/data/entry/avgPrice" xmlDataType="double"/>
    </tableColumn>
    <tableColumn id="5" uniqueName="volume" name="volume">
      <xmlColumnPr mapId="76" xpath="/data/entry/volume" xmlDataType="integer"/>
    </tableColumn>
    <tableColumn id="6" uniqueName="orders" name="orders">
      <xmlColumnPr mapId="76" xpath="/data/entry/orders" xmlDataType="integer"/>
    </tableColumn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63" name="Table63" displayName="Table63" ref="BF1:BK418" tableType="xml" totalsRowShown="0" connectionId="77">
  <autoFilter ref="BF1:BK418"/>
  <tableColumns count="6">
    <tableColumn id="1" uniqueName="historyDate" name="historyDate">
      <xmlColumnPr mapId="77" xpath="/data/entry/historyDate" xmlDataType="date"/>
    </tableColumn>
    <tableColumn id="2" uniqueName="lowPrice" name="lowPrice">
      <xmlColumnPr mapId="77" xpath="/data/entry/lowPrice" xmlDataType="double"/>
    </tableColumn>
    <tableColumn id="3" uniqueName="highPrice" name="highPrice">
      <xmlColumnPr mapId="77" xpath="/data/entry/highPrice" xmlDataType="double"/>
    </tableColumn>
    <tableColumn id="4" uniqueName="avgPrice" name="avgPrice">
      <xmlColumnPr mapId="77" xpath="/data/entry/avgPrice" xmlDataType="double"/>
    </tableColumn>
    <tableColumn id="5" uniqueName="volume" name="volume">
      <xmlColumnPr mapId="77" xpath="/data/entry/volume" xmlDataType="integer"/>
    </tableColumn>
    <tableColumn id="6" uniqueName="orders" name="orders">
      <xmlColumnPr mapId="77" xpath="/data/entry/orders" xmlDataType="integer"/>
    </tableColumn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64" name="Table64" displayName="Table64" ref="BM1:BR418" tableType="xml" totalsRowShown="0" connectionId="56">
  <autoFilter ref="BM1:BR418"/>
  <tableColumns count="6">
    <tableColumn id="1" uniqueName="historyDate" name="historyDate">
      <xmlColumnPr mapId="78" xpath="/data/entry/historyDate" xmlDataType="date"/>
    </tableColumn>
    <tableColumn id="2" uniqueName="lowPrice" name="lowPrice">
      <xmlColumnPr mapId="78" xpath="/data/entry/lowPrice" xmlDataType="double"/>
    </tableColumn>
    <tableColumn id="3" uniqueName="highPrice" name="highPrice">
      <xmlColumnPr mapId="78" xpath="/data/entry/highPrice" xmlDataType="double"/>
    </tableColumn>
    <tableColumn id="4" uniqueName="avgPrice" name="avgPrice">
      <xmlColumnPr mapId="78" xpath="/data/entry/avgPrice" xmlDataType="double"/>
    </tableColumn>
    <tableColumn id="5" uniqueName="volume" name="volume">
      <xmlColumnPr mapId="78" xpath="/data/entry/volume" xmlDataType="integer"/>
    </tableColumn>
    <tableColumn id="6" uniqueName="orders" name="orders">
      <xmlColumnPr mapId="78" xpath="/data/entry/orders" xmlDataType="integer"/>
    </tableColumn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65" name="Table65" displayName="Table65" ref="BT1:BY418" tableType="xml" totalsRowShown="0" connectionId="34">
  <autoFilter ref="BT1:BY418"/>
  <tableColumns count="6">
    <tableColumn id="1" uniqueName="historyDate" name="historyDate">
      <xmlColumnPr mapId="79" xpath="/data/entry/historyDate" xmlDataType="date"/>
    </tableColumn>
    <tableColumn id="2" uniqueName="lowPrice" name="lowPrice">
      <xmlColumnPr mapId="79" xpath="/data/entry/lowPrice" xmlDataType="double"/>
    </tableColumn>
    <tableColumn id="3" uniqueName="highPrice" name="highPrice">
      <xmlColumnPr mapId="79" xpath="/data/entry/highPrice" xmlDataType="double"/>
    </tableColumn>
    <tableColumn id="4" uniqueName="avgPrice" name="avgPrice">
      <xmlColumnPr mapId="79" xpath="/data/entry/avgPrice" xmlDataType="double"/>
    </tableColumn>
    <tableColumn id="5" uniqueName="volume" name="volume">
      <xmlColumnPr mapId="79" xpath="/data/entry/volume" xmlDataType="integer"/>
    </tableColumn>
    <tableColumn id="6" uniqueName="orders" name="orders">
      <xmlColumnPr mapId="79" xpath="/data/entry/orders" xmlDataType="integer"/>
    </tableColumn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66" name="Table66" displayName="Table66" ref="CA1:CF418" tableType="xml" totalsRowShown="0" connectionId="73">
  <autoFilter ref="CA1:CF418"/>
  <tableColumns count="6">
    <tableColumn id="1" uniqueName="historyDate" name="historyDate">
      <xmlColumnPr mapId="80" xpath="/data/entry/historyDate" xmlDataType="date"/>
    </tableColumn>
    <tableColumn id="2" uniqueName="lowPrice" name="lowPrice">
      <xmlColumnPr mapId="80" xpath="/data/entry/lowPrice" xmlDataType="double"/>
    </tableColumn>
    <tableColumn id="3" uniqueName="highPrice" name="highPrice">
      <xmlColumnPr mapId="80" xpath="/data/entry/highPrice" xmlDataType="double"/>
    </tableColumn>
    <tableColumn id="4" uniqueName="avgPrice" name="avgPrice">
      <xmlColumnPr mapId="80" xpath="/data/entry/avgPrice" xmlDataType="double"/>
    </tableColumn>
    <tableColumn id="5" uniqueName="volume" name="volume">
      <xmlColumnPr mapId="80" xpath="/data/entry/volume" xmlDataType="integer"/>
    </tableColumn>
    <tableColumn id="6" uniqueName="orders" name="orders">
      <xmlColumnPr mapId="80" xpath="/data/entry/orders" xmlDataType="integer"/>
    </tableColumn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7" name="Table67" displayName="Table67" ref="CH1:CM418" tableType="xml" totalsRowShown="0" connectionId="36">
  <autoFilter ref="CH1:CM418"/>
  <tableColumns count="6">
    <tableColumn id="1" uniqueName="historyDate" name="historyDate">
      <xmlColumnPr mapId="81" xpath="/data/entry/historyDate" xmlDataType="date"/>
    </tableColumn>
    <tableColumn id="2" uniqueName="lowPrice" name="lowPrice">
      <xmlColumnPr mapId="81" xpath="/data/entry/lowPrice" xmlDataType="double"/>
    </tableColumn>
    <tableColumn id="3" uniqueName="highPrice" name="highPrice">
      <xmlColumnPr mapId="81" xpath="/data/entry/highPrice" xmlDataType="double"/>
    </tableColumn>
    <tableColumn id="4" uniqueName="avgPrice" name="avgPrice">
      <xmlColumnPr mapId="81" xpath="/data/entry/avgPrice" xmlDataType="double"/>
    </tableColumn>
    <tableColumn id="5" uniqueName="volume" name="volume">
      <xmlColumnPr mapId="81" xpath="/data/entry/volume" xmlDataType="integer"/>
    </tableColumn>
    <tableColumn id="6" uniqueName="orders" name="orders">
      <xmlColumnPr mapId="81" xpath="/data/entry/orders" xmlDataType="integer"/>
    </tableColumn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8" name="Table68" displayName="Table68" ref="CO1:CT414" tableType="xml" totalsRowShown="0" connectionId="26">
  <autoFilter ref="CO1:CT414"/>
  <tableColumns count="6">
    <tableColumn id="1" uniqueName="historyDate" name="historyDate">
      <xmlColumnPr mapId="82" xpath="/data/entry/historyDate" xmlDataType="date"/>
    </tableColumn>
    <tableColumn id="2" uniqueName="lowPrice" name="lowPrice">
      <xmlColumnPr mapId="82" xpath="/data/entry/lowPrice" xmlDataType="double"/>
    </tableColumn>
    <tableColumn id="3" uniqueName="highPrice" name="highPrice">
      <xmlColumnPr mapId="82" xpath="/data/entry/highPrice" xmlDataType="double"/>
    </tableColumn>
    <tableColumn id="4" uniqueName="avgPrice" name="avgPrice">
      <xmlColumnPr mapId="82" xpath="/data/entry/avgPrice" xmlDataType="double"/>
    </tableColumn>
    <tableColumn id="5" uniqueName="volume" name="volume">
      <xmlColumnPr mapId="82" xpath="/data/entry/volume" xmlDataType="integer"/>
    </tableColumn>
    <tableColumn id="6" uniqueName="orders" name="orders">
      <xmlColumnPr mapId="82" xpath="/data/entry/orders" xmlDataType="integer"/>
    </tableColumn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9" name="Table69" displayName="Table69" ref="CV1:DA418" tableType="xml" totalsRowShown="0" connectionId="13">
  <autoFilter ref="CV1:DA418"/>
  <tableColumns count="6">
    <tableColumn id="1" uniqueName="historyDate" name="historyDate">
      <xmlColumnPr mapId="83" xpath="/data/entry/historyDate" xmlDataType="date"/>
    </tableColumn>
    <tableColumn id="2" uniqueName="lowPrice" name="lowPrice">
      <xmlColumnPr mapId="83" xpath="/data/entry/lowPrice" xmlDataType="double"/>
    </tableColumn>
    <tableColumn id="3" uniqueName="highPrice" name="highPrice">
      <xmlColumnPr mapId="83" xpath="/data/entry/highPrice" xmlDataType="double"/>
    </tableColumn>
    <tableColumn id="4" uniqueName="avgPrice" name="avgPrice">
      <xmlColumnPr mapId="83" xpath="/data/entry/avgPrice" xmlDataType="double"/>
    </tableColumn>
    <tableColumn id="5" uniqueName="volume" name="volume">
      <xmlColumnPr mapId="83" xpath="/data/entry/volume" xmlDataType="integer"/>
    </tableColumn>
    <tableColumn id="6" uniqueName="orders" name="orders">
      <xmlColumnPr mapId="83" xpath="/data/entry/orders" xmlDataType="integer"/>
    </tableColumn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70" name="Table70" displayName="Table70" ref="DC1:DH418" tableType="xml" totalsRowShown="0" connectionId="42">
  <autoFilter ref="DC1:DH418"/>
  <tableColumns count="6">
    <tableColumn id="1" uniqueName="historyDate" name="historyDate">
      <xmlColumnPr mapId="84" xpath="/data/entry/historyDate" xmlDataType="date"/>
    </tableColumn>
    <tableColumn id="2" uniqueName="lowPrice" name="lowPrice">
      <xmlColumnPr mapId="84" xpath="/data/entry/lowPrice" xmlDataType="double"/>
    </tableColumn>
    <tableColumn id="3" uniqueName="highPrice" name="highPrice">
      <xmlColumnPr mapId="84" xpath="/data/entry/highPrice" xmlDataType="double"/>
    </tableColumn>
    <tableColumn id="4" uniqueName="avgPrice" name="avgPrice">
      <xmlColumnPr mapId="84" xpath="/data/entry/avgPrice" xmlDataType="double"/>
    </tableColumn>
    <tableColumn id="5" uniqueName="volume" name="volume">
      <xmlColumnPr mapId="84" xpath="/data/entry/volume" xmlDataType="integer"/>
    </tableColumn>
    <tableColumn id="6" uniqueName="orders" name="orders">
      <xmlColumnPr mapId="84" xpath="/data/entry/orders" xmlDataType="integer"/>
    </tableColumn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71" name="Table71" displayName="Table71" ref="DJ1:DO418" tableType="xml" totalsRowShown="0" connectionId="46">
  <autoFilter ref="DJ1:DO418"/>
  <tableColumns count="6">
    <tableColumn id="1" uniqueName="historyDate" name="historyDate">
      <xmlColumnPr mapId="85" xpath="/data/entry/historyDate" xmlDataType="date"/>
    </tableColumn>
    <tableColumn id="2" uniqueName="lowPrice" name="lowPrice">
      <xmlColumnPr mapId="85" xpath="/data/entry/lowPrice" xmlDataType="double"/>
    </tableColumn>
    <tableColumn id="3" uniqueName="highPrice" name="highPrice">
      <xmlColumnPr mapId="85" xpath="/data/entry/highPrice" xmlDataType="double"/>
    </tableColumn>
    <tableColumn id="4" uniqueName="avgPrice" name="avgPrice">
      <xmlColumnPr mapId="85" xpath="/data/entry/avgPrice" xmlDataType="double"/>
    </tableColumn>
    <tableColumn id="5" uniqueName="volume" name="volume">
      <xmlColumnPr mapId="85" xpath="/data/entry/volume" xmlDataType="integer"/>
    </tableColumn>
    <tableColumn id="6" uniqueName="orders" name="orders">
      <xmlColumnPr mapId="85" xpath="/data/entry/orders" xmlDataType="integer"/>
    </tableColumn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2" name="Table72" displayName="Table72" ref="DQ1:DV418" tableType="xml" totalsRowShown="0" connectionId="79">
  <autoFilter ref="DQ1:DV418"/>
  <tableColumns count="6">
    <tableColumn id="1" uniqueName="historyDate" name="historyDate">
      <xmlColumnPr mapId="86" xpath="/data/entry/historyDate" xmlDataType="date"/>
    </tableColumn>
    <tableColumn id="2" uniqueName="lowPrice" name="lowPrice">
      <xmlColumnPr mapId="86" xpath="/data/entry/lowPrice" xmlDataType="double"/>
    </tableColumn>
    <tableColumn id="3" uniqueName="highPrice" name="highPrice">
      <xmlColumnPr mapId="86" xpath="/data/entry/highPrice" xmlDataType="double"/>
    </tableColumn>
    <tableColumn id="4" uniqueName="avgPrice" name="avgPrice">
      <xmlColumnPr mapId="86" xpath="/data/entry/avgPrice" xmlDataType="double"/>
    </tableColumn>
    <tableColumn id="5" uniqueName="volume" name="volume">
      <xmlColumnPr mapId="86" xpath="/data/entry/volume" xmlDataType="integer"/>
    </tableColumn>
    <tableColumn id="6" uniqueName="orders" name="orders">
      <xmlColumnPr mapId="86" xpath="/data/entry/orders" xmlDataType="integer"/>
    </tableColumn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3" name="Table73" displayName="Table73" ref="DX1:EC418" tableType="xml" totalsRowShown="0" connectionId="24">
  <autoFilter ref="DX1:EC418"/>
  <tableColumns count="6">
    <tableColumn id="1" uniqueName="historyDate" name="historyDate">
      <xmlColumnPr mapId="87" xpath="/data/entry/historyDate" xmlDataType="date"/>
    </tableColumn>
    <tableColumn id="2" uniqueName="lowPrice" name="lowPrice">
      <xmlColumnPr mapId="87" xpath="/data/entry/lowPrice" xmlDataType="double"/>
    </tableColumn>
    <tableColumn id="3" uniqueName="highPrice" name="highPrice">
      <xmlColumnPr mapId="87" xpath="/data/entry/highPrice" xmlDataType="double"/>
    </tableColumn>
    <tableColumn id="4" uniqueName="avgPrice" name="avgPrice">
      <xmlColumnPr mapId="87" xpath="/data/entry/avgPrice" xmlDataType="double"/>
    </tableColumn>
    <tableColumn id="5" uniqueName="volume" name="volume">
      <xmlColumnPr mapId="87" xpath="/data/entry/volume" xmlDataType="integer"/>
    </tableColumn>
    <tableColumn id="6" uniqueName="orders" name="orders">
      <xmlColumnPr mapId="87" xpath="/data/entry/orders" xmlDataType="integer"/>
    </tableColumn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4" name="Table74" displayName="Table74" ref="EE1:EJ415" tableType="xml" totalsRowShown="0" connectionId="87">
  <autoFilter ref="EE1:EJ415"/>
  <tableColumns count="6">
    <tableColumn id="1" uniqueName="historyDate" name="historyDate">
      <xmlColumnPr mapId="88" xpath="/data/entry/historyDate" xmlDataType="date"/>
    </tableColumn>
    <tableColumn id="2" uniqueName="lowPrice" name="lowPrice">
      <xmlColumnPr mapId="88" xpath="/data/entry/lowPrice" xmlDataType="double"/>
    </tableColumn>
    <tableColumn id="3" uniqueName="highPrice" name="highPrice">
      <xmlColumnPr mapId="88" xpath="/data/entry/highPrice" xmlDataType="double"/>
    </tableColumn>
    <tableColumn id="4" uniqueName="avgPrice" name="avgPrice">
      <xmlColumnPr mapId="88" xpath="/data/entry/avgPrice" xmlDataType="double"/>
    </tableColumn>
    <tableColumn id="5" uniqueName="volume" name="volume">
      <xmlColumnPr mapId="88" xpath="/data/entry/volume" xmlDataType="integer"/>
    </tableColumn>
    <tableColumn id="6" uniqueName="orders" name="orders">
      <xmlColumnPr mapId="88" xpath="/data/entry/orders" xmlDataType="integer"/>
    </tableColumn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5" name="Table75" displayName="Table75" ref="EL1:EQ418" tableType="xml" totalsRowShown="0" connectionId="101">
  <autoFilter ref="EL1:EQ418"/>
  <tableColumns count="6">
    <tableColumn id="1" uniqueName="historyDate" name="historyDate">
      <xmlColumnPr mapId="89" xpath="/data/entry/historyDate" xmlDataType="date"/>
    </tableColumn>
    <tableColumn id="2" uniqueName="lowPrice" name="lowPrice">
      <xmlColumnPr mapId="89" xpath="/data/entry/lowPrice" xmlDataType="double"/>
    </tableColumn>
    <tableColumn id="3" uniqueName="highPrice" name="highPrice">
      <xmlColumnPr mapId="89" xpath="/data/entry/highPrice" xmlDataType="double"/>
    </tableColumn>
    <tableColumn id="4" uniqueName="avgPrice" name="avgPrice">
      <xmlColumnPr mapId="89" xpath="/data/entry/avgPrice" xmlDataType="double"/>
    </tableColumn>
    <tableColumn id="5" uniqueName="volume" name="volume">
      <xmlColumnPr mapId="89" xpath="/data/entry/volume" xmlDataType="integer"/>
    </tableColumn>
    <tableColumn id="6" uniqueName="orders" name="orders">
      <xmlColumnPr mapId="89" xpath="/data/entry/orders" xmlDataType="integer"/>
    </tableColumn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6" name="Table76" displayName="Table76" ref="ES1:EX414" tableType="xml" totalsRowShown="0" connectionId="50">
  <autoFilter ref="ES1:EX414"/>
  <tableColumns count="6">
    <tableColumn id="1" uniqueName="historyDate" name="historyDate">
      <xmlColumnPr mapId="90" xpath="/data/entry/historyDate" xmlDataType="date"/>
    </tableColumn>
    <tableColumn id="2" uniqueName="lowPrice" name="lowPrice">
      <xmlColumnPr mapId="90" xpath="/data/entry/lowPrice" xmlDataType="double"/>
    </tableColumn>
    <tableColumn id="3" uniqueName="highPrice" name="highPrice">
      <xmlColumnPr mapId="90" xpath="/data/entry/highPrice" xmlDataType="double"/>
    </tableColumn>
    <tableColumn id="4" uniqueName="avgPrice" name="avgPrice">
      <xmlColumnPr mapId="90" xpath="/data/entry/avgPrice" xmlDataType="double"/>
    </tableColumn>
    <tableColumn id="5" uniqueName="volume" name="volume">
      <xmlColumnPr mapId="90" xpath="/data/entry/volume" xmlDataType="integer"/>
    </tableColumn>
    <tableColumn id="6" uniqueName="orders" name="orders">
      <xmlColumnPr mapId="90" xpath="/data/entry/orders" xmlDataType="integer"/>
    </tableColumn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7" name="Table77" displayName="Table77" ref="EZ1:FE418" tableType="xml" totalsRowShown="0" connectionId="9">
  <autoFilter ref="EZ1:FE418"/>
  <tableColumns count="6">
    <tableColumn id="1" uniqueName="historyDate" name="historyDate">
      <xmlColumnPr mapId="91" xpath="/data/entry/historyDate" xmlDataType="date"/>
    </tableColumn>
    <tableColumn id="2" uniqueName="lowPrice" name="lowPrice">
      <xmlColumnPr mapId="91" xpath="/data/entry/lowPrice" xmlDataType="double"/>
    </tableColumn>
    <tableColumn id="3" uniqueName="highPrice" name="highPrice">
      <xmlColumnPr mapId="91" xpath="/data/entry/highPrice" xmlDataType="double"/>
    </tableColumn>
    <tableColumn id="4" uniqueName="avgPrice" name="avgPrice">
      <xmlColumnPr mapId="91" xpath="/data/entry/avgPrice" xmlDataType="double"/>
    </tableColumn>
    <tableColumn id="5" uniqueName="volume" name="volume">
      <xmlColumnPr mapId="91" xpath="/data/entry/volume" xmlDataType="integer"/>
    </tableColumn>
    <tableColumn id="6" uniqueName="orders" name="orders">
      <xmlColumnPr mapId="91" xpath="/data/entry/orders" xmlDataType="integer"/>
    </tableColumn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8" name="Table78" displayName="Table78" ref="FG1:FL414" tableType="xml" totalsRowShown="0" connectionId="52">
  <autoFilter ref="FG1:FL414"/>
  <tableColumns count="6">
    <tableColumn id="1" uniqueName="historyDate" name="historyDate">
      <xmlColumnPr mapId="92" xpath="/data/entry/historyDate" xmlDataType="date"/>
    </tableColumn>
    <tableColumn id="2" uniqueName="lowPrice" name="lowPrice">
      <xmlColumnPr mapId="92" xpath="/data/entry/lowPrice" xmlDataType="double"/>
    </tableColumn>
    <tableColumn id="3" uniqueName="highPrice" name="highPrice">
      <xmlColumnPr mapId="92" xpath="/data/entry/highPrice" xmlDataType="double"/>
    </tableColumn>
    <tableColumn id="4" uniqueName="avgPrice" name="avgPrice">
      <xmlColumnPr mapId="92" xpath="/data/entry/avgPrice" xmlDataType="double"/>
    </tableColumn>
    <tableColumn id="5" uniqueName="volume" name="volume">
      <xmlColumnPr mapId="92" xpath="/data/entry/volume" xmlDataType="integer"/>
    </tableColumn>
    <tableColumn id="6" uniqueName="orders" name="orders">
      <xmlColumnPr mapId="92" xpath="/data/entry/orders" xmlDataType="integer"/>
    </tableColumn>
  </tableColumns>
  <tableStyleInfo name="TableStyleMedium9" showFirstColumn="0" showLastColumn="0" showRowStripes="1" showColumnStripes="0"/>
</table>
</file>

<file path=xl/tables/table77.xml><?xml version="1.0" encoding="utf-8"?>
<table xmlns="http://schemas.openxmlformats.org/spreadsheetml/2006/main" id="79" name="Table79" displayName="Table79" ref="FN1:FS418" tableType="xml" totalsRowShown="0" connectionId="28">
  <autoFilter ref="FN1:FS418"/>
  <tableColumns count="6">
    <tableColumn id="1" uniqueName="historyDate" name="historyDate">
      <xmlColumnPr mapId="93" xpath="/data/entry/historyDate" xmlDataType="date"/>
    </tableColumn>
    <tableColumn id="2" uniqueName="lowPrice" name="lowPrice">
      <xmlColumnPr mapId="93" xpath="/data/entry/lowPrice" xmlDataType="double"/>
    </tableColumn>
    <tableColumn id="3" uniqueName="highPrice" name="highPrice">
      <xmlColumnPr mapId="93" xpath="/data/entry/highPrice" xmlDataType="double"/>
    </tableColumn>
    <tableColumn id="4" uniqueName="avgPrice" name="avgPrice">
      <xmlColumnPr mapId="93" xpath="/data/entry/avgPrice" xmlDataType="double"/>
    </tableColumn>
    <tableColumn id="5" uniqueName="volume" name="volume">
      <xmlColumnPr mapId="93" xpath="/data/entry/volume" xmlDataType="integer"/>
    </tableColumn>
    <tableColumn id="6" uniqueName="orders" name="orders">
      <xmlColumnPr mapId="93" xpath="/data/entry/orders" xmlDataType="integer"/>
    </tableColumn>
  </tableColumns>
  <tableStyleInfo name="TableStyleMedium9" showFirstColumn="0" showLastColumn="0" showRowStripes="1" showColumnStripes="0"/>
</table>
</file>

<file path=xl/tables/table78.xml><?xml version="1.0" encoding="utf-8"?>
<table xmlns="http://schemas.openxmlformats.org/spreadsheetml/2006/main" id="80" name="Table80" displayName="Table80" ref="FU1:FZ418" tableType="xml" totalsRowShown="0" connectionId="7">
  <autoFilter ref="FU1:FZ418"/>
  <tableColumns count="6">
    <tableColumn id="1" uniqueName="historyDate" name="historyDate">
      <xmlColumnPr mapId="94" xpath="/data/entry/historyDate" xmlDataType="date"/>
    </tableColumn>
    <tableColumn id="2" uniqueName="lowPrice" name="lowPrice">
      <xmlColumnPr mapId="94" xpath="/data/entry/lowPrice" xmlDataType="double"/>
    </tableColumn>
    <tableColumn id="3" uniqueName="highPrice" name="highPrice">
      <xmlColumnPr mapId="94" xpath="/data/entry/highPrice" xmlDataType="double"/>
    </tableColumn>
    <tableColumn id="4" uniqueName="avgPrice" name="avgPrice">
      <xmlColumnPr mapId="94" xpath="/data/entry/avgPrice" xmlDataType="double"/>
    </tableColumn>
    <tableColumn id="5" uniqueName="volume" name="volume">
      <xmlColumnPr mapId="94" xpath="/data/entry/volume" xmlDataType="integer"/>
    </tableColumn>
    <tableColumn id="6" uniqueName="orders" name="orders">
      <xmlColumnPr mapId="94" xpath="/data/entry/orders" xmlDataType="integer"/>
    </tableColumn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id="81" name="Table81" displayName="Table81" ref="GB1:GG418" tableType="xml" totalsRowShown="0" connectionId="58">
  <autoFilter ref="GB1:GG418"/>
  <tableColumns count="6">
    <tableColumn id="1" uniqueName="historyDate" name="historyDate">
      <xmlColumnPr mapId="95" xpath="/data/entry/historyDate" xmlDataType="date"/>
    </tableColumn>
    <tableColumn id="2" uniqueName="lowPrice" name="lowPrice">
      <xmlColumnPr mapId="95" xpath="/data/entry/lowPrice" xmlDataType="double"/>
    </tableColumn>
    <tableColumn id="3" uniqueName="highPrice" name="highPrice">
      <xmlColumnPr mapId="95" xpath="/data/entry/highPrice" xmlDataType="double"/>
    </tableColumn>
    <tableColumn id="4" uniqueName="avgPrice" name="avgPrice">
      <xmlColumnPr mapId="95" xpath="/data/entry/avgPrice" xmlDataType="double"/>
    </tableColumn>
    <tableColumn id="5" uniqueName="volume" name="volume">
      <xmlColumnPr mapId="95" xpath="/data/entry/volume" xmlDataType="integer"/>
    </tableColumn>
    <tableColumn id="6" uniqueName="orders" name="orders">
      <xmlColumnPr mapId="95" xpath="/data/entry/orders" xmlDataType="integer"/>
    </tableColumn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id="82" name="Table82" displayName="Table82" ref="GI1:GN418" tableType="xml" totalsRowShown="0" connectionId="11">
  <autoFilter ref="GI1:GN418"/>
  <tableColumns count="6">
    <tableColumn id="1" uniqueName="historyDate" name="historyDate">
      <xmlColumnPr mapId="96" xpath="/data/entry/historyDate" xmlDataType="date"/>
    </tableColumn>
    <tableColumn id="2" uniqueName="lowPrice" name="lowPrice">
      <xmlColumnPr mapId="96" xpath="/data/entry/lowPrice" xmlDataType="double"/>
    </tableColumn>
    <tableColumn id="3" uniqueName="highPrice" name="highPrice">
      <xmlColumnPr mapId="96" xpath="/data/entry/highPrice" xmlDataType="double"/>
    </tableColumn>
    <tableColumn id="4" uniqueName="avgPrice" name="avgPrice">
      <xmlColumnPr mapId="96" xpath="/data/entry/avgPrice" xmlDataType="double"/>
    </tableColumn>
    <tableColumn id="5" uniqueName="volume" name="volume">
      <xmlColumnPr mapId="96" xpath="/data/entry/volume" xmlDataType="integer"/>
    </tableColumn>
    <tableColumn id="6" uniqueName="orders" name="orders">
      <xmlColumnPr mapId="96" xpath="/data/entry/orders" xmlDataType="integer"/>
    </tableColumn>
  </tableColumns>
  <tableStyleInfo name="TableStyleMedium9" showFirstColumn="0" showLastColumn="0" showRowStripes="1" showColumnStripes="0"/>
</table>
</file>

<file path=xl/tables/table81.xml><?xml version="1.0" encoding="utf-8"?>
<table xmlns="http://schemas.openxmlformats.org/spreadsheetml/2006/main" id="83" name="Table83" displayName="Table83" ref="GP1:GU418" tableType="xml" totalsRowShown="0" connectionId="30">
  <autoFilter ref="GP1:GU418"/>
  <tableColumns count="6">
    <tableColumn id="1" uniqueName="historyDate" name="historyDate">
      <xmlColumnPr mapId="97" xpath="/data/entry/historyDate" xmlDataType="date"/>
    </tableColumn>
    <tableColumn id="2" uniqueName="lowPrice" name="lowPrice">
      <xmlColumnPr mapId="97" xpath="/data/entry/lowPrice" xmlDataType="double"/>
    </tableColumn>
    <tableColumn id="3" uniqueName="highPrice" name="highPrice">
      <xmlColumnPr mapId="97" xpath="/data/entry/highPrice" xmlDataType="double"/>
    </tableColumn>
    <tableColumn id="4" uniqueName="avgPrice" name="avgPrice">
      <xmlColumnPr mapId="97" xpath="/data/entry/avgPrice" xmlDataType="double"/>
    </tableColumn>
    <tableColumn id="5" uniqueName="volume" name="volume">
      <xmlColumnPr mapId="97" xpath="/data/entry/volume" xmlDataType="integer"/>
    </tableColumn>
    <tableColumn id="6" uniqueName="orders" name="orders">
      <xmlColumnPr mapId="97" xpath="/data/entry/orders" xmlDataType="integer"/>
    </tableColumn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id="84" name="Table84" displayName="Table84" ref="GW1:HB418" tableType="xml" totalsRowShown="0" connectionId="40">
  <autoFilter ref="GW1:HB418"/>
  <tableColumns count="6">
    <tableColumn id="1" uniqueName="historyDate" name="historyDate">
      <xmlColumnPr mapId="98" xpath="/data/entry/historyDate" xmlDataType="date"/>
    </tableColumn>
    <tableColumn id="2" uniqueName="lowPrice" name="lowPrice">
      <xmlColumnPr mapId="98" xpath="/data/entry/lowPrice" xmlDataType="double"/>
    </tableColumn>
    <tableColumn id="3" uniqueName="highPrice" name="highPrice">
      <xmlColumnPr mapId="98" xpath="/data/entry/highPrice" xmlDataType="double"/>
    </tableColumn>
    <tableColumn id="4" uniqueName="avgPrice" name="avgPrice">
      <xmlColumnPr mapId="98" xpath="/data/entry/avgPrice" xmlDataType="double"/>
    </tableColumn>
    <tableColumn id="5" uniqueName="volume" name="volume">
      <xmlColumnPr mapId="98" xpath="/data/entry/volume" xmlDataType="integer"/>
    </tableColumn>
    <tableColumn id="6" uniqueName="orders" name="orders">
      <xmlColumnPr mapId="98" xpath="/data/entry/orders" xmlDataType="integer"/>
    </tableColumn>
  </tableColumns>
  <tableStyleInfo name="TableStyleMedium9" showFirstColumn="0" showLastColumn="0" showRowStripes="1" showColumnStripes="0"/>
</table>
</file>

<file path=xl/tables/table83.xml><?xml version="1.0" encoding="utf-8"?>
<table xmlns="http://schemas.openxmlformats.org/spreadsheetml/2006/main" id="85" name="Table85" displayName="Table85" ref="HD1:HI418" tableType="xml" totalsRowShown="0" connectionId="62">
  <autoFilter ref="HD1:HI418"/>
  <tableColumns count="6">
    <tableColumn id="1" uniqueName="historyDate" name="historyDate">
      <xmlColumnPr mapId="99" xpath="/data/entry/historyDate" xmlDataType="date"/>
    </tableColumn>
    <tableColumn id="2" uniqueName="lowPrice" name="lowPrice">
      <xmlColumnPr mapId="99" xpath="/data/entry/lowPrice" xmlDataType="double"/>
    </tableColumn>
    <tableColumn id="3" uniqueName="highPrice" name="highPrice">
      <xmlColumnPr mapId="99" xpath="/data/entry/highPrice" xmlDataType="double"/>
    </tableColumn>
    <tableColumn id="4" uniqueName="avgPrice" name="avgPrice">
      <xmlColumnPr mapId="99" xpath="/data/entry/avgPrice" xmlDataType="double"/>
    </tableColumn>
    <tableColumn id="5" uniqueName="volume" name="volume">
      <xmlColumnPr mapId="99" xpath="/data/entry/volume" xmlDataType="integer"/>
    </tableColumn>
    <tableColumn id="6" uniqueName="orders" name="orders">
      <xmlColumnPr mapId="99" xpath="/data/entry/orders" xmlDataType="integer"/>
    </tableColumn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id="86" name="Table86" displayName="Table86" ref="HK1:HP418" tableType="xml" totalsRowShown="0" connectionId="65">
  <autoFilter ref="HK1:HP418"/>
  <tableColumns count="6">
    <tableColumn id="1" uniqueName="historyDate" name="historyDate">
      <xmlColumnPr mapId="100" xpath="/data/entry/historyDate" xmlDataType="date"/>
    </tableColumn>
    <tableColumn id="2" uniqueName="lowPrice" name="lowPrice">
      <xmlColumnPr mapId="100" xpath="/data/entry/lowPrice" xmlDataType="double"/>
    </tableColumn>
    <tableColumn id="3" uniqueName="highPrice" name="highPrice">
      <xmlColumnPr mapId="100" xpath="/data/entry/highPrice" xmlDataType="double"/>
    </tableColumn>
    <tableColumn id="4" uniqueName="avgPrice" name="avgPrice">
      <xmlColumnPr mapId="100" xpath="/data/entry/avgPrice" xmlDataType="double"/>
    </tableColumn>
    <tableColumn id="5" uniqueName="volume" name="volume">
      <xmlColumnPr mapId="100" xpath="/data/entry/volume" xmlDataType="integer"/>
    </tableColumn>
    <tableColumn id="6" uniqueName="orders" name="orders">
      <xmlColumnPr mapId="100" xpath="/data/entry/orders" xmlDataType="integer"/>
    </tableColumn>
  </tableColumns>
  <tableStyleInfo name="TableStyleMedium9" showFirstColumn="0" showLastColumn="0" showRowStripes="1" showColumnStripes="0"/>
</table>
</file>

<file path=xl/tables/table85.xml><?xml version="1.0" encoding="utf-8"?>
<table xmlns="http://schemas.openxmlformats.org/spreadsheetml/2006/main" id="87" name="Table87" displayName="Table87" ref="HR1:HW416" tableType="xml" totalsRowShown="0" connectionId="83">
  <autoFilter ref="HR1:HW416"/>
  <tableColumns count="6">
    <tableColumn id="1" uniqueName="historyDate" name="historyDate">
      <xmlColumnPr mapId="101" xpath="/data/entry/historyDate" xmlDataType="date"/>
    </tableColumn>
    <tableColumn id="2" uniqueName="lowPrice" name="lowPrice">
      <xmlColumnPr mapId="101" xpath="/data/entry/lowPrice" xmlDataType="double"/>
    </tableColumn>
    <tableColumn id="3" uniqueName="highPrice" name="highPrice">
      <xmlColumnPr mapId="101" xpath="/data/entry/highPrice" xmlDataType="double"/>
    </tableColumn>
    <tableColumn id="4" uniqueName="avgPrice" name="avgPrice">
      <xmlColumnPr mapId="101" xpath="/data/entry/avgPrice" xmlDataType="double"/>
    </tableColumn>
    <tableColumn id="5" uniqueName="volume" name="volume">
      <xmlColumnPr mapId="101" xpath="/data/entry/volume" xmlDataType="integer"/>
    </tableColumn>
    <tableColumn id="6" uniqueName="orders" name="orders">
      <xmlColumnPr mapId="101" xpath="/data/entry/orders" xmlDataType="integer"/>
    </tableColumn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id="88" name="Table88" displayName="Table88" ref="HY1:ID414" tableType="xml" totalsRowShown="0" connectionId="18">
  <autoFilter ref="HY1:ID414"/>
  <tableColumns count="6">
    <tableColumn id="1" uniqueName="historyDate" name="historyDate">
      <xmlColumnPr mapId="102" xpath="/data/entry/historyDate" xmlDataType="date"/>
    </tableColumn>
    <tableColumn id="2" uniqueName="lowPrice" name="lowPrice">
      <xmlColumnPr mapId="102" xpath="/data/entry/lowPrice" xmlDataType="double"/>
    </tableColumn>
    <tableColumn id="3" uniqueName="highPrice" name="highPrice">
      <xmlColumnPr mapId="102" xpath="/data/entry/highPrice" xmlDataType="double"/>
    </tableColumn>
    <tableColumn id="4" uniqueName="avgPrice" name="avgPrice">
      <xmlColumnPr mapId="102" xpath="/data/entry/avgPrice" xmlDataType="double"/>
    </tableColumn>
    <tableColumn id="5" uniqueName="volume" name="volume">
      <xmlColumnPr mapId="102" xpath="/data/entry/volume" xmlDataType="integer"/>
    </tableColumn>
    <tableColumn id="6" uniqueName="orders" name="orders">
      <xmlColumnPr mapId="102" xpath="/data/entry/orders" xmlDataType="integer"/>
    </tableColumn>
  </tableColumns>
  <tableStyleInfo name="TableStyleMedium9" showFirstColumn="0" showLastColumn="0" showRowStripes="1" showColumnStripes="0"/>
</table>
</file>

<file path=xl/tables/table87.xml><?xml version="1.0" encoding="utf-8"?>
<table xmlns="http://schemas.openxmlformats.org/spreadsheetml/2006/main" id="89" name="Table89" displayName="Table89" ref="IF1:IK415" tableType="xml" totalsRowShown="0" connectionId="44">
  <autoFilter ref="IF1:IK415"/>
  <tableColumns count="6">
    <tableColumn id="1" uniqueName="historyDate" name="historyDate">
      <xmlColumnPr mapId="103" xpath="/data/entry/historyDate" xmlDataType="date"/>
    </tableColumn>
    <tableColumn id="2" uniqueName="lowPrice" name="lowPrice">
      <xmlColumnPr mapId="103" xpath="/data/entry/lowPrice" xmlDataType="double"/>
    </tableColumn>
    <tableColumn id="3" uniqueName="highPrice" name="highPrice">
      <xmlColumnPr mapId="103" xpath="/data/entry/highPrice" xmlDataType="double"/>
    </tableColumn>
    <tableColumn id="4" uniqueName="avgPrice" name="avgPrice">
      <xmlColumnPr mapId="103" xpath="/data/entry/avgPrice" xmlDataType="double"/>
    </tableColumn>
    <tableColumn id="5" uniqueName="volume" name="volume">
      <xmlColumnPr mapId="103" xpath="/data/entry/volume" xmlDataType="integer"/>
    </tableColumn>
    <tableColumn id="6" uniqueName="orders" name="orders">
      <xmlColumnPr mapId="103" xpath="/data/entry/orders" xmlDataType="integer"/>
    </tableColumn>
  </tableColumns>
  <tableStyleInfo name="TableStyleMedium9" showFirstColumn="0" showLastColumn="0" showRowStripes="1" showColumnStripes="0"/>
</table>
</file>

<file path=xl/tables/table88.xml><?xml version="1.0" encoding="utf-8"?>
<table xmlns="http://schemas.openxmlformats.org/spreadsheetml/2006/main" id="90" name="Table90" displayName="Table90" ref="IM1:IR418" tableType="xml" totalsRowShown="0" connectionId="22">
  <autoFilter ref="IM1:IR418"/>
  <tableColumns count="6">
    <tableColumn id="1" uniqueName="historyDate" name="historyDate">
      <xmlColumnPr mapId="104" xpath="/data/entry/historyDate" xmlDataType="date"/>
    </tableColumn>
    <tableColumn id="2" uniqueName="lowPrice" name="lowPrice">
      <xmlColumnPr mapId="104" xpath="/data/entry/lowPrice" xmlDataType="double"/>
    </tableColumn>
    <tableColumn id="3" uniqueName="highPrice" name="highPrice">
      <xmlColumnPr mapId="104" xpath="/data/entry/highPrice" xmlDataType="double"/>
    </tableColumn>
    <tableColumn id="4" uniqueName="avgPrice" name="avgPrice">
      <xmlColumnPr mapId="104" xpath="/data/entry/avgPrice" xmlDataType="double"/>
    </tableColumn>
    <tableColumn id="5" uniqueName="volume" name="volume">
      <xmlColumnPr mapId="104" xpath="/data/entry/volume" xmlDataType="integer"/>
    </tableColumn>
    <tableColumn id="6" uniqueName="orders" name="orders">
      <xmlColumnPr mapId="104" xpath="/data/entry/orders" xmlDataType="integer"/>
    </tableColumn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id="91" name="Table91" displayName="Table91" ref="IT1:IY418" tableType="xml" totalsRowShown="0" connectionId="32">
  <autoFilter ref="IT1:IY418"/>
  <tableColumns count="6">
    <tableColumn id="1" uniqueName="historyDate" name="historyDate">
      <xmlColumnPr mapId="105" xpath="/data/entry/historyDate" xmlDataType="date"/>
    </tableColumn>
    <tableColumn id="2" uniqueName="lowPrice" name="lowPrice">
      <xmlColumnPr mapId="105" xpath="/data/entry/lowPrice" xmlDataType="double"/>
    </tableColumn>
    <tableColumn id="3" uniqueName="highPrice" name="highPrice">
      <xmlColumnPr mapId="105" xpath="/data/entry/highPrice" xmlDataType="double"/>
    </tableColumn>
    <tableColumn id="4" uniqueName="avgPrice" name="avgPrice">
      <xmlColumnPr mapId="105" xpath="/data/entry/avgPrice" xmlDataType="double"/>
    </tableColumn>
    <tableColumn id="5" uniqueName="volume" name="volume">
      <xmlColumnPr mapId="105" xpath="/data/entry/volume" xmlDataType="integer"/>
    </tableColumn>
    <tableColumn id="6" uniqueName="orders" name="orders">
      <xmlColumnPr mapId="105" xpath="/data/entry/orders" xmlDataType="integer"/>
    </tableColumn>
  </tableColumns>
  <tableStyleInfo name="TableStyleMedium9" showFirstColumn="0" showLastColumn="0" showRowStripes="1" showColumnStripes="0"/>
</table>
</file>

<file path=xl/tables/table90.xml><?xml version="1.0" encoding="utf-8"?>
<table xmlns="http://schemas.openxmlformats.org/spreadsheetml/2006/main" id="92" name="Table92" displayName="Table92" ref="JA1:JF418" tableType="xml" totalsRowShown="0" connectionId="71">
  <autoFilter ref="JA1:JF418"/>
  <tableColumns count="6">
    <tableColumn id="1" uniqueName="historyDate" name="historyDate">
      <xmlColumnPr mapId="106" xpath="/data/entry/historyDate" xmlDataType="date"/>
    </tableColumn>
    <tableColumn id="2" uniqueName="lowPrice" name="lowPrice">
      <xmlColumnPr mapId="106" xpath="/data/entry/lowPrice" xmlDataType="double"/>
    </tableColumn>
    <tableColumn id="3" uniqueName="highPrice" name="highPrice">
      <xmlColumnPr mapId="106" xpath="/data/entry/highPrice" xmlDataType="double"/>
    </tableColumn>
    <tableColumn id="4" uniqueName="avgPrice" name="avgPrice">
      <xmlColumnPr mapId="106" xpath="/data/entry/avgPrice" xmlDataType="double"/>
    </tableColumn>
    <tableColumn id="5" uniqueName="volume" name="volume">
      <xmlColumnPr mapId="106" xpath="/data/entry/volume" xmlDataType="integer"/>
    </tableColumn>
    <tableColumn id="6" uniqueName="orders" name="orders">
      <xmlColumnPr mapId="106" xpath="/data/entry/orders" xmlDataType="integer"/>
    </tableColumn>
  </tableColumns>
  <tableStyleInfo name="TableStyleMedium9" showFirstColumn="0" showLastColumn="0" showRowStripes="1" showColumnStripes="0"/>
</table>
</file>

<file path=xl/tables/table91.xml><?xml version="1.0" encoding="utf-8"?>
<table xmlns="http://schemas.openxmlformats.org/spreadsheetml/2006/main" id="93" name="Table93" displayName="Table93" ref="JH1:JM416" tableType="xml" totalsRowShown="0" connectionId="85">
  <autoFilter ref="JH1:JM416"/>
  <tableColumns count="6">
    <tableColumn id="1" uniqueName="historyDate" name="historyDate">
      <xmlColumnPr mapId="107" xpath="/data/entry/historyDate" xmlDataType="date"/>
    </tableColumn>
    <tableColumn id="2" uniqueName="lowPrice" name="lowPrice">
      <xmlColumnPr mapId="107" xpath="/data/entry/lowPrice" xmlDataType="double"/>
    </tableColumn>
    <tableColumn id="3" uniqueName="highPrice" name="highPrice">
      <xmlColumnPr mapId="107" xpath="/data/entry/highPrice" xmlDataType="double"/>
    </tableColumn>
    <tableColumn id="4" uniqueName="avgPrice" name="avgPrice">
      <xmlColumnPr mapId="107" xpath="/data/entry/avgPrice" xmlDataType="double"/>
    </tableColumn>
    <tableColumn id="5" uniqueName="volume" name="volume">
      <xmlColumnPr mapId="107" xpath="/data/entry/volume" xmlDataType="integer"/>
    </tableColumn>
    <tableColumn id="6" uniqueName="orders" name="orders">
      <xmlColumnPr mapId="107" xpath="/data/entry/orders" xmlDataType="integer"/>
    </tableColumn>
  </tableColumns>
  <tableStyleInfo name="TableStyleMedium9" showFirstColumn="0" showLastColumn="0" showRowStripes="1" showColumnStripes="0"/>
</table>
</file>

<file path=xl/tables/table92.xml><?xml version="1.0" encoding="utf-8"?>
<table xmlns="http://schemas.openxmlformats.org/spreadsheetml/2006/main" id="94" name="Table94" displayName="Table94" ref="JO1:JT414" tableType="xml" totalsRowShown="0" connectionId="98">
  <autoFilter ref="JO1:JT414"/>
  <tableColumns count="6">
    <tableColumn id="1" uniqueName="historyDate" name="historyDate">
      <xmlColumnPr mapId="108" xpath="/data/entry/historyDate" xmlDataType="date"/>
    </tableColumn>
    <tableColumn id="2" uniqueName="lowPrice" name="lowPrice">
      <xmlColumnPr mapId="108" xpath="/data/entry/lowPrice" xmlDataType="double"/>
    </tableColumn>
    <tableColumn id="3" uniqueName="highPrice" name="highPrice">
      <xmlColumnPr mapId="108" xpath="/data/entry/highPrice" xmlDataType="double"/>
    </tableColumn>
    <tableColumn id="4" uniqueName="avgPrice" name="avgPrice">
      <xmlColumnPr mapId="108" xpath="/data/entry/avgPrice" xmlDataType="double"/>
    </tableColumn>
    <tableColumn id="5" uniqueName="volume" name="volume">
      <xmlColumnPr mapId="108" xpath="/data/entry/volume" xmlDataType="integer"/>
    </tableColumn>
    <tableColumn id="6" uniqueName="orders" name="orders">
      <xmlColumnPr mapId="108" xpath="/data/entry/orders" xmlDataType="integer"/>
    </tableColumn>
  </tableColumns>
  <tableStyleInfo name="TableStyleMedium9" showFirstColumn="0" showLastColumn="0" showRowStripes="1" showColumnStripes="0"/>
</table>
</file>

<file path=xl/tables/table93.xml><?xml version="1.0" encoding="utf-8"?>
<table xmlns="http://schemas.openxmlformats.org/spreadsheetml/2006/main" id="95" name="Table95" displayName="Table95" ref="JV1:KA414" tableType="xml" totalsRowShown="0" connectionId="20">
  <autoFilter ref="JV1:KA414"/>
  <tableColumns count="6">
    <tableColumn id="1" uniqueName="historyDate" name="historyDate">
      <xmlColumnPr mapId="109" xpath="/data/entry/historyDate" xmlDataType="date"/>
    </tableColumn>
    <tableColumn id="2" uniqueName="lowPrice" name="lowPrice">
      <xmlColumnPr mapId="109" xpath="/data/entry/lowPrice" xmlDataType="double"/>
    </tableColumn>
    <tableColumn id="3" uniqueName="highPrice" name="highPrice">
      <xmlColumnPr mapId="109" xpath="/data/entry/highPrice" xmlDataType="double"/>
    </tableColumn>
    <tableColumn id="4" uniqueName="avgPrice" name="avgPrice">
      <xmlColumnPr mapId="109" xpath="/data/entry/avgPrice" xmlDataType="double"/>
    </tableColumn>
    <tableColumn id="5" uniqueName="volume" name="volume">
      <xmlColumnPr mapId="109" xpath="/data/entry/volume" xmlDataType="integer"/>
    </tableColumn>
    <tableColumn id="6" uniqueName="orders" name="orders">
      <xmlColumnPr mapId="109" xpath="/data/entry/orders" xmlDataType="integer"/>
    </tableColumn>
  </tableColumns>
  <tableStyleInfo name="TableStyleMedium9" showFirstColumn="0" showLastColumn="0" showRowStripes="1" showColumnStripes="0"/>
</table>
</file>

<file path=xl/tables/table94.xml><?xml version="1.0" encoding="utf-8"?>
<table xmlns="http://schemas.openxmlformats.org/spreadsheetml/2006/main" id="96" name="Table96" displayName="Table96" ref="KC1:KH414" tableType="xml" totalsRowShown="0" connectionId="38">
  <autoFilter ref="KC1:KH414"/>
  <tableColumns count="6">
    <tableColumn id="1" uniqueName="historyDate" name="historyDate">
      <xmlColumnPr mapId="110" xpath="/data/entry/historyDate" xmlDataType="date"/>
    </tableColumn>
    <tableColumn id="2" uniqueName="lowPrice" name="lowPrice">
      <xmlColumnPr mapId="110" xpath="/data/entry/lowPrice" xmlDataType="double"/>
    </tableColumn>
    <tableColumn id="3" uniqueName="highPrice" name="highPrice">
      <xmlColumnPr mapId="110" xpath="/data/entry/highPrice" xmlDataType="double"/>
    </tableColumn>
    <tableColumn id="4" uniqueName="avgPrice" name="avgPrice">
      <xmlColumnPr mapId="110" xpath="/data/entry/avgPrice" xmlDataType="double"/>
    </tableColumn>
    <tableColumn id="5" uniqueName="volume" name="volume">
      <xmlColumnPr mapId="110" xpath="/data/entry/volume" xmlDataType="integer"/>
    </tableColumn>
    <tableColumn id="6" uniqueName="orders" name="orders">
      <xmlColumnPr mapId="110" xpath="/data/entry/orders" xmlDataType="integer"/>
    </tableColumn>
  </tableColumns>
  <tableStyleInfo name="TableStyleMedium9" showFirstColumn="0" showLastColumn="0" showRowStripes="1" showColumnStripes="0"/>
</table>
</file>

<file path=xl/tables/table95.xml><?xml version="1.0" encoding="utf-8"?>
<table xmlns="http://schemas.openxmlformats.org/spreadsheetml/2006/main" id="97" name="Table97" displayName="Table97" ref="KJ1:KO414" tableType="xml" totalsRowShown="0" connectionId="91">
  <autoFilter ref="KJ1:KO414"/>
  <tableColumns count="6">
    <tableColumn id="1" uniqueName="historyDate" name="historyDate">
      <xmlColumnPr mapId="111" xpath="/data/entry/historyDate" xmlDataType="date"/>
    </tableColumn>
    <tableColumn id="2" uniqueName="lowPrice" name="lowPrice">
      <xmlColumnPr mapId="111" xpath="/data/entry/lowPrice" xmlDataType="double"/>
    </tableColumn>
    <tableColumn id="3" uniqueName="highPrice" name="highPrice">
      <xmlColumnPr mapId="111" xpath="/data/entry/highPrice" xmlDataType="double"/>
    </tableColumn>
    <tableColumn id="4" uniqueName="avgPrice" name="avgPrice">
      <xmlColumnPr mapId="111" xpath="/data/entry/avgPrice" xmlDataType="double"/>
    </tableColumn>
    <tableColumn id="5" uniqueName="volume" name="volume">
      <xmlColumnPr mapId="111" xpath="/data/entry/volume" xmlDataType="integer"/>
    </tableColumn>
    <tableColumn id="6" uniqueName="orders" name="orders">
      <xmlColumnPr mapId="111" xpath="/data/entry/orders" xmlDataType="integer"/>
    </tableColumn>
  </tableColumns>
  <tableStyleInfo name="TableStyleMedium9" showFirstColumn="0" showLastColumn="0" showRowStripes="1" showColumnStripes="0"/>
</table>
</file>

<file path=xl/tables/table96.xml><?xml version="1.0" encoding="utf-8"?>
<table xmlns="http://schemas.openxmlformats.org/spreadsheetml/2006/main" id="98" name="Table98" displayName="Table98" ref="KQ1:KV414" tableType="xml" totalsRowShown="0" connectionId="3">
  <autoFilter ref="KQ1:KV414"/>
  <tableColumns count="6">
    <tableColumn id="1" uniqueName="historyDate" name="historyDate">
      <xmlColumnPr mapId="112" xpath="/data/entry/historyDate" xmlDataType="date"/>
    </tableColumn>
    <tableColumn id="2" uniqueName="lowPrice" name="lowPrice">
      <xmlColumnPr mapId="112" xpath="/data/entry/lowPrice" xmlDataType="double"/>
    </tableColumn>
    <tableColumn id="3" uniqueName="highPrice" name="highPrice">
      <xmlColumnPr mapId="112" xpath="/data/entry/highPrice" xmlDataType="double"/>
    </tableColumn>
    <tableColumn id="4" uniqueName="avgPrice" name="avgPrice">
      <xmlColumnPr mapId="112" xpath="/data/entry/avgPrice" xmlDataType="double"/>
    </tableColumn>
    <tableColumn id="5" uniqueName="volume" name="volume">
      <xmlColumnPr mapId="112" xpath="/data/entry/volume" xmlDataType="integer"/>
    </tableColumn>
    <tableColumn id="6" uniqueName="orders" name="orders">
      <xmlColumnPr mapId="112" xpath="/data/entry/orders" xmlDataType="integer"/>
    </tableColumn>
  </tableColumns>
  <tableStyleInfo name="TableStyleMedium9" showFirstColumn="0" showLastColumn="0" showRowStripes="1" showColumnStripes="0"/>
</table>
</file>

<file path=xl/tables/table97.xml><?xml version="1.0" encoding="utf-8"?>
<table xmlns="http://schemas.openxmlformats.org/spreadsheetml/2006/main" id="99" name="Table99" displayName="Table99" ref="KX1:LC414" tableType="xml" totalsRowShown="0" connectionId="75">
  <autoFilter ref="KX1:LC414"/>
  <tableColumns count="6">
    <tableColumn id="1" uniqueName="historyDate" name="historyDate">
      <xmlColumnPr mapId="113" xpath="/data/entry/historyDate" xmlDataType="date"/>
    </tableColumn>
    <tableColumn id="2" uniqueName="lowPrice" name="lowPrice">
      <xmlColumnPr mapId="113" xpath="/data/entry/lowPrice" xmlDataType="double"/>
    </tableColumn>
    <tableColumn id="3" uniqueName="highPrice" name="highPrice">
      <xmlColumnPr mapId="113" xpath="/data/entry/highPrice" xmlDataType="double"/>
    </tableColumn>
    <tableColumn id="4" uniqueName="avgPrice" name="avgPrice">
      <xmlColumnPr mapId="113" xpath="/data/entry/avgPrice" xmlDataType="double"/>
    </tableColumn>
    <tableColumn id="5" uniqueName="volume" name="volume">
      <xmlColumnPr mapId="113" xpath="/data/entry/volume" xmlDataType="integer"/>
    </tableColumn>
    <tableColumn id="6" uniqueName="orders" name="orders">
      <xmlColumnPr mapId="113" xpath="/data/entry/orders" xmlDataType="integer"/>
    </tableColumn>
  </tableColumns>
  <tableStyleInfo name="TableStyleMedium9" showFirstColumn="0" showLastColumn="0" showRowStripes="1" showColumnStripes="0"/>
</table>
</file>

<file path=xl/tables/table98.xml><?xml version="1.0" encoding="utf-8"?>
<table xmlns="http://schemas.openxmlformats.org/spreadsheetml/2006/main" id="100" name="Table100" displayName="Table100" ref="LE1:LJ418" tableType="xml" totalsRowShown="0" connectionId="5">
  <autoFilter ref="LE1:LJ418"/>
  <tableColumns count="6">
    <tableColumn id="1" uniqueName="historyDate" name="historyDate">
      <xmlColumnPr mapId="114" xpath="/data/entry/historyDate" xmlDataType="date"/>
    </tableColumn>
    <tableColumn id="2" uniqueName="lowPrice" name="lowPrice">
      <xmlColumnPr mapId="114" xpath="/data/entry/lowPrice" xmlDataType="double"/>
    </tableColumn>
    <tableColumn id="3" uniqueName="highPrice" name="highPrice">
      <xmlColumnPr mapId="114" xpath="/data/entry/highPrice" xmlDataType="double"/>
    </tableColumn>
    <tableColumn id="4" uniqueName="avgPrice" name="avgPrice">
      <xmlColumnPr mapId="114" xpath="/data/entry/avgPrice" xmlDataType="double"/>
    </tableColumn>
    <tableColumn id="5" uniqueName="volume" name="volume">
      <xmlColumnPr mapId="114" xpath="/data/entry/volume" xmlDataType="integer"/>
    </tableColumn>
    <tableColumn id="6" uniqueName="orders" name="orders">
      <xmlColumnPr mapId="114" xpath="/data/entry/orders" xmlDataType="integer"/>
    </tableColumn>
  </tableColumns>
  <tableStyleInfo name="TableStyleMedium9" showFirstColumn="0" showLastColumn="0" showRowStripes="1" showColumnStripes="0"/>
</table>
</file>

<file path=xl/tables/table99.xml><?xml version="1.0" encoding="utf-8"?>
<table xmlns="http://schemas.openxmlformats.org/spreadsheetml/2006/main" id="101" name="Table101" displayName="Table101" ref="LL1:LQ418" tableType="xml" totalsRowShown="0" connectionId="93">
  <autoFilter ref="LL1:LQ418"/>
  <tableColumns count="6">
    <tableColumn id="1" uniqueName="historyDate" name="historyDate">
      <xmlColumnPr mapId="115" xpath="/data/entry/historyDate" xmlDataType="date"/>
    </tableColumn>
    <tableColumn id="2" uniqueName="lowPrice" name="lowPrice">
      <xmlColumnPr mapId="115" xpath="/data/entry/lowPrice" xmlDataType="double"/>
    </tableColumn>
    <tableColumn id="3" uniqueName="highPrice" name="highPrice">
      <xmlColumnPr mapId="115" xpath="/data/entry/highPrice" xmlDataType="double"/>
    </tableColumn>
    <tableColumn id="4" uniqueName="avgPrice" name="avgPrice">
      <xmlColumnPr mapId="115" xpath="/data/entry/avgPrice" xmlDataType="double"/>
    </tableColumn>
    <tableColumn id="5" uniqueName="volume" name="volume">
      <xmlColumnPr mapId="115" xpath="/data/entry/volume" xmlDataType="integer"/>
    </tableColumn>
    <tableColumn id="6" uniqueName="orders" name="orders">
      <xmlColumnPr mapId="115" xpath="/data/entry/orders" xmlDataType="integer"/>
    </tableColumn>
  </tableColumns>
  <tableStyleInfo name="TableStyleMedium9" showFirstColumn="0" showLastColumn="0" showRowStripes="1" showColumnStripes="0"/>
</table>
</file>

<file path=xl/tables/table100.xml><?xml version="1.0" encoding="utf-8"?>
<table xmlns="http://schemas.openxmlformats.org/spreadsheetml/2006/main" id="102" name="Table102" displayName="Table102" ref="LS1:LX418" tableType="xml" totalsRowShown="0" connectionId="67">
  <autoFilter ref="LS1:LX418"/>
  <tableColumns count="6">
    <tableColumn id="1" uniqueName="historyDate" name="historyDate">
      <xmlColumnPr mapId="116" xpath="/data/entry/historyDate" xmlDataType="date"/>
    </tableColumn>
    <tableColumn id="2" uniqueName="lowPrice" name="lowPrice">
      <xmlColumnPr mapId="116" xpath="/data/entry/lowPrice" xmlDataType="double"/>
    </tableColumn>
    <tableColumn id="3" uniqueName="highPrice" name="highPrice">
      <xmlColumnPr mapId="116" xpath="/data/entry/highPrice" xmlDataType="double"/>
    </tableColumn>
    <tableColumn id="4" uniqueName="avgPrice" name="avgPrice">
      <xmlColumnPr mapId="116" xpath="/data/entry/avgPrice" xmlDataType="double"/>
    </tableColumn>
    <tableColumn id="5" uniqueName="volume" name="volume">
      <xmlColumnPr mapId="116" xpath="/data/entry/volume" xmlDataType="integer"/>
    </tableColumn>
    <tableColumn id="6" uniqueName="orders" name="orders">
      <xmlColumnPr mapId="116" xpath="/data/entry/orders" xmlDataType="integer"/>
    </tableColumn>
  </tableColumns>
  <tableStyleInfo name="TableStyleMedium9" showFirstColumn="0" showLastColumn="0" showRowStripes="1" showColumnStripes="0"/>
</table>
</file>

<file path=xl/tables/table101.xml><?xml version="1.0" encoding="utf-8"?>
<table xmlns="http://schemas.openxmlformats.org/spreadsheetml/2006/main" id="103" name="Table103" displayName="Table103" ref="LZ1:ME418" tableType="xml" totalsRowShown="0" connectionId="89">
  <autoFilter ref="LZ1:ME418"/>
  <tableColumns count="6">
    <tableColumn id="1" uniqueName="historyDate" name="historyDate">
      <xmlColumnPr mapId="117" xpath="/data/entry/historyDate" xmlDataType="date"/>
    </tableColumn>
    <tableColumn id="2" uniqueName="lowPrice" name="lowPrice">
      <xmlColumnPr mapId="117" xpath="/data/entry/lowPrice" xmlDataType="double"/>
    </tableColumn>
    <tableColumn id="3" uniqueName="highPrice" name="highPrice">
      <xmlColumnPr mapId="117" xpath="/data/entry/highPrice" xmlDataType="double"/>
    </tableColumn>
    <tableColumn id="4" uniqueName="avgPrice" name="avgPrice">
      <xmlColumnPr mapId="117" xpath="/data/entry/avgPrice" xmlDataType="double"/>
    </tableColumn>
    <tableColumn id="5" uniqueName="volume" name="volume">
      <xmlColumnPr mapId="117" xpath="/data/entry/volume" xmlDataType="integer"/>
    </tableColumn>
    <tableColumn id="6" uniqueName="orders" name="orders">
      <xmlColumnPr mapId="117" xpath="/data/entry/orders" xmlDataType="integer"/>
    </tableColumn>
  </tableColumns>
  <tableStyleInfo name="TableStyleMedium9" showFirstColumn="0" showLastColumn="0" showRowStripes="1" showColumnStripes="0"/>
</table>
</file>

<file path=xl/tables/table102.xml><?xml version="1.0" encoding="utf-8"?>
<table xmlns="http://schemas.openxmlformats.org/spreadsheetml/2006/main" id="32" name="Table24" displayName="Table24" ref="E1:K2" totalsRowShown="0">
  <autoFilter ref="E1:K2"/>
  <tableColumns count="7">
    <tableColumn id="1" name="Tritanium">
      <calculatedColumnFormula>OVERVIEW!E7</calculatedColumnFormula>
    </tableColumn>
    <tableColumn id="2" name="Pyrite">
      <calculatedColumnFormula>OVERVIEW!E6</calculatedColumnFormula>
    </tableColumn>
    <tableColumn id="3" name="Mexallon">
      <calculatedColumnFormula>OVERVIEW!E4</calculatedColumnFormula>
    </tableColumn>
    <tableColumn id="4" name="Isogen">
      <calculatedColumnFormula>OVERVIEW!E2</calculatedColumnFormula>
    </tableColumn>
    <tableColumn id="5" name="Nocxium">
      <calculatedColumnFormula>OVERVIEW!E5</calculatedColumnFormula>
    </tableColumn>
    <tableColumn id="6" name="Zydrine">
      <calculatedColumnFormula>OVERVIEW!E8</calculatedColumnFormula>
    </tableColumn>
    <tableColumn id="7" name="Megacyte">
      <calculatedColumnFormula>OVERVIEW!E3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26" Type="http://schemas.openxmlformats.org/officeDocument/2006/relationships/table" Target="../tables/table29.xml"/><Relationship Id="rId39" Type="http://schemas.openxmlformats.org/officeDocument/2006/relationships/table" Target="../tables/table42.xml"/><Relationship Id="rId3" Type="http://schemas.openxmlformats.org/officeDocument/2006/relationships/table" Target="../tables/table6.xml"/><Relationship Id="rId21" Type="http://schemas.openxmlformats.org/officeDocument/2006/relationships/table" Target="../tables/table24.xml"/><Relationship Id="rId34" Type="http://schemas.openxmlformats.org/officeDocument/2006/relationships/table" Target="../tables/table37.xml"/><Relationship Id="rId42" Type="http://schemas.openxmlformats.org/officeDocument/2006/relationships/table" Target="../tables/table45.xml"/><Relationship Id="rId47" Type="http://schemas.openxmlformats.org/officeDocument/2006/relationships/table" Target="../tables/table50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5" Type="http://schemas.openxmlformats.org/officeDocument/2006/relationships/table" Target="../tables/table28.xml"/><Relationship Id="rId33" Type="http://schemas.openxmlformats.org/officeDocument/2006/relationships/table" Target="../tables/table36.xml"/><Relationship Id="rId38" Type="http://schemas.openxmlformats.org/officeDocument/2006/relationships/table" Target="../tables/table41.xml"/><Relationship Id="rId46" Type="http://schemas.openxmlformats.org/officeDocument/2006/relationships/table" Target="../tables/table49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29" Type="http://schemas.openxmlformats.org/officeDocument/2006/relationships/table" Target="../tables/table32.xml"/><Relationship Id="rId41" Type="http://schemas.openxmlformats.org/officeDocument/2006/relationships/table" Target="../tables/table44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24" Type="http://schemas.openxmlformats.org/officeDocument/2006/relationships/table" Target="../tables/table27.xml"/><Relationship Id="rId32" Type="http://schemas.openxmlformats.org/officeDocument/2006/relationships/table" Target="../tables/table35.xml"/><Relationship Id="rId37" Type="http://schemas.openxmlformats.org/officeDocument/2006/relationships/table" Target="../tables/table40.xml"/><Relationship Id="rId40" Type="http://schemas.openxmlformats.org/officeDocument/2006/relationships/table" Target="../tables/table43.xml"/><Relationship Id="rId45" Type="http://schemas.openxmlformats.org/officeDocument/2006/relationships/table" Target="../tables/table48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23" Type="http://schemas.openxmlformats.org/officeDocument/2006/relationships/table" Target="../tables/table26.xml"/><Relationship Id="rId28" Type="http://schemas.openxmlformats.org/officeDocument/2006/relationships/table" Target="../tables/table31.xml"/><Relationship Id="rId36" Type="http://schemas.openxmlformats.org/officeDocument/2006/relationships/table" Target="../tables/table39.xml"/><Relationship Id="rId49" Type="http://schemas.openxmlformats.org/officeDocument/2006/relationships/table" Target="../tables/table52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31" Type="http://schemas.openxmlformats.org/officeDocument/2006/relationships/table" Target="../tables/table34.xml"/><Relationship Id="rId44" Type="http://schemas.openxmlformats.org/officeDocument/2006/relationships/table" Target="../tables/table47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Relationship Id="rId22" Type="http://schemas.openxmlformats.org/officeDocument/2006/relationships/table" Target="../tables/table25.xml"/><Relationship Id="rId27" Type="http://schemas.openxmlformats.org/officeDocument/2006/relationships/table" Target="../tables/table30.xml"/><Relationship Id="rId30" Type="http://schemas.openxmlformats.org/officeDocument/2006/relationships/table" Target="../tables/table33.xml"/><Relationship Id="rId35" Type="http://schemas.openxmlformats.org/officeDocument/2006/relationships/table" Target="../tables/table38.xml"/><Relationship Id="rId43" Type="http://schemas.openxmlformats.org/officeDocument/2006/relationships/table" Target="../tables/table46.xml"/><Relationship Id="rId48" Type="http://schemas.openxmlformats.org/officeDocument/2006/relationships/table" Target="../tables/table51.xml"/><Relationship Id="rId8" Type="http://schemas.openxmlformats.org/officeDocument/2006/relationships/table" Target="../tables/table1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64.xml"/><Relationship Id="rId18" Type="http://schemas.openxmlformats.org/officeDocument/2006/relationships/table" Target="../tables/table69.xml"/><Relationship Id="rId26" Type="http://schemas.openxmlformats.org/officeDocument/2006/relationships/table" Target="../tables/table77.xml"/><Relationship Id="rId39" Type="http://schemas.openxmlformats.org/officeDocument/2006/relationships/table" Target="../tables/table90.xml"/><Relationship Id="rId3" Type="http://schemas.openxmlformats.org/officeDocument/2006/relationships/table" Target="../tables/table54.xml"/><Relationship Id="rId21" Type="http://schemas.openxmlformats.org/officeDocument/2006/relationships/table" Target="../tables/table72.xml"/><Relationship Id="rId34" Type="http://schemas.openxmlformats.org/officeDocument/2006/relationships/table" Target="../tables/table85.xml"/><Relationship Id="rId42" Type="http://schemas.openxmlformats.org/officeDocument/2006/relationships/table" Target="../tables/table93.xml"/><Relationship Id="rId47" Type="http://schemas.openxmlformats.org/officeDocument/2006/relationships/table" Target="../tables/table98.xml"/><Relationship Id="rId50" Type="http://schemas.openxmlformats.org/officeDocument/2006/relationships/table" Target="../tables/table101.xml"/><Relationship Id="rId7" Type="http://schemas.openxmlformats.org/officeDocument/2006/relationships/table" Target="../tables/table58.xml"/><Relationship Id="rId12" Type="http://schemas.openxmlformats.org/officeDocument/2006/relationships/table" Target="../tables/table63.xml"/><Relationship Id="rId17" Type="http://schemas.openxmlformats.org/officeDocument/2006/relationships/table" Target="../tables/table68.xml"/><Relationship Id="rId25" Type="http://schemas.openxmlformats.org/officeDocument/2006/relationships/table" Target="../tables/table76.xml"/><Relationship Id="rId33" Type="http://schemas.openxmlformats.org/officeDocument/2006/relationships/table" Target="../tables/table84.xml"/><Relationship Id="rId38" Type="http://schemas.openxmlformats.org/officeDocument/2006/relationships/table" Target="../tables/table89.xml"/><Relationship Id="rId46" Type="http://schemas.openxmlformats.org/officeDocument/2006/relationships/table" Target="../tables/table97.xml"/><Relationship Id="rId2" Type="http://schemas.openxmlformats.org/officeDocument/2006/relationships/table" Target="../tables/table53.xml"/><Relationship Id="rId16" Type="http://schemas.openxmlformats.org/officeDocument/2006/relationships/table" Target="../tables/table67.xml"/><Relationship Id="rId20" Type="http://schemas.openxmlformats.org/officeDocument/2006/relationships/table" Target="../tables/table71.xml"/><Relationship Id="rId29" Type="http://schemas.openxmlformats.org/officeDocument/2006/relationships/table" Target="../tables/table80.xml"/><Relationship Id="rId41" Type="http://schemas.openxmlformats.org/officeDocument/2006/relationships/table" Target="../tables/table9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7.xml"/><Relationship Id="rId11" Type="http://schemas.openxmlformats.org/officeDocument/2006/relationships/table" Target="../tables/table62.xml"/><Relationship Id="rId24" Type="http://schemas.openxmlformats.org/officeDocument/2006/relationships/table" Target="../tables/table75.xml"/><Relationship Id="rId32" Type="http://schemas.openxmlformats.org/officeDocument/2006/relationships/table" Target="../tables/table83.xml"/><Relationship Id="rId37" Type="http://schemas.openxmlformats.org/officeDocument/2006/relationships/table" Target="../tables/table88.xml"/><Relationship Id="rId40" Type="http://schemas.openxmlformats.org/officeDocument/2006/relationships/table" Target="../tables/table91.xml"/><Relationship Id="rId45" Type="http://schemas.openxmlformats.org/officeDocument/2006/relationships/table" Target="../tables/table96.xml"/><Relationship Id="rId5" Type="http://schemas.openxmlformats.org/officeDocument/2006/relationships/table" Target="../tables/table56.xml"/><Relationship Id="rId15" Type="http://schemas.openxmlformats.org/officeDocument/2006/relationships/table" Target="../tables/table66.xml"/><Relationship Id="rId23" Type="http://schemas.openxmlformats.org/officeDocument/2006/relationships/table" Target="../tables/table74.xml"/><Relationship Id="rId28" Type="http://schemas.openxmlformats.org/officeDocument/2006/relationships/table" Target="../tables/table79.xml"/><Relationship Id="rId36" Type="http://schemas.openxmlformats.org/officeDocument/2006/relationships/table" Target="../tables/table87.xml"/><Relationship Id="rId49" Type="http://schemas.openxmlformats.org/officeDocument/2006/relationships/table" Target="../tables/table100.xml"/><Relationship Id="rId10" Type="http://schemas.openxmlformats.org/officeDocument/2006/relationships/table" Target="../tables/table61.xml"/><Relationship Id="rId19" Type="http://schemas.openxmlformats.org/officeDocument/2006/relationships/table" Target="../tables/table70.xml"/><Relationship Id="rId31" Type="http://schemas.openxmlformats.org/officeDocument/2006/relationships/table" Target="../tables/table82.xml"/><Relationship Id="rId44" Type="http://schemas.openxmlformats.org/officeDocument/2006/relationships/table" Target="../tables/table95.xml"/><Relationship Id="rId4" Type="http://schemas.openxmlformats.org/officeDocument/2006/relationships/table" Target="../tables/table55.xml"/><Relationship Id="rId9" Type="http://schemas.openxmlformats.org/officeDocument/2006/relationships/table" Target="../tables/table60.xml"/><Relationship Id="rId14" Type="http://schemas.openxmlformats.org/officeDocument/2006/relationships/table" Target="../tables/table65.xml"/><Relationship Id="rId22" Type="http://schemas.openxmlformats.org/officeDocument/2006/relationships/table" Target="../tables/table73.xml"/><Relationship Id="rId27" Type="http://schemas.openxmlformats.org/officeDocument/2006/relationships/table" Target="../tables/table78.xml"/><Relationship Id="rId30" Type="http://schemas.openxmlformats.org/officeDocument/2006/relationships/table" Target="../tables/table81.xml"/><Relationship Id="rId35" Type="http://schemas.openxmlformats.org/officeDocument/2006/relationships/table" Target="../tables/table86.xml"/><Relationship Id="rId43" Type="http://schemas.openxmlformats.org/officeDocument/2006/relationships/table" Target="../tables/table94.xml"/><Relationship Id="rId48" Type="http://schemas.openxmlformats.org/officeDocument/2006/relationships/table" Target="../tables/table99.xml"/><Relationship Id="rId8" Type="http://schemas.openxmlformats.org/officeDocument/2006/relationships/table" Target="../tables/table5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04"/>
  <sheetViews>
    <sheetView tabSelected="1" zoomScale="80" zoomScaleNormal="80" workbookViewId="0">
      <selection activeCell="AH10" sqref="AH10"/>
    </sheetView>
  </sheetViews>
  <sheetFormatPr defaultRowHeight="21" x14ac:dyDescent="0.55000000000000004"/>
  <cols>
    <col min="1" max="1" width="0.42578125" style="1" customWidth="1"/>
    <col min="2" max="2" width="39.140625" style="2" bestFit="1" customWidth="1"/>
    <col min="3" max="3" width="8.42578125" style="4" bestFit="1" customWidth="1"/>
    <col min="4" max="4" width="8.42578125" style="1" bestFit="1" customWidth="1"/>
    <col min="5" max="5" width="16.7109375" style="35" customWidth="1"/>
    <col min="6" max="6" width="8.85546875" style="29" customWidth="1"/>
    <col min="7" max="7" width="0.42578125" style="15" customWidth="1"/>
    <col min="8" max="8" width="1" style="5" customWidth="1"/>
    <col min="9" max="9" width="7.5703125" style="25" customWidth="1"/>
    <col min="10" max="10" width="0.85546875" style="5" customWidth="1"/>
    <col min="11" max="11" width="0.140625" style="22" customWidth="1"/>
    <col min="12" max="12" width="8.28515625" style="21" bestFit="1" customWidth="1"/>
    <col min="13" max="13" width="16.7109375" style="36" bestFit="1" customWidth="1"/>
    <col min="14" max="14" width="8.42578125" style="22" bestFit="1" customWidth="1"/>
    <col min="15" max="15" width="8.42578125" style="2" bestFit="1" customWidth="1"/>
    <col min="16" max="16" width="0.7109375" style="41" customWidth="1"/>
    <col min="17" max="17" width="0.42578125" style="41" customWidth="1"/>
    <col min="18" max="18" width="0.28515625" style="42" customWidth="1"/>
    <col min="19" max="19" width="0.140625" style="41" hidden="1" customWidth="1"/>
    <col min="20" max="20" width="7.7109375" style="43" bestFit="1" customWidth="1"/>
    <col min="21" max="21" width="8.7109375" style="43" bestFit="1" customWidth="1"/>
    <col min="22" max="22" width="8.7109375" style="45" bestFit="1" customWidth="1"/>
    <col min="23" max="23" width="8.7109375" style="2" bestFit="1" customWidth="1"/>
    <col min="24" max="24" width="14.85546875" style="45" bestFit="1" customWidth="1"/>
    <col min="25" max="25" width="11.5703125" style="44" bestFit="1" customWidth="1"/>
    <col min="26" max="26" width="8.7109375" style="21" bestFit="1" customWidth="1"/>
    <col min="27" max="27" width="10.28515625" style="2" bestFit="1" customWidth="1"/>
    <col min="28" max="29" width="8.7109375" style="2" bestFit="1" customWidth="1"/>
    <col min="30" max="30" width="0.28515625" style="2" customWidth="1"/>
    <col min="31" max="31" width="8" style="2" bestFit="1" customWidth="1"/>
    <col min="32" max="32" width="0.140625" style="2" customWidth="1"/>
    <col min="33" max="33" width="17.42578125" style="2" bestFit="1" customWidth="1"/>
    <col min="34" max="34" width="14.85546875" style="2" bestFit="1" customWidth="1"/>
    <col min="35" max="35" width="15.5703125" style="37" bestFit="1" customWidth="1"/>
    <col min="36" max="36" width="17.140625" style="37" bestFit="1" customWidth="1"/>
    <col min="37" max="37" width="14.85546875" style="2" bestFit="1" customWidth="1"/>
    <col min="38" max="38" width="9.140625" style="2"/>
    <col min="39" max="39" width="19.5703125" style="2" bestFit="1" customWidth="1"/>
    <col min="40" max="40" width="10" style="2" bestFit="1" customWidth="1"/>
    <col min="41" max="41" width="12" style="2" customWidth="1"/>
    <col min="42" max="42" width="6.7109375" style="2" customWidth="1"/>
    <col min="43" max="43" width="15.5703125" style="2" customWidth="1"/>
    <col min="44" max="44" width="16.28515625" style="2" bestFit="1" customWidth="1"/>
    <col min="45" max="46" width="9.140625" style="2"/>
    <col min="47" max="47" width="16.7109375" style="2" bestFit="1" customWidth="1"/>
    <col min="48" max="49" width="13.7109375" style="2" bestFit="1" customWidth="1"/>
    <col min="50" max="50" width="27" style="2" bestFit="1" customWidth="1"/>
    <col min="51" max="51" width="21.7109375" style="2" bestFit="1" customWidth="1"/>
    <col min="52" max="52" width="24.28515625" style="2" bestFit="1" customWidth="1"/>
    <col min="53" max="53" width="34.28515625" style="2" bestFit="1" customWidth="1"/>
    <col min="54" max="54" width="26.42578125" style="2" bestFit="1" customWidth="1"/>
    <col min="55" max="55" width="29.5703125" style="2" bestFit="1" customWidth="1"/>
    <col min="56" max="56" width="31.7109375" style="2" bestFit="1" customWidth="1"/>
    <col min="57" max="57" width="30.140625" style="2" bestFit="1" customWidth="1"/>
    <col min="58" max="58" width="30" style="2" bestFit="1" customWidth="1"/>
    <col min="59" max="59" width="34.85546875" style="2" bestFit="1" customWidth="1"/>
    <col min="60" max="60" width="30.7109375" style="2" bestFit="1" customWidth="1"/>
    <col min="61" max="61" width="33.7109375" style="2" bestFit="1" customWidth="1"/>
    <col min="62" max="62" width="28.140625" style="2" bestFit="1" customWidth="1"/>
    <col min="63" max="63" width="28.85546875" style="2" bestFit="1" customWidth="1"/>
    <col min="64" max="64" width="32.7109375" style="2" bestFit="1" customWidth="1"/>
    <col min="65" max="65" width="29.5703125" style="2" bestFit="1" customWidth="1"/>
    <col min="66" max="66" width="33.85546875" style="2" bestFit="1" customWidth="1"/>
    <col min="67" max="67" width="37.140625" style="2" bestFit="1" customWidth="1"/>
    <col min="68" max="16384" width="9.140625" style="2"/>
  </cols>
  <sheetData>
    <row r="1" spans="1:42" ht="16.5" thickBot="1" x14ac:dyDescent="0.3">
      <c r="A1" s="17" t="s">
        <v>0</v>
      </c>
      <c r="B1" s="14" t="s">
        <v>52</v>
      </c>
      <c r="C1" s="14" t="s">
        <v>413</v>
      </c>
      <c r="D1" s="14" t="s">
        <v>412</v>
      </c>
      <c r="E1" s="31" t="s">
        <v>406</v>
      </c>
      <c r="F1" s="39" t="s">
        <v>416</v>
      </c>
      <c r="G1" s="14" t="s">
        <v>409</v>
      </c>
      <c r="H1" s="6" t="s">
        <v>53</v>
      </c>
      <c r="I1" s="21" t="s">
        <v>407</v>
      </c>
      <c r="J1" s="6" t="s">
        <v>54</v>
      </c>
      <c r="K1" s="18" t="s">
        <v>410</v>
      </c>
      <c r="L1" s="20" t="s">
        <v>417</v>
      </c>
      <c r="M1" s="31" t="s">
        <v>408</v>
      </c>
      <c r="N1" s="14" t="s">
        <v>411</v>
      </c>
      <c r="O1" s="14" t="s">
        <v>414</v>
      </c>
      <c r="P1" s="38" t="s">
        <v>393</v>
      </c>
      <c r="Q1" s="38" t="s">
        <v>394</v>
      </c>
      <c r="R1" s="38" t="s">
        <v>395</v>
      </c>
      <c r="S1" s="38" t="s">
        <v>396</v>
      </c>
      <c r="T1" s="47" t="s">
        <v>459</v>
      </c>
      <c r="U1" s="39" t="s">
        <v>454</v>
      </c>
      <c r="V1" s="39" t="s">
        <v>453</v>
      </c>
      <c r="W1" s="45" t="s">
        <v>452</v>
      </c>
      <c r="X1" s="26" t="s">
        <v>415</v>
      </c>
      <c r="Y1" s="30" t="s">
        <v>51</v>
      </c>
      <c r="Z1" s="45" t="s">
        <v>455</v>
      </c>
      <c r="AA1" s="20" t="s">
        <v>456</v>
      </c>
      <c r="AB1" s="20" t="s">
        <v>457</v>
      </c>
      <c r="AC1" s="20" t="s">
        <v>460</v>
      </c>
      <c r="AD1" s="19" t="s">
        <v>81</v>
      </c>
      <c r="AE1" s="19" t="s">
        <v>82</v>
      </c>
      <c r="AF1" s="19" t="s">
        <v>80</v>
      </c>
      <c r="AG1" s="26" t="s">
        <v>55</v>
      </c>
      <c r="AH1" s="28" t="s">
        <v>56</v>
      </c>
      <c r="AI1" s="2"/>
      <c r="AJ1" s="2"/>
      <c r="AL1" s="37"/>
      <c r="AM1" s="37"/>
    </row>
    <row r="2" spans="1:42" x14ac:dyDescent="0.55000000000000004">
      <c r="A2" s="1">
        <v>37</v>
      </c>
      <c r="B2" s="2" t="s">
        <v>3</v>
      </c>
      <c r="C2" s="21">
        <f t="array" aca="1" ref="C2" ca="1">((Table1[[#This Row],[SELL PRICE]])/AVERAGE(OFFSET(Table58[avgPrice],COUNTA(Table58[avgPrice])-5,):OFFSET(Table58[avgPrice],COUNTA(Table58[avgPrice]),)))-1</f>
        <v>1.2887499999999998</v>
      </c>
      <c r="D2" s="21">
        <f t="array" aca="1" ref="D2" ca="1">((Table1[[#This Row],[SELL PRICE]])/AVERAGE(OFFSET(Table58[avgPrice],COUNTA(Table58[avgPrice])-1,):OFFSET(Table58[avgPrice],COUNTA(Table58[avgPrice]),)))-1</f>
        <v>1.2535384615384615</v>
      </c>
      <c r="E2" s="32">
        <f t="array" ref="E2">MIN(IF((Table6[Bid]=0)*(Table6[StationID]=60003760),Table6[Price]))</f>
        <v>146.47999999999999</v>
      </c>
      <c r="F2" s="29" t="e">
        <f>((Table1[[#This Row],[MYS]]/Table1[[#This Row],[SELL PRICE]])-1)</f>
        <v>#VALUE!</v>
      </c>
      <c r="G2" s="2" t="e">
        <f>INDEX(Table0[price], MATCH(MIN(IF((Table0[bid]=0)*(Table0[typeID]=37)*(Table0[volRemaining]&gt;0),Table0[price])), Table0[price], 0))</f>
        <v>#VALUE!</v>
      </c>
      <c r="H2" s="6">
        <f t="array" ref="H2">INDEX(Table6[OrderID], MATCH(MIN(IF((Table6[Bid]=0)*(Table6[StationID]=60003760),Table6[Price])), Table6[Price], 0))</f>
        <v>2878800876</v>
      </c>
      <c r="I2" s="25">
        <f t="shared" ref="I2:I8" si="0">(E2/M2)-1</f>
        <v>2.2619380061435157E-2</v>
      </c>
      <c r="J2" s="6">
        <f t="array" ref="J2">INDEX(Table6[OrderID], MATCH(MAX(IF((Table6[Bid]=1)*(Table6[StationID]=60003760),Table6[Price])), Table6[Price], 0))</f>
        <v>2879111860</v>
      </c>
      <c r="K2" s="2" t="e">
        <f t="array" ref="K2">INDEX(Table0[price], MATCH(MAX(IF((Table0[bid]=1)*(Table0[typeID]=37)*(Table0[volRemaining]&gt;0),Table0[price])), Table0[price], 0))</f>
        <v>#N/A</v>
      </c>
      <c r="L2" s="21" t="e">
        <f t="shared" ref="L2:L7" si="1">(K2/M2)-1</f>
        <v>#N/A</v>
      </c>
      <c r="M2" s="32">
        <f t="array" ref="M2">MAX(IF((Table6[Bid]=1)*(Table6[StationID]=60003760),Table6[Price]))</f>
        <v>143.24</v>
      </c>
      <c r="N2" s="21">
        <f t="array" aca="1" ref="N2" ca="1">((Table1[[#This Row],[BUY PRICE]])/AVERAGE(OFFSET(Table58[avgPrice],COUNTA(Table58[avgPrice])-1,):OFFSET(Table58[avgPrice],COUNTA(Table58[avgPrice]),)))-1</f>
        <v>1.2036923076923078</v>
      </c>
      <c r="O2" s="21">
        <f t="array" aca="1" ref="O2" ca="1">((Table1[[#This Row],[BUY PRICE]])/AVERAGE(OFFSET(Table58[avgPrice],COUNTA(Table58[avgPrice])-5,):OFFSET(Table58[avgPrice],COUNTA(Table58[avgPrice]),)))-1</f>
        <v>1.2381250000000001</v>
      </c>
      <c r="P2" s="40">
        <f>SUM(Table1[[#This Row],[10%]:[2%]])</f>
        <v>0.61941595876425271</v>
      </c>
      <c r="Q2" s="40">
        <f t="array" ref="Q2">SUM((Table6[VolRem])*(Table6[StationID]=60003760)*(Table6[Price]&gt;=(Table1[[#This Row],[SELL PRICE]]+(Table1[[#This Row],[SELL PRICE]]*0.05)))*(Table6[Price]&lt;=(Table1[[#This Row],[SELL PRICE]]+(Table1[[#This Row],[SELL PRICE]]*0.1)))/(SUM(IF((Table6[Bid]=0)*(Table6[StationID]=60003760),Table6[VolRem]))))</f>
        <v>0.1157480632196064</v>
      </c>
      <c r="R2" s="40">
        <f t="array" ref="R2">SUM((Table6[VolRem])*(Table6[StationID]=60003760)*(Table6[Price]&gt;=(Table1[[#This Row],[SELL PRICE]]+(Table1[[#This Row],[SELL PRICE]]*0.02)))*(Table6[Price]&lt;=(Table1[[#This Row],[SELL PRICE]]+(Table1[[#This Row],[SELL PRICE]]*0.05)))/(SUM(IF((Table6[Bid]=0)*(Table6[StationID]=60003760),Table6[VolRem]))))</f>
        <v>0.18510741730239713</v>
      </c>
      <c r="S2" s="40">
        <f t="array" ref="S2">SUM((Table6[VolRem])*(Table6[StationID]=60003760)*(Table6[Price]&lt;=(Table1[[#This Row],[SELL PRICE]]+(Table1[[#This Row],[SELL PRICE]]*0.02)))*(Table6[Price]&gt;=Table1[[#This Row],[SELL PRICE]]))/(SUM(IF((Table6[Bid]=0)*(Table6[StationID]=60003760),Table6[VolRem])))</f>
        <v>0.31856047824224926</v>
      </c>
      <c r="T2" s="40">
        <f ca="1">SUM(Table1[[#This Row],[2%2]],Table1[[#This Row],[5%2]],Table1[[#This Row],[10%2]],)</f>
        <v>0.60479195014801324</v>
      </c>
      <c r="U2" s="29">
        <f t="array" aca="1" ref="U2" ca="1">SUM((Table6[VolRem])*(Table6[StationID]=60003760)*(Table6[Price]&gt;=(Table1[[#This Row],[SELL PRICE]]+(Table1[[#This Row],[SELL PRICE]]*0.05)))*(Table6[Price]&lt;=(Table1[[#This Row],[SELL PRICE]]+(Table1[[#This Row],[SELL PRICE]]*0.1)))/Table1[[#This Row],[AVG VOL.]])</f>
        <v>0.1130153265991074</v>
      </c>
      <c r="V2" s="29">
        <f t="array" aca="1" ref="V2" ca="1">SUM((Table6[VolRem])*(Table6[StationID]=60003760)*(Table6[Price]&gt;=(Table1[[#This Row],[SELL PRICE]]+(Table1[[#This Row],[SELL PRICE]]*0.02)))*(Table6[Price]&lt;=(Table1[[#This Row],[SELL PRICE]]+(Table1[[#This Row],[SELL PRICE]]*0.05)))/Table1[[#This Row],[AVG VOL.]])</f>
        <v>0.18073715136517354</v>
      </c>
      <c r="W2" s="45">
        <f t="array" aca="1" ref="W2" ca="1">SUM((Table6[VolRem])*(Table6[StationID]=60003760)*(Table6[Price]&lt;=(Table1[[#This Row],[SELL PRICE]]+(Table1[[#This Row],[SELL PRICE]]*0.02)))*(Table6[Price]&gt;=Table1[[#This Row],[SELL PRICE]]))/Table1[[#This Row],[AVG VOL.]]</f>
        <v>0.31103947218373224</v>
      </c>
      <c r="X2" s="27">
        <f ca="1">AVERAGE(OFFSET(Table58[volume],COUNTA(Table58[volume])-30,):OFFSET(Table58[volume],COUNTA(Table58[volume]),))</f>
        <v>397710030.60000002</v>
      </c>
      <c r="Y2" s="21"/>
      <c r="Z2" s="45">
        <f t="array" aca="1" ref="Z2" ca="1">SUM((Table6[VolRem])*(Table6[StationID]=60003760)*(Table6[Price]&gt;=(Table1[[#This Row],[BUY PRICE]]-(Table1[[#This Row],[BUY PRICE]]*0.02)))*(Table6[Price]&lt;=Table1[[#This Row],[BUY PRICE]]))/Table1[[#This Row],[AVG VOL.]]</f>
        <v>9.3866531210389834E-2</v>
      </c>
      <c r="AA2" s="21">
        <f t="array" aca="1" ref="AA2" ca="1">SUM((Table6[VolRem])*(Table6[StationID]=60003760)*(Table6[Price]&lt;=(Table1[[#This Row],[BUY PRICE]]-(Table1[[#This Row],[BUY PRICE]]*0.02)))*(Table6[Price]&gt;=(Table1[[#This Row],[BUY PRICE]]-(Table1[[#This Row],[BUY PRICE]]*0.05))))/Table1[[#This Row],[AVG VOL.]]</f>
        <v>2.5893764822737159E-2</v>
      </c>
      <c r="AB2" s="21">
        <f t="array" aca="1" ref="AB2" ca="1">SUM((Table6[VolRem])*(Table6[StationID]=60003760)*(Table6[Price]&lt;=(Table1[[#This Row],[BUY PRICE]]-(Table1[[#This Row],[BUY PRICE]]*0.05)))*(Table6[Price]&gt;=(Table1[[#This Row],[BUY PRICE]]-(Table1[[#This Row],[BUY PRICE]]*0.1))))/Table1[[#This Row],[AVG VOL.]]</f>
        <v>1.7853801648622537E-2</v>
      </c>
      <c r="AC2" s="21">
        <f ca="1">SUM(Table1[[#This Row],[10.00%]],Table1[[#This Row],[5.00%]],Table1[[#This Row],[2.00%]])</f>
        <v>0.13761409768174954</v>
      </c>
      <c r="AD2" s="3">
        <f t="array" aca="1" ref="AD2" ca="1">(((SUM(IF((Table6[Bid]=0)*(Table6[StationID]=60003760),Table6[VolEnt])))-(SUM(IF((Table6[Bid]=0)*(Table6[StationID]=60003760),Table6[VolRem]))))/Table1[[#This Row],[AVG VOL.]])</f>
        <v>0.17637022856621912</v>
      </c>
      <c r="AE2" s="3">
        <f t="array" aca="1" ref="AE2" ca="1">SUM(IF((Table6[Bid]=0)*(Table6[StationID]=60003760),Table6[VolRem]))/Table1[[#This Row],[AVG VOL.]]</f>
        <v>0.9763906492732044</v>
      </c>
      <c r="AF2" s="3">
        <f t="array" aca="1" ref="AF2" ca="1">(((SUM(IF((Table6[Bid]=1)*(Table6[StationID]=60003760),Table6[VolEnt])))-(SUM(IF((Table6[Bid]=1)*(Table6[StationID]=60003760),Table6[VolRem]))))/Table1[[#This Row],[AVG VOL.]])</f>
        <v>5.0727812847876405E-2</v>
      </c>
      <c r="AG2" s="27">
        <f ca="1">Table1[[#This Row],[AVG VOL.]]*Table1[[#This Row],[BUY PRICE]]</f>
        <v>56967984783.144005</v>
      </c>
      <c r="AH2" s="28">
        <f ca="1">((E2-M2)*X2)-(Table1[[#This Row],[EXPENSE]]*0.0096)</f>
        <v>741687845.22581005</v>
      </c>
      <c r="AI2" s="2"/>
      <c r="AJ2" s="2"/>
      <c r="AK2"/>
      <c r="AL2"/>
      <c r="AM2"/>
      <c r="AN2"/>
      <c r="AO2"/>
    </row>
    <row r="3" spans="1:42" x14ac:dyDescent="0.55000000000000004">
      <c r="A3" s="1">
        <v>40</v>
      </c>
      <c r="B3" s="2" t="s">
        <v>4</v>
      </c>
      <c r="C3" s="21">
        <f t="array" aca="1" ref="C3" ca="1">((Table1[[#This Row],[SELL PRICE]])/AVERAGE(OFFSET(Table61[avgPrice],COUNTA(Table61[avgPrice])-5,):OFFSET(Table61[avgPrice],COUNTA(Table61[avgPrice]),)))-1</f>
        <v>1.398630658044886E-2</v>
      </c>
      <c r="D3" s="21">
        <f t="array" aca="1" ref="D3" ca="1">((Table1[[#This Row],[SELL PRICE]])/AVERAGE(OFFSET(Table61[avgPrice],COUNTA(Table61[avgPrice])-1,):OFFSET(Table61[avgPrice],COUNTA(Table61[avgPrice]),)))-1</f>
        <v>1.9414913957934932E-2</v>
      </c>
      <c r="E3" s="32">
        <f t="array" ref="E3">MIN(IF((Table9[Bid]=0)*(Table9[StationID]=60003760),Table9[Price]))</f>
        <v>2665.77</v>
      </c>
      <c r="F3" s="29" t="e">
        <f>((Table1[[#This Row],[MYS]]/Table1[[#This Row],[SELL PRICE]])-1)</f>
        <v>#N/A</v>
      </c>
      <c r="G3" s="2" t="e">
        <f t="array" ref="G3">INDEX(Table0[price], MATCH(MIN(IF((Table0[bid]=0)*(Table0[typeID]=40)*(Table0[volRemaining]&gt;0),Table0[price])), Table0[price], 0))</f>
        <v>#N/A</v>
      </c>
      <c r="H3" s="6">
        <f t="array" ref="H3">INDEX(Table9[OrderID], MATCH(MIN(IF((Table9[Bid]=0)*(Table9[StationID]=60003760),Table9[Price])), Table9[Price], 0))</f>
        <v>2411902380</v>
      </c>
      <c r="I3" s="25">
        <f t="shared" si="0"/>
        <v>2.7271676300578029E-2</v>
      </c>
      <c r="J3" s="6">
        <f t="array" ref="J3">INDEX(Table9[OrderID], MATCH(MAX(IF((Table9[Bid]=1)*(Table9[StationID]=60003760),Table9[Price])), Table9[Price], 0))</f>
        <v>2415540781</v>
      </c>
      <c r="K3" s="2" t="e">
        <f t="array" ref="K3">INDEX(Table0[price], MATCH(MAX(IF((Table0[bid]=1)*(Table0[typeID]=40)*(Table0[volRemaining]&gt;0),Table0[price])), Table0[price], 0))</f>
        <v>#N/A</v>
      </c>
      <c r="L3" s="21" t="e">
        <f t="shared" si="1"/>
        <v>#N/A</v>
      </c>
      <c r="M3" s="32">
        <f t="array" ref="M3">MAX(IF((Table9[Bid]=1)*(Table9[StationID]=60003760),Table9[Price]))</f>
        <v>2595</v>
      </c>
      <c r="N3" s="21">
        <f t="array" aca="1" ref="N3" ca="1">((Table1[[#This Row],[BUY PRICE]])/AVERAGE(OFFSET(Table61[avgPrice],COUNTA(Table61[avgPrice])-1,):OFFSET(Table61[avgPrice],COUNTA(Table61[avgPrice]),)))-1</f>
        <v>-7.6481835564053968E-3</v>
      </c>
      <c r="O3" s="21">
        <f t="array" aca="1" ref="O3" ca="1">((Table1[[#This Row],[BUY PRICE]])/AVERAGE(OFFSET(Table61[avgPrice],COUNTA(Table61[avgPrice])-5,):OFFSET(Table61[avgPrice],COUNTA(Table61[avgPrice]),)))-1</f>
        <v>-1.2932674020540103E-2</v>
      </c>
      <c r="P3" s="40">
        <f>SUM(Table1[[#This Row],[10%]:[2%]])</f>
        <v>0.86513762921568049</v>
      </c>
      <c r="Q3" s="40">
        <f t="array" ref="Q3">SUM((Table9[VolRem])*(Table9[StationID]=60003760)*(Table9[Price]&gt;=(Table1[[#This Row],[SELL PRICE]]+(Table1[[#This Row],[SELL PRICE]]*0.05)))*(Table9[Price]&lt;=(Table1[[#This Row],[SELL PRICE]]+(Table1[[#This Row],[SELL PRICE]]*0.1)))/(SUM(IF((Table9[Bid]=0)*(Table9[StationID]=60003760),Table9[VolRem]))))</f>
        <v>0.3490081598052554</v>
      </c>
      <c r="R3" s="40">
        <f t="array" ref="R3">SUM((Table9[VolRem])*(Table9[StationID]=60003760)*(Table9[Price]&gt;=(Table1[[#This Row],[SELL PRICE]]+(Table1[[#This Row],[SELL PRICE]]*0.02)))*(Table9[Price]&lt;=(Table1[[#This Row],[SELL PRICE]]+(Table1[[#This Row],[SELL PRICE]]*0.05)))/(SUM(IF((Table9[Bid]=0)*(Table9[StationID]=60003760),Table9[VolRem]))))</f>
        <v>0.20008410407890187</v>
      </c>
      <c r="S3" s="40">
        <f t="array" ref="S3">SUM((Table9[VolRem])*(Table9[StationID]=60003760)*(Table9[Price]&lt;=(Table1[[#This Row],[SELL PRICE]]+(Table1[[#This Row],[SELL PRICE]]*0.02)))*(Table9[Price]&gt;=Table1[[#This Row],[SELL PRICE]]))/(SUM(IF((Table9[Bid]=0)*(Table9[StationID]=60003760),Table9[VolRem])))</f>
        <v>0.31604536533152311</v>
      </c>
      <c r="T3" s="40">
        <f ca="1">SUM(Table1[[#This Row],[2%2]],Table1[[#This Row],[5%2]],Table1[[#This Row],[10%2]],)</f>
        <v>0.78483060258686743</v>
      </c>
      <c r="U3" s="29">
        <f t="array" aca="1" ref="U3" ca="1">SUM((Table9[VolRem])*(Table9[StationID]=60003760)*(Table9[Price]&gt;=(Table1[[#This Row],[SELL PRICE]]+(Table1[[#This Row],[SELL PRICE]]*0.05)))*(Table9[Price]&lt;=(Table1[[#This Row],[SELL PRICE]]+(Table1[[#This Row],[SELL PRICE]]*0.1)))/Table1[[#This Row],[AVG VOL.]])</f>
        <v>0.3166112247550909</v>
      </c>
      <c r="V3" s="29">
        <f t="array" aca="1" ref="V3" ca="1">SUM((Table9[VolRem])*(Table9[StationID]=60003760)*(Table9[Price]&gt;=(Table1[[#This Row],[SELL PRICE]]+(Table1[[#This Row],[SELL PRICE]]*0.02)))*(Table9[Price]&lt;=(Table1[[#This Row],[SELL PRICE]]+(Table1[[#This Row],[SELL PRICE]]*0.05)))/Table1[[#This Row],[AVG VOL.]])</f>
        <v>0.18151115229453241</v>
      </c>
      <c r="W3" s="45">
        <f t="array" aca="1" ref="W3" ca="1">SUM((Table9[VolRem])*(Table9[StationID]=60003760)*(Table9[Price]&lt;=(Table1[[#This Row],[SELL PRICE]]+(Table1[[#This Row],[SELL PRICE]]*0.02)))*(Table9[Price]&gt;=Table1[[#This Row],[SELL PRICE]]))/Table1[[#This Row],[AVG VOL.]]</f>
        <v>0.28670822553724407</v>
      </c>
      <c r="X3" s="27">
        <f ca="1">AVERAGE(OFFSET(Table61[volume],COUNTA(Table61[volume])-30,):OFFSET(Table61[volume],COUNTA(Table61[volume]),))</f>
        <v>15861686.533333333</v>
      </c>
      <c r="Y3" s="21"/>
      <c r="Z3" s="45">
        <f t="array" aca="1" ref="Z3" ca="1">SUM((Table9[VolRem])*(Table9[StationID]=60003760)*(Table9[Price]&gt;=(Table1[[#This Row],[BUY PRICE]]-(Table1[[#This Row],[BUY PRICE]]*0.02)))*(Table9[Price]&lt;=Table1[[#This Row],[BUY PRICE]]))/Table1[[#This Row],[AVG VOL.]]</f>
        <v>0.37905754771819178</v>
      </c>
      <c r="AA3" s="21">
        <f t="array" aca="1" ref="AA3" ca="1">SUM((Table9[VolRem])*(Table9[StationID]=60003760)*(Table9[Price]&lt;=(Table1[[#This Row],[BUY PRICE]]-(Table1[[#This Row],[BUY PRICE]]*0.02)))*(Table9[Price]&gt;=(Table1[[#This Row],[BUY PRICE]]-(Table1[[#This Row],[BUY PRICE]]*0.05))))/Table1[[#This Row],[AVG VOL.]]</f>
        <v>0.15883613603795926</v>
      </c>
      <c r="AB3" s="21">
        <f t="array" aca="1" ref="AB3" ca="1">SUM((Table9[VolRem])*(Table9[StationID]=60003760)*(Table9[Price]&lt;=(Table1[[#This Row],[BUY PRICE]]-(Table1[[#This Row],[BUY PRICE]]*0.05)))*(Table9[Price]&gt;=(Table1[[#This Row],[BUY PRICE]]-(Table1[[#This Row],[BUY PRICE]]*0.1))))/Table1[[#This Row],[AVG VOL.]]</f>
        <v>0.15394485289244023</v>
      </c>
      <c r="AC3" s="21">
        <f ca="1">SUM(Table1[[#This Row],[10.00%]],Table1[[#This Row],[5.00%]],Table1[[#This Row],[2.00%]])</f>
        <v>0.6918385366485913</v>
      </c>
      <c r="AD3" s="3">
        <f t="array" aca="1" ref="AD3" ca="1">(((SUM(IF((Table9[Bid]=0)*(Table9[StationID]=60003760),Table9[VolEnt])))-(SUM(IF((Table9[Bid]=0)*(Table9[StationID]=60003760),Table9[VolRem]))))/Table1[[#This Row],[AVG VOL.]])</f>
        <v>0.23461729571943207</v>
      </c>
      <c r="AE3" s="3">
        <f t="array" aca="1" ref="AE3" ca="1">SUM(IF((Table9[Bid]=0)*(Table9[StationID]=60003760),Table9[VolRem]))/Table1[[#This Row],[AVG VOL.]]</f>
        <v>0.9071742761881505</v>
      </c>
      <c r="AF3" s="3">
        <f t="array" aca="1" ref="AF3" ca="1">(((SUM(IF((Table9[Bid]=1)*(Table9[StationID]=60003760),Table9[VolEnt])))-(SUM(IF((Table9[Bid]=1)*(Table9[StationID]=60003760),Table9[VolRem]))))/Table1[[#This Row],[AVG VOL.]])</f>
        <v>4.922143672170582E-2</v>
      </c>
      <c r="AG3" s="27">
        <f ca="1">Table1[[#This Row],[AVG VOL.]]*Table1[[#This Row],[BUY PRICE]]</f>
        <v>41161076554</v>
      </c>
      <c r="AH3" s="28">
        <f ca="1">((E3-M3)*X3)-(Table1[[#This Row],[EXPENSE]]*0.0096)</f>
        <v>727385221.0455997</v>
      </c>
      <c r="AI3" s="2"/>
      <c r="AJ3" s="2"/>
      <c r="AL3" s="37"/>
      <c r="AM3" s="37"/>
    </row>
    <row r="4" spans="1:42" x14ac:dyDescent="0.55000000000000004">
      <c r="A4" s="1">
        <v>36</v>
      </c>
      <c r="B4" s="2" t="s">
        <v>5</v>
      </c>
      <c r="C4" s="21">
        <f t="array" aca="1" ref="C4" ca="1">((Table1[[#This Row],[SELL PRICE]])/AVERAGE(OFFSET(Table57[avgPrice],COUNTA(Table57[avgPrice])-5,):OFFSET(Table57[avgPrice],COUNTA(Table57[avgPrice]),)))-1</f>
        <v>2.4793388429753538E-3</v>
      </c>
      <c r="D4" s="21">
        <f t="array" aca="1" ref="D4" ca="1">((Table1[[#This Row],[SELL PRICE]])/AVERAGE(OFFSET(Table57[avgPrice],COUNTA(Table57[avgPrice])-1,):OFFSET(Table57[avgPrice],COUNTA(Table57[avgPrice]),)))-1</f>
        <v>-9.7959183673468342E-3</v>
      </c>
      <c r="E4" s="32">
        <f t="array" ref="E4">MIN(IF((Table5[Bid]=0)*(Table5[StationID]=60003760),Table5[Price]))</f>
        <v>48.52</v>
      </c>
      <c r="F4" s="29" t="e">
        <f>((Table1[[#This Row],[MYS]]/Table1[[#This Row],[SELL PRICE]])-1)</f>
        <v>#N/A</v>
      </c>
      <c r="G4" s="2" t="e">
        <f t="array" ref="G4">INDEX(Table0[price], MATCH(MIN(IF((Table0[bid]=0)*(Table0[typeID]=36)*(Table0[volRemaining]&gt;0),Table0[price])), Table0[price], 0))</f>
        <v>#N/A</v>
      </c>
      <c r="H4" s="6">
        <f t="array" ref="H4">INDEX(Table5[OrderID], MATCH(MIN(IF((Table5[Bid]=0)*(Table5[StationID]=60003760),Table5[Price])), Table5[Price], 0))</f>
        <v>2877805290</v>
      </c>
      <c r="I4" s="25">
        <f t="shared" si="0"/>
        <v>3.9194688370100872E-2</v>
      </c>
      <c r="J4" s="6">
        <f t="array" ref="J4">INDEX(Table5[OrderID], MATCH(MAX(IF((Table5[Bid]=1)*(Table5[StationID]=60003760),Table5[Price])), Table5[Price], 0))</f>
        <v>2879113219</v>
      </c>
      <c r="K4" s="2" t="e">
        <f t="array" ref="K4">INDEX(Table0[price], MATCH(MAX(IF((Table0[bid]=1)*(Table0[typeID]=36)*(Table0[volRemaining]&gt;0),Table0[price])), Table0[price], 0))</f>
        <v>#N/A</v>
      </c>
      <c r="L4" s="21" t="e">
        <f t="shared" si="1"/>
        <v>#N/A</v>
      </c>
      <c r="M4" s="32">
        <f t="array" ref="M4">MAX(IF((Table5[Bid]=1)*(Table5[StationID]=60003760),Table5[Price]))</f>
        <v>46.69</v>
      </c>
      <c r="N4" s="21">
        <f t="array" aca="1" ref="N4" ca="1">((Table1[[#This Row],[BUY PRICE]])/AVERAGE(OFFSET(Table57[avgPrice],COUNTA(Table57[avgPrice])-1,):OFFSET(Table57[avgPrice],COUNTA(Table57[avgPrice]),)))-1</f>
        <v>-4.7142857142857153E-2</v>
      </c>
      <c r="O4" s="21">
        <f t="array" aca="1" ref="O4" ca="1">((Table1[[#This Row],[BUY PRICE]])/AVERAGE(OFFSET(Table57[avgPrice],COUNTA(Table57[avgPrice])-5,):OFFSET(Table57[avgPrice],COUNTA(Table57[avgPrice]),)))-1</f>
        <v>-3.5330578512396738E-2</v>
      </c>
      <c r="P4" s="40">
        <f>SUM(Table1[[#This Row],[10%]:[2%]])</f>
        <v>0.21447047930193239</v>
      </c>
      <c r="Q4" s="40">
        <f t="array" ref="Q4">SUM((Table5[VolRem])*(Table5[StationID]=60003760)*(Table5[Price]&gt;=(Table1[[#This Row],[SELL PRICE]]+(Table1[[#This Row],[SELL PRICE]]*0.05)))*(Table5[Price]&lt;=(Table1[[#This Row],[SELL PRICE]]+(Table1[[#This Row],[SELL PRICE]]*0.1)))/(SUM(IF((Table5[Bid]=0)*(Table5[StationID]=60003760),Table5[VolRem]))))</f>
        <v>0.11119220884111025</v>
      </c>
      <c r="R4" s="40">
        <f t="array" ref="R4">SUM((Table5[VolRem])*(Table5[StationID]=60003760)*(Table5[Price]&gt;=(Table1[[#This Row],[SELL PRICE]]+(Table1[[#This Row],[SELL PRICE]]*0.02)))*(Table5[Price]&lt;=(Table1[[#This Row],[SELL PRICE]]+(Table1[[#This Row],[SELL PRICE]]*0.05)))/(SUM(IF((Table5[Bid]=0)*(Table5[StationID]=60003760),Table5[VolRem]))))</f>
        <v>4.6477923972668533E-2</v>
      </c>
      <c r="S4" s="40">
        <f t="array" ref="S4">SUM((Table5[VolRem])*(Table5[StationID]=60003760)*(Table5[Price]&lt;=(Table1[[#This Row],[SELL PRICE]]+(Table1[[#This Row],[SELL PRICE]]*0.02)))*(Table5[Price]&gt;=Table1[[#This Row],[SELL PRICE]]))/(SUM(IF((Table5[Bid]=0)*(Table5[StationID]=60003760),Table5[VolRem])))</f>
        <v>5.6800346488153595E-2</v>
      </c>
      <c r="T4" s="40">
        <f ca="1">SUM(Table1[[#This Row],[2%2]],Table1[[#This Row],[5%2]],Table1[[#This Row],[10%2]],)</f>
        <v>0.47581711507745528</v>
      </c>
      <c r="U4" s="29">
        <f t="array" aca="1" ref="U4" ca="1">SUM((Table5[VolRem])*(Table5[StationID]=60003760)*(Table5[Price]&gt;=(Table1[[#This Row],[SELL PRICE]]+(Table1[[#This Row],[SELL PRICE]]*0.05)))*(Table5[Price]&lt;=(Table1[[#This Row],[SELL PRICE]]+(Table1[[#This Row],[SELL PRICE]]*0.1)))/Table1[[#This Row],[AVG VOL.]])</f>
        <v>0.24668735856828156</v>
      </c>
      <c r="V4" s="29">
        <f t="array" aca="1" ref="V4" ca="1">SUM((Table5[VolRem])*(Table5[StationID]=60003760)*(Table5[Price]&gt;=(Table1[[#This Row],[SELL PRICE]]+(Table1[[#This Row],[SELL PRICE]]*0.02)))*(Table5[Price]&lt;=(Table1[[#This Row],[SELL PRICE]]+(Table1[[#This Row],[SELL PRICE]]*0.05)))/Table1[[#This Row],[AVG VOL.]])</f>
        <v>0.10311438558558385</v>
      </c>
      <c r="W4" s="45">
        <f t="array" aca="1" ref="W4" ca="1">SUM((Table5[VolRem])*(Table5[StationID]=60003760)*(Table5[Price]&lt;=(Table1[[#This Row],[SELL PRICE]]+(Table1[[#This Row],[SELL PRICE]]*0.02)))*(Table5[Price]&gt;=Table1[[#This Row],[SELL PRICE]]))/Table1[[#This Row],[AVG VOL.]]</f>
        <v>0.12601537092358986</v>
      </c>
      <c r="X4" s="27">
        <f ca="1">AVERAGE(OFFSET(Table57[volume],COUNTA(Table57[volume])-30,):OFFSET(Table57[volume],COUNTA(Table57[volume]),))</f>
        <v>1631783936.3</v>
      </c>
      <c r="Y4" s="21"/>
      <c r="Z4" s="45">
        <f t="array" aca="1" ref="Z4" ca="1">SUM((Table5[VolRem])*(Table5[StationID]=60003760)*(Table5[Price]&gt;=(Table1[[#This Row],[BUY PRICE]]-(Table1[[#This Row],[BUY PRICE]]*0.02)))*(Table5[Price]&lt;=Table1[[#This Row],[BUY PRICE]]))/Table1[[#This Row],[AVG VOL.]]</f>
        <v>1.6412567500037108E-2</v>
      </c>
      <c r="AA4" s="21">
        <f t="array" aca="1" ref="AA4" ca="1">SUM((Table5[VolRem])*(Table5[StationID]=60003760)*(Table5[Price]&lt;=(Table1[[#This Row],[BUY PRICE]]-(Table1[[#This Row],[BUY PRICE]]*0.02)))*(Table5[Price]&gt;=(Table1[[#This Row],[BUY PRICE]]-(Table1[[#This Row],[BUY PRICE]]*0.05))))/Table1[[#This Row],[AVG VOL.]]</f>
        <v>2.0149258899160548E-2</v>
      </c>
      <c r="AB4" s="21">
        <f t="array" aca="1" ref="AB4" ca="1">SUM((Table5[VolRem])*(Table5[StationID]=60003760)*(Table5[Price]&lt;=(Table1[[#This Row],[BUY PRICE]]-(Table1[[#This Row],[BUY PRICE]]*0.05)))*(Table5[Price]&gt;=(Table1[[#This Row],[BUY PRICE]]-(Table1[[#This Row],[BUY PRICE]]*0.1))))/Table1[[#This Row],[AVG VOL.]]</f>
        <v>7.9438942323408392E-3</v>
      </c>
      <c r="AC4" s="21">
        <f ca="1">SUM(Table1[[#This Row],[10.00%]],Table1[[#This Row],[5.00%]],Table1[[#This Row],[2.00%]])</f>
        <v>4.4505720631538501E-2</v>
      </c>
      <c r="AD4" s="3">
        <f t="array" aca="1" ref="AD4" ca="1">(((SUM(IF((Table4[Bid]=0)*(Table4[StationID]=60003760),Table4[VolEnt])))-(SUM(IF((Table4[Bid]=0)*(Table4[StationID]=60003760),Table4[VolRem]))))/Table1[[#This Row],[AVG VOL.]])</f>
        <v>0.30146617579495533</v>
      </c>
      <c r="AE4" s="3">
        <f t="array" aca="1" ref="AE4" ca="1">SUM(IF((Table4[Bid]=0)*(Table4[StationID]=60003760),Table4[VolRem]))/Table1[[#This Row],[AVG VOL.]]</f>
        <v>2.6687834223166202</v>
      </c>
      <c r="AF4" s="3">
        <f t="array" aca="1" ref="AF4" ca="1">(((SUM(IF((Table4[Bid]=1)*(Table4[StationID]=60003760),Table4[VolEnt])))-(SUM(IF((Table4[Bid]=1)*(Table4[StationID]=60003760),Table4[VolRem]))))/Table1[[#This Row],[AVG VOL.]])</f>
        <v>0.49394696569179608</v>
      </c>
      <c r="AG4" s="27">
        <f ca="1">Table1[[#This Row],[AVG VOL.]]*Table1[[#This Row],[BUY PRICE]]</f>
        <v>76187991985.847</v>
      </c>
      <c r="AH4" s="28">
        <f ca="1">((E4-M4)*X4)-(Table1[[#This Row],[EXPENSE]]*0.0096)</f>
        <v>2254759880.3648777</v>
      </c>
      <c r="AI4" s="2"/>
      <c r="AJ4" s="2"/>
      <c r="AL4" s="37"/>
      <c r="AM4" s="37"/>
    </row>
    <row r="5" spans="1:42" x14ac:dyDescent="0.55000000000000004">
      <c r="A5" s="1">
        <v>38</v>
      </c>
      <c r="B5" s="2" t="s">
        <v>6</v>
      </c>
      <c r="C5" s="21">
        <f t="array" aca="1" ref="C5" ca="1">((Table1[[#This Row],[SELL PRICE]])/AVERAGE(OFFSET(Table59[avgPrice],COUNTA(Table59[avgPrice])-5,):OFFSET(Table59[avgPrice],COUNTA(Table59[avgPrice]),)))-1</f>
        <v>0.69842503149937007</v>
      </c>
      <c r="D5" s="21">
        <f t="array" aca="1" ref="D5" ca="1">((Table1[[#This Row],[SELL PRICE]])/AVERAGE(OFFSET(Table59[avgPrice],COUNTA(Table59[avgPrice])-1,):OFFSET(Table59[avgPrice],COUNTA(Table59[avgPrice]),)))-1</f>
        <v>0.6920292887029289</v>
      </c>
      <c r="E5" s="32">
        <f t="array" ref="E5">MIN(IF((Table7[Bid]=0)*(Table7[StationID]=60003760),Table7[Price]))</f>
        <v>808.79</v>
      </c>
      <c r="F5" s="29" t="e">
        <f>((Table1[[#This Row],[MYS]]/Table1[[#This Row],[SELL PRICE]])-1)</f>
        <v>#N/A</v>
      </c>
      <c r="G5" s="2" t="e">
        <f t="array" ref="G5">INDEX(Table0[price], MATCH(MIN(IF((Table0[bid]=0)*(Table0[typeID]=38)*(Table0[volRemaining]&gt;0),Table0[price])), Table0[price], 0))</f>
        <v>#N/A</v>
      </c>
      <c r="H5" s="6">
        <f t="array" ref="H5">INDEX(Table7[OrderID], MATCH(MIN(IF((Table7[Bid]=0)*(Table7[StationID]=60003760),Table7[Price])), Table7[Price], 0))</f>
        <v>2879114737</v>
      </c>
      <c r="I5" s="25">
        <f t="shared" si="0"/>
        <v>1.8050223425010836E-2</v>
      </c>
      <c r="J5" s="6">
        <f t="array" ref="J5">INDEX(Table7[OrderID], MATCH(MAX(IF((Table7[Bid]=1)*(Table7[StationID]=60003760),Table7[Price])), Table7[Price], 0))</f>
        <v>2879130486</v>
      </c>
      <c r="K5" s="2" t="e">
        <f t="array" ref="K5">INDEX(Table0[price], MATCH(MAX(IF((Table0[bid]=1)*(Table0[typeID]=38)*(Table0[volRemaining]&gt;0),Table0[price])), Table0[price], 0))</f>
        <v>#N/A</v>
      </c>
      <c r="L5" s="21" t="e">
        <f t="shared" si="1"/>
        <v>#N/A</v>
      </c>
      <c r="M5" s="32">
        <f t="array" ref="M5">MAX(IF((Table7[Bid]=1)*(Table7[StationID]=60003760),Table7[Price]))</f>
        <v>794.45</v>
      </c>
      <c r="N5" s="21">
        <f t="array" aca="1" ref="N5" ca="1">((Table1[[#This Row],[BUY PRICE]])/AVERAGE(OFFSET(Table59[avgPrice],COUNTA(Table59[avgPrice])-1,):OFFSET(Table59[avgPrice],COUNTA(Table59[avgPrice]),)))-1</f>
        <v>0.66202928870292888</v>
      </c>
      <c r="O5" s="21">
        <f t="array" aca="1" ref="O5" ca="1">((Table1[[#This Row],[BUY PRICE]])/AVERAGE(OFFSET(Table59[avgPrice],COUNTA(Table59[avgPrice])-5,):OFFSET(Table59[avgPrice],COUNTA(Table59[avgPrice]),)))-1</f>
        <v>0.66831163376732472</v>
      </c>
      <c r="P5" s="40">
        <f>SUM(Table1[[#This Row],[10%]:[2%]])</f>
        <v>0.37975172436169452</v>
      </c>
      <c r="Q5" s="40">
        <f t="array" ref="Q5">SUM((Table7[VolRem])*(Table7[StationID]=60003760)*(Table7[Price]&gt;=(Table1[[#This Row],[SELL PRICE]]+(Table1[[#This Row],[SELL PRICE]]*0.05)))*(Table7[Price]&lt;=(Table1[[#This Row],[SELL PRICE]]+(Table1[[#This Row],[SELL PRICE]]*0.1)))/(SUM(IF((Table7[Bid]=0)*(Table7[StationID]=60003760),Table7[VolRem]))))</f>
        <v>6.1961498098878715E-2</v>
      </c>
      <c r="R5" s="40">
        <f t="array" ref="R5">SUM((Table7[VolRem])*(Table7[StationID]=60003760)*(Table7[Price]&gt;=(Table1[[#This Row],[SELL PRICE]]+(Table1[[#This Row],[SELL PRICE]]*0.02)))*(Table7[Price]&lt;=(Table1[[#This Row],[SELL PRICE]]+(Table1[[#This Row],[SELL PRICE]]*0.05)))/(SUM(IF((Table7[Bid]=0)*(Table7[StationID]=60003760),Table7[VolRem]))))</f>
        <v>0.10314049071441028</v>
      </c>
      <c r="S5" s="40">
        <f t="array" ref="S5">SUM((Table7[VolRem])*(Table7[StationID]=60003760)*(Table7[Price]&lt;=(Table1[[#This Row],[SELL PRICE]]+(Table1[[#This Row],[SELL PRICE]]*0.02)))*(Table7[Price]&gt;=Table1[[#This Row],[SELL PRICE]]))/(SUM(IF((Table7[Bid]=0)*(Table7[StationID]=60003760),Table7[VolRem])))</f>
        <v>0.21464973554840552</v>
      </c>
      <c r="T5" s="40">
        <f ca="1">SUM(Table1[[#This Row],[2%2]],Table1[[#This Row],[5%2]],Table1[[#This Row],[10%2]],)</f>
        <v>0.42212108799315051</v>
      </c>
      <c r="U5" s="29">
        <f ca="1">SUM((Table7[VolRem])*(Table7[StationID]=60003760)*(Table7[Price]&gt;=(Table1[[#This Row],[SELL PRICE]]+(Table1[[#This Row],[SELL PRICE]]*0.05)))*(Table7[Price]&lt;=(Table1[[#This Row],[SELL PRICE]]+(Table1[[#This Row],[SELL PRICE]]*0.1)))/Table1[[#This Row],[AVG VOL.]])</f>
        <v>0</v>
      </c>
      <c r="V5" s="29">
        <f t="array" aca="1" ref="V5" ca="1">SUM((Table7[VolRem])*(Table7[StationID]=60003760)*(Table7[Price]&gt;=(Table1[[#This Row],[SELL PRICE]]+(Table1[[#This Row],[SELL PRICE]]*0.02)))*(Table7[Price]&lt;=(Table1[[#This Row],[SELL PRICE]]+(Table1[[#This Row],[SELL PRICE]]*0.05)))/Table1[[#This Row],[AVG VOL.]])</f>
        <v>0.13700162106467087</v>
      </c>
      <c r="W5" s="45">
        <f t="array" aca="1" ref="W5" ca="1">SUM((Table7[VolRem])*(Table7[StationID]=60003760)*(Table7[Price]&lt;=(Table1[[#This Row],[SELL PRICE]]+(Table1[[#This Row],[SELL PRICE]]*0.02)))*(Table7[Price]&gt;=Table1[[#This Row],[SELL PRICE]]))/Table1[[#This Row],[AVG VOL.]]</f>
        <v>0.28511946692847967</v>
      </c>
      <c r="X5" s="27">
        <f ca="1">AVERAGE(OFFSET(Table59[volume],COUNTA(Table59[volume])-30,):OFFSET(Table59[volume],COUNTA(Table59[volume]),))</f>
        <v>98566826.400000006</v>
      </c>
      <c r="Y5" s="21"/>
      <c r="Z5" s="45">
        <f t="array" aca="1" ref="Z5" ca="1">SUM((Table7[VolRem])*(Table7[StationID]=60003760)*(Table7[Price]&gt;=(Table1[[#This Row],[BUY PRICE]]-(Table1[[#This Row],[BUY PRICE]]*0.02)))*(Table7[Price]&lt;=Table1[[#This Row],[BUY PRICE]]))/Table1[[#This Row],[AVG VOL.]]</f>
        <v>0.25585401215677162</v>
      </c>
      <c r="AA5" s="21">
        <f t="array" aca="1" ref="AA5" ca="1">SUM((Table7[VolRem])*(Table7[StationID]=60003760)*(Table7[Price]&lt;=(Table1[[#This Row],[BUY PRICE]]-(Table1[[#This Row],[BUY PRICE]]*0.02)))*(Table7[Price]&gt;=(Table1[[#This Row],[BUY PRICE]]-(Table1[[#This Row],[BUY PRICE]]*0.05))))/Table1[[#This Row],[AVG VOL.]]</f>
        <v>0.1305965350630382</v>
      </c>
      <c r="AB5" s="21">
        <f t="array" aca="1" ref="AB5" ca="1">SUM((Table7[VolRem])*(Table7[StationID]=60003760)*(Table7[Price]&lt;=(Table1[[#This Row],[BUY PRICE]]-(Table1[[#This Row],[BUY PRICE]]*0.05)))*(Table7[Price]&gt;=(Table1[[#This Row],[BUY PRICE]]-(Table1[[#This Row],[BUY PRICE]]*0.1))))/Table1[[#This Row],[AVG VOL.]]</f>
        <v>6.3881239053467181E-2</v>
      </c>
      <c r="AC5" s="21">
        <f ca="1">SUM(Table1[[#This Row],[10.00%]],Table1[[#This Row],[5.00%]],Table1[[#This Row],[2.00%]])</f>
        <v>0.45033178627327697</v>
      </c>
      <c r="AD5" s="3">
        <f t="array" aca="1" ref="AD5" ca="1">(((SUM(IF((Table7[Bid]=0)*(Table7[StationID]=60003760),Table7[VolEnt])))-(SUM(IF((Table7[Bid]=0)*(Table7[StationID]=60003760),Table7[VolRem]))))/Table1[[#This Row],[AVG VOL.]])</f>
        <v>0.19787436313359885</v>
      </c>
      <c r="AE5" s="3">
        <f t="array" aca="1" ref="AE5" ca="1">SUM(IF((Table7[Bid]=0)*(Table7[StationID]=60003760),Table7[VolRem]))/Table1[[#This Row],[AVG VOL.]]</f>
        <v>1.3283010398313888</v>
      </c>
      <c r="AF5" s="3">
        <f t="array" aca="1" ref="AF5" ca="1">(((SUM(IF((Table7[Bid]=1)*(Table7[StationID]=60003760),Table7[VolEnt])))-(SUM(IF((Table7[Bid]=1)*(Table7[StationID]=60003760),Table7[VolRem]))))/Table1[[#This Row],[AVG VOL.]])</f>
        <v>0.38031599848689052</v>
      </c>
      <c r="AG5" s="27">
        <f ca="1">Table1[[#This Row],[AVG VOL.]]*Table1[[#This Row],[BUY PRICE]]</f>
        <v>78306415233.480011</v>
      </c>
      <c r="AH5" s="28">
        <f ca="1">((E5-M5)*X5)-(Table1[[#This Row],[EXPENSE]]*0.0096)</f>
        <v>661706704.33458412</v>
      </c>
      <c r="AI5" s="2"/>
      <c r="AJ5" s="2"/>
      <c r="AL5" s="37"/>
      <c r="AM5" s="37"/>
    </row>
    <row r="6" spans="1:42" x14ac:dyDescent="0.55000000000000004">
      <c r="A6" s="1">
        <v>35</v>
      </c>
      <c r="B6" s="2" t="s">
        <v>7</v>
      </c>
      <c r="C6" s="21">
        <f t="array" aca="1" ref="C6" ca="1">((Table1[[#This Row],[SELL PRICE]])/AVERAGE(OFFSET(Table56[avgPrice],COUNTA(Table56[avgPrice])-5,):OFFSET(Table56[avgPrice],COUNTA(Table56[avgPrice]),)))-1</f>
        <v>2.6850000000000001</v>
      </c>
      <c r="D6" s="21">
        <f t="array" aca="1" ref="D6" ca="1">((Table1[[#This Row],[SELL PRICE]])/AVERAGE(OFFSET(Table56[avgPrice],COUNTA(Table56[avgPrice])-1,):OFFSET(Table56[avgPrice],COUNTA(Table56[avgPrice]),)))-1</f>
        <v>2.6850000000000001</v>
      </c>
      <c r="E6" s="32">
        <f t="array" ref="E6">MIN(IF((Table4[Bid]=0)*(Table4[StationID]=60003760),Table4[Price]))</f>
        <v>14.74</v>
      </c>
      <c r="F6" s="29" t="e">
        <f>((Table1[[#This Row],[MYS]]/Table1[[#This Row],[SELL PRICE]])-1)</f>
        <v>#N/A</v>
      </c>
      <c r="G6" s="2" t="e">
        <f t="array" ref="G6">INDEX(Table0[price], MATCH(MIN(IF((Table0[bid]=0)*(Table0[typeID]=35)*(Table0[volRemaining]&gt;0),Table0[price])), Table0[price], 0))</f>
        <v>#N/A</v>
      </c>
      <c r="H6" s="6">
        <f t="array" ref="H6">INDEX(Table4[OrderID], MATCH(MIN(IF((Table4[Bid]=0)*(Table4[StationID]=60003760),Table4[Price])), Table4[Price], 0))</f>
        <v>2879113859</v>
      </c>
      <c r="I6" s="25">
        <f t="shared" si="0"/>
        <v>1.0973936899862924E-2</v>
      </c>
      <c r="J6" s="6">
        <f t="array" ref="J6">INDEX(Table4[OrderID], MATCH(MAX(IF((Table4[Bid]=1)*(Table4[StationID]=60003760),Table4[Price])), Table4[Price], 0))</f>
        <v>2879114883</v>
      </c>
      <c r="K6" s="2" t="e">
        <f t="array" ref="K6">INDEX(Table0[price], MATCH(MAX(IF((Table0[bid]=1)*(Table0[typeID]=35)*(Table0[volRemaining]&gt;0),Table0[price])), Table0[price], 0))</f>
        <v>#N/A</v>
      </c>
      <c r="L6" s="21" t="e">
        <f t="shared" si="1"/>
        <v>#N/A</v>
      </c>
      <c r="M6" s="32">
        <f t="array" ref="M6">MAX(IF((Table4[Bid]=1)*(Table4[StationID]=60003760),Table4[Price]))</f>
        <v>14.58</v>
      </c>
      <c r="N6" s="21">
        <f t="array" aca="1" ref="N6" ca="1">((Table1[[#This Row],[BUY PRICE]])/AVERAGE(OFFSET(Table56[avgPrice],COUNTA(Table56[avgPrice])-1,):OFFSET(Table56[avgPrice],COUNTA(Table56[avgPrice]),)))-1</f>
        <v>2.645</v>
      </c>
      <c r="O6" s="21">
        <f t="array" aca="1" ref="O6" ca="1">((Table1[[#This Row],[BUY PRICE]])/AVERAGE(OFFSET(Table56[avgPrice],COUNTA(Table56[avgPrice])-5,):OFFSET(Table56[avgPrice],COUNTA(Table56[avgPrice]),)))-1</f>
        <v>2.645</v>
      </c>
      <c r="P6" s="40">
        <f>SUM(Table1[[#This Row],[10%]:[2%]])</f>
        <v>0.67799774542382474</v>
      </c>
      <c r="Q6" s="40">
        <f t="array" ref="Q6">SUM((Table4[VolRem])*(Table4[StationID]=60003760)*(Table4[Price]&gt;=(Table1[[#This Row],[SELL PRICE]]+(Table1[[#This Row],[SELL PRICE]]*0.05)))*(Table4[Price]&lt;=(Table1[[#This Row],[SELL PRICE]]+(Table1[[#This Row],[SELL PRICE]]*0.1)))/(SUM(IF((Table4[Bid]=0)*(Table4[StationID]=60003760),Table4[VolRem]))))</f>
        <v>0.29078081173434162</v>
      </c>
      <c r="R6" s="40">
        <f t="array" ref="R6">SUM((Table4[VolRem])*(Table4[StationID]=60003760)*(Table4[Price]&gt;=(Table1[[#This Row],[SELL PRICE]]+(Table1[[#This Row],[SELL PRICE]]*0.02)))*(Table4[Price]&lt;=(Table1[[#This Row],[SELL PRICE]]+(Table1[[#This Row],[SELL PRICE]]*0.05)))/(SUM(IF((Table4[Bid]=0)*(Table4[StationID]=60003760),Table4[VolRem]))))</f>
        <v>0.2085728778402004</v>
      </c>
      <c r="S6" s="40">
        <f t="array" ref="S6">SUM((Table4[VolRem])*(Table4[StationID]=60003760)*(Table4[Price]&lt;=(Table1[[#This Row],[SELL PRICE]]+(Table1[[#This Row],[SELL PRICE]]*0.02)))*(Table4[Price]&gt;=Table1[[#This Row],[SELL PRICE]]))/(SUM(IF((Table4[Bid]=0)*(Table4[StationID]=60003760),Table4[VolRem])))</f>
        <v>0.1786440558492827</v>
      </c>
      <c r="T6" s="40">
        <f ca="1">SUM(Table1[[#This Row],[2%2]],Table1[[#This Row],[5%2]],Table1[[#This Row],[10%2]],)</f>
        <v>0.48315821190935038</v>
      </c>
      <c r="U6" s="29">
        <f t="array" aca="1" ref="U6" ca="1">SUM((Table4[VolRem])*(Table4[StationID]=60003760)*(Table4[Price]&gt;=(Table1[[#This Row],[SELL PRICE]]+(Table1[[#This Row],[SELL PRICE]]*0.05)))*(Table4[Price]&lt;=(Table1[[#This Row],[SELL PRICE]]+(Table1[[#This Row],[SELL PRICE]]*0.1)))/Table1[[#This Row],[AVG VOL.]])</f>
        <v>0.20721770537347442</v>
      </c>
      <c r="V6" s="29">
        <f t="array" aca="1" ref="V6" ca="1">SUM((Table4[VolRem])*(Table4[StationID]=60003760)*(Table4[Price]&gt;=(Table1[[#This Row],[SELL PRICE]]+(Table1[[#This Row],[SELL PRICE]]*0.02)))*(Table4[Price]&lt;=(Table1[[#This Row],[SELL PRICE]]+(Table1[[#This Row],[SELL PRICE]]*0.05)))/Table1[[#This Row],[AVG VOL.]])</f>
        <v>0.14863426816716577</v>
      </c>
      <c r="W6" s="45">
        <f t="array" aca="1" ref="W6" ca="1">SUM((Table4[VolRem])*(Table4[StationID]=60003760)*(Table4[Price]&lt;=(Table1[[#This Row],[SELL PRICE]]+(Table1[[#This Row],[SELL PRICE]]*0.02)))*(Table4[Price]&gt;=Table1[[#This Row],[SELL PRICE]]))/Table1[[#This Row],[AVG VOL.]]</f>
        <v>0.12730623836871025</v>
      </c>
      <c r="X6" s="27">
        <f ca="1">AVERAGE(OFFSET(Table56[volume],COUNTA(Table56[volume])-30,):OFFSET(Table56[volume],COUNTA(Table56[volume]),))</f>
        <v>6111036379.4333334</v>
      </c>
      <c r="Y6" s="21"/>
      <c r="Z6" s="45">
        <f t="array" aca="1" ref="Z6" ca="1">SUM((Table4[VolRem])*(Table4[StationID]=60003760)*(Table4[Price]&gt;=(Table1[[#This Row],[BUY PRICE]]-(Table1[[#This Row],[BUY PRICE]]*0.02)))*(Table4[Price]&lt;=Table1[[#This Row],[BUY PRICE]]))/Table1[[#This Row],[AVG VOL.]]</f>
        <v>0.24133890970826763</v>
      </c>
      <c r="AA6" s="21">
        <f t="array" aca="1" ref="AA6" ca="1">SUM((Table4[VolRem])*(Table4[StationID]=60003760)*(Table4[Price]&lt;=(Table1[[#This Row],[BUY PRICE]]-(Table1[[#This Row],[BUY PRICE]]*0.02)))*(Table4[Price]&gt;=(Table1[[#This Row],[BUY PRICE]]-(Table1[[#This Row],[BUY PRICE]]*0.05))))/Table1[[#This Row],[AVG VOL.]]</f>
        <v>2.9446992101965956E-3</v>
      </c>
      <c r="AB6" s="21">
        <f t="array" aca="1" ref="AB6" ca="1">SUM((Table4[VolRem])*(Table4[StationID]=60003760)*(Table4[Price]&lt;=(Table1[[#This Row],[BUY PRICE]]-(Table1[[#This Row],[BUY PRICE]]*0.05)))*(Table4[Price]&gt;=(Table1[[#This Row],[BUY PRICE]]-(Table1[[#This Row],[BUY PRICE]]*0.1))))/Table1[[#This Row],[AVG VOL.]]</f>
        <v>0.15242809732485604</v>
      </c>
      <c r="AC6" s="21">
        <f ca="1">SUM(Table1[[#This Row],[10.00%]],Table1[[#This Row],[5.00%]],Table1[[#This Row],[2.00%]])</f>
        <v>0.39671170624332031</v>
      </c>
      <c r="AD6" s="3">
        <f t="array" aca="1" ref="AD6" ca="1">(((SUM(IF((Table4[Bid]=0)*(Table4[StationID]=60003760),Table4[VolEnt])))-(SUM(IF((Table4[Bid]=0)*(Table4[StationID]=60003760),Table4[VolRem]))))/Table1[[#This Row],[AVG VOL.]])</f>
        <v>8.0498238343921572E-2</v>
      </c>
      <c r="AE6" s="3">
        <f t="array" aca="1" ref="AE6" ca="1">SUM(IF((Table4[Bid]=0)*(Table4[StationID]=60003760),Table4[VolRem]))/Table1[[#This Row],[AVG VOL.]]</f>
        <v>0.7126251011459076</v>
      </c>
      <c r="AF6" s="3">
        <f t="array" aca="1" ref="AF6" ca="1">(((SUM(IF((Table4[Bid]=1)*(Table4[StationID]=60003760),Table4[VolEnt])))-(SUM(IF((Table4[Bid]=1)*(Table4[StationID]=60003760),Table4[VolRem]))))/Table1[[#This Row],[AVG VOL.]])</f>
        <v>0.13189493139210218</v>
      </c>
      <c r="AG6" s="27">
        <f ca="1">Table1[[#This Row],[AVG VOL.]]*Table1[[#This Row],[BUY PRICE]]</f>
        <v>89098910412.138</v>
      </c>
      <c r="AH6" s="28">
        <f ca="1">((E6-M6)*X6)-(Table1[[#This Row],[EXPENSE]]*0.0096)</f>
        <v>122416280.75280952</v>
      </c>
      <c r="AI6" s="2"/>
      <c r="AJ6" s="2"/>
      <c r="AL6" s="37"/>
      <c r="AM6" s="37"/>
    </row>
    <row r="7" spans="1:42" x14ac:dyDescent="0.55000000000000004">
      <c r="A7" s="1">
        <v>34</v>
      </c>
      <c r="B7" s="2" t="s">
        <v>8</v>
      </c>
      <c r="C7" s="21">
        <f t="array" aca="1" ref="C7" ca="1">((Table1[[#This Row],[SELL PRICE]])/AVERAGE(OFFSET(Table55[avgPrice],COUNTA(Table55[avgPrice])-5,):OFFSET(Table55[avgPrice],COUNTA(Table55[avgPrice]),)))-1</f>
        <v>0.78125</v>
      </c>
      <c r="D7" s="21">
        <f t="array" aca="1" ref="D7" ca="1">((Table1[[#This Row],[SELL PRICE]])/AVERAGE(OFFSET(Table55[avgPrice],COUNTA(Table55[avgPrice])-1,):OFFSET(Table55[avgPrice],COUNTA(Table55[avgPrice]),)))-1</f>
        <v>0.42500000000000004</v>
      </c>
      <c r="E7" s="32">
        <f t="array" ref="E7">MIN(IF((Table3[Bid]=0)*(Table3[StationID]=60003760),Table3[Price]))</f>
        <v>5.7</v>
      </c>
      <c r="F7" s="29" t="e">
        <f>((Table1[[#This Row],[MYS]]/Table1[[#This Row],[SELL PRICE]])-1)</f>
        <v>#N/A</v>
      </c>
      <c r="G7" s="2" t="e">
        <f t="array" ref="G7">INDEX(Table0[price], MATCH(MIN(IF((Table0[bid]=0)*(Table0[typeID]=34)*(Table0[volRemaining]&gt;0),Table0[price])), Table0[price], 0))</f>
        <v>#N/A</v>
      </c>
      <c r="H7" s="6">
        <f t="array" ref="H7">INDEX(Table3[OrderID], MATCH(MIN(IF((Table3[Bid]=0)*(Table3[StationID]=60003760),Table3[Price])), Table3[Price], 0))</f>
        <v>2877121116</v>
      </c>
      <c r="I7" s="25">
        <f t="shared" si="0"/>
        <v>1.6042780748663166E-2</v>
      </c>
      <c r="J7" s="6">
        <f t="array" ref="J7">INDEX(Table3[OrderID], MATCH(MAX(IF((Table3[Bid]=1)*(Table3[StationID]=60003760),Table3[Price])), Table3[Price], 0))</f>
        <v>2879045700</v>
      </c>
      <c r="K7" s="2" t="e">
        <f t="array" ref="K7">INDEX(Table0[price], MATCH(MAX(IF((Table0[bid]=1)*(Table0[typeID]=34)*(Table0[volRemaining]&gt;0),Table0[price])), Table0[price], 0))</f>
        <v>#N/A</v>
      </c>
      <c r="L7" s="21" t="e">
        <f t="shared" si="1"/>
        <v>#N/A</v>
      </c>
      <c r="M7" s="32">
        <f t="array" ref="M7">MAX(IF((Table3[Bid]=1)*(Table3[StationID]=60003760),Table3[Price]))</f>
        <v>5.61</v>
      </c>
      <c r="N7" s="21">
        <f t="array" aca="1" ref="N7" ca="1">((Table1[[#This Row],[BUY PRICE]])/AVERAGE(OFFSET(Table55[avgPrice],COUNTA(Table55[avgPrice])-1,):OFFSET(Table55[avgPrice],COUNTA(Table55[avgPrice]),)))-1</f>
        <v>0.40250000000000008</v>
      </c>
      <c r="O7" s="21">
        <f t="array" aca="1" ref="O7" ca="1">((Table1[[#This Row],[BUY PRICE]])/AVERAGE(OFFSET(Table55[avgPrice],COUNTA(Table55[avgPrice])-5,):OFFSET(Table55[avgPrice],COUNTA(Table55[avgPrice]),)))-1</f>
        <v>0.75312500000000004</v>
      </c>
      <c r="P7" s="40">
        <f>SUM(Table1[[#This Row],[10%]:[2%]])</f>
        <v>0.74965206987571698</v>
      </c>
      <c r="Q7" s="40">
        <f t="array" ref="Q7">SUM((Table3[VolRem])*(Table3[StationID]=60003760)*(Table3[Price]&gt;=(Table1[[#This Row],[SELL PRICE]]+(Table1[[#This Row],[SELL PRICE]]*0.05)))*(Table3[Price]&lt;=(Table1[[#This Row],[SELL PRICE]]+(Table1[[#This Row],[SELL PRICE]]*0.1)))/(SUM(IF((Table3[Bid]=0)*(Table3[StationID]=60003760),Table3[VolRem]))))</f>
        <v>0.33579318664806257</v>
      </c>
      <c r="R7" s="40">
        <f t="array" ref="R7">SUM((Table3[VolRem])*(Table3[StationID]=60003760)*(Table3[Price]&gt;=(Table1[[#This Row],[SELL PRICE]]+(Table1[[#This Row],[SELL PRICE]]*0.02)))*(Table3[Price]&lt;=(Table1[[#This Row],[SELL PRICE]]+(Table1[[#This Row],[SELL PRICE]]*0.05)))/(SUM(IF((Table3[Bid]=0)*(Table3[StationID]=60003760),Table3[VolRem]))))</f>
        <v>0.25203336764148709</v>
      </c>
      <c r="S7" s="40">
        <f t="array" ref="S7">SUM((Table3[VolRem])*(Table3[StationID]=60003760)*(Table3[Price]&lt;=(Table1[[#This Row],[SELL PRICE]]+(Table1[[#This Row],[SELL PRICE]]*0.02)))*(Table3[Price]&gt;=Table1[[#This Row],[SELL PRICE]]))/(SUM(IF((Table3[Bid]=0)*(Table3[StationID]=60003760),Table3[VolRem])))</f>
        <v>0.16182551558616734</v>
      </c>
      <c r="T7" s="40">
        <f ca="1">SUM(Table1[[#This Row],[2%2]],Table1[[#This Row],[5%2]],Table1[[#This Row],[10%2]],)</f>
        <v>1.3579292487744381</v>
      </c>
      <c r="U7" s="29">
        <f t="array" aca="1" ref="U7" ca="1">SUM((Table3[VolRem])*(Table3[StationID]=60003760)*(Table3[Price]&gt;=(Table1[[#This Row],[SELL PRICE]]+(Table1[[#This Row],[SELL PRICE]]*0.05)))*(Table3[Price]&lt;=(Table1[[#This Row],[SELL PRICE]]+(Table1[[#This Row],[SELL PRICE]]*0.1)))/Table1[[#This Row],[AVG VOL.]])</f>
        <v>0.60826002890137365</v>
      </c>
      <c r="V7" s="29">
        <f t="array" aca="1" ref="V7" ca="1">SUM((Table3[VolRem])*(Table3[StationID]=60003760)*(Table3[Price]&gt;=(Table1[[#This Row],[SELL PRICE]]+(Table1[[#This Row],[SELL PRICE]]*0.02)))*(Table3[Price]&lt;=(Table1[[#This Row],[SELL PRICE]]+(Table1[[#This Row],[SELL PRICE]]*0.05)))/Table1[[#This Row],[AVG VOL.]])</f>
        <v>0.45653643248692172</v>
      </c>
      <c r="W7" s="45">
        <f t="array" aca="1" ref="W7" ca="1">SUM((Table3[VolRem])*(Table3[StationID]=60003760)*(Table3[Price]&lt;=(Table1[[#This Row],[SELL PRICE]]+(Table1[[#This Row],[SELL PRICE]]*0.02)))*(Table3[Price]&gt;=Table1[[#This Row],[SELL PRICE]]))/Table1[[#This Row],[AVG VOL.]]</f>
        <v>0.29313278738614273</v>
      </c>
      <c r="X7" s="27">
        <f ca="1">AVERAGE(OFFSET(Table55[volume],COUNTA(Table55[volume])-30,):OFFSET(Table55[volume],COUNTA(Table55[volume]),))</f>
        <v>27527854860.433334</v>
      </c>
      <c r="Y7" s="21"/>
      <c r="Z7" s="45">
        <f t="array" aca="1" ref="Z7" ca="1">SUM((Table3[VolRem])*(Table3[StationID]=60003760)*(Table3[Price]&gt;=(Table1[[#This Row],[BUY PRICE]]-(Table1[[#This Row],[BUY PRICE]]*0.02)))*(Table3[Price]&lt;=Table1[[#This Row],[BUY PRICE]]))/Table1[[#This Row],[AVG VOL.]]</f>
        <v>0.20938223549284099</v>
      </c>
      <c r="AA7" s="21">
        <f t="array" aca="1" ref="AA7" ca="1">SUM((Table3[VolRem])*(Table3[StationID]=60003760)*(Table3[Price]&lt;=(Table1[[#This Row],[BUY PRICE]]-(Table1[[#This Row],[BUY PRICE]]*0.02)))*(Table3[Price]&gt;=(Table1[[#This Row],[BUY PRICE]]-(Table1[[#This Row],[BUY PRICE]]*0.05))))/Table1[[#This Row],[AVG VOL.]]</f>
        <v>0.39998366446729638</v>
      </c>
      <c r="AB7" s="21">
        <f t="array" aca="1" ref="AB7" ca="1">SUM((Table3[VolRem])*(Table3[StationID]=60003760)*(Table3[Price]&lt;=(Table1[[#This Row],[BUY PRICE]]-(Table1[[#This Row],[BUY PRICE]]*0.05)))*(Table3[Price]&gt;=(Table1[[#This Row],[BUY PRICE]]-(Table1[[#This Row],[BUY PRICE]]*0.1))))/Table1[[#This Row],[AVG VOL.]]</f>
        <v>5.4053909886699274E-2</v>
      </c>
      <c r="AC7" s="21">
        <f ca="1">SUM(Table1[[#This Row],[10.00%]],Table1[[#This Row],[5.00%]],Table1[[#This Row],[2.00%]])</f>
        <v>0.66341980984683668</v>
      </c>
      <c r="AD7" s="3">
        <f t="array" aca="1" ref="AD7" ca="1">(((SUM(IF((Table3[Bid]=0)*(Table3[StationID]=60003760),Table3[VolEnt])))-(SUM(IF((Table3[Bid]=0)*(Table3[StationID]=60003760),Table3[VolRem]))))/Table1[[#This Row],[AVG VOL.]])</f>
        <v>0.14023188764877237</v>
      </c>
      <c r="AE7" s="3">
        <f t="array" aca="1" ref="AE7" ca="1">SUM(IF((Table3[Bid]=0)*(Table3[StationID]=60003760),Table3[VolRem]))/Table1[[#This Row],[AVG VOL.]]</f>
        <v>1.811412658407741</v>
      </c>
      <c r="AF7" s="3">
        <f t="array" aca="1" ref="AF7" ca="1">(((SUM(IF((Table3[Bid]=1)*(Table3[StationID]=60003760),Table3[VolEnt])))-(SUM(IF((Table3[Bid]=1)*(Table3[StationID]=60003760),Table3[VolRem]))))/Table1[[#This Row],[AVG VOL.]])</f>
        <v>0.17975444527325971</v>
      </c>
      <c r="AG7" s="27">
        <f ca="1">Table1[[#This Row],[AVG VOL.]]*Table1[[#This Row],[BUY PRICE]]</f>
        <v>154431265767.03101</v>
      </c>
      <c r="AH7" s="28">
        <f ca="1">((E7-M7)*X7)-(Table1[[#This Row],[EXPENSE]]*0.0096)</f>
        <v>994966786.07549882</v>
      </c>
      <c r="AI7" s="2"/>
      <c r="AJ7" s="2"/>
      <c r="AL7" s="37"/>
      <c r="AM7" s="37"/>
    </row>
    <row r="8" spans="1:42" ht="21.75" thickBot="1" x14ac:dyDescent="0.6">
      <c r="A8" s="1">
        <v>39</v>
      </c>
      <c r="B8" s="2" t="s">
        <v>9</v>
      </c>
      <c r="C8" s="21">
        <f t="array" aca="1" ref="C8" ca="1">((Table1[[#This Row],[SELL PRICE]])/AVERAGE(OFFSET(Table60[avgPrice],COUNTA(Table60[avgPrice])-5,):OFFSET(Table60[avgPrice],COUNTA(Table60[avgPrice]),)))-1</f>
        <v>8.9354660783232065E-2</v>
      </c>
      <c r="D8" s="21">
        <f t="array" aca="1" ref="D8" ca="1">((Table1[[#This Row],[SELL PRICE]])/AVERAGE(OFFSET(Table60[avgPrice],COUNTA(Table60[avgPrice])-1,):OFFSET(Table60[avgPrice],COUNTA(Table60[avgPrice]),)))-1</f>
        <v>8.6657496561210356E-2</v>
      </c>
      <c r="E8" s="33">
        <f t="array" ref="E8">MIN(IF((Table8[Bid]=0)*(Table8[StationID]=60003760),Table8[Price]))</f>
        <v>790</v>
      </c>
      <c r="F8" s="29" t="e">
        <f>((Table1[[#This Row],[MYS]]/Table1[[#This Row],[SELL PRICE]])-1)</f>
        <v>#N/A</v>
      </c>
      <c r="G8" s="2" t="e">
        <f t="array" ref="G8">INDEX(Table0[price], MATCH(MIN(IF((Table0[bid]=0)*(Table0[typeID]=39)*(Table0[volRemaining]&gt;0),Table0[price])), Table0[price], 0))</f>
        <v>#N/A</v>
      </c>
      <c r="H8" s="6">
        <f t="array" ref="H8">INDEX(Table8[OrderID], MATCH(MIN(IF((Table8[Bid]=0)*(Table8[StationID]=60003760),Table8[Price])), Table8[Price], 0))</f>
        <v>2878632404</v>
      </c>
      <c r="I8" s="25">
        <f t="shared" si="0"/>
        <v>5.3235031397069532E-2</v>
      </c>
      <c r="J8" s="6">
        <f t="array" ref="J8">INDEX(Table8[OrderID], MATCH(MAX(IF((Table8[Bid]=1)*(Table8[StationID]=60003760),Table8[Price])), Table8[Price], 0))</f>
        <v>2879129466</v>
      </c>
      <c r="K8" s="2" t="e">
        <f t="array" ref="K8">INDEX(Table0[price], MATCH(MAX(IF((Table0[bid]=1)*(Table0[typeID]=39)*(Table0[volRemaining]&gt;0),Table0[price])), Table0[price], 0))</f>
        <v>#N/A</v>
      </c>
      <c r="L8" s="21" t="e">
        <f>(K8/M8)-1</f>
        <v>#N/A</v>
      </c>
      <c r="M8" s="33">
        <f t="array" ref="M8">MAX(IF((Table8[Bid]=1)*(Table8[StationID]=60003760),Table8[Price]))</f>
        <v>750.07</v>
      </c>
      <c r="N8" s="21">
        <f t="array" aca="1" ref="N8" ca="1">((Table1[[#This Row],[BUY PRICE]])/AVERAGE(OFFSET(Table60[avgPrice],COUNTA(Table60[avgPrice])-1,):OFFSET(Table60[avgPrice],COUNTA(Table60[avgPrice]),)))-1</f>
        <v>3.1733149931224336E-2</v>
      </c>
      <c r="O8" s="21">
        <f t="array" aca="1" ref="O8" ca="1">((Table1[[#This Row],[BUY PRICE]])/AVERAGE(OFFSET(Table60[avgPrice],COUNTA(Table60[avgPrice])-5,):OFFSET(Table60[avgPrice],COUNTA(Table60[avgPrice]),)))-1</f>
        <v>3.4293987865416486E-2</v>
      </c>
      <c r="P8" s="40">
        <f>SUM(Table1[[#This Row],[10%]:[2%]])</f>
        <v>0.1819422536693675</v>
      </c>
      <c r="Q8" s="40">
        <f t="array" ref="Q8">SUM((Table8[VolRem])*(Table8[StationID]=60003760)*(Table8[Price]&gt;=(Table1[[#This Row],[SELL PRICE]]+(Table1[[#This Row],[SELL PRICE]]*0.05)))*(Table8[Price]&lt;=(Table1[[#This Row],[SELL PRICE]]+(Table1[[#This Row],[SELL PRICE]]*0.1)))/(SUM(IF((Table8[Bid]=0)*(Table8[StationID]=60003760),Table8[VolRem]))))</f>
        <v>0.1297341574653508</v>
      </c>
      <c r="R8" s="40">
        <f t="array" ref="R8">SUM((Table8[VolRem])*(Table8[StationID]=60003760)*(Table8[Price]&gt;=(Table1[[#This Row],[SELL PRICE]]+(Table1[[#This Row],[SELL PRICE]]*0.02)))*(Table8[Price]&lt;=(Table1[[#This Row],[SELL PRICE]]+(Table1[[#This Row],[SELL PRICE]]*0.05)))/(SUM(IF((Table8[Bid]=0)*(Table8[StationID]=60003760),Table8[VolRem]))))</f>
        <v>3.3784165415965267E-2</v>
      </c>
      <c r="S8" s="40">
        <f t="array" ref="S8">SUM((Table8[VolRem])*(Table8[StationID]=60003760)*(Table8[Price]&lt;=(Table1[[#This Row],[SELL PRICE]]+(Table1[[#This Row],[SELL PRICE]]*0.02)))*(Table8[Price]&gt;=Table1[[#This Row],[SELL PRICE]]))/(SUM(IF((Table8[Bid]=0)*(Table8[StationID]=60003760),Table8[VolRem])))</f>
        <v>1.8423930788051449E-2</v>
      </c>
      <c r="T8" s="40">
        <f>SUM(Table1[[#This Row],[2%2]],Table1[[#This Row],[5%2]],Table1[[#This Row],[10%2]],)</f>
        <v>0.59820543242463065</v>
      </c>
      <c r="U8" s="29">
        <f t="array" ref="U8">SUM((Table8[VolRem])*(Table8[StationID]=60003760)*(Table8[Price]&gt;=(Table1[[#This Row],[SELL PRICE]]+(Table1[[#This Row],[SELL PRICE]]*0.05)))*(Table8[Price]&lt;=(Table1[[#This Row],[SELL PRICE]]+(Table1[[#This Row],[SELL PRICE]]*0.1)))/Table1[[#This Row],[AVG VOL.]])</f>
        <v>0.42655115126713206</v>
      </c>
      <c r="V8" s="29">
        <f t="array" ref="V8">SUM((Table8[VolRem])*(Table8[StationID]=60003760)*(Table8[Price]&gt;=(Table1[[#This Row],[SELL PRICE]]+(Table1[[#This Row],[SELL PRICE]]*0.02)))*(Table8[Price]&lt;=(Table1[[#This Row],[SELL PRICE]]+(Table1[[#This Row],[SELL PRICE]]*0.05)))/Table1[[#This Row],[AVG VOL.]])</f>
        <v>0.11107849262155957</v>
      </c>
      <c r="W8" s="45">
        <f t="array" ref="W8">SUM((Table8[VolRem])*(Table8[StationID]=60003760)*(Table8[Price]&lt;=(Table1[[#This Row],[SELL PRICE]]+(Table1[[#This Row],[SELL PRICE]]*0.02)))*(Table8[Price]&gt;=Table1[[#This Row],[SELL PRICE]]))/Table1[[#This Row],[AVG VOL.]]</f>
        <v>6.0575788535939035E-2</v>
      </c>
      <c r="X8" s="27">
        <v>50203292</v>
      </c>
      <c r="Y8" s="21"/>
      <c r="Z8" s="45">
        <f t="array" ref="Z8">SUM((Table8[VolRem])*(Table8[StationID]=60003760)*(Table8[Price]&gt;=(Table1[[#This Row],[BUY PRICE]]-(Table1[[#This Row],[BUY PRICE]]*0.02)))*(Table8[Price]&lt;=Table1[[#This Row],[BUY PRICE]]))/Table1[[#This Row],[AVG VOL.]]</f>
        <v>0.14238554316318539</v>
      </c>
      <c r="AA8" s="21">
        <f t="array" ref="AA8">SUM((Table8[VolRem])*(Table8[StationID]=60003760)*(Table8[Price]&lt;=(Table1[[#This Row],[BUY PRICE]]-(Table1[[#This Row],[BUY PRICE]]*0.02)))*(Table8[Price]&gt;=(Table1[[#This Row],[BUY PRICE]]-(Table1[[#This Row],[BUY PRICE]]*0.05))))/Table1[[#This Row],[AVG VOL.]]</f>
        <v>3.7601677595166472E-2</v>
      </c>
      <c r="AB8" s="21">
        <f t="array" ref="AB8">SUM((Table8[VolRem])*(Table8[StationID]=60003760)*(Table8[Price]&lt;=(Table1[[#This Row],[BUY PRICE]]-(Table1[[#This Row],[BUY PRICE]]*0.05)))*(Table8[Price]&gt;=(Table1[[#This Row],[BUY PRICE]]-(Table1[[#This Row],[BUY PRICE]]*0.1))))/Table1[[#This Row],[AVG VOL.]]</f>
        <v>7.3803088450852983E-2</v>
      </c>
      <c r="AC8" s="21">
        <f>SUM(Table1[[#This Row],[10.00%]],Table1[[#This Row],[5.00%]],Table1[[#This Row],[2.00%]])</f>
        <v>0.25379030920920487</v>
      </c>
      <c r="AD8" s="3">
        <f t="array" ref="AD8">(((SUM(IF((Table8[Bid]=0)*(Table8[StationID]=60003760),Table8[VolEnt])))-(SUM(IF((Table8[Bid]=0)*(Table8[StationID]=60003760),Table8[VolRem]))))/Table1[[#This Row],[AVG VOL.]])</f>
        <v>0.16456968598792288</v>
      </c>
      <c r="AE8" s="3">
        <f t="array" ref="AE8">SUM(IF((Table8[Bid]=0)*(Table8[StationID]=60003760),Table8[VolRem]))/Table1[[#This Row],[AVG VOL.]]</f>
        <v>3.2878862406074885</v>
      </c>
      <c r="AF8" s="3">
        <f t="array" ref="AF8">(((SUM(IF((Table8[Bid]=1)*(Table8[StationID]=60003760),Table8[VolEnt])))-(SUM(IF((Table8[Bid]=1)*(Table8[StationID]=60003760),Table8[VolRem]))))/Table1[[#This Row],[AVG VOL.]])</f>
        <v>1.0547515489621677E-2</v>
      </c>
      <c r="AG8" s="27">
        <f>Table1[[#This Row],[AVG VOL.]]*Table1[[#This Row],[BUY PRICE]]</f>
        <v>37655983230.440002</v>
      </c>
      <c r="AH8" s="28">
        <f>((E8-M8)*X8)-(Table1[[#This Row],[EXPENSE]]*0.0096)</f>
        <v>1643120010.5477736</v>
      </c>
      <c r="AI8" s="2"/>
      <c r="AJ8" s="2"/>
      <c r="AL8" s="37"/>
      <c r="AM8" s="37"/>
    </row>
    <row r="9" spans="1:42" ht="16.5" thickBot="1" x14ac:dyDescent="0.3">
      <c r="A9" s="17" t="s">
        <v>0</v>
      </c>
      <c r="B9" s="14" t="s">
        <v>1</v>
      </c>
      <c r="C9" s="14" t="s">
        <v>403</v>
      </c>
      <c r="D9" s="14" t="s">
        <v>405</v>
      </c>
      <c r="E9" s="31" t="s">
        <v>406</v>
      </c>
      <c r="F9" s="39" t="s">
        <v>416</v>
      </c>
      <c r="G9" s="14" t="s">
        <v>409</v>
      </c>
      <c r="H9" s="6" t="s">
        <v>53</v>
      </c>
      <c r="I9" s="21" t="s">
        <v>407</v>
      </c>
      <c r="J9" s="6" t="s">
        <v>54</v>
      </c>
      <c r="K9" s="18" t="s">
        <v>404</v>
      </c>
      <c r="L9" s="20" t="s">
        <v>417</v>
      </c>
      <c r="M9" s="31" t="s">
        <v>408</v>
      </c>
      <c r="N9" s="14" t="s">
        <v>411</v>
      </c>
      <c r="O9" s="14" t="s">
        <v>414</v>
      </c>
      <c r="P9" s="38" t="s">
        <v>393</v>
      </c>
      <c r="Q9" s="38" t="s">
        <v>394</v>
      </c>
      <c r="R9" s="38" t="s">
        <v>395</v>
      </c>
      <c r="S9" s="38" t="s">
        <v>396</v>
      </c>
      <c r="T9" s="47" t="s">
        <v>459</v>
      </c>
      <c r="U9" s="39" t="s">
        <v>454</v>
      </c>
      <c r="V9" s="39" t="s">
        <v>453</v>
      </c>
      <c r="W9" s="45" t="s">
        <v>452</v>
      </c>
      <c r="X9" s="26" t="s">
        <v>415</v>
      </c>
      <c r="Y9" s="30" t="s">
        <v>51</v>
      </c>
      <c r="Z9" s="45" t="s">
        <v>455</v>
      </c>
      <c r="AA9" s="20" t="s">
        <v>456</v>
      </c>
      <c r="AB9" s="20" t="s">
        <v>457</v>
      </c>
      <c r="AC9" s="20" t="s">
        <v>460</v>
      </c>
      <c r="AD9" s="19" t="s">
        <v>81</v>
      </c>
      <c r="AE9" s="19" t="s">
        <v>82</v>
      </c>
      <c r="AF9" s="19" t="s">
        <v>80</v>
      </c>
      <c r="AG9" s="26" t="s">
        <v>55</v>
      </c>
      <c r="AH9" s="28" t="s">
        <v>56</v>
      </c>
      <c r="AI9" s="2"/>
      <c r="AJ9" s="2"/>
      <c r="AM9"/>
      <c r="AO9" s="37"/>
      <c r="AP9" s="37"/>
    </row>
    <row r="10" spans="1:42" x14ac:dyDescent="0.55000000000000004">
      <c r="A10" s="1">
        <v>29668</v>
      </c>
      <c r="B10" s="2" t="s">
        <v>10</v>
      </c>
      <c r="C10" s="21">
        <f t="array" aca="1" ref="C10" ca="1">((Table2[[#This Row],[SELL PRICE]])/AVERAGE(OFFSET(Table62[avgPrice],COUNTA(Table62[avgPrice])-5,):OFFSET(Table62[avgPrice],COUNTA(Table62[avgPrice]),)))-1</f>
        <v>9.196280630299869E-3</v>
      </c>
      <c r="D10" s="21">
        <f t="array" aca="1" ref="D10" ca="1">((Table2[[#This Row],[SELL PRICE]])/AVERAGE(OFFSET(Table62[avgPrice],COUNTA(Table62[avgPrice])-1,):OFFSET(Table62[avgPrice],COUNTA(Table62[avgPrice]),)))-1</f>
        <v>1.2364948453608138E-2</v>
      </c>
      <c r="E10" s="34">
        <f t="array" ref="E10">MIN(IF((Table10[Bid]=0)*(Table10[StationID]=60003760),Table10[Price]))</f>
        <v>490997000</v>
      </c>
      <c r="F10" s="29" t="e">
        <f>((Table2[[#This Row],[MYS]]/Table2[[#This Row],[SELL PRICE]])-1)</f>
        <v>#N/A</v>
      </c>
      <c r="G10" s="2" t="e">
        <f t="array" ref="G10">INDEX(Table0[price], MATCH(MIN(IF((Table0[bid]=0)*(Table0[typeID]=29668)*(Table0[volRemaining]&gt;0),Table0[price])), Table0[price], 0))</f>
        <v>#N/A</v>
      </c>
      <c r="H10" s="6">
        <f t="array" ref="H10">INDEX(Table10[OrderID], MATCH(MIN(IF((Table10[Bid]=0)*(Table10[StationID]=60003760),Table10[Price])), Table10[Price], 0))</f>
        <v>2415862274</v>
      </c>
      <c r="I10" s="25">
        <f>(E10/M10)-1</f>
        <v>2.0140959243449164E-2</v>
      </c>
      <c r="J10" s="6">
        <f t="array" ref="J10">INDEX(Table10[OrderID], MATCH(MAX(IF((Table10[Bid]=1)*(Table10[StationID]=60003760),Table10[Price])), Table10[Price], 0))</f>
        <v>2415858495</v>
      </c>
      <c r="K10" s="2" t="e">
        <f t="array" ref="K10">INDEX(Table0[price], MATCH(MAX(IF((Table0[bid]=1)*(Table0[typeID]=29668)*(Table0[volRemaining]&gt;0),Table0[price])), Table0[price], 0))</f>
        <v>#N/A</v>
      </c>
      <c r="L10" s="21" t="e">
        <f>((Table2[[#This Row],[MY2]]/Table2[[#This Row],[BUY PRICE]])-1)</f>
        <v>#N/A</v>
      </c>
      <c r="M10" s="34">
        <f t="array" ref="M10">MAX(IF((Table10[Bid]=1)*(Table10[StationID]=60003760),Table10[Price]))</f>
        <v>481303094</v>
      </c>
      <c r="N10" s="21">
        <f t="array" aca="1" ref="N10" ca="1">((Table2[[#This Row],[BUY PRICE]])/AVERAGE(OFFSET(Table62[avgPrice],COUNTA(Table62[avgPrice])-1,):OFFSET(Table62[avgPrice],COUNTA(Table62[avgPrice]),)))-1</f>
        <v>-7.6224865979381828E-3</v>
      </c>
      <c r="O10" s="21">
        <f t="array" aca="1" ref="O10" ca="1">((Table2[[#This Row],[BUY PRICE]])/AVERAGE(OFFSET(Table62[avgPrice],COUNTA(Table62[avgPrice])-5,):OFFSET(Table62[avgPrice],COUNTA(Table62[avgPrice]),)))-1</f>
        <v>-1.0728594429995297E-2</v>
      </c>
      <c r="P10" s="40">
        <f t="array" ref="P10">SUM(Table2[[#This Row],[10%]:[2%]])</f>
        <v>0.8</v>
      </c>
      <c r="Q10" s="40">
        <f t="array" ref="Q10">SUM((Table10[VolRem])*(Table10[StationID]=60003760)*(Table10[Price]&gt;=(Table2[[#This Row],[SELL PRICE]]+(Table2[[#This Row],[SELL PRICE]]*0.05)))*(Table10[Price]&lt;=(Table2[[#This Row],[SELL PRICE]]+(Table2[[#This Row],[SELL PRICE]]*0.1)))/(SUM(IF((Table10[Bid]=0)*(Table10[StationID]=60003760),Table10[VolRem]))))</f>
        <v>8.3464566929133857E-2</v>
      </c>
      <c r="R10" s="40">
        <f t="array" ref="R10">SUM((Table10[VolRem])*(Table10[StationID]=60003760)*(Table10[Price]&gt;=(Table2[[#This Row],[SELL PRICE]]+(Table2[[#This Row],[SELL PRICE]]*0.02)))*(Table10[Price]&lt;=(Table2[[#This Row],[SELL PRICE]]+(Table2[[#This Row],[SELL PRICE]]*0.05)))/(SUM(IF((Table10[Bid]=0)*(Table10[StationID]=60003760),Table10[VolRem]))))</f>
        <v>5.6692913385826771E-2</v>
      </c>
      <c r="S10" s="40">
        <f t="array" ref="S10">SUM((Table10[VolRem])*(Table10[StationID]=60003760)*(Table10[Price]&lt;=(Table2[[#This Row],[SELL PRICE]]+(Table2[[#This Row],[SELL PRICE]]*0.02)))*(Table10[Price]&gt;=Table2[[#This Row],[SELL PRICE]]))/(SUM(IF((Table10[Bid]=0)*(Table10[StationID]=60003760),Table10[VolRem])))</f>
        <v>0.65984251968503937</v>
      </c>
      <c r="T10" s="40">
        <f ca="1">SUM(Table2[[#This Row],[2%2]],Table2[[#This Row],[5%2]],Table2[[#This Row],[10%2]])</f>
        <v>0.17916764636727017</v>
      </c>
      <c r="U10" s="29">
        <f t="array" aca="1" ref="U10" ca="1">SUM((Table10[VolRem])*(Table10[StationID]=60003760)*(Table10[Price]&gt;=(Table2[[#This Row],[SELL PRICE]]+(Table2[[#This Row],[SELL PRICE]]*0.05)))*(Table10[Price]&lt;=(Table2[[#This Row],[SELL PRICE]]+(Table2[[#This Row],[SELL PRICE]]*0.1)))/Table2[[#This Row],[AVG VOL.]])</f>
        <v>1.8692687514695511E-2</v>
      </c>
      <c r="V10" s="29">
        <f t="array" aca="1" ref="V10" ca="1">SUM((Table10[VolRem])*(Table10[StationID]=60003760)*(Table10[Price]&gt;=(Table2[[#This Row],[SELL PRICE]]+(Table2[[#This Row],[SELL PRICE]]*0.02)))*(Table10[Price]&lt;=(Table2[[#This Row],[SELL PRICE]]+(Table2[[#This Row],[SELL PRICE]]*0.05)))/Table2[[#This Row],[AVG VOL.]])</f>
        <v>1.2696919821302607E-2</v>
      </c>
      <c r="W10" s="45">
        <f t="array" aca="1" ref="W10" ca="1">SUM((Table10[VolRem])*(Table10[StationID]=60003760)*(Table10[Price]&lt;=(Table2[[#This Row],[SELL PRICE]]+(Table2[[#This Row],[SELL PRICE]]*0.02)))*(Table10[Price]&gt;=Table2[[#This Row],[SELL PRICE]]))/Table2[[#This Row],[AVG VOL.]]</f>
        <v>0.14777803903127204</v>
      </c>
      <c r="X10" s="27">
        <f t="array" aca="1" ref="X10" ca="1">AVERAGE(OFFSET(Table62[volume],COUNTA(Table62[volume])-30,):OFFSET(Table62[volume],COUNTA(Table62[volume]),))</f>
        <v>2835.3333333333335</v>
      </c>
      <c r="Y10" s="21">
        <f ca="1">Table2[[#This Row],[sum2]]-Table2[[#This Row],[sum]]</f>
        <v>0.29414530919351045</v>
      </c>
      <c r="Z10" s="45">
        <f t="array" aca="1" ref="Z10" ca="1">SUM((Table10[VolRem])*(Table10[StationID]=60003760)*(Table10[Price]&gt;=(Table2[[#This Row],[BUY PRICE]]-(Table2[[#This Row],[BUY PRICE]]*0.02)))*(Table10[Price]&lt;=Table2[[#This Row],[BUY PRICE]]))/Table2[[#This Row],[AVG VOL.]]</f>
        <v>0.21937455913472842</v>
      </c>
      <c r="AA10" s="21">
        <f t="array" aca="1" ref="AA10" ca="1">SUM((Table10[VolRem])*(Table10[StationID]=60003760)*(Table10[Price]&lt;=(Table2[[#This Row],[BUY PRICE]]-(Table2[[#This Row],[BUY PRICE]]*0.02)))*(Table10[Price]&gt;=(Table2[[#This Row],[BUY PRICE]]-(Table2[[#This Row],[BUY PRICE]]*0.05))))/Table2[[#This Row],[AVG VOL.]]</f>
        <v>3.7032682812132608E-2</v>
      </c>
      <c r="AB10" s="21">
        <f t="array" aca="1" ref="AB10" ca="1">SUM((Table10[VolRem])*(Table10[StationID]=60003760)*(Table10[Price]&lt;=(Table2[[#This Row],[BUY PRICE]]-(Table2[[#This Row],[BUY PRICE]]*0.05)))*(Table10[Price]&gt;=(Table2[[#This Row],[BUY PRICE]]-(Table2[[#This Row],[BUY PRICE]]*0.1))))/Table2[[#This Row],[AVG VOL.]]</f>
        <v>0.21690571361391958</v>
      </c>
      <c r="AC10" s="21">
        <f ca="1">SUM(Table2[[#This Row],[10.00%]],Table2[[#This Row],[5.00%]],Table2[[#This Row],[2.00%]])</f>
        <v>0.47331295556078062</v>
      </c>
      <c r="AD10" s="3">
        <f t="array" aca="1" ref="AD10" ca="1">(((SUM(IF((Table10[Bid]=0)*(Table10[StationID]=60003760),Table10[VolEnt])))-(SUM(IF((Table10[Bid]=0)*(Table10[StationID]=60003760),Table10[VolRem]))))/Table2[[#This Row],[AVG VOL.]])</f>
        <v>1.0228074300493769E-2</v>
      </c>
      <c r="AE10" s="3">
        <f t="array" aca="1" ref="AE10" ca="1">SUM(IF((Table10[Bid]=0)*(Table10[StationID]=60003760),Table10[VolRem]))/Table2[[#This Row],[AVG VOL.]]</f>
        <v>0.2239595579590877</v>
      </c>
      <c r="AF10" s="3">
        <f t="array" aca="1" ref="AF10" ca="1">(((SUM(IF((Table10[Bid]=1)*(Table10[StationID]=60003760),Table10[VolEnt])))-(SUM(IF((Table10[Bid]=1)*(Table10[StationID]=60003760),Table10[VolRem]))))/Table2[[#This Row],[AVG VOL.]])</f>
        <v>0.1153303550434987</v>
      </c>
      <c r="AG10" s="27">
        <f t="array" aca="1" ref="AG10" ca="1">Table2[[#This Row],[AVG VOL.]]*Table2[[#This Row],[BUY PRICE]]</f>
        <v>1364654705854.6667</v>
      </c>
      <c r="AH10" s="28">
        <f ca="1">((E10-M10)*X10)-(Table2[[#This Row],[EXPENSE]]*0.0092)</f>
        <v>14930631518.137066</v>
      </c>
      <c r="AI10" s="2"/>
      <c r="AJ10" s="2"/>
      <c r="AM10"/>
      <c r="AO10" s="37"/>
      <c r="AP10" s="37"/>
    </row>
    <row r="11" spans="1:42" x14ac:dyDescent="0.55000000000000004">
      <c r="A11" s="1">
        <v>16649</v>
      </c>
      <c r="B11" s="2" t="s">
        <v>11</v>
      </c>
      <c r="C11" s="21">
        <f t="array" aca="1" ref="C11" ca="1">((Table2[[#This Row],[SELL PRICE]])/AVERAGE(OFFSET(Table103[avgPrice],COUNTA(Table103[avgPrice])-5,):OFFSET(Table103[avgPrice],COUNTA(Table103[avgPrice]),)))-1</f>
        <v>7.6873718839681304E-2</v>
      </c>
      <c r="D11" s="21">
        <f t="array" aca="1" ref="D11" ca="1">((Table2[[#This Row],[SELL PRICE]])/AVERAGE(OFFSET(Table103[avgPrice],COUNTA(Table103[avgPrice])-1,):OFFSET(Table103[avgPrice],COUNTA(Table103[avgPrice]),)))-1</f>
        <v>3.5527980769230805E-2</v>
      </c>
      <c r="E11" s="32">
        <f t="array" ref="E11">MIN(IF((Table17[Bid]=0)*(Table17[StationID]=60003760),Table17[Price]))</f>
        <v>107694.91</v>
      </c>
      <c r="F11" s="29" t="e">
        <f>((Table2[[#This Row],[MYS]]/Table2[[#This Row],[SELL PRICE]])-1)</f>
        <v>#N/A</v>
      </c>
      <c r="G11" s="2" t="e">
        <f t="array" ref="G11">INDEX(Table0[price], MATCH(MIN(IF((Table0[bid]=0)*(Table0[typeID]=16649)*(Table0[volRemaining]&gt;0),Table0[price])), Table0[price], 0))</f>
        <v>#N/A</v>
      </c>
      <c r="H11" s="6">
        <f t="array" ref="H11">INDEX(Table17[OrderID], MATCH(MIN(IF((Table17[Bid]=0)*(Table17[StationID]=60003760),Table17[Price])), Table17[Price], 0))</f>
        <v>2415848360</v>
      </c>
      <c r="I11" s="25">
        <f>(E11/M11)-1</f>
        <v>8.1252484889861698E-2</v>
      </c>
      <c r="J11" s="6">
        <f t="array" ref="J11">INDEX(Table17[OrderID], MATCH(MAX(IF((Table17[Bid]=1)*(Table17[StationID]=60003760),Table17[Price])), Table17[Price], 0))</f>
        <v>2415856769</v>
      </c>
      <c r="K11" s="2" t="e">
        <f t="array" ref="K11">INDEX(Table0[price], MATCH(MAX(IF((Table0[bid]=1)*(Table0[typeID]=16649)*(Table0[volRemaining]&gt;0),Table0[price])), Table0[price], 0))</f>
        <v>#N/A</v>
      </c>
      <c r="L11" s="21" t="e">
        <f>((Table2[[#This Row],[MY2]]/Table2[[#This Row],[BUY PRICE]])-1)</f>
        <v>#N/A</v>
      </c>
      <c r="M11" s="32">
        <f t="array" ref="M11">MAX(IF((Table17[Bid]=1)*(Table17[StationID]=60003760),Table17[Price]))</f>
        <v>99602</v>
      </c>
      <c r="N11" s="21">
        <f t="array" aca="1" ref="N11" ca="1">((Table2[[#This Row],[BUY PRICE]])/AVERAGE(OFFSET(Table103[avgPrice],COUNTA(Table103[avgPrice])-1,):OFFSET(Table103[avgPrice],COUNTA(Table103[avgPrice]),)))-1</f>
        <v>-4.2288461538461553E-2</v>
      </c>
      <c r="O11" s="21">
        <f t="array" aca="1" ref="O11" ca="1">((Table2[[#This Row],[BUY PRICE]])/AVERAGE(OFFSET(Table103[avgPrice],COUNTA(Table103[avgPrice])-5,):OFFSET(Table103[avgPrice],COUNTA(Table103[avgPrice]),)))-1</f>
        <v>-4.0497165198436491E-3</v>
      </c>
      <c r="P11" s="40">
        <f t="array" ref="P11">SUM(Table2[[#This Row],[10%]:[2%]])</f>
        <v>0.8589736872235838</v>
      </c>
      <c r="Q11" s="40">
        <f t="array" ref="Q11">SUM((Table17[VolRem])*(Table17[StationID]=60003760)*(Table17[Price]&gt;=(Table2[[#This Row],[SELL PRICE]]+(Table2[[#This Row],[SELL PRICE]]*0.05)))*(Table17[Price]&lt;=(Table2[[#This Row],[SELL PRICE]]+(Table2[[#This Row],[SELL PRICE]]*0.1)))/(SUM(IF((Table17[Bid]=0)*(Table17[StationID]=60003760),Table17[VolRem]))))</f>
        <v>9.7686594825160442E-2</v>
      </c>
      <c r="R11" s="40">
        <f t="array" ref="R11">SUM((Table17[VolRem])*(Table17[StationID]=60003760)*(Table17[Price]&gt;=(Table2[[#This Row],[SELL PRICE]]+(Table2[[#This Row],[SELL PRICE]]*0.02)))*(Table17[Price]&lt;=(Table2[[#This Row],[SELL PRICE]]+(Table2[[#This Row],[SELL PRICE]]*0.05)))/(SUM(IF((Table17[Bid]=0)*(Table17[StationID]=60003760),Table17[VolRem]))))</f>
        <v>7.739845255491451E-2</v>
      </c>
      <c r="S11" s="40">
        <f t="array" ref="S11">SUM((Table17[VolRem])*(Table17[StationID]=60003760)*(Table17[Price]&lt;=(Table2[[#This Row],[SELL PRICE]]+(Table2[[#This Row],[SELL PRICE]]*0.02)))*(Table17[Price]&gt;=Table2[[#This Row],[SELL PRICE]]))/(SUM(IF((Table17[Bid]=0)*(Table17[StationID]=60003760),Table17[VolRem])))</f>
        <v>0.68388863984350889</v>
      </c>
      <c r="T11" s="40">
        <f ca="1">SUM(Table2[[#This Row],[2%2]],Table2[[#This Row],[5%2]],Table2[[#This Row],[10%2]])</f>
        <v>0.79630725098112665</v>
      </c>
      <c r="U11" s="29">
        <f t="array" aca="1" ref="U11" ca="1">SUM((Table17[VolRem])*(Table17[StationID]=60003760)*(Table17[Price]&gt;=(Table2[[#This Row],[SELL PRICE]]+(Table2[[#This Row],[SELL PRICE]]*0.05)))*(Table17[Price]&lt;=(Table2[[#This Row],[SELL PRICE]]+(Table2[[#This Row],[SELL PRICE]]*0.1)))/Table2[[#This Row],[AVG VOL.]])</f>
        <v>9.0559868061107371E-2</v>
      </c>
      <c r="V11" s="29">
        <f t="array" aca="1" ref="V11" ca="1">SUM((Table17[VolRem])*(Table17[StationID]=60003760)*(Table17[Price]&gt;=(Table2[[#This Row],[SELL PRICE]]+(Table2[[#This Row],[SELL PRICE]]*0.02)))*(Table17[Price]&lt;=(Table2[[#This Row],[SELL PRICE]]+(Table2[[#This Row],[SELL PRICE]]*0.05)))/Table2[[#This Row],[AVG VOL.]])</f>
        <v>7.1751847467423732E-2</v>
      </c>
      <c r="W11" s="45">
        <f t="array" aca="1" ref="W11" ca="1">SUM((Table17[VolRem])*(Table17[StationID]=60003760)*(Table17[Price]&lt;=(Table2[[#This Row],[SELL PRICE]]+(Table2[[#This Row],[SELL PRICE]]*0.02)))*(Table17[Price]&gt;=Table2[[#This Row],[SELL PRICE]]))/Table2[[#This Row],[AVG VOL.]]</f>
        <v>0.63399553545259557</v>
      </c>
      <c r="X11" s="27">
        <f t="array" aca="1" ref="X11" ca="1">AVERAGE(OFFSET(Table103[volume],COUNTA(Table103[volume])-30,):OFFSET(Table103[volume],COUNTA(Table103[volume]),))</f>
        <v>1111706.5666666667</v>
      </c>
      <c r="Y11" s="21">
        <f ca="1">Table2[[#This Row],[sum2]]-Table2[[#This Row],[sum]]</f>
        <v>0.51586814110450074</v>
      </c>
      <c r="Z11" s="45">
        <f t="array" aca="1" ref="Z11" ca="1">SUM((Table17[VolRem])*(Table17[StationID]=60003760)*(Table17[Price]&gt;=(Table2[[#This Row],[BUY PRICE]]-(Table2[[#This Row],[BUY PRICE]]*0.02)))*(Table17[Price]&lt;=Table2[[#This Row],[BUY PRICE]]))/Table2[[#This Row],[AVG VOL.]]</f>
        <v>0.69057341480127388</v>
      </c>
      <c r="AA11" s="21">
        <f t="array" aca="1" ref="AA11" ca="1">SUM((Table17[VolRem])*(Table17[StationID]=60003760)*(Table17[Price]&lt;=(Table2[[#This Row],[BUY PRICE]]-(Table2[[#This Row],[BUY PRICE]]*0.02)))*(Table17[Price]&gt;=(Table2[[#This Row],[BUY PRICE]]-(Table2[[#This Row],[BUY PRICE]]*0.05))))/Table2[[#This Row],[AVG VOL.]]</f>
        <v>0.44196824479793034</v>
      </c>
      <c r="AB11" s="21">
        <f t="array" aca="1" ref="AB11" ca="1">SUM((Table17[VolRem])*(Table17[StationID]=60003760)*(Table17[Price]&lt;=(Table2[[#This Row],[BUY PRICE]]-(Table2[[#This Row],[BUY PRICE]]*0.05)))*(Table17[Price]&gt;=(Table2[[#This Row],[BUY PRICE]]-(Table2[[#This Row],[BUY PRICE]]*0.1))))/Table2[[#This Row],[AVG VOL.]]</f>
        <v>0.1796337324864232</v>
      </c>
      <c r="AC11" s="21">
        <f ca="1">SUM(Table2[[#This Row],[10.00%]],Table2[[#This Row],[5.00%]],Table2[[#This Row],[2.00%]])</f>
        <v>1.3121753920856274</v>
      </c>
      <c r="AD11" s="3">
        <f t="array" aca="1" ref="AD11" ca="1">(((SUM(IF((Table17[Bid]=0)*(Table17[StationID]=60003760),Table17[VolEnt])))-(SUM(IF((Table17[Bid]=0)*(Table17[StationID]=60003760),Table17[VolRem]))))/Table2[[#This Row],[AVG VOL.]])</f>
        <v>0.19552551592076289</v>
      </c>
      <c r="AE11" s="3">
        <f t="array" aca="1" ref="AE11" ca="1">SUM(IF((Table17[Bid]=0)*(Table17[StationID]=60003760),Table17[VolRem]))/Table2[[#This Row],[AVG VOL.]]</f>
        <v>0.92704498732084495</v>
      </c>
      <c r="AF11" s="3">
        <f t="array" aca="1" ref="AF11" ca="1">(((SUM(IF((Table17[Bid]=1)*(Table17[StationID]=60003760),Table17[VolEnt])))-(SUM(IF((Table17[Bid]=1)*(Table17[StationID]=60003760),Table17[VolRem]))))/Table2[[#This Row],[AVG VOL.]])</f>
        <v>6.900651871655461E-2</v>
      </c>
      <c r="AG11" s="27">
        <f t="array" aca="1" ref="AG11" ca="1">Table2[[#This Row],[AVG VOL.]]*Table2[[#This Row],[BUY PRICE]]</f>
        <v>110728197453.13333</v>
      </c>
      <c r="AH11" s="28">
        <f ca="1">((E11-M11)*X11)-(Table2[[#This Row],[EXPENSE]]*0.0092)</f>
        <v>7978241773.8735104</v>
      </c>
      <c r="AI11" s="2"/>
      <c r="AJ11" s="2"/>
      <c r="AM11"/>
      <c r="AO11" s="37"/>
      <c r="AP11" s="37"/>
    </row>
    <row r="12" spans="1:42" x14ac:dyDescent="0.55000000000000004">
      <c r="A12" s="1">
        <v>11724</v>
      </c>
      <c r="B12" s="2" t="s">
        <v>21</v>
      </c>
      <c r="C12" s="21">
        <f t="array" aca="1" ref="C12" ca="1">((Table2[[#This Row],[SELL PRICE]])/AVERAGE(OFFSET(Table67[avgPrice],COUNTA(Table67[avgPrice])-5,):OFFSET(Table67[avgPrice],COUNTA(Table67[avgPrice]),)))-1</f>
        <v>0.25344580197800282</v>
      </c>
      <c r="D12" s="21">
        <f t="array" aca="1" ref="D12" ca="1">((Table2[[#This Row],[SELL PRICE]])/AVERAGE(OFFSET(Table67[avgPrice],COUNTA(Table67[avgPrice])-1,):OFFSET(Table67[avgPrice],COUNTA(Table67[avgPrice]),)))-1</f>
        <v>0.24872423312883418</v>
      </c>
      <c r="E12" s="32">
        <f>'Refine Index'!I114</f>
        <v>40708.409999999996</v>
      </c>
      <c r="F12" s="29" t="e">
        <f>((Table2[[#This Row],[MYS]]/Table2[[#This Row],[SELL PRICE]])-1)</f>
        <v>#N/A</v>
      </c>
      <c r="G12" s="2" t="e">
        <f t="array" ref="G12">INDEX(Table0[price], MATCH(MIN(IF((Table0[bid]=0)*(Table0[typeID]=11724)*(Table0[volRemaining]&gt;0),Table0[price])), Table0[price], 0))</f>
        <v>#N/A</v>
      </c>
      <c r="H12" s="6">
        <f t="array" ref="H12">INDEX(Table34[OrderID], MATCH(MIN(IF((Table34[Bid]=0)*(Table34[StationID]=60003760),Table34[Price])), Table34[Price], 0))</f>
        <v>2875958070</v>
      </c>
      <c r="I12" s="25">
        <f>(E12/M12)-1</f>
        <v>6.1325694757482285E-2</v>
      </c>
      <c r="J12" s="6">
        <f t="array" ref="J12">INDEX(Table34[OrderID], MATCH(MAX(IF((Table34[Bid]=1)*(Table34[StationID]=60003760),Table34[Price])), Table34[Price], 0))</f>
        <v>2871597842</v>
      </c>
      <c r="K12" s="2" t="e">
        <f t="array" ref="K12">INDEX(Table0[price], MATCH(MAX(IF((Table0[bid]=1)*(Table0[typeID]=11724)*(Table0[volRemaining]&gt;0),Table0[price])), Table0[price], 0))</f>
        <v>#N/A</v>
      </c>
      <c r="L12" s="21" t="e">
        <f>((Table2[[#This Row],[MY2]]/Table2[[#This Row],[BUY PRICE]])-1)</f>
        <v>#N/A</v>
      </c>
      <c r="M12" s="32">
        <f t="array" ref="M12">MAX(IF((Table34[Bid]=1)*(Table34[StationID]=60003760),Table34[Price]))</f>
        <v>38356.19</v>
      </c>
      <c r="N12" s="21">
        <f t="array" aca="1" ref="N12" ca="1">((Table2[[#This Row],[BUY PRICE]])/AVERAGE(OFFSET(Table67[avgPrice],COUNTA(Table67[avgPrice])-1,):OFFSET(Table67[avgPrice],COUNTA(Table67[avgPrice]),)))-1</f>
        <v>0.17657024539877297</v>
      </c>
      <c r="O12" s="21">
        <f t="array" aca="1" ref="O12" ca="1">((Table2[[#This Row],[BUY PRICE]])/AVERAGE(OFFSET(Table67[avgPrice],COUNTA(Table67[avgPrice])-5,):OFFSET(Table67[avgPrice],COUNTA(Table67[avgPrice]),)))-1</f>
        <v>0.18101899178500624</v>
      </c>
      <c r="P12" s="40">
        <f t="array" ref="P12">SUM(Table2[[#This Row],[10%]:[2%]])</f>
        <v>0</v>
      </c>
      <c r="Q12" s="40">
        <f t="array" ref="Q12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0</v>
      </c>
      <c r="R12" s="40">
        <f t="array" ref="R12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</v>
      </c>
      <c r="S12" s="40">
        <f t="array" ref="S12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</v>
      </c>
      <c r="T12" s="40">
        <f>SUM(Table2[[#This Row],[2%2]],Table2[[#This Row],[5%2]],Table2[[#This Row],[10%2]])</f>
        <v>0</v>
      </c>
      <c r="U12" s="29"/>
      <c r="V12" s="29"/>
      <c r="W12" s="45"/>
      <c r="X12" s="27">
        <f t="array" aca="1" ref="X12" ca="1">AVERAGE(OFFSET(Table67[volume],COUNTA(Table67[volume])-30,):OFFSET(Table67[volume],COUNTA(Table67[volume]),))</f>
        <v>1677232.4</v>
      </c>
      <c r="Y12" s="21">
        <f>Table2[[#This Row],[sum2]]-Table2[[#This Row],[sum]]</f>
        <v>0</v>
      </c>
      <c r="Z12" s="45"/>
      <c r="AA12" s="21"/>
      <c r="AB12" s="21"/>
      <c r="AC12" s="21">
        <f>SUM(Table2[[#This Row],[10.00%]],Table2[[#This Row],[5.00%]],Table2[[#This Row],[2.00%]])</f>
        <v>0</v>
      </c>
      <c r="AD12" s="3"/>
      <c r="AE12" s="3"/>
      <c r="AF12" s="3"/>
      <c r="AG12" s="27">
        <f t="array" aca="1" ref="AG12" ca="1">Table2[[#This Row],[AVG VOL.]]*Table2[[#This Row],[BUY PRICE]]</f>
        <v>64332244608.556</v>
      </c>
      <c r="AH12" s="28">
        <f ca="1">((E12-M12)*X12)-(Table2[[#This Row],[EXPENSE]]*0.0092)</f>
        <v>3353362945.5292745</v>
      </c>
      <c r="AI12" s="2"/>
      <c r="AJ12" s="2"/>
      <c r="AM12"/>
      <c r="AO12" s="37"/>
      <c r="AP12" s="37"/>
    </row>
    <row r="13" spans="1:42" x14ac:dyDescent="0.55000000000000004">
      <c r="A13" s="1">
        <v>30310</v>
      </c>
      <c r="B13" s="2" t="s">
        <v>43</v>
      </c>
      <c r="C13" s="21">
        <f t="array" aca="1" ref="C13" ca="1">((Table2[[#This Row],[SELL PRICE]])/AVERAGE(OFFSET(Table69[avgPrice],COUNTA(Table69[avgPrice])-5,):OFFSET(Table69[avgPrice],COUNTA(Table69[avgPrice]),)))-1</f>
        <v>-7.338138673849115E-2</v>
      </c>
      <c r="D13" s="21">
        <f t="array" aca="1" ref="D13" ca="1">((Table2[[#This Row],[SELL PRICE]])/AVERAGE(OFFSET(Table69[avgPrice],COUNTA(Table69[avgPrice])-1,):OFFSET(Table69[avgPrice],COUNTA(Table69[avgPrice]),)))-1</f>
        <v>-0.10789232396686887</v>
      </c>
      <c r="E13" s="32">
        <f t="array" ref="E13">MIN(IF((Table46[Bid]=0)*(Table46[StationID]=60003760),Table46[Price]))</f>
        <v>1288599.58</v>
      </c>
      <c r="F13" s="29" t="e">
        <f>((Table2[[#This Row],[MYS]]/Table2[[#This Row],[SELL PRICE]])-1)</f>
        <v>#N/A</v>
      </c>
      <c r="G13" s="2" t="e">
        <f t="array" ref="G13">INDEX(Table0[price], MATCH(MIN(IF((Table0[bid]=0)*(Table0[typeID]=30310)*(Table0[volRemaining]&gt;0),Table0[price])), Table0[price], 0))</f>
        <v>#N/A</v>
      </c>
      <c r="H13" s="6">
        <f t="array" ref="H13">INDEX(Table46[OrderID], MATCH(MIN(IF((Table46[Bid]=0)*(Table46[StationID]=60003760),Table46[Price])), Table46[Price], 0))</f>
        <v>2874836916</v>
      </c>
      <c r="I13" s="25">
        <f>(E13/M13)-1</f>
        <v>0.21761275630728538</v>
      </c>
      <c r="J13" s="6">
        <f t="array" ref="J13">INDEX(Table46[OrderID], MATCH(MAX(IF((Table46[Bid]=1)*(Table46[StationID]=60003760),Table46[Price])), Table46[Price], 0))</f>
        <v>2879023016</v>
      </c>
      <c r="K13" s="2" t="e">
        <f t="array" ref="K13">INDEX(Table0[price], MATCH(MAX(IF((Table0[bid]=1)*(Table0[typeID]=30310)*(Table0[volRemaining]&gt;0),Table0[price])), Table0[price], 0))</f>
        <v>#N/A</v>
      </c>
      <c r="L13" s="21" t="e">
        <f>((Table2[[#This Row],[MY2]]/Table2[[#This Row],[BUY PRICE]])-1)</f>
        <v>#N/A</v>
      </c>
      <c r="M13" s="32">
        <f t="array" ref="M13">MAX(IF((Table46[Bid]=1)*(Table46[StationID]=60003760),Table46[Price]))</f>
        <v>1058300</v>
      </c>
      <c r="N13" s="21">
        <f t="array" aca="1" ref="N13" ca="1">((Table2[[#This Row],[BUY PRICE]])/AVERAGE(OFFSET(Table69[avgPrice],COUNTA(Table69[avgPrice])-1,):OFFSET(Table69[avgPrice],COUNTA(Table69[avgPrice]),)))-1</f>
        <v>-0.26733054379401344</v>
      </c>
      <c r="O13" s="21">
        <f t="array" aca="1" ref="O13" ca="1">((Table2[[#This Row],[BUY PRICE]])/AVERAGE(OFFSET(Table69[avgPrice],COUNTA(Table69[avgPrice])-5,):OFFSET(Table69[avgPrice],COUNTA(Table69[avgPrice]),)))-1</f>
        <v>-0.23898742973775089</v>
      </c>
      <c r="P13" s="40">
        <f t="array" ref="P13">SUM(Table2[[#This Row],[10%]:[2%]])</f>
        <v>0.50637958532695371</v>
      </c>
      <c r="Q13" s="40">
        <f t="array" ref="Q13">SUM((Table46[VolRem])*(Table46[StationID]=60003760)*(Table46[Price]&gt;=(Table2[[#This Row],[SELL PRICE]]+(Table2[[#This Row],[SELL PRICE]]*0.05)))*(Table46[Price]&lt;=(Table2[[#This Row],[SELL PRICE]]+(Table2[[#This Row],[SELL PRICE]]*0.1)))/(SUM(IF((Table46[Bid]=0)*(Table46[StationID]=60003760),Table46[VolRem]))))</f>
        <v>0</v>
      </c>
      <c r="R13" s="40">
        <f t="array" ref="R13">SUM((Table46[VolRem])*(Table46[StationID]=60003760)*(Table46[Price]&gt;=(Table2[[#This Row],[SELL PRICE]]+(Table2[[#This Row],[SELL PRICE]]*0.02)))*(Table46[Price]&lt;=(Table2[[#This Row],[SELL PRICE]]+(Table2[[#This Row],[SELL PRICE]]*0.05)))/(SUM(IF((Table46[Bid]=0)*(Table46[StationID]=60003760),Table46[VolRem]))))</f>
        <v>9.6267942583732058E-2</v>
      </c>
      <c r="S13" s="40">
        <f t="array" ref="S13">SUM((Table46[VolRem])*(Table46[StationID]=60003760)*(Table46[Price]&lt;=(Table2[[#This Row],[SELL PRICE]]+(Table2[[#This Row],[SELL PRICE]]*0.02)))*(Table46[Price]&gt;=Table2[[#This Row],[SELL PRICE]]))/(SUM(IF((Table46[Bid]=0)*(Table46[StationID]=60003760),Table46[VolRem])))</f>
        <v>0.4101116427432217</v>
      </c>
      <c r="T13" s="40">
        <f ca="1">SUM(Table2[[#This Row],[2%2]],Table2[[#This Row],[5%2]],Table2[[#This Row],[10%2]])</f>
        <v>1.3543989170496427</v>
      </c>
      <c r="U13" s="29">
        <f t="array" aca="1" ref="U13" ca="1">SUM((Table46[VolRem])*(Table46[StationID]=60003760)*(Table46[Price]&gt;=(Table2[[#This Row],[SELL PRICE]]+(Table2[[#This Row],[SELL PRICE]]*0.05)))*(Table46[Price]&lt;=(Table2[[#This Row],[SELL PRICE]]+(Table2[[#This Row],[SELL PRICE]]*0.1)))/Table2[[#This Row],[AVG VOL.]])</f>
        <v>0</v>
      </c>
      <c r="V13" s="29">
        <f t="array" aca="1" ref="V13" ca="1">SUM((Table46[VolRem])*(Table46[StationID]=60003760)*(Table46[Price]&gt;=(Table2[[#This Row],[SELL PRICE]]+(Table2[[#This Row],[SELL PRICE]]*0.02)))*(Table46[Price]&lt;=(Table2[[#This Row],[SELL PRICE]]+(Table2[[#This Row],[SELL PRICE]]*0.05)))/Table2[[#This Row],[AVG VOL.]])</f>
        <v>0.25748509805705966</v>
      </c>
      <c r="W13" s="45">
        <f t="array" aca="1" ref="W13" ca="1">SUM((Table46[VolRem])*(Table46[StationID]=60003760)*(Table46[Price]&lt;=(Table2[[#This Row],[SELL PRICE]]+(Table2[[#This Row],[SELL PRICE]]*0.02)))*(Table46[Price]&gt;=Table2[[#This Row],[SELL PRICE]]))/Table2[[#This Row],[AVG VOL.]]</f>
        <v>1.0969138189925831</v>
      </c>
      <c r="X13" s="27">
        <f t="array" aca="1" ref="X13" ca="1">AVERAGE(OFFSET(Table69[volume],COUNTA(Table69[volume])-30,):OFFSET(Table69[volume],COUNTA(Table69[volume]),))</f>
        <v>11721.066666666668</v>
      </c>
      <c r="Y13" s="21">
        <f ca="1">Table2[[#This Row],[sum2]]-Table2[[#This Row],[sum]]</f>
        <v>-0.58578286390317136</v>
      </c>
      <c r="Z13" s="45">
        <f t="array" aca="1" ref="Z13" ca="1">SUM((Table46[VolRem])*(Table46[StationID]=60003760)*(Table46[Price]&gt;=(Table2[[#This Row],[BUY PRICE]]-(Table2[[#This Row],[BUY PRICE]]*0.02)))*(Table46[Price]&lt;=Table2[[#This Row],[BUY PRICE]]))/Table2[[#This Row],[AVG VOL.]]</f>
        <v>0.7686160531464713</v>
      </c>
      <c r="AA13" s="21">
        <f t="array" aca="1" ref="AA13" ca="1">SUM((Table46[VolRem])*(Table46[StationID]=60003760)*(Table46[Price]&lt;=(Table2[[#This Row],[BUY PRICE]]-(Table2[[#This Row],[BUY PRICE]]*0.02)))*(Table46[Price]&gt;=(Table2[[#This Row],[BUY PRICE]]-(Table2[[#This Row],[BUY PRICE]]*0.05))))/Table2[[#This Row],[AVG VOL.]]</f>
        <v>0</v>
      </c>
      <c r="AB13" s="21">
        <f t="array" aca="1" ref="AB13" ca="1">SUM((Table46[VolRem])*(Table46[StationID]=60003760)*(Table46[Price]&lt;=(Table2[[#This Row],[BUY PRICE]]-(Table2[[#This Row],[BUY PRICE]]*0.05)))*(Table46[Price]&gt;=(Table2[[#This Row],[BUY PRICE]]-(Table2[[#This Row],[BUY PRICE]]*0.1))))/Table2[[#This Row],[AVG VOL.]]</f>
        <v>0</v>
      </c>
      <c r="AC13" s="21">
        <f ca="1">SUM(Table2[[#This Row],[10.00%]],Table2[[#This Row],[5.00%]],Table2[[#This Row],[2.00%]])</f>
        <v>0.7686160531464713</v>
      </c>
      <c r="AD13" s="3">
        <f t="array" aca="1" ref="AD13" ca="1">(((SUM(IF((Table46[Bid]=0)*(Table46[StationID]=60003760),Table46[VolEnt])))-(SUM(IF((Table46[Bid]=0)*(Table46[StationID]=60003760),Table46[VolRem]))))/Table2[[#This Row],[AVG VOL.]])</f>
        <v>0.95025481184875094</v>
      </c>
      <c r="AE13" s="3">
        <f t="array" aca="1" ref="AE13" ca="1">SUM(IF((Table46[Bid]=0)*(Table46[StationID]=60003760),Table46[VolRem]))/Table2[[#This Row],[AVG VOL.]]</f>
        <v>2.6746712472129954</v>
      </c>
      <c r="AF13" s="3">
        <f t="array" aca="1" ref="AF13" ca="1">(((SUM(IF((Table46[Bid]=1)*(Table46[StationID]=60003760),Table46[VolEnt])))-(SUM(IF((Table46[Bid]=1)*(Table46[StationID]=60003760),Table46[VolRem]))))/Table2[[#This Row],[AVG VOL.]])</f>
        <v>0.18368635391545707</v>
      </c>
      <c r="AG13" s="27">
        <f t="array" aca="1" ref="AG13" ca="1">Table2[[#This Row],[AVG VOL.]]*Table2[[#This Row],[BUY PRICE]]</f>
        <v>12404404853.333334</v>
      </c>
      <c r="AH13" s="28">
        <f ca="1">((E13-M13)*X13)-(Table2[[#This Row],[EXPENSE]]*0.0092)</f>
        <v>2585236205.8346677</v>
      </c>
      <c r="AI13" s="2"/>
      <c r="AJ13" s="2"/>
      <c r="AM13"/>
      <c r="AO13" s="37"/>
      <c r="AP13" s="37"/>
    </row>
    <row r="14" spans="1:42" x14ac:dyDescent="0.55000000000000004">
      <c r="A14" s="1">
        <v>16274</v>
      </c>
      <c r="B14" s="2" t="s">
        <v>22</v>
      </c>
      <c r="C14" s="21">
        <f t="array" aca="1" ref="C14" ca="1">((Table2[[#This Row],[SELL PRICE]])/AVERAGE(OFFSET(Table84[avgPrice],COUNTA(Table84[avgPrice])-5,):OFFSET(Table84[avgPrice],COUNTA(Table84[avgPrice]),)))-1</f>
        <v>-0.24450347364119329</v>
      </c>
      <c r="D14" s="21">
        <f t="array" aca="1" ref="D14" ca="1">((Table2[[#This Row],[SELL PRICE]])/AVERAGE(OFFSET(Table84[avgPrice],COUNTA(Table84[avgPrice])-1,):OFFSET(Table84[avgPrice],COUNTA(Table84[avgPrice]),)))-1</f>
        <v>-0.26051999999999997</v>
      </c>
      <c r="E14" s="32">
        <f t="array" ref="E14">MIN(IF((Table38[Bid]=0)*(Table38[StationID]=60003760),Table38[Price]))</f>
        <v>369.74</v>
      </c>
      <c r="F14" s="29" t="e">
        <f>((Table2[[#This Row],[MYS]]/Table2[[#This Row],[SELL PRICE]])-1)</f>
        <v>#N/A</v>
      </c>
      <c r="G14" s="2" t="e">
        <f t="array" ref="G14">INDEX(Table0[price], MATCH(MIN(IF((Table0[bid]=0)*(Table0[typeID]=16274)*(Table0[volRemaining]&gt;0),Table0[price])), Table0[price], 0))</f>
        <v>#N/A</v>
      </c>
      <c r="H14" s="6">
        <f t="array" ref="H14">INDEX(Table38[OrderID], MATCH(MIN(IF((Table38[Bid]=0)*(Table38[StationID]=60003760),Table38[Price])), Table38[Price], 0))</f>
        <v>2879060070</v>
      </c>
      <c r="I14" s="25">
        <f>(E14/M14)-1</f>
        <v>0.11964388456530295</v>
      </c>
      <c r="J14" s="6">
        <f t="array" ref="J14">INDEX(Table38[OrderID], MATCH(MAX(IF((Table38[Bid]=1)*(Table38[StationID]=60003760),Table38[Price])), Table38[Price], 0))</f>
        <v>2878865178</v>
      </c>
      <c r="K14" s="2" t="e">
        <f t="array" ref="K14">INDEX(Table0[price], MATCH(MAX(IF((Table0[bid]=1)*(Table0[typeID]=16274)*(Table0[volRemaining]&gt;0),Table0[price])), Table0[price], 0))</f>
        <v>#N/A</v>
      </c>
      <c r="L14" s="21" t="e">
        <f>((Table2[[#This Row],[MY2]]/Table2[[#This Row],[BUY PRICE]])-1)</f>
        <v>#N/A</v>
      </c>
      <c r="M14" s="32">
        <f t="array" ref="M14">MAX(IF((Table38[Bid]=1)*(Table38[StationID]=60003760),Table38[Price]))</f>
        <v>330.23</v>
      </c>
      <c r="N14" s="21">
        <f t="array" aca="1" ref="N14" ca="1">((Table2[[#This Row],[BUY PRICE]])/AVERAGE(OFFSET(Table84[avgPrice],COUNTA(Table84[avgPrice])-1,):OFFSET(Table84[avgPrice],COUNTA(Table84[avgPrice]),)))-1</f>
        <v>-0.33953999999999995</v>
      </c>
      <c r="O14" s="21">
        <f t="array" aca="1" ref="O14" ca="1">((Table2[[#This Row],[BUY PRICE]])/AVERAGE(OFFSET(Table84[avgPrice],COUNTA(Table84[avgPrice])-5,):OFFSET(Table84[avgPrice],COUNTA(Table84[avgPrice]),)))-1</f>
        <v>-0.32523498161013475</v>
      </c>
      <c r="P14" s="40">
        <f t="array" ref="P14">SUM(Table2[[#This Row],[10%]:[2%]])</f>
        <v>0.81152554779113706</v>
      </c>
      <c r="Q14" s="40">
        <f t="array" ref="Q14">SUM((Table38[VolRem])*(Table38[StationID]=60003760)*(Table38[Price]&gt;=(Table2[[#This Row],[SELL PRICE]]+(Table2[[#This Row],[SELL PRICE]]*0.05)))*(Table38[Price]&lt;=(Table2[[#This Row],[SELL PRICE]]+(Table2[[#This Row],[SELL PRICE]]*0.1)))/(SUM(IF((Table38[Bid]=0)*(Table38[StationID]=60003760),Table38[VolRem]))))</f>
        <v>0.10446988550186151</v>
      </c>
      <c r="R14" s="40">
        <f t="array" ref="R14">SUM((Table38[VolRem])*(Table38[StationID]=60003760)*(Table38[Price]&gt;=(Table2[[#This Row],[SELL PRICE]]+(Table2[[#This Row],[SELL PRICE]]*0.02)))*(Table38[Price]&lt;=(Table2[[#This Row],[SELL PRICE]]+(Table2[[#This Row],[SELL PRICE]]*0.05)))/(SUM(IF((Table38[Bid]=0)*(Table38[StationID]=60003760),Table38[VolRem]))))</f>
        <v>0.1404368560207096</v>
      </c>
      <c r="S14" s="40">
        <f t="array" ref="S14">SUM((Table38[VolRem])*(Table38[StationID]=60003760)*(Table38[Price]&lt;=(Table2[[#This Row],[SELL PRICE]]+(Table2[[#This Row],[SELL PRICE]]*0.02)))*(Table38[Price]&gt;=Table2[[#This Row],[SELL PRICE]]))/(SUM(IF((Table38[Bid]=0)*(Table38[StationID]=60003760),Table38[VolRem])))</f>
        <v>0.56661880626856598</v>
      </c>
      <c r="T14" s="40">
        <f ca="1">SUM(Table2[[#This Row],[2%2]],Table2[[#This Row],[5%2]],Table2[[#This Row],[10%2]])</f>
        <v>0.94634467008835454</v>
      </c>
      <c r="U14" s="29">
        <f t="array" aca="1" ref="U14" ca="1">SUM((Table38[VolRem])*(Table38[StationID]=60003760)*(Table38[Price]&gt;=(Table2[[#This Row],[SELL PRICE]]+(Table2[[#This Row],[SELL PRICE]]*0.05)))*(Table38[Price]&lt;=(Table2[[#This Row],[SELL PRICE]]+(Table2[[#This Row],[SELL PRICE]]*0.1)))/Table2[[#This Row],[AVG VOL.]])</f>
        <v>0.12182551689040863</v>
      </c>
      <c r="V14" s="29">
        <f t="array" aca="1" ref="V14" ca="1">SUM((Table38[VolRem])*(Table38[StationID]=60003760)*(Table38[Price]&gt;=(Table2[[#This Row],[SELL PRICE]]+(Table2[[#This Row],[SELL PRICE]]*0.02)))*(Table38[Price]&lt;=(Table2[[#This Row],[SELL PRICE]]+(Table2[[#This Row],[SELL PRICE]]*0.05)))/Table2[[#This Row],[AVG VOL.]])</f>
        <v>0.16376769719807902</v>
      </c>
      <c r="W14" s="45">
        <f t="array" aca="1" ref="W14" ca="1">SUM((Table38[VolRem])*(Table38[StationID]=60003760)*(Table38[Price]&lt;=(Table2[[#This Row],[SELL PRICE]]+(Table2[[#This Row],[SELL PRICE]]*0.02)))*(Table38[Price]&gt;=Table2[[#This Row],[SELL PRICE]]))/Table2[[#This Row],[AVG VOL.]]</f>
        <v>0.66075145599986684</v>
      </c>
      <c r="X14" s="27">
        <f ca="1">AVERAGE(OFFSET(Table84[volume],COUNTA(Table84[volume])-30,):OFFSET(Table84[volume],COUNTA(Table84[volume]),))</f>
        <v>67935857.86666666</v>
      </c>
      <c r="Y14" s="21">
        <f ca="1">Table2[[#This Row],[sum2]]-Table2[[#This Row],[sum]]</f>
        <v>-0.10117930671443909</v>
      </c>
      <c r="Z14" s="45">
        <f t="array" aca="1" ref="Z14" ca="1">SUM((Table38[VolRem])*(Table38[StationID]=60003760)*(Table38[Price]&gt;=(Table2[[#This Row],[BUY PRICE]]-(Table2[[#This Row],[BUY PRICE]]*0.02)))*(Table38[Price]&lt;=Table2[[#This Row],[BUY PRICE]]))/Table2[[#This Row],[AVG VOL.]]</f>
        <v>0.21081606164610167</v>
      </c>
      <c r="AA14" s="21">
        <f t="array" aca="1" ref="AA14" ca="1">SUM((Table38[VolRem])*(Table38[StationID]=60003760)*(Table38[Price]&lt;=(Table2[[#This Row],[BUY PRICE]]-(Table2[[#This Row],[BUY PRICE]]*0.02)))*(Table38[Price]&gt;=(Table2[[#This Row],[BUY PRICE]]-(Table2[[#This Row],[BUY PRICE]]*0.05))))/Table2[[#This Row],[AVG VOL.]]</f>
        <v>0.63434930172781379</v>
      </c>
      <c r="AB14" s="21">
        <f t="array" aca="1" ref="AB14" ca="1">SUM((Table38[VolRem])*(Table38[StationID]=60003760)*(Table38[Price]&lt;=(Table2[[#This Row],[BUY PRICE]]-(Table2[[#This Row],[BUY PRICE]]*0.05)))*(Table38[Price]&gt;=(Table2[[#This Row],[BUY PRICE]]-(Table2[[#This Row],[BUY PRICE]]*0.1))))/Table2[[#This Row],[AVG VOL.]]</f>
        <v>0</v>
      </c>
      <c r="AC14" s="21">
        <f ca="1">SUM(Table2[[#This Row],[10.00%]],Table2[[#This Row],[5.00%]],Table2[[#This Row],[2.00%]])</f>
        <v>0.84516536337391546</v>
      </c>
      <c r="AD14" s="3">
        <f t="array" aca="1" ref="AD14" ca="1">(((SUM(IF((Table38[Bid]=0)*(Table38[StationID]=60003760),Table38[VolEnt])))-(SUM(IF((Table38[Bid]=0)*(Table38[StationID]=60003760),Table38[VolRem]))))/Table2[[#This Row],[AVG VOL.]])</f>
        <v>0.20222966826979585</v>
      </c>
      <c r="AE14" s="3">
        <f t="array" aca="1" ref="AE14" ca="1">SUM(IF((Table38[Bid]=0)*(Table38[StationID]=60003760),Table38[VolRem]))/Table2[[#This Row],[AVG VOL.]]</f>
        <v>1.1661304720032251</v>
      </c>
      <c r="AF14" s="3">
        <f t="array" aca="1" ref="AF14" ca="1">(((SUM(IF((Table38[Bid]=1)*(Table38[StationID]=60003760),Table38[VolEnt])))-(SUM(IF((Table38[Bid]=1)*(Table38[StationID]=60003760),Table38[VolRem]))))/Table2[[#This Row],[AVG VOL.]])</f>
        <v>5.2752642161871068E-2</v>
      </c>
      <c r="AG14" s="27">
        <f t="array" aca="1" ref="AG14" ca="1">Table2[[#This Row],[AVG VOL.]]*Table2[[#This Row],[BUY PRICE]]</f>
        <v>22434458343.309334</v>
      </c>
      <c r="AH14" s="28">
        <f ca="1">((E14-M14)*X14)-(Table2[[#This Row],[EXPENSE]]*0.0092)</f>
        <v>2477748727.5535536</v>
      </c>
      <c r="AI14" s="2"/>
      <c r="AJ14" s="2"/>
      <c r="AM14"/>
      <c r="AO14" s="37"/>
      <c r="AP14" s="37"/>
    </row>
    <row r="15" spans="1:42" x14ac:dyDescent="0.55000000000000004">
      <c r="A15" s="1">
        <v>30259</v>
      </c>
      <c r="B15" s="2" t="s">
        <v>16</v>
      </c>
      <c r="C15" s="21">
        <f t="array" aca="1" ref="C15" ca="1">((Table2[[#This Row],[SELL PRICE]])/AVERAGE(OFFSET(Table64[avgPrice],COUNTA(Table64[avgPrice])-5,):OFFSET(Table64[avgPrice],COUNTA(Table64[avgPrice]),)))-1</f>
        <v>-0.31568607279947558</v>
      </c>
      <c r="D15" s="21">
        <f t="array" aca="1" ref="D15" ca="1">((Table2[[#This Row],[SELL PRICE]])/AVERAGE(OFFSET(Table64[avgPrice],COUNTA(Table64[avgPrice])-1,):OFFSET(Table64[avgPrice],COUNTA(Table64[avgPrice]),)))-1</f>
        <v>-0.37413034625155506</v>
      </c>
      <c r="E15" s="32">
        <f t="array" ref="E15">MIN(IF((Table28[Bid]=0)*(Table28[StationID]=60003760),Table28[Price]))</f>
        <v>5789299.9299999997</v>
      </c>
      <c r="F15" s="29" t="e">
        <f>((Table2[[#This Row],[MYS]]/Table2[[#This Row],[SELL PRICE]])-1)</f>
        <v>#N/A</v>
      </c>
      <c r="G15" s="2" t="e">
        <f t="array" ref="G15">INDEX(Table0[price], MATCH(MIN(IF((Table0[bid]=0)*(Table0[typeID]=30259)*(Table0[volRemaining]&gt;0),Table0[price])), Table0[price], 0))</f>
        <v>#N/A</v>
      </c>
      <c r="H15" s="6">
        <f t="array" ref="H15">INDEX(Table28[OrderID], MATCH(MIN(IF((Table28[Bid]=0)*(Table28[StationID]=60003760),Table28[Price])), Table28[Price], 0))</f>
        <v>2879128001</v>
      </c>
      <c r="I15" s="25">
        <f>(E15/M15)-1</f>
        <v>3.4893893566436018E-2</v>
      </c>
      <c r="J15" s="6">
        <f t="array" ref="J15">INDEX(Table28[OrderID], MATCH(MAX(IF((Table28[Bid]=1)*(Table28[StationID]=60003760),Table28[Price])), Table28[Price], 0))</f>
        <v>2879023369</v>
      </c>
      <c r="K15" s="2" t="e">
        <f t="array" ref="K15">INDEX(Table0[price], MATCH(MAX(IF((Table0[bid]=1)*(Table0[typeID]=30259)*(Table0[volRemaining]&gt;0),Table0[price])), Table0[price], 0))</f>
        <v>#N/A</v>
      </c>
      <c r="L15" s="21" t="e">
        <f>((Table2[[#This Row],[MY2]]/Table2[[#This Row],[BUY PRICE]])-1)</f>
        <v>#N/A</v>
      </c>
      <c r="M15" s="32">
        <f t="array" ref="M15">MAX(IF((Table28[Bid]=1)*(Table28[StationID]=60003760),Table28[Price]))</f>
        <v>5594100</v>
      </c>
      <c r="N15" s="21">
        <f t="array" aca="1" ref="N15" ca="1">((Table2[[#This Row],[BUY PRICE]])/AVERAGE(OFFSET(Table64[avgPrice],COUNTA(Table64[avgPrice])-1,):OFFSET(Table64[avgPrice],COUNTA(Table64[avgPrice]),)))-1</f>
        <v>-0.39523302085435807</v>
      </c>
      <c r="O15" s="21">
        <f t="array" aca="1" ref="O15" ca="1">((Table2[[#This Row],[BUY PRICE]])/AVERAGE(OFFSET(Table64[avgPrice],COUNTA(Table64[avgPrice])-5,):OFFSET(Table64[avgPrice],COUNTA(Table64[avgPrice]),)))-1</f>
        <v>-0.33875933421323812</v>
      </c>
      <c r="P15" s="40">
        <f t="array" ref="P15">SUM(Table2[[#This Row],[10%]:[2%]])</f>
        <v>0.62968299711815556</v>
      </c>
      <c r="Q15" s="40">
        <f t="array" ref="Q15">SUM((Table28[VolRem])*(Table28[StationID]=60003760)*(Table28[Price]&gt;=(Table2[[#This Row],[SELL PRICE]]+(Table2[[#This Row],[SELL PRICE]]*0.05)))*(Table28[Price]&lt;=(Table2[[#This Row],[SELL PRICE]]+(Table2[[#This Row],[SELL PRICE]]*0.1)))/(SUM(IF((Table28[Bid]=0)*(Table28[StationID]=60003760),Table28[VolRem]))))</f>
        <v>2.8587896253602307E-2</v>
      </c>
      <c r="R15" s="40">
        <f t="array" ref="R15">SUM((Table28[VolRem])*(Table28[StationID]=60003760)*(Table28[Price]&gt;=(Table2[[#This Row],[SELL PRICE]]+(Table2[[#This Row],[SELL PRICE]]*0.02)))*(Table28[Price]&lt;=(Table2[[#This Row],[SELL PRICE]]+(Table2[[#This Row],[SELL PRICE]]*0.05)))/(SUM(IF((Table28[Bid]=0)*(Table28[StationID]=60003760),Table28[VolRem]))))</f>
        <v>5.7982708933717583E-2</v>
      </c>
      <c r="S15" s="40">
        <f t="array" ref="S15">SUM((Table28[VolRem])*(Table28[StationID]=60003760)*(Table28[Price]&lt;=(Table2[[#This Row],[SELL PRICE]]+(Table2[[#This Row],[SELL PRICE]]*0.02)))*(Table28[Price]&gt;=Table2[[#This Row],[SELL PRICE]]))/(SUM(IF((Table28[Bid]=0)*(Table28[StationID]=60003760),Table28[VolRem])))</f>
        <v>0.54311239193083571</v>
      </c>
      <c r="T15" s="40">
        <f ca="1">SUM(Table2[[#This Row],[2%2]],Table2[[#This Row],[5%2]],Table2[[#This Row],[10%2]])</f>
        <v>0.79518738763656482</v>
      </c>
      <c r="U15" s="29">
        <f t="array" aca="1" ref="U15" ca="1">SUM((Table28[VolRem])*(Table28[StationID]=60003760)*(Table28[Price]&gt;=(Table2[[#This Row],[SELL PRICE]]+(Table2[[#This Row],[SELL PRICE]]*0.05)))*(Table28[Price]&lt;=(Table2[[#This Row],[SELL PRICE]]+(Table2[[#This Row],[SELL PRICE]]*0.1)))/Table2[[#This Row],[AVG VOL.]])</f>
        <v>3.6101871328854569E-2</v>
      </c>
      <c r="V15" s="29">
        <f t="array" aca="1" ref="V15" ca="1">SUM((Table28[VolRem])*(Table28[StationID]=60003760)*(Table28[Price]&gt;=(Table2[[#This Row],[SELL PRICE]]+(Table2[[#This Row],[SELL PRICE]]*0.02)))*(Table28[Price]&lt;=(Table2[[#This Row],[SELL PRICE]]+(Table2[[#This Row],[SELL PRICE]]*0.05)))/Table2[[#This Row],[AVG VOL.]])</f>
        <v>7.3222747090378418E-2</v>
      </c>
      <c r="W15" s="45">
        <f t="array" aca="1" ref="W15" ca="1">SUM((Table28[VolRem])*(Table28[StationID]=60003760)*(Table28[Price]&lt;=(Table2[[#This Row],[SELL PRICE]]+(Table2[[#This Row],[SELL PRICE]]*0.02)))*(Table28[Price]&gt;=Table2[[#This Row],[SELL PRICE]]))/Table2[[#This Row],[AVG VOL.]]</f>
        <v>0.6858627692173318</v>
      </c>
      <c r="X15" s="27">
        <f t="array" aca="1" ref="X15" ca="1">AVERAGE(OFFSET(Table64[volume],COUNTA(Table64[volume])-30,):OFFSET(Table64[volume],COUNTA(Table64[volume]),))</f>
        <v>13738.9</v>
      </c>
      <c r="Y15" s="21">
        <f ca="1">Table2[[#This Row],[sum2]]-Table2[[#This Row],[sum]]</f>
        <v>0.96157625428527738</v>
      </c>
      <c r="Z15" s="45">
        <f t="array" aca="1" ref="Z15" ca="1">SUM((Table28[VolRem])*(Table28[StationID]=60003760)*(Table28[Price]&gt;=(Table2[[#This Row],[BUY PRICE]]-(Table2[[#This Row],[BUY PRICE]]*0.02)))*(Table28[Price]&lt;=Table2[[#This Row],[BUY PRICE]]))/Table2[[#This Row],[AVG VOL.]]</f>
        <v>1.2246977560066672</v>
      </c>
      <c r="AA15" s="21">
        <f t="array" aca="1" ref="AA15" ca="1">SUM((Table28[VolRem])*(Table28[StationID]=60003760)*(Table28[Price]&lt;=(Table2[[#This Row],[BUY PRICE]]-(Table2[[#This Row],[BUY PRICE]]*0.02)))*(Table28[Price]&gt;=(Table2[[#This Row],[BUY PRICE]]-(Table2[[#This Row],[BUY PRICE]]*0.05))))/Table2[[#This Row],[AVG VOL.]]</f>
        <v>0.11274556187176557</v>
      </c>
      <c r="AB15" s="21">
        <f t="array" aca="1" ref="AB15" ca="1">SUM((Table28[VolRem])*(Table28[StationID]=60003760)*(Table28[Price]&lt;=(Table2[[#This Row],[BUY PRICE]]-(Table2[[#This Row],[BUY PRICE]]*0.05)))*(Table28[Price]&gt;=(Table2[[#This Row],[BUY PRICE]]-(Table2[[#This Row],[BUY PRICE]]*0.1))))/Table2[[#This Row],[AVG VOL.]]</f>
        <v>0.41932032404340958</v>
      </c>
      <c r="AC15" s="21">
        <f ca="1">SUM(Table2[[#This Row],[10.00%]],Table2[[#This Row],[5.00%]],Table2[[#This Row],[2.00%]])</f>
        <v>1.7567636419218422</v>
      </c>
      <c r="AD15" s="3">
        <f t="array" aca="1" ref="AD15" ca="1">(((SUM(IF((Table28[Bid]=0)*(Table28[StationID]=60003760),Table28[VolEnt])))-(SUM(IF((Table28[Bid]=0)*(Table28[StationID]=60003760),Table28[VolRem]))))/Table2[[#This Row],[AVG VOL.]])</f>
        <v>0.27112796512093401</v>
      </c>
      <c r="AE15" s="3">
        <f t="array" aca="1" ref="AE15" ca="1">SUM(IF((Table28[Bid]=0)*(Table28[StationID]=60003760),Table28[VolRem]))/Table2[[#This Row],[AVG VOL.]]</f>
        <v>1.2628376362008604</v>
      </c>
      <c r="AF15" s="3">
        <f t="array" aca="1" ref="AF15" ca="1">(((SUM(IF((Table28[Bid]=1)*(Table28[StationID]=60003760),Table28[VolEnt])))-(SUM(IF((Table28[Bid]=1)*(Table28[StationID]=60003760),Table28[VolRem]))))/Table2[[#This Row],[AVG VOL.]])</f>
        <v>0.51117629504545492</v>
      </c>
      <c r="AG15" s="27">
        <f t="array" aca="1" ref="AG15" ca="1">Table2[[#This Row],[AVG VOL.]]*Table2[[#This Row],[BUY PRICE]]</f>
        <v>76856780490</v>
      </c>
      <c r="AH15" s="28">
        <f ca="1">((E15-M15)*X15)-(Table2[[#This Row],[EXPENSE]]*0.0092)</f>
        <v>1974749937.7689958</v>
      </c>
      <c r="AI15" s="2"/>
      <c r="AJ15" s="2"/>
      <c r="AM15"/>
      <c r="AO15" s="37"/>
      <c r="AP15" s="37"/>
    </row>
    <row r="16" spans="1:42" x14ac:dyDescent="0.55000000000000004">
      <c r="A16" s="1">
        <v>17888</v>
      </c>
      <c r="B16" s="2" t="s">
        <v>13</v>
      </c>
      <c r="C16" s="21">
        <f t="array" aca="1" ref="C16" ca="1">((Table2[[#This Row],[SELL PRICE]])/AVERAGE(OFFSET(Table102[avgPrice],COUNTA(Table102[avgPrice])-5,):OFFSET(Table102[avgPrice],COUNTA(Table102[avgPrice]),)))-1</f>
        <v>-0.34990317583268782</v>
      </c>
      <c r="D16" s="21">
        <f t="array" aca="1" ref="D16" ca="1">((Table2[[#This Row],[SELL PRICE]])/AVERAGE(OFFSET(Table102[avgPrice],COUNTA(Table102[avgPrice])-1,):OFFSET(Table102[avgPrice],COUNTA(Table102[avgPrice]),)))-1</f>
        <v>-0.36896616541353389</v>
      </c>
      <c r="E16" s="32">
        <f t="array" ref="E16">MIN(IF((Table19[Bid]=0)*(Table19[StationID]=60003760),Table19[Price]))</f>
        <v>335.71</v>
      </c>
      <c r="F16" s="29" t="e">
        <f>((Table2[[#This Row],[MYS]]/Table2[[#This Row],[SELL PRICE]])-1)</f>
        <v>#N/A</v>
      </c>
      <c r="G16" s="2" t="e">
        <f t="array" ref="G16">INDEX(Table0[price], MATCH(MIN(IF((Table0[bid]=0)*(Table0[typeID]=17888)*(Table0[volRemaining]&gt;0),Table0[price])), Table0[price], 0))</f>
        <v>#N/A</v>
      </c>
      <c r="H16" s="6">
        <f t="array" ref="H16">INDEX(Table19[OrderID], MATCH(MIN(IF((Table19[Bid]=0)*(Table19[StationID]=60003760),Table19[Price])), Table19[Price], 0))</f>
        <v>2879103079</v>
      </c>
      <c r="I16" s="25">
        <f>(E16/M16)-1</f>
        <v>6.1902954387296649E-2</v>
      </c>
      <c r="J16" s="6">
        <f t="array" ref="J16">INDEX(Table19[OrderID], MATCH(MAX(IF((Table19[Bid]=1)*(Table19[StationID]=60003760),Table19[Price])), Table19[Price], 0))</f>
        <v>2878657295</v>
      </c>
      <c r="K16" s="2" t="e">
        <f t="array" ref="K16">INDEX(Table0[price], MATCH(MAX(IF((Table0[bid]=1)*(Table0[typeID]=17888)*(Table0[volRemaining]&gt;0),Table0[price])), Table0[price], 0))</f>
        <v>#N/A</v>
      </c>
      <c r="L16" s="21" t="e">
        <f>((Table2[[#This Row],[MY2]]/Table2[[#This Row],[BUY PRICE]])-1)</f>
        <v>#N/A</v>
      </c>
      <c r="M16" s="32">
        <f t="array" ref="M16">MAX(IF((Table19[Bid]=1)*(Table19[StationID]=60003760),Table19[Price]))</f>
        <v>316.14</v>
      </c>
      <c r="N16" s="21">
        <f t="array" aca="1" ref="N16" ca="1">((Table2[[#This Row],[BUY PRICE]])/AVERAGE(OFFSET(Table102[avgPrice],COUNTA(Table102[avgPrice])-1,):OFFSET(Table102[avgPrice],COUNTA(Table102[avgPrice]),)))-1</f>
        <v>-0.4057518796992482</v>
      </c>
      <c r="O16" s="21">
        <f t="array" aca="1" ref="O16" ca="1">((Table2[[#This Row],[BUY PRICE]])/AVERAGE(OFFSET(Table102[avgPrice],COUNTA(Table102[avgPrice])-5,):OFFSET(Table102[avgPrice],COUNTA(Table102[avgPrice]),)))-1</f>
        <v>-0.38780015491866771</v>
      </c>
      <c r="P16" s="40">
        <f t="array" ref="P16">SUM(Table2[[#This Row],[10%]:[2%]])</f>
        <v>0.44988834692392898</v>
      </c>
      <c r="Q16" s="40">
        <f t="array" ref="Q16">SUM((Table19[VolRem])*(Table19[StationID]=60003760)*(Table19[Price]&gt;=(Table2[[#This Row],[SELL PRICE]]+(Table2[[#This Row],[SELL PRICE]]*0.05)))*(Table19[Price]&lt;=(Table2[[#This Row],[SELL PRICE]]+(Table2[[#This Row],[SELL PRICE]]*0.1)))/(SUM(IF((Table19[Bid]=0)*(Table19[StationID]=60003760),Table19[VolRem]))))</f>
        <v>7.1392943079414392E-2</v>
      </c>
      <c r="R16" s="40">
        <f t="array" ref="R16">SUM((Table19[VolRem])*(Table19[StationID]=60003760)*(Table19[Price]&gt;=(Table2[[#This Row],[SELL PRICE]]+(Table2[[#This Row],[SELL PRICE]]*0.02)))*(Table19[Price]&lt;=(Table2[[#This Row],[SELL PRICE]]+(Table2[[#This Row],[SELL PRICE]]*0.05)))/(SUM(IF((Table19[Bid]=0)*(Table19[StationID]=60003760),Table19[VolRem]))))</f>
        <v>4.9133182742921153E-2</v>
      </c>
      <c r="S16" s="40">
        <f t="array" ref="S16">SUM((Table19[VolRem])*(Table19[StationID]=60003760)*(Table19[Price]&lt;=(Table2[[#This Row],[SELL PRICE]]+(Table2[[#This Row],[SELL PRICE]]*0.02)))*(Table19[Price]&gt;=Table2[[#This Row],[SELL PRICE]]))/(SUM(IF((Table19[Bid]=0)*(Table19[StationID]=60003760),Table19[VolRem])))</f>
        <v>0.32936222110159347</v>
      </c>
      <c r="T16" s="40">
        <f ca="1">SUM(Table2[[#This Row],[2%2]],Table2[[#This Row],[5%2]],Table2[[#This Row],[10%2]])</f>
        <v>1.5980334893784467</v>
      </c>
      <c r="U16" s="29">
        <f t="array" aca="1" ref="U16" ca="1">SUM((Table19[VolRem])*(Table19[StationID]=60003760)*(Table19[Price]&gt;=(Table2[[#This Row],[SELL PRICE]]+(Table2[[#This Row],[SELL PRICE]]*0.05)))*(Table19[Price]&lt;=(Table2[[#This Row],[SELL PRICE]]+(Table2[[#This Row],[SELL PRICE]]*0.1)))/Table2[[#This Row],[AVG VOL.]])</f>
        <v>0.25359250739936245</v>
      </c>
      <c r="V16" s="29">
        <f t="array" aca="1" ref="V16" ca="1">SUM((Table19[VolRem])*(Table19[StationID]=60003760)*(Table19[Price]&gt;=(Table2[[#This Row],[SELL PRICE]]+(Table2[[#This Row],[SELL PRICE]]*0.02)))*(Table19[Price]&lt;=(Table2[[#This Row],[SELL PRICE]]+(Table2[[#This Row],[SELL PRICE]]*0.05)))/Table2[[#This Row],[AVG VOL.]])</f>
        <v>0.17452435031889238</v>
      </c>
      <c r="W16" s="45">
        <f t="array" aca="1" ref="W16" ca="1">SUM((Table19[VolRem])*(Table19[StationID]=60003760)*(Table19[Price]&lt;=(Table2[[#This Row],[SELL PRICE]]+(Table2[[#This Row],[SELL PRICE]]*0.02)))*(Table19[Price]&gt;=Table2[[#This Row],[SELL PRICE]]))/Table2[[#This Row],[AVG VOL.]]</f>
        <v>1.1699166316601919</v>
      </c>
      <c r="X16" s="27">
        <f t="array" aca="1" ref="X16" ca="1">AVERAGE(OFFSET(Table102[volume],COUNTA(Table102[volume])-30,):OFFSET(Table102[volume],COUNTA(Table102[volume]),))</f>
        <v>104993910.40000001</v>
      </c>
      <c r="Y16" s="21">
        <f ca="1">Table2[[#This Row],[sum2]]-Table2[[#This Row],[sum]]</f>
        <v>-0.88478957156738092</v>
      </c>
      <c r="Z16" s="45">
        <f t="array" aca="1" ref="Z16" ca="1">SUM((Table19[VolRem])*(Table19[StationID]=60003760)*(Table19[Price]&gt;=(Table2[[#This Row],[BUY PRICE]]-(Table2[[#This Row],[BUY PRICE]]*0.02)))*(Table19[Price]&lt;=Table2[[#This Row],[BUY PRICE]]))/Table2[[#This Row],[AVG VOL.]]</f>
        <v>0.14955153056190962</v>
      </c>
      <c r="AA16" s="21">
        <f t="array" aca="1" ref="AA16" ca="1">SUM((Table19[VolRem])*(Table19[StationID]=60003760)*(Table19[Price]&lt;=(Table2[[#This Row],[BUY PRICE]]-(Table2[[#This Row],[BUY PRICE]]*0.02)))*(Table19[Price]&gt;=(Table2[[#This Row],[BUY PRICE]]-(Table2[[#This Row],[BUY PRICE]]*0.05))))/Table2[[#This Row],[AVG VOL.]]</f>
        <v>0.22001815069076613</v>
      </c>
      <c r="AB16" s="21">
        <f t="array" aca="1" ref="AB16" ca="1">SUM((Table19[VolRem])*(Table19[StationID]=60003760)*(Table19[Price]&lt;=(Table2[[#This Row],[BUY PRICE]]-(Table2[[#This Row],[BUY PRICE]]*0.05)))*(Table19[Price]&gt;=(Table2[[#This Row],[BUY PRICE]]-(Table2[[#This Row],[BUY PRICE]]*0.1))))/Table2[[#This Row],[AVG VOL.]]</f>
        <v>0.34367423655838997</v>
      </c>
      <c r="AC16" s="21">
        <f ca="1">SUM(Table2[[#This Row],[10.00%]],Table2[[#This Row],[5.00%]],Table2[[#This Row],[2.00%]])</f>
        <v>0.71324391781106578</v>
      </c>
      <c r="AD16" s="3">
        <f t="array" aca="1" ref="AD16" ca="1">(((SUM(IF((Table19[Bid]=0)*(Table19[StationID]=60003760),Table19[VolEnt])))-(SUM(IF((Table19[Bid]=0)*(Table19[StationID]=60003760),Table19[VolRem]))))/Table2[[#This Row],[AVG VOL.]])</f>
        <v>0.44162330770756775</v>
      </c>
      <c r="AE16" s="3">
        <f t="array" aca="1" ref="AE16" ca="1">SUM(IF((Table19[Bid]=0)*(Table19[StationID]=60003760),Table19[VolRem]))/Table2[[#This Row],[AVG VOL.]]</f>
        <v>3.552066863489256</v>
      </c>
      <c r="AF16" s="3">
        <f t="array" aca="1" ref="AF16" ca="1">(((SUM(IF((Table19[Bid]=1)*(Table19[StationID]=60003760),Table19[VolEnt])))-(SUM(IF((Table19[Bid]=1)*(Table19[StationID]=60003760),Table19[VolRem]))))/Table2[[#This Row],[AVG VOL.]])</f>
        <v>0.14177601294484218</v>
      </c>
      <c r="AG16" s="27">
        <f t="array" aca="1" ref="AG16" ca="1">Table2[[#This Row],[AVG VOL.]]*Table2[[#This Row],[BUY PRICE]]</f>
        <v>33192774833.855999</v>
      </c>
      <c r="AH16" s="28">
        <f ca="1">((E16-M16)*X16)-(Table2[[#This Row],[EXPENSE]]*0.0092)</f>
        <v>1749357298.0565243</v>
      </c>
      <c r="AI16" s="2"/>
      <c r="AJ16" s="2"/>
      <c r="AM16"/>
      <c r="AO16" s="37"/>
      <c r="AP16" s="37"/>
    </row>
    <row r="17" spans="1:42" x14ac:dyDescent="0.55000000000000004">
      <c r="A17" s="1">
        <v>16681</v>
      </c>
      <c r="B17" s="2" t="s">
        <v>19</v>
      </c>
      <c r="C17" s="21">
        <f t="array" aca="1" ref="C17" ca="1">((Table2[[#This Row],[SELL PRICE]])/AVERAGE(OFFSET(Table85[avgPrice],COUNTA(Table85[avgPrice])-5,):OFFSET(Table85[avgPrice],COUNTA(Table85[avgPrice]),)))-1</f>
        <v>-9.4696357583778923E-4</v>
      </c>
      <c r="D17" s="21">
        <f t="array" aca="1" ref="D17" ca="1">((Table2[[#This Row],[SELL PRICE]])/AVERAGE(OFFSET(Table85[avgPrice],COUNTA(Table85[avgPrice])-1,):OFFSET(Table85[avgPrice],COUNTA(Table85[avgPrice]),)))-1</f>
        <v>7.0249271608946451E-4</v>
      </c>
      <c r="E17" s="32">
        <f t="array" ref="E17">MIN(IF((Table31[Bid]=0)*(Table31[StationID]=60003760),Table31[Price]))</f>
        <v>6182.34</v>
      </c>
      <c r="F17" s="29" t="e">
        <f>((Table2[[#This Row],[MYS]]/Table2[[#This Row],[SELL PRICE]])-1)</f>
        <v>#N/A</v>
      </c>
      <c r="G17" s="2" t="e">
        <f t="array" ref="G17">INDEX(Table0[price], MATCH(MIN(IF((Table0[bid]=0)*(Table0[typeID]=16681)*(Table0[volRemaining]&gt;0),Table0[price])), Table0[price], 0))</f>
        <v>#N/A</v>
      </c>
      <c r="H17" s="6">
        <f t="array" ref="H17">INDEX(Table31[OrderID], MATCH(MIN(IF((Table31[Bid]=0)*(Table31[StationID]=60003760),Table31[Price])), Table31[Price], 0))</f>
        <v>2415497698</v>
      </c>
      <c r="I17" s="25">
        <f>(E17/M17)-1</f>
        <v>2.525518030530427E-2</v>
      </c>
      <c r="J17" s="6">
        <f t="array" ref="J17">INDEX(Table31[OrderID], MATCH(MAX(IF((Table31[Bid]=1)*(Table31[StationID]=60003760),Table31[Price])), Table31[Price], 0))</f>
        <v>2414539396</v>
      </c>
      <c r="K17" s="2" t="e">
        <f t="array" ref="K17">INDEX(Table0[price], MATCH(MAX(IF((Table0[bid]=1)*(Table0[typeID]=16681)*(Table0[volRemaining]&gt;0),Table0[price])), Table0[price], 0))</f>
        <v>#N/A</v>
      </c>
      <c r="L17" s="21" t="e">
        <f>((Table2[[#This Row],[MY2]]/Table2[[#This Row],[BUY PRICE]])-1)</f>
        <v>#N/A</v>
      </c>
      <c r="M17" s="32">
        <f t="array" ref="M17">MAX(IF((Table31[Bid]=1)*(Table31[StationID]=60003760),Table31[Price]))</f>
        <v>6030.05</v>
      </c>
      <c r="N17" s="21">
        <f t="array" aca="1" ref="N17" ca="1">((Table2[[#This Row],[BUY PRICE]])/AVERAGE(OFFSET(Table85[avgPrice],COUNTA(Table85[avgPrice])-1,):OFFSET(Table85[avgPrice],COUNTA(Table85[avgPrice]),)))-1</f>
        <v>-2.3947879572677189E-2</v>
      </c>
      <c r="O17" s="21">
        <f t="array" aca="1" ref="O17" ca="1">((Table2[[#This Row],[BUY PRICE]])/AVERAGE(OFFSET(Table85[avgPrice],COUNTA(Table85[avgPrice])-5,):OFFSET(Table85[avgPrice],COUNTA(Table85[avgPrice]),)))-1</f>
        <v>-2.5556704696034327E-2</v>
      </c>
      <c r="P17" s="40">
        <f t="array" ref="P17">SUM(Table2[[#This Row],[10%]:[2%]])</f>
        <v>0.95952013667165348</v>
      </c>
      <c r="Q17" s="40">
        <f t="array" ref="Q17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4.6865662766056124E-2</v>
      </c>
      <c r="R17" s="40">
        <f t="array" ref="R17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0.49288774457190082</v>
      </c>
      <c r="S17" s="40">
        <f t="array" ref="S17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0.41976672933369658</v>
      </c>
      <c r="T17" s="40">
        <f ca="1">SUM(Table2[[#This Row],[2%2]],Table2[[#This Row],[5%2]],Table2[[#This Row],[10%2]])</f>
        <v>0.75505064470797223</v>
      </c>
      <c r="U17" s="29">
        <f t="array" aca="1" ref="U17" ca="1">SUM((Table31[VolRem])*(Table31[StationID]=60003760)*(Table31[Price]&gt;=(Table2[[#This Row],[SELL PRICE]]+(Table2[[#This Row],[SELL PRICE]]*0.05)))*(Table31[Price]&lt;=(Table2[[#This Row],[SELL PRICE]]+(Table2[[#This Row],[SELL PRICE]]*0.1)))/Table2[[#This Row],[AVG VOL.]])</f>
        <v>3.6878797571588753E-2</v>
      </c>
      <c r="V17" s="29">
        <f t="array" aca="1" ref="V17" ca="1">SUM((Table31[VolRem])*(Table31[StationID]=60003760)*(Table31[Price]&gt;=(Table2[[#This Row],[SELL PRICE]]+(Table2[[#This Row],[SELL PRICE]]*0.02)))*(Table31[Price]&lt;=(Table2[[#This Row],[SELL PRICE]]+(Table2[[#This Row],[SELL PRICE]]*0.05)))/Table2[[#This Row],[AVG VOL.]])</f>
        <v>0.38785554891905621</v>
      </c>
      <c r="W17" s="45">
        <f t="array" aca="1" ref="W17" ca="1">SUM((Table31[VolRem])*(Table31[StationID]=60003760)*(Table31[Price]&lt;=(Table2[[#This Row],[SELL PRICE]]+(Table2[[#This Row],[SELL PRICE]]*0.02)))*(Table31[Price]&gt;=Table2[[#This Row],[SELL PRICE]]))/Table2[[#This Row],[AVG VOL.]]</f>
        <v>0.33031629821732728</v>
      </c>
      <c r="X17" s="27">
        <f t="array" aca="1" ref="X17" ca="1">AVERAGE(OFFSET(Table85[volume],COUNTA(Table85[volume])-30,):OFFSET(Table85[volume],COUNTA(Table85[volume]),))</f>
        <v>15728115.833333334</v>
      </c>
      <c r="Y17" s="21">
        <f ca="1">Table2[[#This Row],[sum2]]-Table2[[#This Row],[sum]]</f>
        <v>0.25048289583743844</v>
      </c>
      <c r="Z17" s="45">
        <f t="array" aca="1" ref="Z17" ca="1">SUM((Table31[VolRem])*(Table31[StationID]=60003760)*(Table31[Price]&gt;=(Table2[[#This Row],[BUY PRICE]]-(Table2[[#This Row],[BUY PRICE]]*0.02)))*(Table31[Price]&lt;=Table2[[#This Row],[BUY PRICE]]))/Table2[[#This Row],[AVG VOL.]]</f>
        <v>0.76167985580387643</v>
      </c>
      <c r="AA17" s="21">
        <f t="array" aca="1" ref="AA17" ca="1">SUM((Table31[VolRem])*(Table31[StationID]=60003760)*(Table31[Price]&lt;=(Table2[[#This Row],[BUY PRICE]]-(Table2[[#This Row],[BUY PRICE]]*0.02)))*(Table31[Price]&gt;=(Table2[[#This Row],[BUY PRICE]]-(Table2[[#This Row],[BUY PRICE]]*0.05))))/Table2[[#This Row],[AVG VOL.]]</f>
        <v>7.1427246079857301E-2</v>
      </c>
      <c r="AB17" s="21">
        <f t="array" aca="1" ref="AB17" ca="1">SUM((Table31[VolRem])*(Table31[StationID]=60003760)*(Table31[Price]&lt;=(Table2[[#This Row],[BUY PRICE]]-(Table2[[#This Row],[BUY PRICE]]*0.05)))*(Table31[Price]&gt;=(Table2[[#This Row],[BUY PRICE]]-(Table2[[#This Row],[BUY PRICE]]*0.1))))/Table2[[#This Row],[AVG VOL.]]</f>
        <v>0.17242643866167695</v>
      </c>
      <c r="AC17" s="21">
        <f ca="1">SUM(Table2[[#This Row],[10.00%]],Table2[[#This Row],[5.00%]],Table2[[#This Row],[2.00%]])</f>
        <v>1.0055335405454107</v>
      </c>
      <c r="AD17" s="3">
        <f t="array" aca="1" ref="AD17" ca="1">(((SUM(IF((Table31[Bid]=0)*(Table31[StationID]=60003760),Table31[VolEnt])))-(SUM(IF((Table31[Bid]=0)*(Table31[StationID]=60003760),Table31[VolRem]))))/Table2[[#This Row],[AVG VOL.]])</f>
        <v>0.22041731105850301</v>
      </c>
      <c r="AE17" s="3">
        <f t="array" aca="1" ref="AE17" ca="1">SUM(IF((Table31[Bid]=0)*(Table31[StationID]=60003760),Table31[VolRem]))/Table2[[#This Row],[AVG VOL.]]</f>
        <v>0.78690442842300612</v>
      </c>
      <c r="AF17" s="3">
        <f t="array" aca="1" ref="AF17" ca="1">(((SUM(IF((Table31[Bid]=1)*(Table31[StationID]=60003760),Table31[VolEnt])))-(SUM(IF((Table31[Bid]=1)*(Table31[StationID]=60003760),Table31[VolRem]))))/Table2[[#This Row],[AVG VOL.]])</f>
        <v>0.10351303469863603</v>
      </c>
      <c r="AG17" s="27">
        <f t="array" aca="1" ref="AG17" ca="1">Table2[[#This Row],[AVG VOL.]]*Table2[[#This Row],[BUY PRICE]]</f>
        <v>94841324880.791672</v>
      </c>
      <c r="AH17" s="28">
        <f ca="1">((E17-M17)*X17)-(Table2[[#This Row],[EXPENSE]]*0.0092)</f>
        <v>1522694571.3550494</v>
      </c>
      <c r="AI17" s="2"/>
      <c r="AJ17" s="2"/>
      <c r="AM17"/>
      <c r="AO17" s="37"/>
      <c r="AP17" s="37"/>
    </row>
    <row r="18" spans="1:42" x14ac:dyDescent="0.55000000000000004">
      <c r="A18" s="1">
        <v>25598</v>
      </c>
      <c r="B18" s="2" t="s">
        <v>36</v>
      </c>
      <c r="C18" s="21">
        <f t="array" aca="1" ref="C18" ca="1">((Table2[[#This Row],[SELL PRICE]])/AVERAGE(OFFSET(Table101[avgPrice],COUNTA(Table101[avgPrice])-5,):OFFSET(Table101[avgPrice],COUNTA(Table101[avgPrice]),)))-1</f>
        <v>1.0001362421515823</v>
      </c>
      <c r="D18" s="21">
        <f t="array" aca="1" ref="D18" ca="1">((Table2[[#This Row],[SELL PRICE]])/AVERAGE(OFFSET(Table101[avgPrice],COUNTA(Table101[avgPrice])-1,):OFFSET(Table101[avgPrice],COUNTA(Table101[avgPrice]),)))-1</f>
        <v>0.97096377970749548</v>
      </c>
      <c r="E18" s="32">
        <f t="array" ref="E18">MIN(IF((Table36[Bid]=0)*(Table36[StationID]=60003760),Table36[Price]))</f>
        <v>137999</v>
      </c>
      <c r="F18" s="29" t="e">
        <f>((Table2[[#This Row],[MYS]]/Table2[[#This Row],[SELL PRICE]])-1)</f>
        <v>#N/A</v>
      </c>
      <c r="G18" s="2" t="e">
        <f t="array" ref="G18">INDEX(Table0[price], MATCH(MIN(IF((Table0[bid]=0)*(Table0[typeID]=25598)*(Table0[volRemaining]&gt;0),Table0[price])), Table0[price], 0))</f>
        <v>#N/A</v>
      </c>
      <c r="H18" s="6">
        <f t="array" ref="H18">INDEX(Table36[OrderID], MATCH(MIN(IF((Table36[Bid]=0)*(Table36[StationID]=60003760),Table36[Price])), Table36[Price], 0))</f>
        <v>2879088465</v>
      </c>
      <c r="I18" s="25">
        <f>(E18/M18)-1</f>
        <v>3.5101133863999046E-2</v>
      </c>
      <c r="J18" s="6">
        <f t="array" ref="J18">INDEX(Table36[OrderID], MATCH(MAX(IF((Table36[Bid]=1)*(Table36[StationID]=60003760),Table36[Price])), Table36[Price], 0))</f>
        <v>2878684390</v>
      </c>
      <c r="K18" s="2" t="e">
        <f t="array" ref="K18">INDEX(Table0[price], MATCH(MAX(IF((Table0[bid]=1)*(Table0[typeID]=25598)*(Table0[volRemaining]&gt;0),Table0[price])), Table0[price], 0))</f>
        <v>#N/A</v>
      </c>
      <c r="L18" s="21" t="e">
        <f>((Table2[[#This Row],[MY2]]/Table2[[#This Row],[BUY PRICE]])-1)</f>
        <v>#N/A</v>
      </c>
      <c r="M18" s="32">
        <f t="array" ref="M18">MAX(IF((Table36[Bid]=1)*(Table36[StationID]=60003760),Table36[Price]))</f>
        <v>133319.34</v>
      </c>
      <c r="N18" s="21">
        <f t="array" aca="1" ref="N18" ca="1">((Table2[[#This Row],[BUY PRICE]])/AVERAGE(OFFSET(Table101[avgPrice],COUNTA(Table101[avgPrice])-1,):OFFSET(Table101[avgPrice],COUNTA(Table101[avgPrice]),)))-1</f>
        <v>0.90412677102376593</v>
      </c>
      <c r="O18" s="21">
        <f t="array" aca="1" ref="O18" ca="1">((Table2[[#This Row],[BUY PRICE]])/AVERAGE(OFFSET(Table101[avgPrice],COUNTA(Table101[avgPrice])-5,):OFFSET(Table101[avgPrice],COUNTA(Table101[avgPrice]),)))-1</f>
        <v>0.93230997118623415</v>
      </c>
      <c r="P18" s="40">
        <f t="array" ref="P18">SUM(Table2[[#This Row],[10%]:[2%]])</f>
        <v>0.3844123906568151</v>
      </c>
      <c r="Q18" s="40">
        <f t="array" ref="Q18">SUM((Table36[VolRem])*(Table36[StationID]=60003760)*(Table36[Price]&gt;=(Table2[[#This Row],[SELL PRICE]]+(Table2[[#This Row],[SELL PRICE]]*0.05)))*(Table36[Price]&lt;=(Table2[[#This Row],[SELL PRICE]]+(Table2[[#This Row],[SELL PRICE]]*0.1)))/(SUM(IF((Table36[Bid]=0)*(Table36[StationID]=60003760),Table36[VolRem]))))</f>
        <v>0.27767853816025079</v>
      </c>
      <c r="R18" s="40">
        <f t="array" ref="R18">SUM((Table36[VolRem])*(Table36[StationID]=60003760)*(Table36[Price]&gt;=(Table2[[#This Row],[SELL PRICE]]+(Table2[[#This Row],[SELL PRICE]]*0.02)))*(Table36[Price]&lt;=(Table2[[#This Row],[SELL PRICE]]+(Table2[[#This Row],[SELL PRICE]]*0.05)))/(SUM(IF((Table36[Bid]=0)*(Table36[StationID]=60003760),Table36[VolRem]))))</f>
        <v>8.8572637189943154E-2</v>
      </c>
      <c r="S18" s="40">
        <f t="array" ref="S18">SUM((Table36[VolRem])*(Table36[StationID]=60003760)*(Table36[Price]&lt;=(Table2[[#This Row],[SELL PRICE]]+(Table2[[#This Row],[SELL PRICE]]*0.02)))*(Table36[Price]&gt;=Table2[[#This Row],[SELL PRICE]]))/(SUM(IF((Table36[Bid]=0)*(Table36[StationID]=60003760),Table36[VolRem])))</f>
        <v>1.8161215306621195E-2</v>
      </c>
      <c r="T18" s="40">
        <f ca="1">SUM(Table2[[#This Row],[2%2]],Table2[[#This Row],[5%2]],Table2[[#This Row],[10%2]])</f>
        <v>0.4117354071353197</v>
      </c>
      <c r="U18" s="29">
        <f t="array" aca="1" ref="U18" ca="1">SUM((Table36[VolRem])*(Table36[StationID]=60003760)*(Table36[Price]&gt;=(Table2[[#This Row],[SELL PRICE]]+(Table2[[#This Row],[SELL PRICE]]*0.05)))*(Table36[Price]&lt;=(Table2[[#This Row],[SELL PRICE]]+(Table2[[#This Row],[SELL PRICE]]*0.1)))/Table2[[#This Row],[AVG VOL.]])</f>
        <v>0.29741519456957272</v>
      </c>
      <c r="V18" s="29">
        <f t="array" aca="1" ref="V18" ca="1">SUM((Table36[VolRem])*(Table36[StationID]=60003760)*(Table36[Price]&gt;=(Table2[[#This Row],[SELL PRICE]]+(Table2[[#This Row],[SELL PRICE]]*0.02)))*(Table36[Price]&lt;=(Table2[[#This Row],[SELL PRICE]]+(Table2[[#This Row],[SELL PRICE]]*0.05)))/Table2[[#This Row],[AVG VOL.]])</f>
        <v>9.4868146086912991E-2</v>
      </c>
      <c r="W18" s="45">
        <f t="array" aca="1" ref="W18" ca="1">SUM((Table36[VolRem])*(Table36[StationID]=60003760)*(Table36[Price]&lt;=(Table2[[#This Row],[SELL PRICE]]+(Table2[[#This Row],[SELL PRICE]]*0.02)))*(Table36[Price]&gt;=Table2[[#This Row],[SELL PRICE]]))/Table2[[#This Row],[AVG VOL.]]</f>
        <v>1.9452066478834001E-2</v>
      </c>
      <c r="X18" s="27">
        <f t="array" aca="1" ref="X18" ca="1">AVERAGE(OFFSET(Table101[volume],COUNTA(Table101[volume])-30,):OFFSET(Table101[volume],COUNTA(Table101[volume]),))</f>
        <v>425970.16666666669</v>
      </c>
      <c r="Y18" s="21">
        <f ca="1">Table2[[#This Row],[sum2]]-Table2[[#This Row],[sum]]</f>
        <v>-5.0745337799478152E-2</v>
      </c>
      <c r="Z18" s="45">
        <f t="array" aca="1" ref="Z18" ca="1">SUM((Table36[VolRem])*(Table36[StationID]=60003760)*(Table36[Price]&gt;=(Table2[[#This Row],[BUY PRICE]]-(Table2[[#This Row],[BUY PRICE]]*0.02)))*(Table36[Price]&lt;=Table2[[#This Row],[BUY PRICE]]))/Table2[[#This Row],[AVG VOL.]]</f>
        <v>0.17082886477574133</v>
      </c>
      <c r="AA18" s="21">
        <f t="array" aca="1" ref="AA18" ca="1">SUM((Table36[VolRem])*(Table36[StationID]=60003760)*(Table36[Price]&lt;=(Table2[[#This Row],[BUY PRICE]]-(Table2[[#This Row],[BUY PRICE]]*0.02)))*(Table36[Price]&gt;=(Table2[[#This Row],[BUY PRICE]]-(Table2[[#This Row],[BUY PRICE]]*0.05))))/Table2[[#This Row],[AVG VOL.]]</f>
        <v>1.9576488337798303E-2</v>
      </c>
      <c r="AB18" s="21">
        <f t="array" aca="1" ref="AB18" ca="1">SUM((Table36[VolRem])*(Table36[StationID]=60003760)*(Table36[Price]&lt;=(Table2[[#This Row],[BUY PRICE]]-(Table2[[#This Row],[BUY PRICE]]*0.05)))*(Table36[Price]&gt;=(Table2[[#This Row],[BUY PRICE]]-(Table2[[#This Row],[BUY PRICE]]*0.1))))/Table2[[#This Row],[AVG VOL.]]</f>
        <v>0.17058471622230195</v>
      </c>
      <c r="AC18" s="21">
        <f ca="1">SUM(Table2[[#This Row],[10.00%]],Table2[[#This Row],[5.00%]],Table2[[#This Row],[2.00%]])</f>
        <v>0.36099006933584155</v>
      </c>
      <c r="AD18" s="3">
        <f t="array" aca="1" ref="AD18" ca="1">(((SUM(IF((Table36[Bid]=0)*(Table36[StationID]=60003760),Table36[VolEnt])))-(SUM(IF((Table36[Bid]=0)*(Table36[StationID]=60003760),Table36[VolRem]))))/Table2[[#This Row],[AVG VOL.]])</f>
        <v>0.45007846793652606</v>
      </c>
      <c r="AE18" s="3">
        <f t="array" aca="1" ref="AE18" ca="1">SUM(IF((Table36[Bid]=0)*(Table36[StationID]=60003760),Table36[VolRem]))/Table2[[#This Row],[AVG VOL.]]</f>
        <v>1.0710773563563332</v>
      </c>
      <c r="AF18" s="3">
        <f t="array" aca="1" ref="AF18" ca="1">(((SUM(IF((Table36[Bid]=1)*(Table36[StationID]=60003760),Table36[VolEnt])))-(SUM(IF((Table36[Bid]=1)*(Table36[StationID]=60003760),Table36[VolRem]))))/Table2[[#This Row],[AVG VOL.]])</f>
        <v>0.18573366444676681</v>
      </c>
      <c r="AG18" s="27">
        <f t="array" aca="1" ref="AG18" ca="1">Table2[[#This Row],[AVG VOL.]]*Table2[[#This Row],[BUY PRICE]]</f>
        <v>56790061479.690002</v>
      </c>
      <c r="AH18" s="28">
        <f ca="1">((E18-M18)*X18)-(Table2[[#This Row],[EXPENSE]]*0.0092)</f>
        <v>1470926984.5301869</v>
      </c>
      <c r="AI18" s="2"/>
      <c r="AJ18" s="2"/>
      <c r="AM18"/>
      <c r="AO18" s="37"/>
      <c r="AP18" s="37"/>
    </row>
    <row r="19" spans="1:42" x14ac:dyDescent="0.55000000000000004">
      <c r="A19" s="1">
        <v>16273</v>
      </c>
      <c r="B19" s="2" t="s">
        <v>14</v>
      </c>
      <c r="C19" s="21">
        <f t="array" aca="1" ref="C19" ca="1">((Table2[[#This Row],[SELL PRICE]])/AVERAGE(OFFSET(Table76[avgPrice],COUNTA(Table76[avgPrice])-5,):OFFSET(Table76[avgPrice],COUNTA(Table76[avgPrice]),)))-1</f>
        <v>-0.16934537246049652</v>
      </c>
      <c r="D19" s="21">
        <f t="array" aca="1" ref="D19" ca="1">((Table2[[#This Row],[SELL PRICE]])/AVERAGE(OFFSET(Table76[avgPrice],COUNTA(Table76[avgPrice])-1,):OFFSET(Table76[avgPrice],COUNTA(Table76[avgPrice]),)))-1</f>
        <v>-0.14621809744779579</v>
      </c>
      <c r="E19" s="32">
        <f t="array" ref="E19">MIN(IF((Table20[Bid]=0)*(Table20[StationID]=60003760),Table20[Price]))</f>
        <v>367.98</v>
      </c>
      <c r="F19" s="29" t="e">
        <f>((Table2[[#This Row],[MYS]]/Table2[[#This Row],[SELL PRICE]])-1)</f>
        <v>#N/A</v>
      </c>
      <c r="G19" s="2" t="e">
        <f t="array" ref="G19">INDEX(Table0[price], MATCH(MIN(IF((Table0[bid]=0)*(Table0[typeID]=16273)*(Table0[volRemaining]&gt;0),Table0[price])), Table0[price], 0))</f>
        <v>#N/A</v>
      </c>
      <c r="H19" s="6">
        <f t="array" ref="H19">INDEX(Table20[OrderID], MATCH(MIN(IF((Table20[Bid]=0)*(Table20[StationID]=60003760),Table20[Price])), Table20[Price], 0))</f>
        <v>2879073882</v>
      </c>
      <c r="I19" s="25">
        <f>(E19/M19)-1</f>
        <v>7.0238199110025379E-2</v>
      </c>
      <c r="J19" s="6">
        <f t="array" ref="J19">INDEX(Table20[OrderID], MATCH(MAX(IF((Table20[Bid]=1)*(Table20[StationID]=60003760),Table20[Price])), Table20[Price], 0))</f>
        <v>2878817292</v>
      </c>
      <c r="K19" s="2" t="e">
        <f t="array" ref="K19">INDEX(Table0[price], MATCH(MAX(IF((Table0[bid]=1)*(Table0[typeID]=16273)*(Table0[volRemaining]&gt;0),Table0[price])), Table0[price], 0))</f>
        <v>#N/A</v>
      </c>
      <c r="L19" s="21" t="e">
        <f>((Table2[[#This Row],[MY2]]/Table2[[#This Row],[BUY PRICE]])-1)</f>
        <v>#N/A</v>
      </c>
      <c r="M19" s="32">
        <f t="array" ref="M19">MAX(IF((Table20[Bid]=1)*(Table20[StationID]=60003760),Table20[Price]))</f>
        <v>343.83</v>
      </c>
      <c r="N19" s="21">
        <f t="array" aca="1" ref="N19" ca="1">((Table2[[#This Row],[BUY PRICE]])/AVERAGE(OFFSET(Table76[avgPrice],COUNTA(Table76[avgPrice])-1,):OFFSET(Table76[avgPrice],COUNTA(Table76[avgPrice]),)))-1</f>
        <v>-0.20225058004640373</v>
      </c>
      <c r="O19" s="21">
        <f t="array" aca="1" ref="O19" ca="1">((Table2[[#This Row],[BUY PRICE]])/AVERAGE(OFFSET(Table76[avgPrice],COUNTA(Table76[avgPrice])-5,):OFFSET(Table76[avgPrice],COUNTA(Table76[avgPrice]),)))-1</f>
        <v>-0.22386004514672686</v>
      </c>
      <c r="P19" s="40">
        <f t="array" ref="P19">SUM(Table2[[#This Row],[10%]:[2%]])</f>
        <v>0.95608046845289307</v>
      </c>
      <c r="Q19" s="40">
        <f t="array" ref="Q19">SUM((Table20[VolRem])*(Table20[StationID]=60003760)*(Table20[Price]&gt;=(Table2[[#This Row],[SELL PRICE]]+(Table2[[#This Row],[SELL PRICE]]*0.05)))*(Table20[Price]&lt;=(Table2[[#This Row],[SELL PRICE]]+(Table2[[#This Row],[SELL PRICE]]*0.1)))/(SUM(IF((Table20[Bid]=0)*(Table20[StationID]=60003760),Table20[VolRem]))))</f>
        <v>0.5605306369880253</v>
      </c>
      <c r="R19" s="40">
        <f t="array" ref="R19">SUM((Table20[VolRem])*(Table20[StationID]=60003760)*(Table20[Price]&gt;=(Table2[[#This Row],[SELL PRICE]]+(Table2[[#This Row],[SELL PRICE]]*0.02)))*(Table20[Price]&lt;=(Table2[[#This Row],[SELL PRICE]]+(Table2[[#This Row],[SELL PRICE]]*0.05)))/(SUM(IF((Table20[Bid]=0)*(Table20[StationID]=60003760),Table20[VolRem]))))</f>
        <v>0.21226697456417173</v>
      </c>
      <c r="S19" s="40">
        <f t="array" ref="S19">SUM((Table20[VolRem])*(Table20[StationID]=60003760)*(Table20[Price]&lt;=(Table2[[#This Row],[SELL PRICE]]+(Table2[[#This Row],[SELL PRICE]]*0.02)))*(Table20[Price]&gt;=Table2[[#This Row],[SELL PRICE]]))/(SUM(IF((Table20[Bid]=0)*(Table20[StationID]=60003760),Table20[VolRem])))</f>
        <v>0.18328285690069604</v>
      </c>
      <c r="T19" s="40">
        <f ca="1">SUM(Table2[[#This Row],[2%2]],Table2[[#This Row],[5%2]],Table2[[#This Row],[10%2]])</f>
        <v>1.9911000997495993</v>
      </c>
      <c r="U19" s="29">
        <f t="array" aca="1" ref="U19" ca="1">SUM((Table20[VolRem])*(Table20[StationID]=60003760)*(Table20[Price]&gt;=(Table2[[#This Row],[SELL PRICE]]+(Table2[[#This Row],[SELL PRICE]]*0.05)))*(Table20[Price]&lt;=(Table2[[#This Row],[SELL PRICE]]+(Table2[[#This Row],[SELL PRICE]]*0.1)))/Table2[[#This Row],[AVG VOL.]])</f>
        <v>1.1673417081990662</v>
      </c>
      <c r="V19" s="29">
        <f t="array" aca="1" ref="V19" ca="1">SUM((Table20[VolRem])*(Table20[StationID]=60003760)*(Table20[Price]&gt;=(Table2[[#This Row],[SELL PRICE]]+(Table2[[#This Row],[SELL PRICE]]*0.02)))*(Table20[Price]&lt;=(Table2[[#This Row],[SELL PRICE]]+(Table2[[#This Row],[SELL PRICE]]*0.05)))/Table2[[#This Row],[AVG VOL.]])</f>
        <v>0.44205985602046849</v>
      </c>
      <c r="W19" s="45">
        <f t="array" aca="1" ref="W19" ca="1">SUM((Table20[VolRem])*(Table20[StationID]=60003760)*(Table20[Price]&lt;=(Table2[[#This Row],[SELL PRICE]]+(Table2[[#This Row],[SELL PRICE]]*0.02)))*(Table20[Price]&gt;=Table2[[#This Row],[SELL PRICE]]))/Table2[[#This Row],[AVG VOL.]]</f>
        <v>0.38169853553006461</v>
      </c>
      <c r="X19" s="27">
        <f t="array" aca="1" ref="X19" ca="1">AVERAGE(OFFSET(Table76[volume],COUNTA(Table76[volume])-30,):OFFSET(Table76[volume],COUNTA(Table76[volume]),))</f>
        <v>59650765.93333333</v>
      </c>
      <c r="Y19" s="21">
        <f ca="1">Table2[[#This Row],[sum2]]-Table2[[#This Row],[sum]]</f>
        <v>-0.83361383918480203</v>
      </c>
      <c r="Z19" s="45">
        <f t="array" aca="1" ref="Z19" ca="1">SUM((Table20[VolRem])*(Table20[StationID]=60003760)*(Table20[Price]&gt;=(Table2[[#This Row],[BUY PRICE]]-(Table2[[#This Row],[BUY PRICE]]*0.02)))*(Table20[Price]&lt;=Table2[[#This Row],[BUY PRICE]]))/Table2[[#This Row],[AVG VOL.]]</f>
        <v>0.37731024317699485</v>
      </c>
      <c r="AA19" s="21">
        <f t="array" aca="1" ref="AA19" ca="1">SUM((Table20[VolRem])*(Table20[StationID]=60003760)*(Table20[Price]&lt;=(Table2[[#This Row],[BUY PRICE]]-(Table2[[#This Row],[BUY PRICE]]*0.02)))*(Table20[Price]&gt;=(Table2[[#This Row],[BUY PRICE]]-(Table2[[#This Row],[BUY PRICE]]*0.05))))/Table2[[#This Row],[AVG VOL.]]</f>
        <v>0.30349006784309646</v>
      </c>
      <c r="AB19" s="21">
        <f t="array" aca="1" ref="AB19" ca="1">SUM((Table20[VolRem])*(Table20[StationID]=60003760)*(Table20[Price]&lt;=(Table2[[#This Row],[BUY PRICE]]-(Table2[[#This Row],[BUY PRICE]]*0.05)))*(Table20[Price]&gt;=(Table2[[#This Row],[BUY PRICE]]-(Table2[[#This Row],[BUY PRICE]]*0.1))))/Table2[[#This Row],[AVG VOL.]]</f>
        <v>0.476685949544706</v>
      </c>
      <c r="AC19" s="21">
        <f ca="1">SUM(Table2[[#This Row],[10.00%]],Table2[[#This Row],[5.00%]],Table2[[#This Row],[2.00%]])</f>
        <v>1.1574862605647973</v>
      </c>
      <c r="AD19" s="3">
        <f t="array" aca="1" ref="AD19" ca="1">(((SUM(IF((Table20[Bid]=0)*(Table20[StationID]=60003760),Table20[VolEnt])))-(SUM(IF((Table20[Bid]=0)*(Table20[StationID]=60003760),Table20[VolRem]))))/Table2[[#This Row],[AVG VOL.]])</f>
        <v>0.39199085936520456</v>
      </c>
      <c r="AE19" s="3">
        <f t="array" aca="1" ref="AE19" ca="1">SUM(IF((Table20[Bid]=0)*(Table20[StationID]=60003760),Table20[VolRem]))/Table2[[#This Row],[AVG VOL.]]</f>
        <v>2.0825653963745863</v>
      </c>
      <c r="AF19" s="3">
        <f t="array" aca="1" ref="AF19" ca="1">(((SUM(IF((Table20[Bid]=1)*(Table20[StationID]=60003760),Table20[VolEnt])))-(SUM(IF((Table20[Bid]=1)*(Table20[StationID]=60003760),Table20[VolRem]))))/Table2[[#This Row],[AVG VOL.]])</f>
        <v>0.50926662088381414</v>
      </c>
      <c r="AG19" s="27">
        <f t="array" aca="1" ref="AG19" ca="1">Table2[[#This Row],[AVG VOL.]]*Table2[[#This Row],[BUY PRICE]]</f>
        <v>20509722850.857998</v>
      </c>
      <c r="AH19" s="28">
        <f ca="1">((E19-M19)*X19)-(Table2[[#This Row],[EXPENSE]]*0.0092)</f>
        <v>1251876547.0621083</v>
      </c>
      <c r="AI19" s="2"/>
      <c r="AJ19" s="2"/>
      <c r="AM19"/>
      <c r="AO19" s="37"/>
      <c r="AP19" s="37"/>
    </row>
    <row r="20" spans="1:42" x14ac:dyDescent="0.55000000000000004">
      <c r="A20" s="1">
        <v>17887</v>
      </c>
      <c r="B20" s="2" t="s">
        <v>12</v>
      </c>
      <c r="C20" s="21">
        <f t="array" aca="1" ref="C20" ca="1">((Table2[[#This Row],[SELL PRICE]])/AVERAGE(OFFSET(Table66[avgPrice],COUNTA(Table66[avgPrice])-5,):OFFSET(Table66[avgPrice],COUNTA(Table66[avgPrice]),)))-1</f>
        <v>-4.7467320261437962E-2</v>
      </c>
      <c r="D20" s="21">
        <f t="array" aca="1" ref="D20" ca="1">((Table2[[#This Row],[SELL PRICE]])/AVERAGE(OFFSET(Table66[avgPrice],COUNTA(Table66[avgPrice])-1,):OFFSET(Table66[avgPrice],COUNTA(Table66[avgPrice]),)))-1</f>
        <v>6.1704422869470754E-3</v>
      </c>
      <c r="E20" s="32">
        <f t="array" ref="E20">MIN(IF((Table18[Bid]=0)*(Table18[StationID]=60003760),Table18[Price]))</f>
        <v>932.72</v>
      </c>
      <c r="F20" s="29" t="e">
        <f>((Table2[[#This Row],[MYS]]/Table2[[#This Row],[SELL PRICE]])-1)</f>
        <v>#N/A</v>
      </c>
      <c r="G20" s="2" t="e">
        <f t="array" ref="G20">INDEX(Table0[price], MATCH(MIN(IF((Table0[bid]=0)*(Table0[typeID]=17887)*(Table0[volRemaining]&gt;0),Table0[price])), Table0[price], 0))</f>
        <v>#N/A</v>
      </c>
      <c r="H20" s="6">
        <f t="array" ref="H20">INDEX(Table18[OrderID], MATCH(MIN(IF((Table18[Bid]=0)*(Table18[StationID]=60003760),Table18[Price])), Table18[Price], 0))</f>
        <v>2415867714</v>
      </c>
      <c r="I20" s="25">
        <f>(E20/M20)-1</f>
        <v>3.4711513927870197E-2</v>
      </c>
      <c r="J20" s="6">
        <f t="array" ref="J20">INDEX(Table18[OrderID], MATCH(MAX(IF((Table18[Bid]=1)*(Table18[StationID]=60003760),Table18[Price])), Table18[Price], 0))</f>
        <v>2415834147</v>
      </c>
      <c r="K20" s="2" t="e">
        <f t="array" ref="K20">INDEX(Table0[price], MATCH(MAX(IF((Table0[bid]=1)*(Table0[typeID]=17887)*(Table0[volRemaining]&gt;0),Table0[price])), Table0[price], 0))</f>
        <v>#N/A</v>
      </c>
      <c r="L20" s="21" t="e">
        <f>((Table2[[#This Row],[MY2]]/Table2[[#This Row],[BUY PRICE]])-1)</f>
        <v>#N/A</v>
      </c>
      <c r="M20" s="32">
        <f t="array" ref="M20">MAX(IF((Table18[Bid]=1)*(Table18[StationID]=60003760),Table18[Price]))</f>
        <v>901.43</v>
      </c>
      <c r="N20" s="21">
        <f t="array" aca="1" ref="N20" ca="1">((Table2[[#This Row],[BUY PRICE]])/AVERAGE(OFFSET(Table66[avgPrice],COUNTA(Table66[avgPrice])-1,):OFFSET(Table66[avgPrice],COUNTA(Table66[avgPrice]),)))-1</f>
        <v>-2.7583603020496228E-2</v>
      </c>
      <c r="O20" s="21">
        <f t="array" aca="1" ref="O20" ca="1">((Table2[[#This Row],[BUY PRICE]])/AVERAGE(OFFSET(Table66[avgPrice],COUNTA(Table66[avgPrice])-5,):OFFSET(Table66[avgPrice],COUNTA(Table66[avgPrice]),)))-1</f>
        <v>-7.9421977124183085E-2</v>
      </c>
      <c r="P20" s="40">
        <f t="array" ref="P20">SUM(Table2[[#This Row],[10%]:[2%]])</f>
        <v>0.64967864159344169</v>
      </c>
      <c r="Q20" s="40">
        <f t="array" ref="Q20">SUM((Table18[VolRem])*(Table18[StationID]=60003760)*(Table18[Price]&gt;=(Table2[[#This Row],[SELL PRICE]]+(Table2[[#This Row],[SELL PRICE]]*0.05)))*(Table18[Price]&lt;=(Table2[[#This Row],[SELL PRICE]]+(Table2[[#This Row],[SELL PRICE]]*0.1)))/(SUM(IF((Table18[Bid]=0)*(Table18[StationID]=60003760),Table18[VolRem]))))</f>
        <v>0.49267306689324813</v>
      </c>
      <c r="R20" s="40">
        <f t="array" ref="R20">SUM((Table18[VolRem])*(Table18[StationID]=60003760)*(Table18[Price]&gt;=(Table2[[#This Row],[SELL PRICE]]+(Table2[[#This Row],[SELL PRICE]]*0.02)))*(Table18[Price]&lt;=(Table2[[#This Row],[SELL PRICE]]+(Table2[[#This Row],[SELL PRICE]]*0.05)))/(SUM(IF((Table18[Bid]=0)*(Table18[StationID]=60003760),Table18[VolRem]))))</f>
        <v>1.0434553364278076E-2</v>
      </c>
      <c r="S20" s="40">
        <f t="array" ref="S20">SUM((Table18[VolRem])*(Table18[StationID]=60003760)*(Table18[Price]&lt;=(Table2[[#This Row],[SELL PRICE]]+(Table2[[#This Row],[SELL PRICE]]*0.02)))*(Table18[Price]&gt;=Table2[[#This Row],[SELL PRICE]]))/(SUM(IF((Table18[Bid]=0)*(Table18[StationID]=60003760),Table18[VolRem])))</f>
        <v>0.14657102133591546</v>
      </c>
      <c r="T20" s="40">
        <f ca="1">SUM(Table2[[#This Row],[2%2]],Table2[[#This Row],[5%2]],Table2[[#This Row],[10%2]])</f>
        <v>1.3253502872414364</v>
      </c>
      <c r="U20" s="29">
        <f t="array" aca="1" ref="U20" ca="1">SUM((Table18[VolRem])*(Table18[StationID]=60003760)*(Table18[Price]&gt;=(Table2[[#This Row],[SELL PRICE]]+(Table2[[#This Row],[SELL PRICE]]*0.05)))*(Table18[Price]&lt;=(Table2[[#This Row],[SELL PRICE]]+(Table2[[#This Row],[SELL PRICE]]*0.1)))/Table2[[#This Row],[AVG VOL.]])</f>
        <v>1.0050574990761361</v>
      </c>
      <c r="V20" s="29">
        <f t="array" aca="1" ref="V20" ca="1">SUM((Table18[VolRem])*(Table18[StationID]=60003760)*(Table18[Price]&gt;=(Table2[[#This Row],[SELL PRICE]]+(Table2[[#This Row],[SELL PRICE]]*0.02)))*(Table18[Price]&lt;=(Table2[[#This Row],[SELL PRICE]]+(Table2[[#This Row],[SELL PRICE]]*0.05)))/Table2[[#This Row],[AVG VOL.]])</f>
        <v>2.1286582955325602E-2</v>
      </c>
      <c r="W20" s="45">
        <f t="array" aca="1" ref="W20" ca="1">SUM((Table18[VolRem])*(Table18[StationID]=60003760)*(Table18[Price]&lt;=(Table2[[#This Row],[SELL PRICE]]+(Table2[[#This Row],[SELL PRICE]]*0.02)))*(Table18[Price]&gt;=Table2[[#This Row],[SELL PRICE]]))/Table2[[#This Row],[AVG VOL.]]</f>
        <v>0.29900620520997473</v>
      </c>
      <c r="X20" s="27">
        <f t="array" aca="1" ref="X20" ca="1">AVERAGE(OFFSET(Table66[volume],COUNTA(Table66[volume])-30,):OFFSET(Table66[volume],COUNTA(Table66[volume]),))</f>
        <v>46778621.166666664</v>
      </c>
      <c r="Y20" s="21">
        <f ca="1">Table2[[#This Row],[sum2]]-Table2[[#This Row],[sum]]</f>
        <v>-0.85425508498046909</v>
      </c>
      <c r="Z20" s="45">
        <f t="array" aca="1" ref="Z20" ca="1">SUM((Table18[VolRem])*(Table18[StationID]=60003760)*(Table18[Price]&gt;=(Table2[[#This Row],[BUY PRICE]]-(Table2[[#This Row],[BUY PRICE]]*0.02)))*(Table18[Price]&lt;=Table2[[#This Row],[BUY PRICE]]))/Table2[[#This Row],[AVG VOL.]]</f>
        <v>0.40874738338001537</v>
      </c>
      <c r="AA20" s="21">
        <f t="array" aca="1" ref="AA20" ca="1">SUM((Table18[VolRem])*(Table18[StationID]=60003760)*(Table18[Price]&lt;=(Table2[[#This Row],[BUY PRICE]]-(Table2[[#This Row],[BUY PRICE]]*0.02)))*(Table18[Price]&gt;=(Table2[[#This Row],[BUY PRICE]]-(Table2[[#This Row],[BUY PRICE]]*0.05))))/Table2[[#This Row],[AVG VOL.]]</f>
        <v>4.203939643696282E-2</v>
      </c>
      <c r="AB20" s="21">
        <f t="array" aca="1" ref="AB20" ca="1">SUM((Table18[VolRem])*(Table18[StationID]=60003760)*(Table18[Price]&lt;=(Table2[[#This Row],[BUY PRICE]]-(Table2[[#This Row],[BUY PRICE]]*0.05)))*(Table18[Price]&gt;=(Table2[[#This Row],[BUY PRICE]]-(Table2[[#This Row],[BUY PRICE]]*0.1))))/Table2[[#This Row],[AVG VOL.]]</f>
        <v>2.0308422443989168E-2</v>
      </c>
      <c r="AC20" s="21">
        <f ca="1">SUM(Table2[[#This Row],[10.00%]],Table2[[#This Row],[5.00%]],Table2[[#This Row],[2.00%]])</f>
        <v>0.47109520226096735</v>
      </c>
      <c r="AD20" s="3">
        <f t="array" aca="1" ref="AD20" ca="1">(((SUM(IF((Table18[Bid]=0)*(Table18[StationID]=60003760),Table18[VolEnt])))-(SUM(IF((Table18[Bid]=0)*(Table18[StationID]=60003760),Table18[VolRem]))))/Table2[[#This Row],[AVG VOL.]])</f>
        <v>0.47066291076763855</v>
      </c>
      <c r="AE20" s="3">
        <f t="array" aca="1" ref="AE20" ca="1">SUM(IF((Table18[Bid]=0)*(Table18[StationID]=60003760),Table18[VolRem]))/Table2[[#This Row],[AVG VOL.]]</f>
        <v>2.0400090173671108</v>
      </c>
      <c r="AF20" s="3">
        <f t="array" aca="1" ref="AF20" ca="1">(((SUM(IF((Table18[Bid]=1)*(Table18[StationID]=60003760),Table18[VolEnt])))-(SUM(IF((Table18[Bid]=1)*(Table18[StationID]=60003760),Table18[VolRem]))))/Table2[[#This Row],[AVG VOL.]])</f>
        <v>6.8757563172723843E-2</v>
      </c>
      <c r="AG20" s="27">
        <f t="array" aca="1" ref="AG20" ca="1">Table2[[#This Row],[AVG VOL.]]*Table2[[#This Row],[BUY PRICE]]</f>
        <v>42167652478.268326</v>
      </c>
      <c r="AH20" s="28">
        <f ca="1">((E20-M20)*X20)-(Table2[[#This Row],[EXPENSE]]*0.0092)</f>
        <v>1075760653.504935</v>
      </c>
      <c r="AI20" s="2"/>
      <c r="AJ20" s="2">
        <f t="array" aca="1" ref="AJ20" ca="1">SUM((Table15[VolRem])*(Table15[StationID]=60003760)*(Table15[Price]&lt;=(Table2[[#This Row],[SELL PRICE]]+(Table2[[#This Row],[SELL PRICE]]*0.02)))*(Table15[Price]&gt;=Table2[[#This Row],[SELL PRICE]]))/Table2[[#This Row],[AVG VOL.]]</f>
        <v>0</v>
      </c>
      <c r="AM20"/>
      <c r="AO20" s="37"/>
      <c r="AP20" s="37"/>
    </row>
    <row r="21" spans="1:42" x14ac:dyDescent="0.55000000000000004">
      <c r="A21" s="1">
        <v>16679</v>
      </c>
      <c r="B21" s="2" t="s">
        <v>24</v>
      </c>
      <c r="C21" s="21">
        <f t="array" aca="1" ref="C21" ca="1">((Table2[[#This Row],[SELL PRICE]])/AVERAGE(OFFSET(Table65[avgPrice],COUNTA(Table65[avgPrice])-5,):OFFSET(Table65[avgPrice],COUNTA(Table65[avgPrice]),)))-1</f>
        <v>-0.28718379042161268</v>
      </c>
      <c r="D21" s="21">
        <f t="array" aca="1" ref="D21" ca="1">((Table2[[#This Row],[SELL PRICE]])/AVERAGE(OFFSET(Table65[avgPrice],COUNTA(Table65[avgPrice])-1,):OFFSET(Table65[avgPrice],COUNTA(Table65[avgPrice]),)))-1</f>
        <v>-0.28040909090909083</v>
      </c>
      <c r="E21" s="32">
        <f t="array" ref="E21">MIN(IF((Table11[Bid]=0)*(Table11[StationID]=60003760),Table11[Price]))</f>
        <v>1741.41</v>
      </c>
      <c r="F21" s="29" t="e">
        <f>((Table2[[#This Row],[MYS]]/Table2[[#This Row],[SELL PRICE]])-1)</f>
        <v>#N/A</v>
      </c>
      <c r="G21" s="2" t="e">
        <f t="array" ref="G21">INDEX(Table0[price], MATCH(MIN(IF((Table0[bid]=0)*(Table0[typeID]=16679)*(Table0[volRemaining]&gt;0),Table0[price])), Table0[price], 0))</f>
        <v>#N/A</v>
      </c>
      <c r="H21" s="6">
        <f t="array" ref="H21">INDEX(Table11[OrderID], MATCH(MIN(IF((Table11[Bid]=0)*(Table11[StationID]=60003760),Table11[Price])), Table11[Price], 0))</f>
        <v>2879021329</v>
      </c>
      <c r="I21" s="25">
        <f>(E21/M21)-1</f>
        <v>2.9445495388980891E-2</v>
      </c>
      <c r="J21" s="6">
        <f t="array" ref="J21">INDEX(Table11[OrderID], MATCH(MAX(IF((Table11[Bid]=1)*(Table11[StationID]=60003760),Table11[Price])), Table11[Price], 0))</f>
        <v>2878682048</v>
      </c>
      <c r="K21" s="2" t="e">
        <f t="array" ref="K21">INDEX(Table0[price], MATCH(MAX(IF((Table0[bid]=1)*(Table0[typeID]=16679)*(Table0[volRemaining]&gt;0),Table0[price])), Table0[price], 0))</f>
        <v>#N/A</v>
      </c>
      <c r="L21" s="21" t="e">
        <f>((Table2[[#This Row],[MY2]]/Table2[[#This Row],[BUY PRICE]])-1)</f>
        <v>#N/A</v>
      </c>
      <c r="M21" s="32">
        <f t="array" ref="M21">MAX(IF((Table11[Bid]=1)*(Table11[StationID]=60003760),Table11[Price]))</f>
        <v>1691.6</v>
      </c>
      <c r="N21" s="21">
        <f t="array" aca="1" ref="N21" ca="1">((Table2[[#This Row],[BUY PRICE]])/AVERAGE(OFFSET(Table65[avgPrice],COUNTA(Table65[avgPrice])-1,):OFFSET(Table65[avgPrice],COUNTA(Table65[avgPrice]),)))-1</f>
        <v>-0.30099173553719016</v>
      </c>
      <c r="O21" s="21">
        <f t="array" aca="1" ref="O21" ca="1">((Table2[[#This Row],[BUY PRICE]])/AVERAGE(OFFSET(Table65[avgPrice],COUNTA(Table65[avgPrice])-5,):OFFSET(Table65[avgPrice],COUNTA(Table65[avgPrice]),)))-1</f>
        <v>-0.30757265656979127</v>
      </c>
      <c r="P21" s="40">
        <f t="array" ref="P21">SUM(Table2[[#This Row],[10%]:[2%]])</f>
        <v>0.46382004607616062</v>
      </c>
      <c r="Q21" s="40">
        <f t="array" ref="Q21">SUM((Table11[VolRem])*(Table11[StationID]=60003760)*(Table11[Price]&gt;=(Table2[[#This Row],[SELL PRICE]]+(Table2[[#This Row],[SELL PRICE]]*0.05)))*(Table11[Price]&lt;=(Table2[[#This Row],[SELL PRICE]]+(Table2[[#This Row],[SELL PRICE]]*0.1)))/(SUM(IF((Table11[Bid]=0)*(Table11[StationID]=60003760),Table11[VolRem]))))</f>
        <v>0.1386208463148661</v>
      </c>
      <c r="R21" s="40">
        <f t="array" ref="R21">SUM((Table11[VolRem])*(Table11[StationID]=60003760)*(Table11[Price]&gt;=(Table2[[#This Row],[SELL PRICE]]+(Table2[[#This Row],[SELL PRICE]]*0.02)))*(Table11[Price]&lt;=(Table2[[#This Row],[SELL PRICE]]+(Table2[[#This Row],[SELL PRICE]]*0.05)))/(SUM(IF((Table11[Bid]=0)*(Table11[StationID]=60003760),Table11[VolRem]))))</f>
        <v>0.1633096508668361</v>
      </c>
      <c r="S21" s="40">
        <f t="array" ref="S21">SUM((Table11[VolRem])*(Table11[StationID]=60003760)*(Table11[Price]&lt;=(Table2[[#This Row],[SELL PRICE]]+(Table2[[#This Row],[SELL PRICE]]*0.02)))*(Table11[Price]&gt;=Table2[[#This Row],[SELL PRICE]]))/(SUM(IF((Table11[Bid]=0)*(Table11[StationID]=60003760),Table11[VolRem])))</f>
        <v>0.16188954889445845</v>
      </c>
      <c r="T21" s="40">
        <f ca="1">SUM(Table2[[#This Row],[2%2]],Table2[[#This Row],[5%2]],Table2[[#This Row],[10%2]])</f>
        <v>2.0074841018991254</v>
      </c>
      <c r="U21" s="29">
        <f t="array" aca="1" ref="U21" ca="1">SUM((Table11[VolRem])*(Table11[StationID]=60003760)*(Table11[Price]&gt;=(Table2[[#This Row],[SELL PRICE]]+(Table2[[#This Row],[SELL PRICE]]*0.05)))*(Table11[Price]&lt;=(Table2[[#This Row],[SELL PRICE]]+(Table2[[#This Row],[SELL PRICE]]*0.1)))/Table2[[#This Row],[AVG VOL.]])</f>
        <v>0.59997222526945582</v>
      </c>
      <c r="V21" s="29">
        <f t="array" aca="1" ref="V21" ca="1">SUM((Table11[VolRem])*(Table11[StationID]=60003760)*(Table11[Price]&gt;=(Table2[[#This Row],[SELL PRICE]]+(Table2[[#This Row],[SELL PRICE]]*0.02)))*(Table11[Price]&lt;=(Table2[[#This Row],[SELL PRICE]]+(Table2[[#This Row],[SELL PRICE]]*0.05)))/Table2[[#This Row],[AVG VOL.]])</f>
        <v>0.70682914758720372</v>
      </c>
      <c r="W21" s="45">
        <f t="array" aca="1" ref="W21" ca="1">SUM((Table11[VolRem])*(Table11[StationID]=60003760)*(Table11[Price]&lt;=(Table2[[#This Row],[SELL PRICE]]+(Table2[[#This Row],[SELL PRICE]]*0.02)))*(Table11[Price]&gt;=Table2[[#This Row],[SELL PRICE]]))/Table2[[#This Row],[AVG VOL.]]</f>
        <v>0.70068272904246576</v>
      </c>
      <c r="X21" s="27">
        <f t="array" aca="1" ref="X21" ca="1">AVERAGE(OFFSET(Table65[volume],COUNTA(Table65[volume])-30,):OFFSET(Table65[volume],COUNTA(Table65[volume]),))</f>
        <v>26599718</v>
      </c>
      <c r="Y21" s="21">
        <f ca="1">Table2[[#This Row],[sum2]]-Table2[[#This Row],[sum]]</f>
        <v>-1.3807623073297244</v>
      </c>
      <c r="Z21" s="45">
        <f t="array" aca="1" ref="Z21" ca="1">SUM((Table11[VolRem])*(Table11[StationID]=60003760)*(Table11[Price]&gt;=(Table2[[#This Row],[BUY PRICE]]-(Table2[[#This Row],[BUY PRICE]]*0.02)))*(Table11[Price]&lt;=Table2[[#This Row],[BUY PRICE]]))/Table2[[#This Row],[AVG VOL.]]</f>
        <v>0.3944521141163978</v>
      </c>
      <c r="AA21" s="21">
        <f t="array" aca="1" ref="AA21" ca="1">SUM((Table11[VolRem])*(Table11[StationID]=60003760)*(Table11[Price]&lt;=(Table2[[#This Row],[BUY PRICE]]-(Table2[[#This Row],[BUY PRICE]]*0.02)))*(Table11[Price]&gt;=(Table2[[#This Row],[BUY PRICE]]-(Table2[[#This Row],[BUY PRICE]]*0.05))))/Table2[[#This Row],[AVG VOL.]]</f>
        <v>0.20219541425213605</v>
      </c>
      <c r="AB21" s="21">
        <f t="array" aca="1" ref="AB21" ca="1">SUM((Table11[VolRem])*(Table11[StationID]=60003760)*(Table11[Price]&lt;=(Table2[[#This Row],[BUY PRICE]]-(Table2[[#This Row],[BUY PRICE]]*0.05)))*(Table11[Price]&gt;=(Table2[[#This Row],[BUY PRICE]]-(Table2[[#This Row],[BUY PRICE]]*0.1))))/Table2[[#This Row],[AVG VOL.]]</f>
        <v>3.0074266200867242E-2</v>
      </c>
      <c r="AC21" s="21">
        <f ca="1">SUM(Table2[[#This Row],[10.00%]],Table2[[#This Row],[5.00%]],Table2[[#This Row],[2.00%]])</f>
        <v>0.62672179456940103</v>
      </c>
      <c r="AD21" s="3">
        <f t="array" aca="1" ref="AD21" ca="1">(((SUM(IF((Table11[Bid]=0)*(Table11[StationID]=60003760),Table11[VolEnt])))-(SUM(IF((Table11[Bid]=0)*(Table11[StationID]=60003760),Table11[VolRem]))))/Table2[[#This Row],[AVG VOL.]])</f>
        <v>0.20151356491824463</v>
      </c>
      <c r="AE21" s="3">
        <f t="array" aca="1" ref="AE21" ca="1">SUM(IF((Table11[Bid]=0)*(Table11[StationID]=60003760),Table11[VolRem]))/Table2[[#This Row],[AVG VOL.]]</f>
        <v>4.3281529525989715</v>
      </c>
      <c r="AF21" s="3">
        <f t="array" aca="1" ref="AF21" ca="1">(((SUM(IF((Table11[Bid]=1)*(Table11[StationID]=60003760),Table11[VolEnt])))-(SUM(IF((Table11[Bid]=1)*(Table11[StationID]=60003760),Table11[VolRem]))))/Table2[[#This Row],[AVG VOL.]])</f>
        <v>9.5920716151953189E-2</v>
      </c>
      <c r="AG21" s="27">
        <f t="array" aca="1" ref="AG21" ca="1">Table2[[#This Row],[AVG VOL.]]*Table2[[#This Row],[BUY PRICE]]</f>
        <v>44996082968.799995</v>
      </c>
      <c r="AH21" s="28">
        <f ca="1">((E21-M21)*X21)-(Table2[[#This Row],[EXPENSE]]*0.0092)</f>
        <v>910967990.26704478</v>
      </c>
      <c r="AI21" s="2"/>
      <c r="AJ21" s="2"/>
      <c r="AM21"/>
      <c r="AO21" s="37"/>
      <c r="AP21" s="37"/>
    </row>
    <row r="22" spans="1:42" x14ac:dyDescent="0.55000000000000004">
      <c r="A22" s="1">
        <v>25617</v>
      </c>
      <c r="B22" s="2" t="s">
        <v>17</v>
      </c>
      <c r="C22" s="21">
        <f t="array" aca="1" ref="C22" ca="1">((Table2[[#This Row],[SELL PRICE]])/AVERAGE(OFFSET(Table72[avgPrice],COUNTA(Table72[avgPrice])-5,):OFFSET(Table72[avgPrice],COUNTA(Table72[avgPrice]),)))-1</f>
        <v>0.31208007720308895</v>
      </c>
      <c r="D22" s="21">
        <f t="array" aca="1" ref="D22" ca="1">((Table2[[#This Row],[SELL PRICE]])/AVERAGE(OFFSET(Table72[avgPrice],COUNTA(Table72[avgPrice])-1,):OFFSET(Table72[avgPrice],COUNTA(Table72[avgPrice]),)))-1</f>
        <v>0.32415816623376625</v>
      </c>
      <c r="E22" s="32">
        <f t="array" ref="E22">MIN(IF((Table29[Bid]=0)*(Table29[StationID]=60003760),Table29[Price]))</f>
        <v>5098008.9400000004</v>
      </c>
      <c r="F22" s="29" t="e">
        <f>((Table2[[#This Row],[MYS]]/Table2[[#This Row],[SELL PRICE]])-1)</f>
        <v>#N/A</v>
      </c>
      <c r="G22" s="2" t="e">
        <f t="array" ref="G22">INDEX(Table0[price], MATCH(MIN(IF((Table0[bid]=0)*(Table0[typeID]=25617)*(Table0[volRemaining]&gt;0),Table0[price])), Table0[price], 0))</f>
        <v>#N/A</v>
      </c>
      <c r="H22" s="6">
        <f t="array" ref="H22">INDEX(Table29[OrderID], MATCH(MIN(IF((Table29[Bid]=0)*(Table29[StationID]=60003760),Table29[Price])), Table29[Price], 0))</f>
        <v>2879127933</v>
      </c>
      <c r="I22" s="25">
        <f>(E22/M22)-1</f>
        <v>3.7022308883973842E-2</v>
      </c>
      <c r="J22" s="6">
        <f t="array" ref="J22">INDEX(Table29[OrderID], MATCH(MAX(IF((Table29[Bid]=1)*(Table29[StationID]=60003760),Table29[Price])), Table29[Price], 0))</f>
        <v>2879118202</v>
      </c>
      <c r="K22" s="2" t="e">
        <f t="array" ref="K22">INDEX(Table0[price], MATCH(MAX(IF((Table0[bid]=1)*(Table0[typeID]=25617)*(Table0[volRemaining]&gt;0),Table0[price])), Table0[price], 0))</f>
        <v>#N/A</v>
      </c>
      <c r="L22" s="21" t="e">
        <f>((Table2[[#This Row],[MY2]]/Table2[[#This Row],[BUY PRICE]])-1)</f>
        <v>#N/A</v>
      </c>
      <c r="M22" s="32">
        <f t="array" ref="M22">MAX(IF((Table29[Bid]=1)*(Table29[StationID]=60003760),Table29[Price]))</f>
        <v>4916007.01</v>
      </c>
      <c r="N22" s="21">
        <f t="array" aca="1" ref="N22" ca="1">((Table2[[#This Row],[BUY PRICE]])/AVERAGE(OFFSET(Table72[avgPrice],COUNTA(Table72[avgPrice])-1,):OFFSET(Table72[avgPrice],COUNTA(Table72[avgPrice]),)))-1</f>
        <v>0.27688493766233768</v>
      </c>
      <c r="O22" s="21">
        <f t="array" aca="1" ref="O22" ca="1">((Table2[[#This Row],[BUY PRICE]])/AVERAGE(OFFSET(Table72[avgPrice],COUNTA(Table72[avgPrice])-5,):OFFSET(Table72[avgPrice],COUNTA(Table72[avgPrice]),)))-1</f>
        <v>0.26523804354327507</v>
      </c>
      <c r="P22" s="40">
        <f t="array" ref="P22">SUM(Table2[[#This Row],[10%]:[2%]])</f>
        <v>0.91879601559116497</v>
      </c>
      <c r="Q22" s="40">
        <f t="array" ref="Q22">SUM((Table29[VolRem])*(Table29[StationID]=60003760)*(Table29[Price]&gt;=(Table2[[#This Row],[SELL PRICE]]+(Table2[[#This Row],[SELL PRICE]]*0.05)))*(Table29[Price]&lt;=(Table2[[#This Row],[SELL PRICE]]+(Table2[[#This Row],[SELL PRICE]]*0.1)))/(SUM(IF((Table29[Bid]=0)*(Table29[StationID]=60003760),Table29[VolRem]))))</f>
        <v>0.22607189259419661</v>
      </c>
      <c r="R22" s="40">
        <f t="array" ref="R22">SUM((Table29[VolRem])*(Table29[StationID]=60003760)*(Table29[Price]&gt;=(Table2[[#This Row],[SELL PRICE]]+(Table2[[#This Row],[SELL PRICE]]*0.02)))*(Table29[Price]&lt;=(Table2[[#This Row],[SELL PRICE]]+(Table2[[#This Row],[SELL PRICE]]*0.05)))/(SUM(IF((Table29[Bid]=0)*(Table29[StationID]=60003760),Table29[VolRem]))))</f>
        <v>0.3142052836725856</v>
      </c>
      <c r="S22" s="40">
        <f t="array" ref="S22">SUM((Table29[VolRem])*(Table29[StationID]=60003760)*(Table29[Price]&lt;=(Table2[[#This Row],[SELL PRICE]]+(Table2[[#This Row],[SELL PRICE]]*0.02)))*(Table29[Price]&gt;=Table2[[#This Row],[SELL PRICE]]))/(SUM(IF((Table29[Bid]=0)*(Table29[StationID]=60003760),Table29[VolRem])))</f>
        <v>0.37851883932438285</v>
      </c>
      <c r="T22" s="40">
        <f ca="1">SUM(Table2[[#This Row],[2%2]],Table2[[#This Row],[5%2]],Table2[[#This Row],[10%2]])</f>
        <v>0.70318973803710128</v>
      </c>
      <c r="U22" s="29">
        <f t="array" aca="1" ref="U22" ca="1">SUM((Table29[VolRem])*(Table29[StationID]=60003760)*(Table29[Price]&gt;=(Table2[[#This Row],[SELL PRICE]]+(Table2[[#This Row],[SELL PRICE]]*0.05)))*(Table29[Price]&lt;=(Table2[[#This Row],[SELL PRICE]]+(Table2[[#This Row],[SELL PRICE]]*0.1)))/Table2[[#This Row],[AVG VOL.]])</f>
        <v>0.17302146747837233</v>
      </c>
      <c r="V22" s="29">
        <f t="array" aca="1" ref="V22" ca="1">SUM((Table29[VolRem])*(Table29[StationID]=60003760)*(Table29[Price]&gt;=(Table2[[#This Row],[SELL PRICE]]+(Table2[[#This Row],[SELL PRICE]]*0.02)))*(Table29[Price]&lt;=(Table2[[#This Row],[SELL PRICE]]+(Table2[[#This Row],[SELL PRICE]]*0.05)))/Table2[[#This Row],[AVG VOL.]])</f>
        <v>0.24047332309494082</v>
      </c>
      <c r="W22" s="45">
        <f t="array" aca="1" ref="W22" ca="1">SUM((Table29[VolRem])*(Table29[StationID]=60003760)*(Table29[Price]&lt;=(Table2[[#This Row],[SELL PRICE]]+(Table2[[#This Row],[SELL PRICE]]*0.02)))*(Table29[Price]&gt;=Table2[[#This Row],[SELL PRICE]]))/Table2[[#This Row],[AVG VOL.]]</f>
        <v>0.28969494746378815</v>
      </c>
      <c r="X22" s="27">
        <f t="array" aca="1" ref="X22" ca="1">AVERAGE(OFFSET(Table72[volume],COUNTA(Table72[volume])-30,):OFFSET(Table72[volume],COUNTA(Table72[volume]),))</f>
        <v>6033.9333333333334</v>
      </c>
      <c r="Y22" s="21">
        <f ca="1">Table2[[#This Row],[sum2]]-Table2[[#This Row],[sum]]</f>
        <v>0.14882497873139688</v>
      </c>
      <c r="Z22" s="45">
        <f t="array" aca="1" ref="Z22" ca="1">SUM((Table29[VolRem])*(Table29[StationID]=60003760)*(Table29[Price]&gt;=(Table2[[#This Row],[BUY PRICE]]-(Table2[[#This Row],[BUY PRICE]]*0.02)))*(Table29[Price]&lt;=Table2[[#This Row],[BUY PRICE]]))/Table2[[#This Row],[AVG VOL.]]</f>
        <v>0.59430553867571179</v>
      </c>
      <c r="AA22" s="21">
        <f t="array" aca="1" ref="AA22" ca="1">SUM((Table29[VolRem])*(Table29[StationID]=60003760)*(Table29[Price]&lt;=(Table2[[#This Row],[BUY PRICE]]-(Table2[[#This Row],[BUY PRICE]]*0.02)))*(Table29[Price]&gt;=(Table2[[#This Row],[BUY PRICE]]-(Table2[[#This Row],[BUY PRICE]]*0.05))))/Table2[[#This Row],[AVG VOL.]]</f>
        <v>0</v>
      </c>
      <c r="AB22" s="21">
        <f t="array" aca="1" ref="AB22" ca="1">SUM((Table29[VolRem])*(Table29[StationID]=60003760)*(Table29[Price]&lt;=(Table2[[#This Row],[BUY PRICE]]-(Table2[[#This Row],[BUY PRICE]]*0.05)))*(Table29[Price]&gt;=(Table2[[#This Row],[BUY PRICE]]-(Table2[[#This Row],[BUY PRICE]]*0.1))))/Table2[[#This Row],[AVG VOL.]]</f>
        <v>0.25770917809278637</v>
      </c>
      <c r="AC22" s="21">
        <f ca="1">SUM(Table2[[#This Row],[10.00%]],Table2[[#This Row],[5.00%]],Table2[[#This Row],[2.00%]])</f>
        <v>0.85201471676849816</v>
      </c>
      <c r="AD22" s="3">
        <f t="array" aca="1" ref="AD22" ca="1">(((SUM(IF((Table29[Bid]=0)*(Table29[StationID]=60003760),Table29[VolEnt])))-(SUM(IF((Table29[Bid]=0)*(Table29[StationID]=60003760),Table29[VolRem]))))/Table2[[#This Row],[AVG VOL.]])</f>
        <v>0.11451899811068512</v>
      </c>
      <c r="AE22" s="3">
        <f t="array" aca="1" ref="AE22" ca="1">SUM(IF((Table29[Bid]=0)*(Table29[StationID]=60003760),Table29[VolRem]))/Table2[[#This Row],[AVG VOL.]]</f>
        <v>0.76533825365433272</v>
      </c>
      <c r="AF22" s="3">
        <f t="array" aca="1" ref="AF22" ca="1">(((SUM(IF((Table29[Bid]=1)*(Table29[StationID]=60003760),Table29[VolEnt])))-(SUM(IF((Table29[Bid]=1)*(Table29[StationID]=60003760),Table29[VolRem]))))/Table2[[#This Row],[AVG VOL.]])</f>
        <v>0.5356373399330453</v>
      </c>
      <c r="AG22" s="27">
        <f t="array" aca="1" ref="AG22" ca="1">Table2[[#This Row],[AVG VOL.]]*Table2[[#This Row],[BUY PRICE]]</f>
        <v>29662858564.539333</v>
      </c>
      <c r="AH22" s="28">
        <f ca="1">((E22-M22)*X22)-(Table2[[#This Row],[EXPENSE]]*0.0092)</f>
        <v>825289213.36424196</v>
      </c>
      <c r="AI22" s="2"/>
      <c r="AJ22" s="2"/>
      <c r="AM22"/>
      <c r="AO22" s="37"/>
      <c r="AP22" s="37"/>
    </row>
    <row r="23" spans="1:42" x14ac:dyDescent="0.55000000000000004">
      <c r="A23" s="1">
        <v>16670</v>
      </c>
      <c r="B23" s="2" t="s">
        <v>38</v>
      </c>
      <c r="C23" s="21">
        <f t="array" aca="1" ref="C23" ca="1">((Table2[[#This Row],[SELL PRICE]])/AVERAGE(OFFSET(Table95[avgPrice],COUNTA(Table95[avgPrice])-5,):OFFSET(Table95[avgPrice],COUNTA(Table95[avgPrice]),)))-1</f>
        <v>0.25087145969498903</v>
      </c>
      <c r="D23" s="21">
        <f t="array" aca="1" ref="D23" ca="1">((Table2[[#This Row],[SELL PRICE]])/AVERAGE(OFFSET(Table95[avgPrice],COUNTA(Table95[avgPrice])-1,):OFFSET(Table95[avgPrice],COUNTA(Table95[avgPrice]),)))-1</f>
        <v>0.24815217391304345</v>
      </c>
      <c r="E23" s="32">
        <f t="array" ref="E23">MIN(IF((Table40[Bid]=0)*(Table40[StationID]=60003760),Table40[Price]))</f>
        <v>114.83</v>
      </c>
      <c r="F23" s="29" t="e">
        <f>((Table2[[#This Row],[MYS]]/Table2[[#This Row],[SELL PRICE]])-1)</f>
        <v>#N/A</v>
      </c>
      <c r="G23" s="2" t="e">
        <f t="array" ref="G23">INDEX(Table0[price], MATCH(MIN(IF((Table0[bid]=0)*(Table0[typeID]=16670)*(Table0[volRemaining]&gt;0),Table0[price])), Table0[price], 0))</f>
        <v>#N/A</v>
      </c>
      <c r="H23" s="6">
        <f t="array" ref="H23">INDEX(Table40[OrderID], MATCH(MIN(IF((Table40[Bid]=0)*(Table40[StationID]=60003760),Table40[Price])), Table40[Price], 0))</f>
        <v>2878289265</v>
      </c>
      <c r="I23" s="25">
        <f>(E23/M23)-1</f>
        <v>6.0785219399538182E-2</v>
      </c>
      <c r="J23" s="6">
        <f t="array" ref="J23">INDEX(Table40[OrderID], MATCH(MAX(IF((Table40[Bid]=1)*(Table40[StationID]=60003760),Table40[Price])), Table40[Price], 0))</f>
        <v>2878965964</v>
      </c>
      <c r="K23" s="2" t="e">
        <f t="array" ref="K23">INDEX(Table0[price], MATCH(MAX(IF((Table0[bid]=1)*(Table0[typeID]=16670)*(Table0[volRemaining]&gt;0),Table0[price])), Table0[price], 0))</f>
        <v>#N/A</v>
      </c>
      <c r="L23" s="21" t="e">
        <f>((Table2[[#This Row],[MY2]]/Table2[[#This Row],[BUY PRICE]])-1)</f>
        <v>#N/A</v>
      </c>
      <c r="M23" s="32">
        <f t="array" ref="M23">MAX(IF((Table40[Bid]=1)*(Table40[StationID]=60003760),Table40[Price]))</f>
        <v>108.25</v>
      </c>
      <c r="N23" s="21">
        <f t="array" aca="1" ref="N23" ca="1">((Table2[[#This Row],[BUY PRICE]])/AVERAGE(OFFSET(Table95[avgPrice],COUNTA(Table95[avgPrice])-1,):OFFSET(Table95[avgPrice],COUNTA(Table95[avgPrice]),)))-1</f>
        <v>0.17663043478260865</v>
      </c>
      <c r="O23" s="21">
        <f t="array" aca="1" ref="O23" ca="1">((Table2[[#This Row],[BUY PRICE]])/AVERAGE(OFFSET(Table95[avgPrice],COUNTA(Table95[avgPrice])-5,):OFFSET(Table95[avgPrice],COUNTA(Table95[avgPrice]),)))-1</f>
        <v>0.17919389978213518</v>
      </c>
      <c r="P23" s="40">
        <f t="array" ref="P23">SUM(Table2[[#This Row],[10%]:[2%]])</f>
        <v>0.33480150611369525</v>
      </c>
      <c r="Q23" s="40">
        <f t="array" ref="Q23">SUM((Table40[VolRem])*(Table40[StationID]=60003760)*(Table40[Price]&gt;=(Table2[[#This Row],[SELL PRICE]]+(Table2[[#This Row],[SELL PRICE]]*0.05)))*(Table40[Price]&lt;=(Table2[[#This Row],[SELL PRICE]]+(Table2[[#This Row],[SELL PRICE]]*0.1)))/(SUM(IF((Table40[Bid]=0)*(Table40[StationID]=60003760),Table40[VolRem]))))</f>
        <v>9.0168200536410198E-2</v>
      </c>
      <c r="R23" s="40">
        <f t="array" ref="R23">SUM((Table40[VolRem])*(Table40[StationID]=60003760)*(Table40[Price]&gt;=(Table2[[#This Row],[SELL PRICE]]+(Table2[[#This Row],[SELL PRICE]]*0.02)))*(Table40[Price]&lt;=(Table2[[#This Row],[SELL PRICE]]+(Table2[[#This Row],[SELL PRICE]]*0.05)))/(SUM(IF((Table40[Bid]=0)*(Table40[StationID]=60003760),Table40[VolRem]))))</f>
        <v>8.911209545699135E-2</v>
      </c>
      <c r="S23" s="40">
        <f t="array" ref="S23">SUM((Table40[VolRem])*(Table40[StationID]=60003760)*(Table40[Price]&lt;=(Table2[[#This Row],[SELL PRICE]]+(Table2[[#This Row],[SELL PRICE]]*0.02)))*(Table40[Price]&gt;=Table2[[#This Row],[SELL PRICE]]))/(SUM(IF((Table40[Bid]=0)*(Table40[StationID]=60003760),Table40[VolRem])))</f>
        <v>0.15552121012029368</v>
      </c>
      <c r="T23" s="40">
        <f ca="1">SUM(Table2[[#This Row],[2%2]],Table2[[#This Row],[5%2]],Table2[[#This Row],[10%2]])</f>
        <v>1.7040392581064099</v>
      </c>
      <c r="U23" s="29">
        <f t="array" aca="1" ref="U23" ca="1">SUM((Table40[VolRem])*(Table40[StationID]=60003760)*(Table40[Price]&gt;=(Table2[[#This Row],[SELL PRICE]]+(Table2[[#This Row],[SELL PRICE]]*0.05)))*(Table40[Price]&lt;=(Table2[[#This Row],[SELL PRICE]]+(Table2[[#This Row],[SELL PRICE]]*0.1)))/Table2[[#This Row],[AVG VOL.]])</f>
        <v>0.45892909900673029</v>
      </c>
      <c r="V23" s="29">
        <f t="array" aca="1" ref="V23" ca="1">SUM((Table40[VolRem])*(Table40[StationID]=60003760)*(Table40[Price]&gt;=(Table2[[#This Row],[SELL PRICE]]+(Table2[[#This Row],[SELL PRICE]]*0.02)))*(Table40[Price]&lt;=(Table2[[#This Row],[SELL PRICE]]+(Table2[[#This Row],[SELL PRICE]]*0.05)))/Table2[[#This Row],[AVG VOL.]])</f>
        <v>0.45355384088168416</v>
      </c>
      <c r="W23" s="45">
        <f t="array" aca="1" ref="W23" ca="1">SUM((Table40[VolRem])*(Table40[StationID]=60003760)*(Table40[Price]&lt;=(Table2[[#This Row],[SELL PRICE]]+(Table2[[#This Row],[SELL PRICE]]*0.02)))*(Table40[Price]&gt;=Table2[[#This Row],[SELL PRICE]]))/Table2[[#This Row],[AVG VOL.]]</f>
        <v>0.79155631821799555</v>
      </c>
      <c r="X23" s="27">
        <f t="array" aca="1" ref="X23" ca="1">AVERAGE(OFFSET(Table95[volume],COUNTA(Table95[volume])-30,):OFFSET(Table95[volume],COUNTA(Table95[volume]),))</f>
        <v>126721914.40000001</v>
      </c>
      <c r="Y23" s="21">
        <f ca="1">Table2[[#This Row],[sum2]]-Table2[[#This Row],[sum]]</f>
        <v>-0.88513717245420631</v>
      </c>
      <c r="Z23" s="45">
        <f t="array" aca="1" ref="Z23" ca="1">SUM((Table40[VolRem])*(Table40[StationID]=60003760)*(Table40[Price]&gt;=(Table2[[#This Row],[BUY PRICE]]-(Table2[[#This Row],[BUY PRICE]]*0.02)))*(Table40[Price]&lt;=Table2[[#This Row],[BUY PRICE]]))/Table2[[#This Row],[AVG VOL.]]</f>
        <v>0.56829034142179913</v>
      </c>
      <c r="AA23" s="21">
        <f t="array" aca="1" ref="AA23" ca="1">SUM((Table40[VolRem])*(Table40[StationID]=60003760)*(Table40[Price]&lt;=(Table2[[#This Row],[BUY PRICE]]-(Table2[[#This Row],[BUY PRICE]]*0.02)))*(Table40[Price]&gt;=(Table2[[#This Row],[BUY PRICE]]-(Table2[[#This Row],[BUY PRICE]]*0.05))))/Table2[[#This Row],[AVG VOL.]]</f>
        <v>0.10258683402592282</v>
      </c>
      <c r="AB23" s="21">
        <f t="array" aca="1" ref="AB23" ca="1">SUM((Table40[VolRem])*(Table40[StationID]=60003760)*(Table40[Price]&lt;=(Table2[[#This Row],[BUY PRICE]]-(Table2[[#This Row],[BUY PRICE]]*0.05)))*(Table40[Price]&gt;=(Table2[[#This Row],[BUY PRICE]]-(Table2[[#This Row],[BUY PRICE]]*0.1))))/Table2[[#This Row],[AVG VOL.]]</f>
        <v>0.14802491020448155</v>
      </c>
      <c r="AC23" s="21">
        <f ca="1">SUM(Table2[[#This Row],[10.00%]],Table2[[#This Row],[5.00%]],Table2[[#This Row],[2.00%]])</f>
        <v>0.81890208565220357</v>
      </c>
      <c r="AD23" s="3">
        <f t="array" aca="1" ref="AD23" ca="1">(((SUM(IF((Table40[Bid]=0)*(Table40[StationID]=60003760),Table40[VolEnt])))-(SUM(IF((Table40[Bid]=0)*(Table40[StationID]=60003760),Table40[VolRem]))))/Table2[[#This Row],[AVG VOL.]])</f>
        <v>0.61632538752113419</v>
      </c>
      <c r="AE23" s="3">
        <f t="array" aca="1" ref="AE23" ca="1">SUM(IF((Table40[Bid]=0)*(Table40[StationID]=60003760),Table40[VolRem]))/Table2[[#This Row],[AVG VOL.]]</f>
        <v>5.0897000968918444</v>
      </c>
      <c r="AF23" s="3">
        <f t="array" aca="1" ref="AF23" ca="1">(((SUM(IF((Table40[Bid]=1)*(Table40[StationID]=60003760),Table40[VolEnt])))-(SUM(IF((Table40[Bid]=1)*(Table40[StationID]=60003760),Table40[VolRem]))))/Table2[[#This Row],[AVG VOL.]])</f>
        <v>0.18892486838882541</v>
      </c>
      <c r="AG23" s="27">
        <f t="array" aca="1" ref="AG23" ca="1">Table2[[#This Row],[AVG VOL.]]*Table2[[#This Row],[BUY PRICE]]</f>
        <v>13717647233.800001</v>
      </c>
      <c r="AH23" s="28">
        <f ca="1">((E23-M23)*X23)-(Table2[[#This Row],[EXPENSE]]*0.0092)</f>
        <v>707627842.20103979</v>
      </c>
      <c r="AI23" s="2"/>
      <c r="AJ23" s="2"/>
      <c r="AM23"/>
      <c r="AO23" s="37"/>
      <c r="AP23" s="37"/>
    </row>
    <row r="24" spans="1:42" x14ac:dyDescent="0.55000000000000004">
      <c r="A24" s="1">
        <v>10222</v>
      </c>
      <c r="B24" s="2" t="s">
        <v>2</v>
      </c>
      <c r="C24" s="21">
        <f t="array" aca="1" ref="C24" ca="1">((Table2[[#This Row],[SELL PRICE]])/AVERAGE(OFFSET(Table90[avgPrice],COUNTA(Table90[avgPrice])-5,):OFFSET(Table90[avgPrice],COUNTA(Table90[avgPrice]),)))-1</f>
        <v>0.22876931334638995</v>
      </c>
      <c r="D24" s="21">
        <f t="array" aca="1" ref="D24" ca="1">((Table2[[#This Row],[SELL PRICE]])/AVERAGE(OFFSET(Table90[avgPrice],COUNTA(Table90[avgPrice])-1,):OFFSET(Table90[avgPrice],COUNTA(Table90[avgPrice]),)))-1</f>
        <v>0.21134010628122835</v>
      </c>
      <c r="E24" s="32">
        <f t="array" ref="E24">MIN(IF((Table41[Bid]=0)*(Table41[StationID]=60003760),Table41[Price]))</f>
        <v>117500000</v>
      </c>
      <c r="F24" s="29" t="e">
        <f>((Table2[[#This Row],[MYS]]/Table2[[#This Row],[SELL PRICE]])-1)</f>
        <v>#N/A</v>
      </c>
      <c r="G24" s="2" t="e">
        <f t="array" ref="G24">INDEX(Table0[price], MATCH(MIN(IF((Table0[bid]=0)*(Table0[typeID]=10222)*(Table0[volRemaining]&gt;0),Table0[price])), Table0[price], 0))</f>
        <v>#N/A</v>
      </c>
      <c r="H24" s="6">
        <f t="array" ref="H24">INDEX(Table41[OrderID], MATCH(MIN(IF((Table41[Bid]=0)*(Table41[StationID]=60003760),Table41[Price])), Table41[Price], 0))</f>
        <v>2879039061</v>
      </c>
      <c r="I24" s="25">
        <f>(E24/M24)-1</f>
        <v>5.9799765108758063E-2</v>
      </c>
      <c r="J24" s="6">
        <f t="array" ref="J24">INDEX(Table41[OrderID], MATCH(MAX(IF((Table41[Bid]=1)*(Table41[StationID]=60003760),Table41[Price])), Table41[Price], 0))</f>
        <v>2877231145</v>
      </c>
      <c r="K24" s="2" t="e">
        <f t="array" ref="K24">INDEX(Table0[price], MATCH(MAX(IF((Table0[bid]=1)*(Table0[typeID]=10222)*(Table0[volRemaining]&gt;0),Table0[price])), Table0[price], 0))</f>
        <v>#N/A</v>
      </c>
      <c r="L24" s="21" t="e">
        <f>((Table2[[#This Row],[MY2]]/Table2[[#This Row],[BUY PRICE]])-1)</f>
        <v>#N/A</v>
      </c>
      <c r="M24" s="32">
        <f t="array" ref="M24">MAX(IF((Table41[Bid]=1)*(Table41[StationID]=60003760),Table41[Price]))</f>
        <v>110870000.04000001</v>
      </c>
      <c r="N24" s="21">
        <f t="array" aca="1" ref="N24" ca="1">((Table2[[#This Row],[BUY PRICE]])/AVERAGE(OFFSET(Table90[avgPrice],COUNTA(Table90[avgPrice])-1,):OFFSET(Table90[avgPrice],COUNTA(Table90[avgPrice]),)))-1</f>
        <v>0.14298959686683754</v>
      </c>
      <c r="O24" s="21">
        <f t="array" aca="1" ref="O24" ca="1">((Table2[[#This Row],[BUY PRICE]])/AVERAGE(OFFSET(Table90[avgPrice],COUNTA(Table90[avgPrice])-5,):OFFSET(Table90[avgPrice],COUNTA(Table90[avgPrice]),)))-1</f>
        <v>0.15943535165842571</v>
      </c>
      <c r="P24" s="40">
        <f t="array" ref="P24">SUM(Table2[[#This Row],[10%]:[2%]])</f>
        <v>0.66249999999999998</v>
      </c>
      <c r="Q24" s="40">
        <f t="array" ref="Q24">SUM((Table41[VolRem])*(Table41[StationID]=60003760)*(Table41[Price]&gt;=(Table2[[#This Row],[SELL PRICE]]+(Table2[[#This Row],[SELL PRICE]]*0.05)))*(Table41[Price]&lt;=(Table2[[#This Row],[SELL PRICE]]+(Table2[[#This Row],[SELL PRICE]]*0.1)))/(SUM(IF((Table41[Bid]=0)*(Table41[StationID]=60003760),Table41[VolRem]))))</f>
        <v>6.2500000000000003E-3</v>
      </c>
      <c r="R24" s="40">
        <f t="array" ref="R24">SUM((Table41[VolRem])*(Table41[StationID]=60003760)*(Table41[Price]&gt;=(Table2[[#This Row],[SELL PRICE]]+(Table2[[#This Row],[SELL PRICE]]*0.02)))*(Table41[Price]&lt;=(Table2[[#This Row],[SELL PRICE]]+(Table2[[#This Row],[SELL PRICE]]*0.05)))/(SUM(IF((Table41[Bid]=0)*(Table41[StationID]=60003760),Table41[VolRem]))))</f>
        <v>0.265625</v>
      </c>
      <c r="S24" s="40">
        <f t="array" ref="S24">SUM((Table41[VolRem])*(Table41[StationID]=60003760)*(Table41[Price]&lt;=(Table2[[#This Row],[SELL PRICE]]+(Table2[[#This Row],[SELL PRICE]]*0.02)))*(Table41[Price]&gt;=Table2[[#This Row],[SELL PRICE]]))/(SUM(IF((Table41[Bid]=0)*(Table41[StationID]=60003760),Table41[VolRem])))</f>
        <v>0.390625</v>
      </c>
      <c r="T24" s="40">
        <f ca="1">SUM(Table2[[#This Row],[2%2]],Table2[[#This Row],[5%2]],Table2[[#This Row],[10%2]])</f>
        <v>1.701899919721702</v>
      </c>
      <c r="U24" s="29">
        <f t="array" aca="1" ref="U24" ca="1">SUM((Table41[VolRem])*(Table41[StationID]=60003760)*(Table41[Price]&gt;=(Table2[[#This Row],[SELL PRICE]]+(Table2[[#This Row],[SELL PRICE]]*0.05)))*(Table41[Price]&lt;=(Table2[[#This Row],[SELL PRICE]]+(Table2[[#This Row],[SELL PRICE]]*0.1)))/Table2[[#This Row],[AVG VOL.]])</f>
        <v>1.6055659620016056E-2</v>
      </c>
      <c r="V24" s="29">
        <f t="array" aca="1" ref="V24" ca="1">SUM((Table41[VolRem])*(Table41[StationID]=60003760)*(Table41[Price]&gt;=(Table2[[#This Row],[SELL PRICE]]+(Table2[[#This Row],[SELL PRICE]]*0.02)))*(Table41[Price]&lt;=(Table2[[#This Row],[SELL PRICE]]+(Table2[[#This Row],[SELL PRICE]]*0.05)))/Table2[[#This Row],[AVG VOL.]])</f>
        <v>0.68236553385068233</v>
      </c>
      <c r="W24" s="45">
        <f t="array" aca="1" ref="W24" ca="1">SUM((Table41[VolRem])*(Table41[StationID]=60003760)*(Table41[Price]&lt;=(Table2[[#This Row],[SELL PRICE]]+(Table2[[#This Row],[SELL PRICE]]*0.02)))*(Table41[Price]&gt;=Table2[[#This Row],[SELL PRICE]]))/Table2[[#This Row],[AVG VOL.]]</f>
        <v>1.0034787262510034</v>
      </c>
      <c r="X24" s="27">
        <f t="array" aca="1" ref="X24" ca="1">AVERAGE(OFFSET(Table90[volume],COUNTA(Table90[volume])-30,):OFFSET(Table90[volume],COUNTA(Table90[volume]),))</f>
        <v>124.56666666666666</v>
      </c>
      <c r="Y24" s="21">
        <f ca="1">Table2[[#This Row],[sum2]]-Table2[[#This Row],[sum]]</f>
        <v>-1.0516457051110517</v>
      </c>
      <c r="Z24" s="45">
        <f t="array" aca="1" ref="Z24" ca="1">SUM((Table41[VolRem])*(Table41[StationID]=60003760)*(Table41[Price]&gt;=(Table2[[#This Row],[BUY PRICE]]-(Table2[[#This Row],[BUY PRICE]]*0.02)))*(Table41[Price]&lt;=Table2[[#This Row],[BUY PRICE]]))/Table2[[#This Row],[AVG VOL.]]</f>
        <v>0.45758629917045762</v>
      </c>
      <c r="AA24" s="21">
        <f t="array" aca="1" ref="AA24" ca="1">SUM((Table41[VolRem])*(Table41[StationID]=60003760)*(Table41[Price]&lt;=(Table2[[#This Row],[BUY PRICE]]-(Table2[[#This Row],[BUY PRICE]]*0.02)))*(Table41[Price]&gt;=(Table2[[#This Row],[BUY PRICE]]-(Table2[[#This Row],[BUY PRICE]]*0.05))))/Table2[[#This Row],[AVG VOL.]]</f>
        <v>2.4083489430024085E-2</v>
      </c>
      <c r="AB24" s="21">
        <f t="array" aca="1" ref="AB24" ca="1">SUM((Table41[VolRem])*(Table41[StationID]=60003760)*(Table41[Price]&lt;=(Table2[[#This Row],[BUY PRICE]]-(Table2[[#This Row],[BUY PRICE]]*0.05)))*(Table41[Price]&gt;=(Table2[[#This Row],[BUY PRICE]]-(Table2[[#This Row],[BUY PRICE]]*0.1))))/Table2[[#This Row],[AVG VOL.]]</f>
        <v>0.1685844260101686</v>
      </c>
      <c r="AC24" s="21">
        <f ca="1">SUM(Table2[[#This Row],[10.00%]],Table2[[#This Row],[5.00%]],Table2[[#This Row],[2.00%]])</f>
        <v>0.65025421461065025</v>
      </c>
      <c r="AD24" s="3">
        <f t="array" aca="1" ref="AD24" ca="1">(((SUM(IF((Table41[Bid]=0)*(Table41[StationID]=60003760),Table41[VolEnt])))-(SUM(IF((Table41[Bid]=0)*(Table41[StationID]=60003760),Table41[VolRem]))))/Table2[[#This Row],[AVG VOL.]])</f>
        <v>0.52180893765052183</v>
      </c>
      <c r="AE24" s="3">
        <f t="array" aca="1" ref="AE24" ca="1">SUM(IF((Table41[Bid]=0)*(Table41[StationID]=60003760),Table41[VolRem]))/Table2[[#This Row],[AVG VOL.]]</f>
        <v>2.5689055392025688</v>
      </c>
      <c r="AF24" s="3">
        <f t="array" aca="1" ref="AF24" ca="1">(((SUM(IF((Table41[Bid]=1)*(Table41[StationID]=60003760),Table41[VolEnt])))-(SUM(IF((Table41[Bid]=1)*(Table41[StationID]=60003760),Table41[VolRem]))))/Table2[[#This Row],[AVG VOL.]])</f>
        <v>0.40941932031040945</v>
      </c>
      <c r="AG24" s="27">
        <f t="array" aca="1" ref="AG24" ca="1">Table2[[#This Row],[AVG VOL.]]*Table2[[#This Row],[BUY PRICE]]</f>
        <v>13810706338.316</v>
      </c>
      <c r="AH24" s="28">
        <f ca="1">((E24-M24)*X24)-(Table2[[#This Row],[EXPENSE]]*0.0092)</f>
        <v>698818496.70482528</v>
      </c>
      <c r="AI24" s="2"/>
      <c r="AJ24" s="2"/>
      <c r="AM24"/>
      <c r="AO24" s="37"/>
      <c r="AP24" s="37"/>
    </row>
    <row r="25" spans="1:42" x14ac:dyDescent="0.55000000000000004">
      <c r="A25" s="1">
        <v>16671</v>
      </c>
      <c r="B25" s="2" t="s">
        <v>40</v>
      </c>
      <c r="C25" s="21">
        <f t="array" aca="1" ref="C25" ca="1">((Table2[[#This Row],[SELL PRICE]])/AVERAGE(OFFSET(Table97[avgPrice],COUNTA(Table97[avgPrice])-5,):OFFSET(Table97[avgPrice],COUNTA(Table97[avgPrice]),)))-1</f>
        <v>-4.3647912885662499E-2</v>
      </c>
      <c r="D25" s="21">
        <f t="array" aca="1" ref="D25" ca="1">((Table2[[#This Row],[SELL PRICE]])/AVERAGE(OFFSET(Table97[avgPrice],COUNTA(Table97[avgPrice])-1,):OFFSET(Table97[avgPrice],COUNTA(Table97[avgPrice]),)))-1</f>
        <v>-1.5046728971962575E-2</v>
      </c>
      <c r="E25" s="32">
        <f t="array" ref="E25">MIN(IF((Table43[Bid]=0)*(Table43[StationID]=60003760),Table43[Price]))</f>
        <v>105.39</v>
      </c>
      <c r="F25" s="29" t="e">
        <f>((Table2[[#This Row],[MYS]]/Table2[[#This Row],[SELL PRICE]])-1)</f>
        <v>#N/A</v>
      </c>
      <c r="G25" s="2" t="e">
        <f t="array" ref="G25">INDEX(Table0[price], MATCH(MIN(IF((Table0[bid]=0)*(Table0[typeID]=16671)*(Table0[volRemaining]&gt;0),Table0[price])), Table0[price], 0))</f>
        <v>#N/A</v>
      </c>
      <c r="H25" s="6">
        <f t="array" ref="H25">INDEX(Table43[OrderID], MATCH(MIN(IF((Table43[Bid]=0)*(Table43[StationID]=60003760),Table43[Price])), Table43[Price], 0))</f>
        <v>2878967693</v>
      </c>
      <c r="I25" s="25">
        <f>(E25/M25)-1</f>
        <v>6.0688405797101552E-2</v>
      </c>
      <c r="J25" s="6">
        <f t="array" ref="J25">INDEX(Table43[OrderID], MATCH(MAX(IF((Table43[Bid]=1)*(Table43[StationID]=60003760),Table43[Price])), Table43[Price], 0))</f>
        <v>2878275355</v>
      </c>
      <c r="K25" s="2" t="e">
        <f t="array" ref="K25">INDEX(Table0[price], MATCH(MAX(IF((Table0[bid]=1)*(Table0[typeID]=16671)*(Table0[volRemaining]&gt;0),Table0[price])), Table0[price], 0))</f>
        <v>#N/A</v>
      </c>
      <c r="L25" s="21" t="e">
        <f>((Table2[[#This Row],[MY2]]/Table2[[#This Row],[BUY PRICE]])-1)</f>
        <v>#N/A</v>
      </c>
      <c r="M25" s="32">
        <f t="array" ref="M25">MAX(IF((Table43[Bid]=1)*(Table43[StationID]=60003760),Table43[Price]))</f>
        <v>99.36</v>
      </c>
      <c r="N25" s="21">
        <f t="array" aca="1" ref="N25" ca="1">((Table2[[#This Row],[BUY PRICE]])/AVERAGE(OFFSET(Table97[avgPrice],COUNTA(Table97[avgPrice])-1,):OFFSET(Table97[avgPrice],COUNTA(Table97[avgPrice]),)))-1</f>
        <v>-7.1401869158878473E-2</v>
      </c>
      <c r="O25" s="21">
        <f t="array" aca="1" ref="O25" ca="1">((Table2[[#This Row],[BUY PRICE]])/AVERAGE(OFFSET(Table97[avgPrice],COUNTA(Table97[avgPrice])-5,):OFFSET(Table97[avgPrice],COUNTA(Table97[avgPrice]),)))-1</f>
        <v>-9.8366606170598891E-2</v>
      </c>
      <c r="P25" s="40">
        <f t="array" ref="P25">SUM(Table2[[#This Row],[10%]:[2%]])</f>
        <v>0.34552183465134739</v>
      </c>
      <c r="Q25" s="40">
        <f t="array" ref="Q25">SUM((Table43[VolRem])*(Table43[StationID]=60003760)*(Table43[Price]&gt;=(Table2[[#This Row],[SELL PRICE]]+(Table2[[#This Row],[SELL PRICE]]*0.05)))*(Table43[Price]&lt;=(Table2[[#This Row],[SELL PRICE]]+(Table2[[#This Row],[SELL PRICE]]*0.1)))/(SUM(IF((Table43[Bid]=0)*(Table43[StationID]=60003760),Table43[VolRem]))))</f>
        <v>7.4948600505799915E-3</v>
      </c>
      <c r="R25" s="40">
        <f t="array" ref="R25">SUM((Table43[VolRem])*(Table43[StationID]=60003760)*(Table43[Price]&gt;=(Table2[[#This Row],[SELL PRICE]]+(Table2[[#This Row],[SELL PRICE]]*0.02)))*(Table43[Price]&lt;=(Table2[[#This Row],[SELL PRICE]]+(Table2[[#This Row],[SELL PRICE]]*0.05)))/(SUM(IF((Table43[Bid]=0)*(Table43[StationID]=60003760),Table43[VolRem]))))</f>
        <v>2.3062590062463708E-3</v>
      </c>
      <c r="S25" s="40">
        <f t="array" ref="S25">SUM((Table43[VolRem])*(Table43[StationID]=60003760)*(Table43[Price]&lt;=(Table2[[#This Row],[SELL PRICE]]+(Table2[[#This Row],[SELL PRICE]]*0.02)))*(Table43[Price]&gt;=Table2[[#This Row],[SELL PRICE]]))/(SUM(IF((Table43[Bid]=0)*(Table43[StationID]=60003760),Table43[VolRem])))</f>
        <v>0.33572071559452105</v>
      </c>
      <c r="T25" s="40">
        <f ca="1">SUM(Table2[[#This Row],[2%2]],Table2[[#This Row],[5%2]],Table2[[#This Row],[10%2]])</f>
        <v>0.63318146549254373</v>
      </c>
      <c r="U25" s="29">
        <f t="array" aca="1" ref="U25" ca="1">SUM((Table43[VolRem])*(Table43[StationID]=60003760)*(Table43[Price]&gt;=(Table2[[#This Row],[SELL PRICE]]+(Table2[[#This Row],[SELL PRICE]]*0.05)))*(Table43[Price]&lt;=(Table2[[#This Row],[SELL PRICE]]+(Table2[[#This Row],[SELL PRICE]]*0.1)))/Table2[[#This Row],[AVG VOL.]])</f>
        <v>1.3734606599540565E-2</v>
      </c>
      <c r="V25" s="29">
        <f t="array" aca="1" ref="V25" ca="1">SUM((Table43[VolRem])*(Table43[StationID]=60003760)*(Table43[Price]&gt;=(Table2[[#This Row],[SELL PRICE]]+(Table2[[#This Row],[SELL PRICE]]*0.02)))*(Table43[Price]&lt;=(Table2[[#This Row],[SELL PRICE]]+(Table2[[#This Row],[SELL PRICE]]*0.05)))/Table2[[#This Row],[AVG VOL.]])</f>
        <v>4.2263044211199169E-3</v>
      </c>
      <c r="W25" s="45">
        <f t="array" aca="1" ref="W25" ca="1">SUM((Table43[VolRem])*(Table43[StationID]=60003760)*(Table43[Price]&lt;=(Table2[[#This Row],[SELL PRICE]]+(Table2[[#This Row],[SELL PRICE]]*0.02)))*(Table43[Price]&gt;=Table2[[#This Row],[SELL PRICE]]))/Table2[[#This Row],[AVG VOL.]]</f>
        <v>0.61522055447188329</v>
      </c>
      <c r="X25" s="27">
        <f t="array" aca="1" ref="X25" ca="1">AVERAGE(OFFSET(Table97[volume],COUNTA(Table97[volume])-30,):OFFSET(Table97[volume],COUNTA(Table97[volume]),))</f>
        <v>131971089.73333333</v>
      </c>
      <c r="Y25" s="21">
        <f ca="1">Table2[[#This Row],[sum2]]-Table2[[#This Row],[sum]]</f>
        <v>0.12165909997744528</v>
      </c>
      <c r="Z25" s="45">
        <f t="array" aca="1" ref="Z25" ca="1">SUM((Table43[VolRem])*(Table43[StationID]=60003760)*(Table43[Price]&gt;=(Table2[[#This Row],[BUY PRICE]]-(Table2[[#This Row],[BUY PRICE]]*0.02)))*(Table43[Price]&lt;=Table2[[#This Row],[BUY PRICE]]))/Table2[[#This Row],[AVG VOL.]]</f>
        <v>0.47833539245266599</v>
      </c>
      <c r="AA25" s="21">
        <f t="array" aca="1" ref="AA25" ca="1">SUM((Table43[VolRem])*(Table43[StationID]=60003760)*(Table43[Price]&lt;=(Table2[[#This Row],[BUY PRICE]]-(Table2[[#This Row],[BUY PRICE]]*0.02)))*(Table43[Price]&gt;=(Table2[[#This Row],[BUY PRICE]]-(Table2[[#This Row],[BUY PRICE]]*0.05))))/Table2[[#This Row],[AVG VOL.]]</f>
        <v>8.3015825830775158E-2</v>
      </c>
      <c r="AB25" s="21">
        <f t="array" aca="1" ref="AB25" ca="1">SUM((Table43[VolRem])*(Table43[StationID]=60003760)*(Table43[Price]&lt;=(Table2[[#This Row],[BUY PRICE]]-(Table2[[#This Row],[BUY PRICE]]*0.05)))*(Table43[Price]&gt;=(Table2[[#This Row],[BUY PRICE]]-(Table2[[#This Row],[BUY PRICE]]*0.1))))/Table2[[#This Row],[AVG VOL.]]</f>
        <v>0.19348934718654789</v>
      </c>
      <c r="AC25" s="21">
        <f ca="1">SUM(Table2[[#This Row],[10.00%]],Table2[[#This Row],[5.00%]],Table2[[#This Row],[2.00%]])</f>
        <v>0.75484056546998901</v>
      </c>
      <c r="AD25" s="3">
        <f t="array" aca="1" ref="AD25" ca="1">(((SUM(IF((Table43[Bid]=0)*(Table43[StationID]=60003760),Table43[VolEnt])))-(SUM(IF((Table43[Bid]=0)*(Table43[StationID]=60003760),Table43[VolRem]))))/Table2[[#This Row],[AVG VOL.]])</f>
        <v>0.32597481832518482</v>
      </c>
      <c r="AE25" s="3">
        <f t="array" aca="1" ref="AE25" ca="1">SUM(IF((Table43[Bid]=0)*(Table43[StationID]=60003760),Table43[VolRem]))/Table2[[#This Row],[AVG VOL.]]</f>
        <v>1.8325367661104903</v>
      </c>
      <c r="AF25" s="3">
        <f t="array" aca="1" ref="AF25" ca="1">(((SUM(IF((Table43[Bid]=1)*(Table43[StationID]=60003760),Table43[VolEnt])))-(SUM(IF((Table43[Bid]=1)*(Table43[StationID]=60003760),Table43[VolRem]))))/Table2[[#This Row],[AVG VOL.]])</f>
        <v>0.2952662138256012</v>
      </c>
      <c r="AG25" s="27">
        <f t="array" aca="1" ref="AG25" ca="1">Table2[[#This Row],[AVG VOL.]]*Table2[[#This Row],[BUY PRICE]]</f>
        <v>13112647475.903999</v>
      </c>
      <c r="AH25" s="28">
        <f ca="1">((E25-M25)*X25)-(Table2[[#This Row],[EXPENSE]]*0.0092)</f>
        <v>675149314.31368327</v>
      </c>
      <c r="AI25" s="2"/>
      <c r="AJ25" s="2"/>
      <c r="AM25"/>
      <c r="AO25" s="37"/>
      <c r="AP25" s="37"/>
    </row>
    <row r="26" spans="1:42" x14ac:dyDescent="0.55000000000000004">
      <c r="A26" s="1">
        <v>16673</v>
      </c>
      <c r="B26" s="2" t="s">
        <v>34</v>
      </c>
      <c r="C26" s="21">
        <f t="array" aca="1" ref="C26" ca="1">((Table2[[#This Row],[SELL PRICE]])/AVERAGE(OFFSET(Table83[avgPrice],COUNTA(Table83[avgPrice])-5,):OFFSET(Table83[avgPrice],COUNTA(Table83[avgPrice]),)))-1</f>
        <v>-0.14037478705281092</v>
      </c>
      <c r="D26" s="21">
        <f t="array" aca="1" ref="D26" ca="1">((Table2[[#This Row],[SELL PRICE]])/AVERAGE(OFFSET(Table83[avgPrice],COUNTA(Table83[avgPrice])-1,):OFFSET(Table83[avgPrice],COUNTA(Table83[avgPrice]),)))-1</f>
        <v>-0.16595041322314052</v>
      </c>
      <c r="E26" s="32">
        <f t="array" ref="E26">MIN(IF((Table32[Bid]=0)*(Table32[StationID]=60003760),Table32[Price]))</f>
        <v>100.92</v>
      </c>
      <c r="F26" s="29" t="e">
        <f>((Table2[[#This Row],[MYS]]/Table2[[#This Row],[SELL PRICE]])-1)</f>
        <v>#N/A</v>
      </c>
      <c r="G26" s="2" t="e">
        <f t="array" ref="G26">INDEX(Table0[price], MATCH(MIN(IF((Table0[bid]=0)*(Table0[typeID]=16673)*(Table0[volRemaining]&gt;0),Table0[price])), Table0[price], 0))</f>
        <v>#N/A</v>
      </c>
      <c r="H26" s="6">
        <f t="array" ref="H26">INDEX(Table32[OrderID], MATCH(MIN(IF((Table32[Bid]=0)*(Table32[StationID]=60003760),Table32[Price])), Table32[Price], 0))</f>
        <v>2878560068</v>
      </c>
      <c r="I26" s="25">
        <f>(E26/M26)-1</f>
        <v>5.7196731615336338E-2</v>
      </c>
      <c r="J26" s="6">
        <f t="array" ref="J26">INDEX(Table32[OrderID], MATCH(MAX(IF((Table32[Bid]=1)*(Table32[StationID]=60003760),Table32[Price])), Table32[Price], 0))</f>
        <v>2876963880</v>
      </c>
      <c r="K26" s="2" t="e">
        <f t="array" ref="K26">INDEX(Table0[price], MATCH(MAX(IF((Table0[bid]=1)*(Table0[typeID]=16673)*(Table0[volRemaining]&gt;0),Table0[price])), Table0[price], 0))</f>
        <v>#N/A</v>
      </c>
      <c r="L26" s="21" t="e">
        <f>((Table2[[#This Row],[MY2]]/Table2[[#This Row],[BUY PRICE]])-1)</f>
        <v>#N/A</v>
      </c>
      <c r="M26" s="32">
        <f t="array" ref="M26">MAX(IF((Table32[Bid]=1)*(Table32[StationID]=60003760),Table32[Price]))</f>
        <v>95.46</v>
      </c>
      <c r="N26" s="21">
        <f t="array" aca="1" ref="N26" ca="1">((Table2[[#This Row],[BUY PRICE]])/AVERAGE(OFFSET(Table83[avgPrice],COUNTA(Table83[avgPrice])-1,):OFFSET(Table83[avgPrice],COUNTA(Table83[avgPrice]),)))-1</f>
        <v>-0.21107438016528934</v>
      </c>
      <c r="O26" s="21">
        <f t="array" aca="1" ref="O26" ca="1">((Table2[[#This Row],[BUY PRICE]])/AVERAGE(OFFSET(Table83[avgPrice],COUNTA(Table83[avgPrice])-5,):OFFSET(Table83[avgPrice],COUNTA(Table83[avgPrice]),)))-1</f>
        <v>-0.18688245315161844</v>
      </c>
      <c r="P26" s="40">
        <f t="array" ref="P26">SUM(Table2[[#This Row],[10%]:[2%]])</f>
        <v>0.50014235010519337</v>
      </c>
      <c r="Q26" s="40">
        <f t="array" ref="Q26">SUM((Table32[VolRem])*(Table32[StationID]=60003760)*(Table32[Price]&gt;=(Table2[[#This Row],[SELL PRICE]]+(Table2[[#This Row],[SELL PRICE]]*0.05)))*(Table32[Price]&lt;=(Table2[[#This Row],[SELL PRICE]]+(Table2[[#This Row],[SELL PRICE]]*0.1)))/(SUM(IF((Table32[Bid]=0)*(Table32[StationID]=60003760),Table32[VolRem]))))</f>
        <v>7.927743567865124E-2</v>
      </c>
      <c r="R26" s="40">
        <f t="array" ref="R26">SUM((Table32[VolRem])*(Table32[StationID]=60003760)*(Table32[Price]&gt;=(Table2[[#This Row],[SELL PRICE]]+(Table2[[#This Row],[SELL PRICE]]*0.02)))*(Table32[Price]&lt;=(Table2[[#This Row],[SELL PRICE]]+(Table2[[#This Row],[SELL PRICE]]*0.05)))/(SUM(IF((Table32[Bid]=0)*(Table32[StationID]=60003760),Table32[VolRem]))))</f>
        <v>0.20355045144822903</v>
      </c>
      <c r="S26" s="40">
        <f t="array" ref="S26">SUM((Table32[VolRem])*(Table32[StationID]=60003760)*(Table32[Price]&lt;=(Table2[[#This Row],[SELL PRICE]]+(Table2[[#This Row],[SELL PRICE]]*0.02)))*(Table32[Price]&gt;=Table2[[#This Row],[SELL PRICE]]))/(SUM(IF((Table32[Bid]=0)*(Table32[StationID]=60003760),Table32[VolRem])))</f>
        <v>0.21731446297831314</v>
      </c>
      <c r="T26" s="40">
        <f ca="1">SUM(Table2[[#This Row],[2%2]],Table2[[#This Row],[5%2]],Table2[[#This Row],[10%2]])</f>
        <v>1.9373328560641685</v>
      </c>
      <c r="U26" s="29">
        <f t="array" aca="1" ref="U26" ca="1">SUM((Table32[VolRem])*(Table32[StationID]=60003760)*(Table32[Price]&gt;=(Table2[[#This Row],[SELL PRICE]]+(Table2[[#This Row],[SELL PRICE]]*0.05)))*(Table32[Price]&lt;=(Table2[[#This Row],[SELL PRICE]]+(Table2[[#This Row],[SELL PRICE]]*0.1)))/Table2[[#This Row],[AVG VOL.]])</f>
        <v>0.30708613428249254</v>
      </c>
      <c r="V26" s="29">
        <f t="array" aca="1" ref="V26" ca="1">SUM((Table32[VolRem])*(Table32[StationID]=60003760)*(Table32[Price]&gt;=(Table2[[#This Row],[SELL PRICE]]+(Table2[[#This Row],[SELL PRICE]]*0.02)))*(Table32[Price]&lt;=(Table2[[#This Row],[SELL PRICE]]+(Table2[[#This Row],[SELL PRICE]]*0.05)))/Table2[[#This Row],[AVG VOL.]])</f>
        <v>0.78846547862704885</v>
      </c>
      <c r="W26" s="45">
        <f t="array" aca="1" ref="W26" ca="1">SUM((Table32[VolRem])*(Table32[StationID]=60003760)*(Table32[Price]&lt;=(Table2[[#This Row],[SELL PRICE]]+(Table2[[#This Row],[SELL PRICE]]*0.02)))*(Table32[Price]&gt;=Table2[[#This Row],[SELL PRICE]]))/Table2[[#This Row],[AVG VOL.]]</f>
        <v>0.84178124315462699</v>
      </c>
      <c r="X26" s="27">
        <f t="array" aca="1" ref="X26" ca="1">AVERAGE(OFFSET(Table83[volume],COUNTA(Table83[volume])-30,):OFFSET(Table83[volume],COUNTA(Table83[volume]),))</f>
        <v>134535217.93333334</v>
      </c>
      <c r="Y26" s="21">
        <f ca="1">Table2[[#This Row],[sum2]]-Table2[[#This Row],[sum]]</f>
        <v>-0.4344756257723168</v>
      </c>
      <c r="Z26" s="45">
        <f t="array" aca="1" ref="Z26" ca="1">SUM((Table32[VolRem])*(Table32[StationID]=60003760)*(Table32[Price]&gt;=(Table2[[#This Row],[BUY PRICE]]-(Table2[[#This Row],[BUY PRICE]]*0.02)))*(Table32[Price]&lt;=Table2[[#This Row],[BUY PRICE]]))/Table2[[#This Row],[AVG VOL.]]</f>
        <v>0.49141496937077839</v>
      </c>
      <c r="AA26" s="21">
        <f t="array" aca="1" ref="AA26" ca="1">SUM((Table32[VolRem])*(Table32[StationID]=60003760)*(Table32[Price]&lt;=(Table2[[#This Row],[BUY PRICE]]-(Table2[[#This Row],[BUY PRICE]]*0.02)))*(Table32[Price]&gt;=(Table2[[#This Row],[BUY PRICE]]-(Table2[[#This Row],[BUY PRICE]]*0.05))))/Table2[[#This Row],[AVG VOL.]]</f>
        <v>9.3978894108346103E-2</v>
      </c>
      <c r="AB26" s="21">
        <f t="array" aca="1" ref="AB26" ca="1">SUM((Table32[VolRem])*(Table32[StationID]=60003760)*(Table32[Price]&lt;=(Table2[[#This Row],[BUY PRICE]]-(Table2[[#This Row],[BUY PRICE]]*0.05)))*(Table32[Price]&gt;=(Table2[[#This Row],[BUY PRICE]]-(Table2[[#This Row],[BUY PRICE]]*0.1))))/Table2[[#This Row],[AVG VOL.]]</f>
        <v>0.91746336681272722</v>
      </c>
      <c r="AC26" s="21">
        <f ca="1">SUM(Table2[[#This Row],[10.00%]],Table2[[#This Row],[5.00%]],Table2[[#This Row],[2.00%]])</f>
        <v>1.5028572302918517</v>
      </c>
      <c r="AD26" s="3">
        <f t="array" aca="1" ref="AD26" ca="1">(((SUM(IF((Table32[Bid]=0)*(Table32[StationID]=60003760),Table32[VolEnt])))-(SUM(IF((Table32[Bid]=0)*(Table32[StationID]=60003760),Table32[VolRem]))))/Table2[[#This Row],[AVG VOL.]])</f>
        <v>0.36071986016366353</v>
      </c>
      <c r="AE26" s="3">
        <f t="array" aca="1" ref="AE26" ca="1">SUM(IF((Table32[Bid]=0)*(Table32[StationID]=60003760),Table32[VolRem]))/Table2[[#This Row],[AVG VOL.]]</f>
        <v>3.8735629079534961</v>
      </c>
      <c r="AF26" s="3">
        <f t="array" aca="1" ref="AF26" ca="1">(((SUM(IF((Table32[Bid]=1)*(Table32[StationID]=60003760),Table32[VolEnt])))-(SUM(IF((Table32[Bid]=1)*(Table32[StationID]=60003760),Table32[VolRem]))))/Table2[[#This Row],[AVG VOL.]])</f>
        <v>0.84577775803199118</v>
      </c>
      <c r="AG26" s="27">
        <f t="array" aca="1" ref="AG26" ca="1">Table2[[#This Row],[AVG VOL.]]*Table2[[#This Row],[BUY PRICE]]</f>
        <v>12842731903.916</v>
      </c>
      <c r="AH26" s="28">
        <f ca="1">((E26-M26)*X26)-(Table2[[#This Row],[EXPENSE]]*0.0092)</f>
        <v>616409156.39997387</v>
      </c>
      <c r="AI26" s="2"/>
      <c r="AJ26" s="2"/>
      <c r="AM26"/>
      <c r="AO26" s="37"/>
      <c r="AP26" s="37"/>
    </row>
    <row r="27" spans="1:42" x14ac:dyDescent="0.55000000000000004">
      <c r="A27" s="1">
        <v>16678</v>
      </c>
      <c r="B27" s="2" t="s">
        <v>42</v>
      </c>
      <c r="C27" s="21">
        <f t="array" aca="1" ref="C27" ca="1">((Table2[[#This Row],[SELL PRICE]])/AVERAGE(OFFSET(Table74[avgPrice],COUNTA(Table74[avgPrice])-5,):OFFSET(Table74[avgPrice],COUNTA(Table74[avgPrice]),)))-1</f>
        <v>0.11973995271867599</v>
      </c>
      <c r="D27" s="21">
        <f t="array" aca="1" ref="D27" ca="1">((Table2[[#This Row],[SELL PRICE]])/AVERAGE(OFFSET(Table74[avgPrice],COUNTA(Table74[avgPrice])-1,):OFFSET(Table74[avgPrice],COUNTA(Table74[avgPrice]),)))-1</f>
        <v>0.14132530120481923</v>
      </c>
      <c r="E27" s="32">
        <f t="array" ref="E27">MIN(IF((Table45[Bid]=0)*(Table45[StationID]=60003760),Table45[Price]))</f>
        <v>284.19</v>
      </c>
      <c r="F27" s="29" t="e">
        <f>((Table2[[#This Row],[MYS]]/Table2[[#This Row],[SELL PRICE]])-1)</f>
        <v>#N/A</v>
      </c>
      <c r="G27" s="2" t="e">
        <f t="array" ref="G27">INDEX(Table0[price], MATCH(MIN(IF((Table0[bid]=0)*(Table0[typeID]=16678)*(Table0[volRemaining]&gt;0),Table0[price])), Table0[price], 0))</f>
        <v>#N/A</v>
      </c>
      <c r="H27" s="6">
        <f t="array" ref="H27">INDEX(Table45[OrderID], MATCH(MIN(IF((Table45[Bid]=0)*(Table45[StationID]=60003760),Table45[Price])), Table45[Price], 0))</f>
        <v>2874542800</v>
      </c>
      <c r="I27" s="25">
        <f>(E27/M27)-1</f>
        <v>3.2854806469198694E-2</v>
      </c>
      <c r="J27" s="6">
        <f t="array" ref="J27">INDEX(Table45[OrderID], MATCH(MAX(IF((Table45[Bid]=1)*(Table45[StationID]=60003760),Table45[Price])), Table45[Price], 0))</f>
        <v>2878969815</v>
      </c>
      <c r="K27" s="2" t="e">
        <f t="array" ref="K27">INDEX(Table0[price], MATCH(MAX(IF((Table0[bid]=1)*(Table0[typeID]=16678)*(Table0[volRemaining]&gt;0),Table0[price])), Table0[price], 0))</f>
        <v>#N/A</v>
      </c>
      <c r="L27" s="21" t="e">
        <f>((Table2[[#This Row],[MY2]]/Table2[[#This Row],[BUY PRICE]])-1)</f>
        <v>#N/A</v>
      </c>
      <c r="M27" s="32">
        <f t="array" ref="M27">MAX(IF((Table45[Bid]=1)*(Table45[StationID]=60003760),Table45[Price]))</f>
        <v>275.14999999999998</v>
      </c>
      <c r="N27" s="21">
        <f t="array" aca="1" ref="N27" ca="1">((Table2[[#This Row],[BUY PRICE]])/AVERAGE(OFFSET(Table74[avgPrice],COUNTA(Table74[avgPrice])-1,):OFFSET(Table74[avgPrice],COUNTA(Table74[avgPrice]),)))-1</f>
        <v>0.10502008032128507</v>
      </c>
      <c r="O27" s="21">
        <f t="array" aca="1" ref="O27" ca="1">((Table2[[#This Row],[BUY PRICE]])/AVERAGE(OFFSET(Table74[avgPrice],COUNTA(Table74[avgPrice])-5,):OFFSET(Table74[avgPrice],COUNTA(Table74[avgPrice]),)))-1</f>
        <v>8.4121355397950959E-2</v>
      </c>
      <c r="P27" s="40">
        <f t="array" ref="P27">SUM(Table2[[#This Row],[10%]:[2%]])</f>
        <v>0.68352028245494889</v>
      </c>
      <c r="Q27" s="40">
        <f t="array" ref="Q27">SUM((Table45[VolRem])*(Table45[StationID]=60003760)*(Table45[Price]&gt;=(Table2[[#This Row],[SELL PRICE]]+(Table2[[#This Row],[SELL PRICE]]*0.05)))*(Table45[Price]&lt;=(Table2[[#This Row],[SELL PRICE]]+(Table2[[#This Row],[SELL PRICE]]*0.1)))/(SUM(IF((Table45[Bid]=0)*(Table45[StationID]=60003760),Table45[VolRem]))))</f>
        <v>9.693636721253282E-2</v>
      </c>
      <c r="R27" s="40">
        <f t="array" ref="R27">SUM((Table45[VolRem])*(Table45[StationID]=60003760)*(Table45[Price]&gt;=(Table2[[#This Row],[SELL PRICE]]+(Table2[[#This Row],[SELL PRICE]]*0.02)))*(Table45[Price]&lt;=(Table2[[#This Row],[SELL PRICE]]+(Table2[[#This Row],[SELL PRICE]]*0.05)))/(SUM(IF((Table45[Bid]=0)*(Table45[StationID]=60003760),Table45[VolRem]))))</f>
        <v>0.40534914819477441</v>
      </c>
      <c r="S27" s="40">
        <f t="array" ref="S27">SUM((Table45[VolRem])*(Table45[StationID]=60003760)*(Table45[Price]&lt;=(Table2[[#This Row],[SELL PRICE]]+(Table2[[#This Row],[SELL PRICE]]*0.02)))*(Table45[Price]&gt;=Table2[[#This Row],[SELL PRICE]]))/(SUM(IF((Table45[Bid]=0)*(Table45[StationID]=60003760),Table45[VolRem])))</f>
        <v>0.18123476704764169</v>
      </c>
      <c r="T27" s="40">
        <f ca="1">SUM(Table2[[#This Row],[2%2]],Table2[[#This Row],[5%2]],Table2[[#This Row],[10%2]])</f>
        <v>0.6897192256121234</v>
      </c>
      <c r="U27" s="29">
        <f t="array" aca="1" ref="U27" ca="1">SUM((Table45[VolRem])*(Table45[StationID]=60003760)*(Table45[Price]&gt;=(Table2[[#This Row],[SELL PRICE]]+(Table2[[#This Row],[SELL PRICE]]*0.05)))*(Table45[Price]&lt;=(Table2[[#This Row],[SELL PRICE]]+(Table2[[#This Row],[SELL PRICE]]*0.1)))/Table2[[#This Row],[AVG VOL.]])</f>
        <v>9.7815496984739805E-2</v>
      </c>
      <c r="V27" s="29">
        <f t="array" aca="1" ref="V27" ca="1">SUM((Table45[VolRem])*(Table45[StationID]=60003760)*(Table45[Price]&gt;=(Table2[[#This Row],[SELL PRICE]]+(Table2[[#This Row],[SELL PRICE]]*0.02)))*(Table45[Price]&lt;=(Table2[[#This Row],[SELL PRICE]]+(Table2[[#This Row],[SELL PRICE]]*0.05)))/Table2[[#This Row],[AVG VOL.]])</f>
        <v>0.409025317568189</v>
      </c>
      <c r="W27" s="45">
        <f t="array" aca="1" ref="W27" ca="1">SUM((Table45[VolRem])*(Table45[StationID]=60003760)*(Table45[Price]&lt;=(Table2[[#This Row],[SELL PRICE]]+(Table2[[#This Row],[SELL PRICE]]*0.02)))*(Table45[Price]&gt;=Table2[[#This Row],[SELL PRICE]]))/Table2[[#This Row],[AVG VOL.]]</f>
        <v>0.18287841105919467</v>
      </c>
      <c r="X27" s="27">
        <f t="array" aca="1" ref="X27" ca="1">AVERAGE(OFFSET(Table74[volume],COUNTA(Table74[volume])-30,):OFFSET(Table74[volume],COUNTA(Table74[volume]),))</f>
        <v>92060330.700000003</v>
      </c>
      <c r="Y27" s="21">
        <f ca="1">Table2[[#This Row],[sum2]]-Table2[[#This Row],[sum]]</f>
        <v>0.21201818255036975</v>
      </c>
      <c r="Z27" s="45">
        <f t="array" aca="1" ref="Z27" ca="1">SUM((Table45[VolRem])*(Table45[StationID]=60003760)*(Table45[Price]&gt;=(Table2[[#This Row],[BUY PRICE]]-(Table2[[#This Row],[BUY PRICE]]*0.02)))*(Table45[Price]&lt;=Table2[[#This Row],[BUY PRICE]]))/Table2[[#This Row],[AVG VOL.]]</f>
        <v>0.55268369788725946</v>
      </c>
      <c r="AA27" s="21">
        <f t="array" aca="1" ref="AA27" ca="1">SUM((Table45[VolRem])*(Table45[StationID]=60003760)*(Table45[Price]&lt;=(Table2[[#This Row],[BUY PRICE]]-(Table2[[#This Row],[BUY PRICE]]*0.02)))*(Table45[Price]&gt;=(Table2[[#This Row],[BUY PRICE]]-(Table2[[#This Row],[BUY PRICE]]*0.05))))/Table2[[#This Row],[AVG VOL.]]</f>
        <v>0.15435530039867648</v>
      </c>
      <c r="AB27" s="21">
        <f t="array" aca="1" ref="AB27" ca="1">SUM((Table45[VolRem])*(Table45[StationID]=60003760)*(Table45[Price]&lt;=(Table2[[#This Row],[BUY PRICE]]-(Table2[[#This Row],[BUY PRICE]]*0.05)))*(Table45[Price]&gt;=(Table2[[#This Row],[BUY PRICE]]-(Table2[[#This Row],[BUY PRICE]]*0.1))))/Table2[[#This Row],[AVG VOL.]]</f>
        <v>0.19469840987655718</v>
      </c>
      <c r="AC27" s="21">
        <f ca="1">SUM(Table2[[#This Row],[10.00%]],Table2[[#This Row],[5.00%]],Table2[[#This Row],[2.00%]])</f>
        <v>0.90173740816249315</v>
      </c>
      <c r="AD27" s="3">
        <f t="array" aca="1" ref="AD27" ca="1">(((SUM(IF((Table45[Bid]=0)*(Table45[StationID]=60003760),Table45[VolEnt])))-(SUM(IF((Table45[Bid]=0)*(Table45[StationID]=60003760),Table45[VolRem]))))/Table2[[#This Row],[AVG VOL.]])</f>
        <v>0.29612920997252073</v>
      </c>
      <c r="AE27" s="3">
        <f t="array" aca="1" ref="AE27" ca="1">SUM(IF((Table45[Bid]=0)*(Table45[StationID]=60003760),Table45[VolRem]))/Table2[[#This Row],[AVG VOL.]]</f>
        <v>1.0090691429593137</v>
      </c>
      <c r="AF27" s="3">
        <f t="array" aca="1" ref="AF27" ca="1">(((SUM(IF((Table45[Bid]=1)*(Table45[StationID]=60003760),Table45[VolEnt])))-(SUM(IF((Table45[Bid]=1)*(Table45[StationID]=60003760),Table45[VolRem]))))/Table2[[#This Row],[AVG VOL.]])</f>
        <v>0.74328027587674084</v>
      </c>
      <c r="AG27" s="27">
        <f t="array" aca="1" ref="AG27" ca="1">Table2[[#This Row],[AVG VOL.]]*Table2[[#This Row],[BUY PRICE]]</f>
        <v>25330399992.105</v>
      </c>
      <c r="AH27" s="28">
        <f ca="1">((E27-M27)*X27)-(Table2[[#This Row],[EXPENSE]]*0.0092)</f>
        <v>599185709.60063589</v>
      </c>
      <c r="AI27" s="2"/>
      <c r="AJ27" s="2"/>
      <c r="AM27"/>
      <c r="AO27" s="37"/>
      <c r="AP27" s="37"/>
    </row>
    <row r="28" spans="1:42" x14ac:dyDescent="0.55000000000000004">
      <c r="A28" s="1">
        <v>3689</v>
      </c>
      <c r="B28" s="2" t="s">
        <v>35</v>
      </c>
      <c r="C28" s="21">
        <f t="array" aca="1" ref="C28" ca="1">((Table2[[#This Row],[SELL PRICE]])/AVERAGE(OFFSET(Table78[avgPrice],COUNTA(Table78[avgPrice])-5,):OFFSET(Table78[avgPrice],COUNTA(Table78[avgPrice]),)))-1</f>
        <v>0.30276601206520359</v>
      </c>
      <c r="D28" s="21">
        <f t="array" aca="1" ref="D28" ca="1">((Table2[[#This Row],[SELL PRICE]])/AVERAGE(OFFSET(Table78[avgPrice],COUNTA(Table78[avgPrice])-1,):OFFSET(Table78[avgPrice],COUNTA(Table78[avgPrice]),)))-1</f>
        <v>0.3286883099882183</v>
      </c>
      <c r="E28" s="32">
        <f t="array" ref="E28">MIN(IF((Table35[Bid]=0)*(Table35[StationID]=60003760),Table35[Price]))</f>
        <v>10149.85</v>
      </c>
      <c r="F28" s="29" t="e">
        <f>((Table2[[#This Row],[MYS]]/Table2[[#This Row],[SELL PRICE]])-1)</f>
        <v>#N/A</v>
      </c>
      <c r="G28" s="2" t="e">
        <f t="array" ref="G28">INDEX(Table0[price], MATCH(MIN(IF((Table0[bid]=0)*(Table0[typeID]=3689)*(Table0[volRemaining]&gt;0),Table0[price])), Table0[price], 0))</f>
        <v>#N/A</v>
      </c>
      <c r="H28" s="6">
        <f t="array" ref="H28">INDEX(Table35[OrderID], MATCH(MIN(IF((Table35[Bid]=0)*(Table35[StationID]=60003760),Table35[Price])), Table35[Price], 0))</f>
        <v>2879135303</v>
      </c>
      <c r="I28" s="25">
        <f>(E28/M28)-1</f>
        <v>4.4003065197155022E-2</v>
      </c>
      <c r="J28" s="6">
        <f t="array" ref="J28">INDEX(Table35[OrderID], MATCH(MAX(IF((Table35[Bid]=1)*(Table35[StationID]=60003760),Table35[Price])), Table35[Price], 0))</f>
        <v>2879109901</v>
      </c>
      <c r="K28" s="2" t="e">
        <f t="array" ref="K28">INDEX(Table0[price], MATCH(MAX(IF((Table0[bid]=1)*(Table0[typeID]=3689)*(Table0[volRemaining]&gt;0),Table0[price])), Table0[price], 0))</f>
        <v>#N/A</v>
      </c>
      <c r="L28" s="21" t="e">
        <f>((Table2[[#This Row],[MY2]]/Table2[[#This Row],[BUY PRICE]])-1)</f>
        <v>#N/A</v>
      </c>
      <c r="M28" s="32">
        <f t="array" ref="M28">MAX(IF((Table35[Bid]=1)*(Table35[StationID]=60003760),Table35[Price]))</f>
        <v>9722.0499999999993</v>
      </c>
      <c r="N28" s="21">
        <f t="array" aca="1" ref="N28" ca="1">((Table2[[#This Row],[BUY PRICE]])/AVERAGE(OFFSET(Table78[avgPrice],COUNTA(Table78[avgPrice])-1,):OFFSET(Table78[avgPrice],COUNTA(Table78[avgPrice]),)))-1</f>
        <v>0.27268621547322947</v>
      </c>
      <c r="O28" s="21">
        <f t="array" aca="1" ref="O28" ca="1">((Table2[[#This Row],[BUY PRICE]])/AVERAGE(OFFSET(Table78[avgPrice],COUNTA(Table78[avgPrice])-5,):OFFSET(Table78[avgPrice],COUNTA(Table78[avgPrice]),)))-1</f>
        <v>0.24785650109100232</v>
      </c>
      <c r="P28" s="40">
        <f t="array" ref="P28">SUM(Table2[[#This Row],[10%]:[2%]])</f>
        <v>0.54603080886062316</v>
      </c>
      <c r="Q28" s="40">
        <f t="array" ref="Q28">SUM((Table35[VolRem])*(Table35[StationID]=60003760)*(Table35[Price]&gt;=(Table2[[#This Row],[SELL PRICE]]+(Table2[[#This Row],[SELL PRICE]]*0.05)))*(Table35[Price]&lt;=(Table2[[#This Row],[SELL PRICE]]+(Table2[[#This Row],[SELL PRICE]]*0.1)))/(SUM(IF((Table35[Bid]=0)*(Table35[StationID]=60003760),Table35[VolRem]))))</f>
        <v>0.30586791712017392</v>
      </c>
      <c r="R28" s="40">
        <f t="array" ref="R28">SUM((Table35[VolRem])*(Table35[StationID]=60003760)*(Table35[Price]&gt;=(Table2[[#This Row],[SELL PRICE]]+(Table2[[#This Row],[SELL PRICE]]*0.02)))*(Table35[Price]&lt;=(Table2[[#This Row],[SELL PRICE]]+(Table2[[#This Row],[SELL PRICE]]*0.05)))/(SUM(IF((Table35[Bid]=0)*(Table35[StationID]=60003760),Table35[VolRem]))))</f>
        <v>0.16324257695298497</v>
      </c>
      <c r="S28" s="40">
        <f t="array" ref="S28">SUM((Table35[VolRem])*(Table35[StationID]=60003760)*(Table35[Price]&lt;=(Table2[[#This Row],[SELL PRICE]]+(Table2[[#This Row],[SELL PRICE]]*0.02)))*(Table35[Price]&gt;=Table2[[#This Row],[SELL PRICE]]))/(SUM(IF((Table35[Bid]=0)*(Table35[StationID]=60003760),Table35[VolRem])))</f>
        <v>7.6920314787464306E-2</v>
      </c>
      <c r="T28" s="40">
        <f ca="1">SUM(Table2[[#This Row],[2%2]],Table2[[#This Row],[5%2]],Table2[[#This Row],[10%2]])</f>
        <v>1.0590071098013376</v>
      </c>
      <c r="U28" s="29">
        <f t="array" aca="1" ref="U28" ca="1">SUM((Table35[VolRem])*(Table35[StationID]=60003760)*(Table35[Price]&gt;=(Table2[[#This Row],[SELL PRICE]]+(Table2[[#This Row],[SELL PRICE]]*0.05)))*(Table35[Price]&lt;=(Table2[[#This Row],[SELL PRICE]]+(Table2[[#This Row],[SELL PRICE]]*0.1)))/Table2[[#This Row],[AVG VOL.]])</f>
        <v>0.59321982136189599</v>
      </c>
      <c r="V28" s="29">
        <f t="array" aca="1" ref="V28" ca="1">SUM((Table35[VolRem])*(Table35[StationID]=60003760)*(Table35[Price]&gt;=(Table2[[#This Row],[SELL PRICE]]+(Table2[[#This Row],[SELL PRICE]]*0.02)))*(Table35[Price]&lt;=(Table2[[#This Row],[SELL PRICE]]+(Table2[[#This Row],[SELL PRICE]]*0.05)))/Table2[[#This Row],[AVG VOL.]])</f>
        <v>0.31660310519150614</v>
      </c>
      <c r="W28" s="45">
        <f t="array" aca="1" ref="W28" ca="1">SUM((Table35[VolRem])*(Table35[StationID]=60003760)*(Table35[Price]&lt;=(Table2[[#This Row],[SELL PRICE]]+(Table2[[#This Row],[SELL PRICE]]*0.02)))*(Table35[Price]&gt;=Table2[[#This Row],[SELL PRICE]]))/Table2[[#This Row],[AVG VOL.]]</f>
        <v>0.14918418324793553</v>
      </c>
      <c r="X28" s="27">
        <f t="array" aca="1" ref="X28" ca="1">AVERAGE(OFFSET(Table78[volume],COUNTA(Table78[volume])-30,):OFFSET(Table78[volume],COUNTA(Table78[volume]),))</f>
        <v>1751821.1</v>
      </c>
      <c r="Y28" s="21">
        <f ca="1">Table2[[#This Row],[sum2]]-Table2[[#This Row],[sum]]</f>
        <v>-0.78391851770708776</v>
      </c>
      <c r="Z28" s="45">
        <f t="array" aca="1" ref="Z28" ca="1">SUM((Table35[VolRem])*(Table35[StationID]=60003760)*(Table35[Price]&gt;=(Table2[[#This Row],[BUY PRICE]]-(Table2[[#This Row],[BUY PRICE]]*0.02)))*(Table35[Price]&lt;=Table2[[#This Row],[BUY PRICE]]))/Table2[[#This Row],[AVG VOL.]]</f>
        <v>0.19331939773987195</v>
      </c>
      <c r="AA28" s="21">
        <f t="array" aca="1" ref="AA28" ca="1">SUM((Table35[VolRem])*(Table35[StationID]=60003760)*(Table35[Price]&lt;=(Table2[[#This Row],[BUY PRICE]]-(Table2[[#This Row],[BUY PRICE]]*0.02)))*(Table35[Price]&gt;=(Table2[[#This Row],[BUY PRICE]]-(Table2[[#This Row],[BUY PRICE]]*0.05))))/Table2[[#This Row],[AVG VOL.]]</f>
        <v>5.7083454469180665E-2</v>
      </c>
      <c r="AB28" s="21">
        <f t="array" aca="1" ref="AB28" ca="1">SUM((Table35[VolRem])*(Table35[StationID]=60003760)*(Table35[Price]&lt;=(Table2[[#This Row],[BUY PRICE]]-(Table2[[#This Row],[BUY PRICE]]*0.05)))*(Table35[Price]&gt;=(Table2[[#This Row],[BUY PRICE]]-(Table2[[#This Row],[BUY PRICE]]*0.1))))/Table2[[#This Row],[AVG VOL.]]</f>
        <v>2.4685739885197181E-2</v>
      </c>
      <c r="AC28" s="21">
        <f ca="1">SUM(Table2[[#This Row],[10.00%]],Table2[[#This Row],[5.00%]],Table2[[#This Row],[2.00%]])</f>
        <v>0.2750885920942498</v>
      </c>
      <c r="AD28" s="3">
        <f t="array" aca="1" ref="AD28" ca="1">(((SUM(IF((Table35[Bid]=0)*(Table35[StationID]=60003760),Table35[VolEnt])))-(SUM(IF((Table35[Bid]=0)*(Table35[StationID]=60003760),Table35[VolRem]))))/Table2[[#This Row],[AVG VOL.]])</f>
        <v>0.41093979288181881</v>
      </c>
      <c r="AE28" s="3">
        <f t="array" aca="1" ref="AE28" ca="1">SUM(IF((Table35[Bid]=0)*(Table35[StationID]=60003760),Table35[VolRem]))/Table2[[#This Row],[AVG VOL.]]</f>
        <v>1.9394640240376142</v>
      </c>
      <c r="AF28" s="3">
        <f t="array" aca="1" ref="AF28" ca="1">(((SUM(IF((Table35[Bid]=1)*(Table35[StationID]=60003760),Table35[VolEnt])))-(SUM(IF((Table35[Bid]=1)*(Table35[StationID]=60003760),Table35[VolRem]))))/Table2[[#This Row],[AVG VOL.]])</f>
        <v>0.16093481235041637</v>
      </c>
      <c r="AG28" s="27">
        <f t="array" aca="1" ref="AG28" ca="1">Table2[[#This Row],[AVG VOL.]]*Table2[[#This Row],[BUY PRICE]]</f>
        <v>17031292325.254999</v>
      </c>
      <c r="AH28" s="28">
        <f ca="1">((E28-M28)*X28)-(Table2[[#This Row],[EXPENSE]]*0.0092)</f>
        <v>592741177.18765593</v>
      </c>
      <c r="AI28" s="2"/>
      <c r="AJ28" s="2"/>
      <c r="AM28"/>
      <c r="AO28" s="37"/>
      <c r="AP28" s="37"/>
    </row>
    <row r="29" spans="1:42" x14ac:dyDescent="0.55000000000000004">
      <c r="A29" s="1">
        <v>25600</v>
      </c>
      <c r="B29" s="2" t="s">
        <v>37</v>
      </c>
      <c r="C29" s="21">
        <f t="array" aca="1" ref="C29" ca="1">((Table2[[#This Row],[SELL PRICE]])/AVERAGE(OFFSET(Table80[avgPrice],COUNTA(Table80[avgPrice])-5,):OFFSET(Table80[avgPrice],COUNTA(Table80[avgPrice]),)))-1</f>
        <v>0.90298668283996175</v>
      </c>
      <c r="D29" s="21">
        <f t="array" aca="1" ref="D29" ca="1">((Table2[[#This Row],[SELL PRICE]])/AVERAGE(OFFSET(Table80[avgPrice],COUNTA(Table80[avgPrice])-1,):OFFSET(Table80[avgPrice],COUNTA(Table80[avgPrice]),)))-1</f>
        <v>0.82050552435034874</v>
      </c>
      <c r="E29" s="32">
        <f t="array" ref="E29">MIN(IF((Table37[Bid]=0)*(Table37[StationID]=60003760),Table37[Price]))</f>
        <v>29494.01</v>
      </c>
      <c r="F29" s="29" t="e">
        <f>((Table2[[#This Row],[MYS]]/Table2[[#This Row],[SELL PRICE]])-1)</f>
        <v>#N/A</v>
      </c>
      <c r="G29" s="2" t="e">
        <f t="array" ref="G29">INDEX(Table0[price], MATCH(MIN(IF((Table0[bid]=0)*(Table0[typeID]=25600)*(Table0[volRemaining]&gt;0),Table0[price])), Table0[price], 0))</f>
        <v>#N/A</v>
      </c>
      <c r="H29" s="6">
        <f t="array" ref="H29">INDEX(Table37[OrderID], MATCH(MIN(IF((Table37[Bid]=0)*(Table37[StationID]=60003760),Table37[Price])), Table37[Price], 0))</f>
        <v>2879137449</v>
      </c>
      <c r="I29" s="25">
        <f>(E29/M29)-1</f>
        <v>5.2605638829407608E-2</v>
      </c>
      <c r="J29" s="6">
        <f t="array" ref="J29">INDEX(Table37[OrderID], MATCH(MAX(IF((Table37[Bid]=1)*(Table37[StationID]=60003760),Table37[Price])), Table37[Price], 0))</f>
        <v>2878822794</v>
      </c>
      <c r="K29" s="2" t="e">
        <f t="array" ref="K29">INDEX(Table0[price], MATCH(MAX(IF((Table0[bid]=1)*(Table0[typeID]=25600)*(Table0[volRemaining]&gt;0),Table0[price])), Table0[price], 0))</f>
        <v>#N/A</v>
      </c>
      <c r="L29" s="21" t="e">
        <f>((Table2[[#This Row],[MY2]]/Table2[[#This Row],[BUY PRICE]])-1)</f>
        <v>#N/A</v>
      </c>
      <c r="M29" s="32">
        <f t="array" ref="M29">MAX(IF((Table37[Bid]=1)*(Table37[StationID]=60003760),Table37[Price]))</f>
        <v>28020</v>
      </c>
      <c r="N29" s="21">
        <f t="array" aca="1" ref="N29" ca="1">((Table2[[#This Row],[BUY PRICE]])/AVERAGE(OFFSET(Table80[avgPrice],COUNTA(Table80[avgPrice])-1,):OFFSET(Table80[avgPrice],COUNTA(Table80[avgPrice]),)))-1</f>
        <v>0.72952286895870633</v>
      </c>
      <c r="O29" s="21">
        <f t="array" aca="1" ref="O29" ca="1">((Table2[[#This Row],[BUY PRICE]])/AVERAGE(OFFSET(Table80[avgPrice],COUNTA(Table80[avgPrice])-5,):OFFSET(Table80[avgPrice],COUNTA(Table80[avgPrice]),)))-1</f>
        <v>0.80788190053423503</v>
      </c>
      <c r="P29" s="40">
        <f t="array" ref="P29">SUM(Table2[[#This Row],[10%]:[2%]])</f>
        <v>0.54012097698445449</v>
      </c>
      <c r="Q29" s="40">
        <f t="array" ref="Q29">SUM((Table37[VolRem])*(Table37[StationID]=60003760)*(Table37[Price]&gt;=(Table2[[#This Row],[SELL PRICE]]+(Table2[[#This Row],[SELL PRICE]]*0.05)))*(Table37[Price]&lt;=(Table2[[#This Row],[SELL PRICE]]+(Table2[[#This Row],[SELL PRICE]]*0.1)))/(SUM(IF((Table37[Bid]=0)*(Table37[StationID]=60003760),Table37[VolRem]))))</f>
        <v>0.46539947256544073</v>
      </c>
      <c r="R29" s="40">
        <f t="array" ref="R29">SUM((Table37[VolRem])*(Table37[StationID]=60003760)*(Table37[Price]&gt;=(Table2[[#This Row],[SELL PRICE]]+(Table2[[#This Row],[SELL PRICE]]*0.02)))*(Table37[Price]&lt;=(Table2[[#This Row],[SELL PRICE]]+(Table2[[#This Row],[SELL PRICE]]*0.05)))/(SUM(IF((Table37[Bid]=0)*(Table37[StationID]=60003760),Table37[VolRem]))))</f>
        <v>1.1439008442330844E-2</v>
      </c>
      <c r="S29" s="40">
        <f t="array" ref="S29">SUM((Table37[VolRem])*(Table37[StationID]=60003760)*(Table37[Price]&lt;=(Table2[[#This Row],[SELL PRICE]]+(Table2[[#This Row],[SELL PRICE]]*0.02)))*(Table37[Price]&gt;=Table2[[#This Row],[SELL PRICE]]))/(SUM(IF((Table37[Bid]=0)*(Table37[StationID]=60003760),Table37[VolRem])))</f>
        <v>6.3282495976682854E-2</v>
      </c>
      <c r="T29" s="40">
        <f ca="1">SUM(Table2[[#This Row],[2%2]],Table2[[#This Row],[5%2]],Table2[[#This Row],[10%2]])</f>
        <v>0.4730357760186088</v>
      </c>
      <c r="U29" s="29">
        <f t="array" aca="1" ref="U29" ca="1">SUM((Table37[VolRem])*(Table37[StationID]=60003760)*(Table37[Price]&gt;=(Table2[[#This Row],[SELL PRICE]]+(Table2[[#This Row],[SELL PRICE]]*0.05)))*(Table37[Price]&lt;=(Table2[[#This Row],[SELL PRICE]]+(Table2[[#This Row],[SELL PRICE]]*0.1)))/Table2[[#This Row],[AVG VOL.]])</f>
        <v>0.4075949834290194</v>
      </c>
      <c r="V29" s="29">
        <f t="array" aca="1" ref="V29" ca="1">SUM((Table37[VolRem])*(Table37[StationID]=60003760)*(Table37[Price]&gt;=(Table2[[#This Row],[SELL PRICE]]+(Table2[[#This Row],[SELL PRICE]]*0.02)))*(Table37[Price]&lt;=(Table2[[#This Row],[SELL PRICE]]+(Table2[[#This Row],[SELL PRICE]]*0.05)))/Table2[[#This Row],[AVG VOL.]])</f>
        <v>1.0018237517105594E-2</v>
      </c>
      <c r="W29" s="45">
        <f t="array" aca="1" ref="W29" ca="1">SUM((Table37[VolRem])*(Table37[StationID]=60003760)*(Table37[Price]&lt;=(Table2[[#This Row],[SELL PRICE]]+(Table2[[#This Row],[SELL PRICE]]*0.02)))*(Table37[Price]&gt;=Table2[[#This Row],[SELL PRICE]]))/Table2[[#This Row],[AVG VOL.]]</f>
        <v>5.5422555072483774E-2</v>
      </c>
      <c r="X29" s="27">
        <f t="array" aca="1" ref="X29" ca="1">AVERAGE(OFFSET(Table80[volume],COUNTA(Table80[volume])-30,):OFFSET(Table80[volume],COUNTA(Table80[volume]),))</f>
        <v>473236.93333333335</v>
      </c>
      <c r="Y29" s="21">
        <f ca="1">Table2[[#This Row],[sum2]]-Table2[[#This Row],[sum]]</f>
        <v>8.8949101464889879E-2</v>
      </c>
      <c r="Z29" s="45">
        <f t="array" aca="1" ref="Z29" ca="1">SUM((Table37[VolRem])*(Table37[StationID]=60003760)*(Table37[Price]&gt;=(Table2[[#This Row],[BUY PRICE]]-(Table2[[#This Row],[BUY PRICE]]*0.02)))*(Table37[Price]&lt;=Table2[[#This Row],[BUY PRICE]]))/Table2[[#This Row],[AVG VOL.]]</f>
        <v>0.21517551321015518</v>
      </c>
      <c r="AA29" s="21">
        <f t="array" aca="1" ref="AA29" ca="1">SUM((Table37[VolRem])*(Table37[StationID]=60003760)*(Table37[Price]&lt;=(Table2[[#This Row],[BUY PRICE]]-(Table2[[#This Row],[BUY PRICE]]*0.02)))*(Table37[Price]&gt;=(Table2[[#This Row],[BUY PRICE]]-(Table2[[#This Row],[BUY PRICE]]*0.05))))/Table2[[#This Row],[AVG VOL.]]</f>
        <v>2.6593444242306249E-2</v>
      </c>
      <c r="AB29" s="21">
        <f t="array" aca="1" ref="AB29" ca="1">SUM((Table37[VolRem])*(Table37[StationID]=60003760)*(Table37[Price]&lt;=(Table2[[#This Row],[BUY PRICE]]-(Table2[[#This Row],[BUY PRICE]]*0.05)))*(Table37[Price]&gt;=(Table2[[#This Row],[BUY PRICE]]-(Table2[[#This Row],[BUY PRICE]]*0.1))))/Table2[[#This Row],[AVG VOL.]]</f>
        <v>0.32021592003103727</v>
      </c>
      <c r="AC29" s="21">
        <f ca="1">SUM(Table2[[#This Row],[10.00%]],Table2[[#This Row],[5.00%]],Table2[[#This Row],[2.00%]])</f>
        <v>0.56198487748349868</v>
      </c>
      <c r="AD29" s="3">
        <f t="array" aca="1" ref="AD29" ca="1">(((SUM(IF((Table37[Bid]=0)*(Table37[StationID]=60003760),Table37[VolEnt])))-(SUM(IF((Table37[Bid]=0)*(Table37[StationID]=60003760),Table37[VolRem]))))/Table2[[#This Row],[AVG VOL.]])</f>
        <v>0.31332085379642105</v>
      </c>
      <c r="AE29" s="3">
        <f t="array" aca="1" ref="AE29" ca="1">SUM(IF((Table37[Bid]=0)*(Table37[StationID]=60003760),Table37[VolRem]))/Table2[[#This Row],[AVG VOL.]]</f>
        <v>0.87579597196837555</v>
      </c>
      <c r="AF29" s="3">
        <f t="array" aca="1" ref="AF29" ca="1">(((SUM(IF((Table37[Bid]=1)*(Table37[StationID]=60003760),Table37[VolEnt])))-(SUM(IF((Table37[Bid]=1)*(Table37[StationID]=60003760),Table37[VolRem]))))/Table2[[#This Row],[AVG VOL.]])</f>
        <v>0.20286244212553711</v>
      </c>
      <c r="AG29" s="27">
        <f t="array" aca="1" ref="AG29" ca="1">Table2[[#This Row],[AVG VOL.]]*Table2[[#This Row],[BUY PRICE]]</f>
        <v>13260098872</v>
      </c>
      <c r="AH29" s="28">
        <f ca="1">((E29-M29)*X29)-(Table2[[#This Row],[EXPENSE]]*0.0092)</f>
        <v>575563062.48026586</v>
      </c>
      <c r="AI29" s="2"/>
      <c r="AJ29" s="2"/>
      <c r="AM29"/>
      <c r="AO29" s="37"/>
      <c r="AP29" s="37"/>
    </row>
    <row r="30" spans="1:42" x14ac:dyDescent="0.55000000000000004">
      <c r="A30" s="1">
        <v>9832</v>
      </c>
      <c r="B30" s="2" t="s">
        <v>29</v>
      </c>
      <c r="C30" s="21">
        <f t="array" aca="1" ref="C30" ca="1">((Table2[[#This Row],[SELL PRICE]])/AVERAGE(OFFSET(Table88[avgPrice],COUNTA(Table88[avgPrice])-5,):OFFSET(Table88[avgPrice],COUNTA(Table88[avgPrice]),)))-1</f>
        <v>-7.9263193108638497E-3</v>
      </c>
      <c r="D30" s="21">
        <f t="array" aca="1" ref="D30" ca="1">((Table2[[#This Row],[SELL PRICE]])/AVERAGE(OFFSET(Table88[avgPrice],COUNTA(Table88[avgPrice])-1,):OFFSET(Table88[avgPrice],COUNTA(Table88[avgPrice]),)))-1</f>
        <v>-4.4292908099033967E-3</v>
      </c>
      <c r="E30" s="32">
        <f t="array" ref="E30">MIN(IF((Table22[Bid]=0)*(Table22[StationID]=60003760),Table22[Price]))</f>
        <v>9489.7800000000007</v>
      </c>
      <c r="F30" s="29" t="e">
        <f>((Table2[[#This Row],[MYS]]/Table2[[#This Row],[SELL PRICE]])-1)</f>
        <v>#N/A</v>
      </c>
      <c r="G30" s="2" t="e">
        <f t="array" ref="G30">INDEX(Table0[price], MATCH(MIN(IF((Table0[bid]=0)*(Table0[typeID]=9832)*(Table0[volRemaining]&gt;0),Table0[price])), Table0[price], 0))</f>
        <v>#N/A</v>
      </c>
      <c r="H30" s="6">
        <f t="array" ref="H30">INDEX(Table22[OrderID], MATCH(MIN(IF((Table22[Bid]=0)*(Table22[StationID]=60003760),Table22[Price])), Table22[Price], 0))</f>
        <v>2878565107</v>
      </c>
      <c r="I30" s="25">
        <f>(E30/M30)-1</f>
        <v>3.4759568204121738E-2</v>
      </c>
      <c r="J30" s="6">
        <f t="array" ref="J30">INDEX(Table22[OrderID], MATCH(MAX(IF((Table22[Bid]=1)*(Table22[StationID]=60003760),Table22[Price])), Table22[Price], 0))</f>
        <v>2878625685</v>
      </c>
      <c r="K30" s="2" t="e">
        <f t="array" ref="K30">INDEX(Table0[price], MATCH(MAX(IF((Table0[bid]=1)*(Table0[typeID]=9832)*(Table0[volRemaining]&gt;0),Table0[price])), Table0[price], 0))</f>
        <v>#N/A</v>
      </c>
      <c r="L30" s="21" t="e">
        <f>((Table2[[#This Row],[MY2]]/Table2[[#This Row],[BUY PRICE]])-1)</f>
        <v>#N/A</v>
      </c>
      <c r="M30" s="32">
        <f t="array" ref="M30">MAX(IF((Table22[Bid]=1)*(Table22[StationID]=60003760),Table22[Price]))</f>
        <v>9171</v>
      </c>
      <c r="N30" s="21">
        <f t="array" aca="1" ref="N30" ca="1">((Table2[[#This Row],[BUY PRICE]])/AVERAGE(OFFSET(Table88[avgPrice],COUNTA(Table88[avgPrice])-1,):OFFSET(Table88[avgPrice],COUNTA(Table88[avgPrice]),)))-1</f>
        <v>-3.7872429710449018E-2</v>
      </c>
      <c r="O30" s="21">
        <f t="array" aca="1" ref="O30" ca="1">((Table2[[#This Row],[BUY PRICE]])/AVERAGE(OFFSET(Table88[avgPrice],COUNTA(Table88[avgPrice])-5,):OFFSET(Table88[avgPrice],COUNTA(Table88[avgPrice]),)))-1</f>
        <v>-4.1251986284185027E-2</v>
      </c>
      <c r="P30" s="40">
        <f t="array" ref="P30">SUM(Table2[[#This Row],[10%]:[2%]])</f>
        <v>0.87209444979651229</v>
      </c>
      <c r="Q30" s="40">
        <f t="array" ref="Q30">SUM((Table22[VolRem])*(Table22[StationID]=60003760)*(Table22[Price]&gt;=(Table2[[#This Row],[SELL PRICE]]+(Table2[[#This Row],[SELL PRICE]]*0.05)))*(Table22[Price]&lt;=(Table2[[#This Row],[SELL PRICE]]+(Table2[[#This Row],[SELL PRICE]]*0.1)))/(SUM(IF((Table22[Bid]=0)*(Table22[StationID]=60003760),Table22[VolRem]))))</f>
        <v>0.26561036509840164</v>
      </c>
      <c r="R30" s="40">
        <f t="array" ref="R30">SUM((Table22[VolRem])*(Table22[StationID]=60003760)*(Table22[Price]&gt;=(Table2[[#This Row],[SELL PRICE]]+(Table2[[#This Row],[SELL PRICE]]*0.02)))*(Table22[Price]&lt;=(Table2[[#This Row],[SELL PRICE]]+(Table2[[#This Row],[SELL PRICE]]*0.05)))/(SUM(IF((Table22[Bid]=0)*(Table22[StationID]=60003760),Table22[VolRem]))))</f>
        <v>0.36131175903898716</v>
      </c>
      <c r="S30" s="40">
        <f t="array" ref="S30">SUM((Table22[VolRem])*(Table22[StationID]=60003760)*(Table22[Price]&lt;=(Table2[[#This Row],[SELL PRICE]]+(Table2[[#This Row],[SELL PRICE]]*0.02)))*(Table22[Price]&gt;=Table2[[#This Row],[SELL PRICE]]))/(SUM(IF((Table22[Bid]=0)*(Table22[StationID]=60003760),Table22[VolRem])))</f>
        <v>0.24517232565912353</v>
      </c>
      <c r="T30" s="40">
        <f ca="1">SUM(Table2[[#This Row],[2%2]],Table2[[#This Row],[5%2]],Table2[[#This Row],[10%2]])</f>
        <v>0.98488112375902204</v>
      </c>
      <c r="U30" s="29">
        <f t="array" aca="1" ref="U30" ca="1">SUM((Table22[VolRem])*(Table22[StationID]=60003760)*(Table22[Price]&gt;=(Table2[[#This Row],[SELL PRICE]]+(Table2[[#This Row],[SELL PRICE]]*0.05)))*(Table22[Price]&lt;=(Table2[[#This Row],[SELL PRICE]]+(Table2[[#This Row],[SELL PRICE]]*0.1)))/Table2[[#This Row],[AVG VOL.]])</f>
        <v>0.29996135730619122</v>
      </c>
      <c r="V30" s="29">
        <f t="array" aca="1" ref="V30" ca="1">SUM((Table22[VolRem])*(Table22[StationID]=60003760)*(Table22[Price]&gt;=(Table2[[#This Row],[SELL PRICE]]+(Table2[[#This Row],[SELL PRICE]]*0.02)))*(Table22[Price]&lt;=(Table2[[#This Row],[SELL PRICE]]+(Table2[[#This Row],[SELL PRICE]]*0.05)))/Table2[[#This Row],[AVG VOL.]])</f>
        <v>0.40803966973152705</v>
      </c>
      <c r="W30" s="45">
        <f t="array" aca="1" ref="W30" ca="1">SUM((Table22[VolRem])*(Table22[StationID]=60003760)*(Table22[Price]&lt;=(Table2[[#This Row],[SELL PRICE]]+(Table2[[#This Row],[SELL PRICE]]*0.02)))*(Table22[Price]&gt;=Table2[[#This Row],[SELL PRICE]]))/Table2[[#This Row],[AVG VOL.]]</f>
        <v>0.27688009672130376</v>
      </c>
      <c r="X30" s="27">
        <f t="array" aca="1" ref="X30" ca="1">AVERAGE(OFFSET(Table88[volume],COUNTA(Table88[volume])-30,):OFFSET(Table88[volume],COUNTA(Table88[volume]),))</f>
        <v>2251913.4</v>
      </c>
      <c r="Y30" s="21">
        <f ca="1">Table2[[#This Row],[sum2]]-Table2[[#This Row],[sum]]</f>
        <v>-0.29068480164468136</v>
      </c>
      <c r="Z30" s="45">
        <f t="array" aca="1" ref="Z30" ca="1">SUM((Table22[VolRem])*(Table22[StationID]=60003760)*(Table22[Price]&gt;=(Table2[[#This Row],[BUY PRICE]]-(Table2[[#This Row],[BUY PRICE]]*0.02)))*(Table22[Price]&lt;=Table2[[#This Row],[BUY PRICE]]))/Table2[[#This Row],[AVG VOL.]]</f>
        <v>0.56350790398955841</v>
      </c>
      <c r="AA30" s="21">
        <f t="array" aca="1" ref="AA30" ca="1">SUM((Table22[VolRem])*(Table22[StationID]=60003760)*(Table22[Price]&lt;=(Table2[[#This Row],[BUY PRICE]]-(Table2[[#This Row],[BUY PRICE]]*0.02)))*(Table22[Price]&gt;=(Table2[[#This Row],[BUY PRICE]]-(Table2[[#This Row],[BUY PRICE]]*0.05))))/Table2[[#This Row],[AVG VOL.]]</f>
        <v>1.0231299303072667E-2</v>
      </c>
      <c r="AB30" s="21">
        <f t="array" aca="1" ref="AB30" ca="1">SUM((Table22[VolRem])*(Table22[StationID]=60003760)*(Table22[Price]&lt;=(Table2[[#This Row],[BUY PRICE]]-(Table2[[#This Row],[BUY PRICE]]*0.05)))*(Table22[Price]&gt;=(Table2[[#This Row],[BUY PRICE]]-(Table2[[#This Row],[BUY PRICE]]*0.1))))/Table2[[#This Row],[AVG VOL.]]</f>
        <v>0.12045711882170958</v>
      </c>
      <c r="AC30" s="21">
        <f ca="1">SUM(Table2[[#This Row],[10.00%]],Table2[[#This Row],[5.00%]],Table2[[#This Row],[2.00%]])</f>
        <v>0.69419632211434068</v>
      </c>
      <c r="AD30" s="3">
        <f t="array" aca="1" ref="AD30" ca="1">(((SUM(IF((Table22[Bid]=0)*(Table22[StationID]=60003760),Table22[VolEnt])))-(SUM(IF((Table22[Bid]=0)*(Table22[StationID]=60003760),Table22[VolRem]))))/Table2[[#This Row],[AVG VOL.]])</f>
        <v>0.14194062702411203</v>
      </c>
      <c r="AE30" s="3">
        <f t="array" aca="1" ref="AE30" ca="1">SUM(IF((Table22[Bid]=0)*(Table22[StationID]=60003760),Table22[VolRem]))/Table2[[#This Row],[AVG VOL.]]</f>
        <v>1.1293285079257489</v>
      </c>
      <c r="AF30" s="3">
        <f t="array" aca="1" ref="AF30" ca="1">(((SUM(IF((Table22[Bid]=1)*(Table22[StationID]=60003760),Table22[VolEnt])))-(SUM(IF((Table22[Bid]=1)*(Table22[StationID]=60003760),Table22[VolRem]))))/Table2[[#This Row],[AVG VOL.]])</f>
        <v>0.25006645459812088</v>
      </c>
      <c r="AG30" s="27">
        <f t="array" aca="1" ref="AG30" ca="1">Table2[[#This Row],[AVG VOL.]]*Table2[[#This Row],[BUY PRICE]]</f>
        <v>20652297791.399998</v>
      </c>
      <c r="AH30" s="28">
        <f ca="1">((E30-M30)*X30)-(Table2[[#This Row],[EXPENSE]]*0.0092)</f>
        <v>527863813.97112155</v>
      </c>
      <c r="AI30" s="2"/>
      <c r="AJ30" s="2"/>
      <c r="AM30"/>
      <c r="AO30" s="37"/>
      <c r="AP30" s="37"/>
    </row>
    <row r="31" spans="1:42" x14ac:dyDescent="0.55000000000000004">
      <c r="A31" s="1">
        <v>17889</v>
      </c>
      <c r="B31" s="2" t="s">
        <v>15</v>
      </c>
      <c r="C31" s="21">
        <f t="array" aca="1" ref="C31" ca="1">((Table2[[#This Row],[SELL PRICE]])/AVERAGE(OFFSET(Table70[avgPrice],COUNTA(Table70[avgPrice])-5,):OFFSET(Table70[avgPrice],COUNTA(Table70[avgPrice]),)))-1</f>
        <v>-0.40339525944907106</v>
      </c>
      <c r="D31" s="21">
        <f t="array" aca="1" ref="D31" ca="1">((Table2[[#This Row],[SELL PRICE]])/AVERAGE(OFFSET(Table70[avgPrice],COUNTA(Table70[avgPrice])-1,):OFFSET(Table70[avgPrice],COUNTA(Table70[avgPrice]),)))-1</f>
        <v>-0.38426446280991744</v>
      </c>
      <c r="E31" s="32">
        <f t="array" ref="E31">MIN(IF((Table21[Bid]=0)*(Table21[StationID]=60003760),Table21[Price]))</f>
        <v>372.52</v>
      </c>
      <c r="F31" s="29" t="e">
        <f>((Table2[[#This Row],[MYS]]/Table2[[#This Row],[SELL PRICE]])-1)</f>
        <v>#N/A</v>
      </c>
      <c r="G31" s="2" t="e">
        <f t="array" ref="G31">INDEX(Table0[price], MATCH(MIN(IF((Table0[bid]=0)*(Table0[typeID]=17889)*(Table0[volRemaining]&gt;0),Table0[price])), Table0[price], 0))</f>
        <v>#N/A</v>
      </c>
      <c r="H31" s="6">
        <f t="array" ref="H31">INDEX(Table21[OrderID], MATCH(MIN(IF((Table21[Bid]=0)*(Table21[StationID]=60003760),Table21[Price])), Table21[Price], 0))</f>
        <v>2879111858</v>
      </c>
      <c r="I31" s="25">
        <f>(E31/M31)-1</f>
        <v>4.3122759856630832E-2</v>
      </c>
      <c r="J31" s="6">
        <f t="array" ref="J31">INDEX(Table21[OrderID], MATCH(MAX(IF((Table21[Bid]=1)*(Table21[StationID]=60003760),Table21[Price])), Table21[Price], 0))</f>
        <v>2861862185</v>
      </c>
      <c r="K31" s="2" t="e">
        <f t="array" ref="K31">INDEX(Table0[price], MATCH(MAX(IF((Table0[bid]=1)*(Table0[typeID]=17889)*(Table0[volRemaining]&gt;0),Table0[price])), Table0[price], 0))</f>
        <v>#N/A</v>
      </c>
      <c r="L31" s="21" t="e">
        <f>((Table2[[#This Row],[MY2]]/Table2[[#This Row],[BUY PRICE]])-1)</f>
        <v>#N/A</v>
      </c>
      <c r="M31" s="32">
        <f t="array" ref="M31">MAX(IF((Table21[Bid]=1)*(Table21[StationID]=60003760),Table21[Price]))</f>
        <v>357.12</v>
      </c>
      <c r="N31" s="21">
        <f t="array" aca="1" ref="N31" ca="1">((Table2[[#This Row],[BUY PRICE]])/AVERAGE(OFFSET(Table70[avgPrice],COUNTA(Table70[avgPrice])-1,):OFFSET(Table70[avgPrice],COUNTA(Table70[avgPrice]),)))-1</f>
        <v>-0.40971900826446284</v>
      </c>
      <c r="O31" s="21">
        <f t="array" aca="1" ref="O31" ca="1">((Table2[[#This Row],[BUY PRICE]])/AVERAGE(OFFSET(Table70[avgPrice],COUNTA(Table70[avgPrice])-5,):OFFSET(Table70[avgPrice],COUNTA(Table70[avgPrice]),)))-1</f>
        <v>-0.42805893657911598</v>
      </c>
      <c r="P31" s="40">
        <f t="array" ref="P31">SUM(Table2[[#This Row],[10%]:[2%]])</f>
        <v>0.79413814978971642</v>
      </c>
      <c r="Q31" s="40">
        <f t="array" ref="Q31">SUM((Table21[VolRem])*(Table21[StationID]=60003760)*(Table21[Price]&gt;=(Table2[[#This Row],[SELL PRICE]]+(Table2[[#This Row],[SELL PRICE]]*0.05)))*(Table21[Price]&lt;=(Table2[[#This Row],[SELL PRICE]]+(Table2[[#This Row],[SELL PRICE]]*0.1)))/(SUM(IF((Table21[Bid]=0)*(Table21[StationID]=60003760),Table21[VolRem]))))</f>
        <v>0.49078982286587297</v>
      </c>
      <c r="R31" s="40">
        <f t="array" ref="R31">SUM((Table21[VolRem])*(Table21[StationID]=60003760)*(Table21[Price]&gt;=(Table2[[#This Row],[SELL PRICE]]+(Table2[[#This Row],[SELL PRICE]]*0.02)))*(Table21[Price]&lt;=(Table2[[#This Row],[SELL PRICE]]+(Table2[[#This Row],[SELL PRICE]]*0.05)))/(SUM(IF((Table21[Bid]=0)*(Table21[StationID]=60003760),Table21[VolRem]))))</f>
        <v>2.2997145609434676E-2</v>
      </c>
      <c r="S31" s="40">
        <f t="array" ref="S31">SUM((Table21[VolRem])*(Table21[StationID]=60003760)*(Table21[Price]&lt;=(Table2[[#This Row],[SELL PRICE]]+(Table2[[#This Row],[SELL PRICE]]*0.02)))*(Table21[Price]&gt;=Table2[[#This Row],[SELL PRICE]]))/(SUM(IF((Table21[Bid]=0)*(Table21[StationID]=60003760),Table21[VolRem])))</f>
        <v>0.28035118131440873</v>
      </c>
      <c r="T31" s="40">
        <f ca="1">SUM(Table2[[#This Row],[2%2]],Table2[[#This Row],[5%2]],Table2[[#This Row],[10%2]])</f>
        <v>2.1888181809832572</v>
      </c>
      <c r="U31" s="29">
        <f t="array" aca="1" ref="U31" ca="1">SUM((Table21[VolRem])*(Table21[StationID]=60003760)*(Table21[Price]&gt;=(Table2[[#This Row],[SELL PRICE]]+(Table2[[#This Row],[SELL PRICE]]*0.05)))*(Table21[Price]&lt;=(Table2[[#This Row],[SELL PRICE]]+(Table2[[#This Row],[SELL PRICE]]*0.1)))/Table2[[#This Row],[AVG VOL.]])</f>
        <v>1.3527239405572329</v>
      </c>
      <c r="V31" s="29">
        <f t="array" aca="1" ref="V31" ca="1">SUM((Table21[VolRem])*(Table21[StationID]=60003760)*(Table21[Price]&gt;=(Table2[[#This Row],[SELL PRICE]]+(Table2[[#This Row],[SELL PRICE]]*0.02)))*(Table21[Price]&lt;=(Table2[[#This Row],[SELL PRICE]]+(Table2[[#This Row],[SELL PRICE]]*0.05)))/Table2[[#This Row],[AVG VOL.]])</f>
        <v>6.338515588752254E-2</v>
      </c>
      <c r="W31" s="45">
        <f t="array" aca="1" ref="W31" ca="1">SUM((Table21[VolRem])*(Table21[StationID]=60003760)*(Table21[Price]&lt;=(Table2[[#This Row],[SELL PRICE]]+(Table2[[#This Row],[SELL PRICE]]*0.02)))*(Table21[Price]&gt;=Table2[[#This Row],[SELL PRICE]]))/Table2[[#This Row],[AVG VOL.]]</f>
        <v>0.77270908453850184</v>
      </c>
      <c r="X31" s="27">
        <f t="array" aca="1" ref="X31" ca="1">AVERAGE(OFFSET(Table70[volume],COUNTA(Table70[volume])-30,):OFFSET(Table70[volume],COUNTA(Table70[volume]),))</f>
        <v>43212025.93333333</v>
      </c>
      <c r="Y31" s="21">
        <f ca="1">Table2[[#This Row],[sum2]]-Table2[[#This Row],[sum]]</f>
        <v>-1.6934659604457734</v>
      </c>
      <c r="Z31" s="45">
        <f t="array" aca="1" ref="Z31" ca="1">SUM((Table21[VolRem])*(Table21[StationID]=60003760)*(Table21[Price]&gt;=(Table2[[#This Row],[BUY PRICE]]-(Table2[[#This Row],[BUY PRICE]]*0.02)))*(Table21[Price]&lt;=Table2[[#This Row],[BUY PRICE]]))/Table2[[#This Row],[AVG VOL.]]</f>
        <v>0.11749615738528615</v>
      </c>
      <c r="AA31" s="21">
        <f t="array" aca="1" ref="AA31" ca="1">SUM((Table21[VolRem])*(Table21[StationID]=60003760)*(Table21[Price]&lt;=(Table2[[#This Row],[BUY PRICE]]-(Table2[[#This Row],[BUY PRICE]]*0.02)))*(Table21[Price]&gt;=(Table2[[#This Row],[BUY PRICE]]-(Table2[[#This Row],[BUY PRICE]]*0.05))))/Table2[[#This Row],[AVG VOL.]]</f>
        <v>0.18846174934181789</v>
      </c>
      <c r="AB31" s="21">
        <f t="array" aca="1" ref="AB31" ca="1">SUM((Table21[VolRem])*(Table21[StationID]=60003760)*(Table21[Price]&lt;=(Table2[[#This Row],[BUY PRICE]]-(Table2[[#This Row],[BUY PRICE]]*0.05)))*(Table21[Price]&gt;=(Table2[[#This Row],[BUY PRICE]]-(Table2[[#This Row],[BUY PRICE]]*0.1))))/Table2[[#This Row],[AVG VOL.]]</f>
        <v>0.18939431381037974</v>
      </c>
      <c r="AC31" s="21">
        <f ca="1">SUM(Table2[[#This Row],[10.00%]],Table2[[#This Row],[5.00%]],Table2[[#This Row],[2.00%]])</f>
        <v>0.49535222053748384</v>
      </c>
      <c r="AD31" s="3">
        <f t="array" aca="1" ref="AD31" ca="1">(((SUM(IF((Table21[Bid]=0)*(Table21[StationID]=60003760),Table21[VolEnt])))-(SUM(IF((Table21[Bid]=0)*(Table21[StationID]=60003760),Table21[VolRem]))))/Table2[[#This Row],[AVG VOL.]])</f>
        <v>0.28923242384613401</v>
      </c>
      <c r="AE31" s="3">
        <f t="array" aca="1" ref="AE31" ca="1">SUM(IF((Table21[Bid]=0)*(Table21[StationID]=60003760),Table21[VolRem]))/Table2[[#This Row],[AVG VOL.]]</f>
        <v>2.7562184004922128</v>
      </c>
      <c r="AF31" s="3">
        <f t="array" aca="1" ref="AF31" ca="1">(((SUM(IF((Table21[Bid]=1)*(Table21[StationID]=60003760),Table21[VolEnt])))-(SUM(IF((Table21[Bid]=1)*(Table21[StationID]=60003760),Table21[VolRem]))))/Table2[[#This Row],[AVG VOL.]])</f>
        <v>0.20939883758192507</v>
      </c>
      <c r="AG31" s="27">
        <f t="array" aca="1" ref="AG31" ca="1">Table2[[#This Row],[AVG VOL.]]*Table2[[#This Row],[BUY PRICE]]</f>
        <v>15431878701.311998</v>
      </c>
      <c r="AH31" s="28">
        <f ca="1">((E31-M31)*X31)-(Table2[[#This Row],[EXPENSE]]*0.0092)</f>
        <v>523491915.32126188</v>
      </c>
      <c r="AI31" s="2"/>
      <c r="AJ31" s="2"/>
      <c r="AM31"/>
      <c r="AO31" s="37"/>
      <c r="AP31" s="37"/>
    </row>
    <row r="32" spans="1:42" x14ac:dyDescent="0.55000000000000004">
      <c r="A32" s="1">
        <v>10213</v>
      </c>
      <c r="B32" s="2" t="s">
        <v>23</v>
      </c>
      <c r="C32" s="21">
        <f t="array" aca="1" ref="C32" ca="1">((Table2[[#This Row],[SELL PRICE]])/AVERAGE(OFFSET(Table86[avgPrice],COUNTA(Table86[avgPrice])-5,):OFFSET(Table86[avgPrice],COUNTA(Table86[avgPrice]),)))-1</f>
        <v>0.22828471555310048</v>
      </c>
      <c r="D32" s="21">
        <f t="array" aca="1" ref="D32" ca="1">((Table2[[#This Row],[SELL PRICE]])/AVERAGE(OFFSET(Table86[avgPrice],COUNTA(Table86[avgPrice])-1,):OFFSET(Table86[avgPrice],COUNTA(Table86[avgPrice]),)))-1</f>
        <v>0.19119119300491683</v>
      </c>
      <c r="E32" s="32">
        <f t="array" ref="E32">MIN(IF((Table39[Bid]=0)*(Table39[StationID]=60003760),Table39[Price]))</f>
        <v>118999998.98999999</v>
      </c>
      <c r="F32" s="29" t="e">
        <f>((Table2[[#This Row],[MYS]]/Table2[[#This Row],[SELL PRICE]])-1)</f>
        <v>#N/A</v>
      </c>
      <c r="G32" s="2" t="e">
        <f t="array" ref="G32">INDEX(Table0[price], MATCH(MIN(IF((Table0[bid]=0)*(Table0[typeID]=10213)*(Table0[volRemaining]&gt;0),Table0[price])), Table0[price], 0))</f>
        <v>#N/A</v>
      </c>
      <c r="H32" s="6">
        <f t="array" ref="H32">INDEX(Table39[OrderID], MATCH(MIN(IF((Table39[Bid]=0)*(Table39[StationID]=60003760),Table39[Price])), Table39[Price], 0))</f>
        <v>2879008620</v>
      </c>
      <c r="I32" s="25">
        <f>(E32/M32)-1</f>
        <v>4.7936480132489745E-2</v>
      </c>
      <c r="J32" s="6">
        <f t="array" ref="J32">INDEX(Table39[OrderID], MATCH(MAX(IF((Table39[Bid]=1)*(Table39[StationID]=60003760),Table39[Price])), Table39[Price], 0))</f>
        <v>2879074137</v>
      </c>
      <c r="K32" s="2" t="e">
        <f t="array" ref="K32">INDEX(Table0[price], MATCH(MAX(IF((Table0[bid]=1)*(Table0[typeID]=10213)*(Table0[volRemaining]&gt;0),Table0[price])), Table0[price], 0))</f>
        <v>#N/A</v>
      </c>
      <c r="L32" s="21" t="e">
        <f>((Table2[[#This Row],[MY2]]/Table2[[#This Row],[BUY PRICE]])-1)</f>
        <v>#N/A</v>
      </c>
      <c r="M32" s="32">
        <f t="array" ref="M32">MAX(IF((Table39[Bid]=1)*(Table39[StationID]=60003760),Table39[Price]))</f>
        <v>113556500.08</v>
      </c>
      <c r="N32" s="21">
        <f t="array" aca="1" ref="N32" ca="1">((Table2[[#This Row],[BUY PRICE]])/AVERAGE(OFFSET(Table86[avgPrice],COUNTA(Table86[avgPrice])-1,):OFFSET(Table86[avgPrice],COUNTA(Table86[avgPrice]),)))-1</f>
        <v>0.13670171388089791</v>
      </c>
      <c r="O32" s="21">
        <f t="array" aca="1" ref="O32" ca="1">((Table2[[#This Row],[BUY PRICE]])/AVERAGE(OFFSET(Table86[avgPrice],COUNTA(Table86[avgPrice])-5,):OFFSET(Table86[avgPrice],COUNTA(Table86[avgPrice]),)))-1</f>
        <v>0.17209844188057044</v>
      </c>
      <c r="P32" s="40">
        <f t="array" ref="P32">SUM(Table2[[#This Row],[10%]:[2%]])</f>
        <v>0.53642384105960272</v>
      </c>
      <c r="Q32" s="40">
        <f t="array" ref="Q32">SUM((Table39[VolRem])*(Table39[StationID]=60003760)*(Table39[Price]&gt;=(Table2[[#This Row],[SELL PRICE]]+(Table2[[#This Row],[SELL PRICE]]*0.05)))*(Table39[Price]&lt;=(Table2[[#This Row],[SELL PRICE]]+(Table2[[#This Row],[SELL PRICE]]*0.1)))/(SUM(IF((Table39[Bid]=0)*(Table39[StationID]=60003760),Table39[VolRem]))))</f>
        <v>3.3112582781456954E-3</v>
      </c>
      <c r="R32" s="40">
        <f t="array" ref="R32">SUM((Table39[VolRem])*(Table39[StationID]=60003760)*(Table39[Price]&gt;=(Table2[[#This Row],[SELL PRICE]]+(Table2[[#This Row],[SELL PRICE]]*0.02)))*(Table39[Price]&lt;=(Table2[[#This Row],[SELL PRICE]]+(Table2[[#This Row],[SELL PRICE]]*0.05)))/(SUM(IF((Table39[Bid]=0)*(Table39[StationID]=60003760),Table39[VolRem]))))</f>
        <v>0.33443708609271527</v>
      </c>
      <c r="S32" s="40">
        <f t="array" ref="S32">SUM((Table39[VolRem])*(Table39[StationID]=60003760)*(Table39[Price]&lt;=(Table2[[#This Row],[SELL PRICE]]+(Table2[[#This Row],[SELL PRICE]]*0.02)))*(Table39[Price]&gt;=Table2[[#This Row],[SELL PRICE]]))/(SUM(IF((Table39[Bid]=0)*(Table39[StationID]=60003760),Table39[VolRem])))</f>
        <v>0.19867549668874171</v>
      </c>
      <c r="T32" s="40">
        <f ca="1">SUM(Table2[[#This Row],[2%2]],Table2[[#This Row],[5%2]],Table2[[#This Row],[10%2]])</f>
        <v>1.4034074501876985</v>
      </c>
      <c r="U32" s="29">
        <f t="array" aca="1" ref="U32" ca="1">SUM((Table39[VolRem])*(Table39[StationID]=60003760)*(Table39[Price]&gt;=(Table2[[#This Row],[SELL PRICE]]+(Table2[[#This Row],[SELL PRICE]]*0.05)))*(Table39[Price]&lt;=(Table2[[#This Row],[SELL PRICE]]+(Table2[[#This Row],[SELL PRICE]]*0.1)))/Table2[[#This Row],[AVG VOL.]])</f>
        <v>8.6630089517759166E-3</v>
      </c>
      <c r="V32" s="29">
        <f t="array" aca="1" ref="V32" ca="1">SUM((Table39[VolRem])*(Table39[StationID]=60003760)*(Table39[Price]&gt;=(Table2[[#This Row],[SELL PRICE]]+(Table2[[#This Row],[SELL PRICE]]*0.02)))*(Table39[Price]&lt;=(Table2[[#This Row],[SELL PRICE]]+(Table2[[#This Row],[SELL PRICE]]*0.05)))/Table2[[#This Row],[AVG VOL.]])</f>
        <v>0.87496390412936764</v>
      </c>
      <c r="W32" s="45">
        <f t="array" aca="1" ref="W32" ca="1">SUM((Table39[VolRem])*(Table39[StationID]=60003760)*(Table39[Price]&lt;=(Table2[[#This Row],[SELL PRICE]]+(Table2[[#This Row],[SELL PRICE]]*0.02)))*(Table39[Price]&gt;=Table2[[#This Row],[SELL PRICE]]))/Table2[[#This Row],[AVG VOL.]]</f>
        <v>0.51978053710655503</v>
      </c>
      <c r="X32" s="27">
        <f t="array" aca="1" ref="X32" ca="1">AVERAGE(OFFSET(Table86[volume],COUNTA(Table86[volume])-30,):OFFSET(Table86[volume],COUNTA(Table86[volume]),))</f>
        <v>115.43333333333334</v>
      </c>
      <c r="Y32" s="21">
        <f ca="1">Table2[[#This Row],[sum2]]-Table2[[#This Row],[sum]]</f>
        <v>-0.70170372509384937</v>
      </c>
      <c r="Z32" s="45">
        <f t="array" aca="1" ref="Z32" ca="1">SUM((Table39[VolRem])*(Table39[StationID]=60003760)*(Table39[Price]&gt;=(Table2[[#This Row],[BUY PRICE]]-(Table2[[#This Row],[BUY PRICE]]*0.02)))*(Table39[Price]&lt;=Table2[[#This Row],[BUY PRICE]]))/Table2[[#This Row],[AVG VOL.]]</f>
        <v>0.5457695639618827</v>
      </c>
      <c r="AA32" s="21">
        <f t="array" aca="1" ref="AA32" ca="1">SUM((Table39[VolRem])*(Table39[StationID]=60003760)*(Table39[Price]&lt;=(Table2[[#This Row],[BUY PRICE]]-(Table2[[#This Row],[BUY PRICE]]*0.02)))*(Table39[Price]&gt;=(Table2[[#This Row],[BUY PRICE]]-(Table2[[#This Row],[BUY PRICE]]*0.05))))/Table2[[#This Row],[AVG VOL.]]</f>
        <v>4.3315044758879581E-2</v>
      </c>
      <c r="AB32" s="21">
        <f t="array" aca="1" ref="AB32" ca="1">SUM((Table39[VolRem])*(Table39[StationID]=60003760)*(Table39[Price]&lt;=(Table2[[#This Row],[BUY PRICE]]-(Table2[[#This Row],[BUY PRICE]]*0.05)))*(Table39[Price]&gt;=(Table2[[#This Row],[BUY PRICE]]-(Table2[[#This Row],[BUY PRICE]]*0.1))))/Table2[[#This Row],[AVG VOL.]]</f>
        <v>0.11261911637308691</v>
      </c>
      <c r="AC32" s="21">
        <f ca="1">SUM(Table2[[#This Row],[10.00%]],Table2[[#This Row],[5.00%]],Table2[[#This Row],[2.00%]])</f>
        <v>0.70170372509384915</v>
      </c>
      <c r="AD32" s="3">
        <f t="array" aca="1" ref="AD32" ca="1">(((SUM(IF((Table39[Bid]=0)*(Table39[StationID]=60003760),Table39[VolEnt])))-(SUM(IF((Table39[Bid]=0)*(Table39[StationID]=60003760),Table39[VolRem]))))/Table2[[#This Row],[AVG VOL.]])</f>
        <v>1.1608431995379729</v>
      </c>
      <c r="AE32" s="3">
        <f t="array" aca="1" ref="AE32" ca="1">SUM(IF((Table39[Bid]=0)*(Table39[StationID]=60003760),Table39[VolRem]))/Table2[[#This Row],[AVG VOL.]]</f>
        <v>2.616228703436327</v>
      </c>
      <c r="AF32" s="3">
        <f t="array" aca="1" ref="AF32" ca="1">(((SUM(IF((Table39[Bid]=1)*(Table39[StationID]=60003760),Table39[VolEnt])))-(SUM(IF((Table39[Bid]=1)*(Table39[StationID]=60003760),Table39[VolRem]))))/Table2[[#This Row],[AVG VOL.]])</f>
        <v>0.12994513427663876</v>
      </c>
      <c r="AG32" s="27">
        <f t="array" aca="1" ref="AG32" ca="1">Table2[[#This Row],[AVG VOL.]]*Table2[[#This Row],[BUY PRICE]]</f>
        <v>13108205325.901333</v>
      </c>
      <c r="AH32" s="28">
        <f ca="1">((E32-M32)*X32)-(Table2[[#This Row],[EXPENSE]]*0.0092)</f>
        <v>507765735.17937404</v>
      </c>
      <c r="AI32" s="2"/>
      <c r="AJ32" s="2"/>
      <c r="AM32"/>
      <c r="AO32" s="37"/>
      <c r="AP32" s="37"/>
    </row>
    <row r="33" spans="1:42" x14ac:dyDescent="0.55000000000000004">
      <c r="A33" s="1">
        <v>10226</v>
      </c>
      <c r="B33" s="2" t="s">
        <v>26</v>
      </c>
      <c r="C33" s="21">
        <f t="array" aca="1" ref="C33" ca="1">((Table2[[#This Row],[SELL PRICE]])/AVERAGE(OFFSET(Table93[avgPrice],COUNTA(Table93[avgPrice])-5,):OFFSET(Table93[avgPrice],COUNTA(Table93[avgPrice]),)))-1</f>
        <v>0.22260745246466085</v>
      </c>
      <c r="D33" s="21">
        <f t="array" aca="1" ref="D33" ca="1">((Table2[[#This Row],[SELL PRICE]])/AVERAGE(OFFSET(Table93[avgPrice],COUNTA(Table93[avgPrice])-1,):OFFSET(Table93[avgPrice],COUNTA(Table93[avgPrice]),)))-1</f>
        <v>0.22831008045130141</v>
      </c>
      <c r="E33" s="32">
        <f t="array" ref="E33">MIN(IF((Table13[Bid]=0)*(Table13[StationID]=60003760),Table13[Price]))</f>
        <v>118992999.66</v>
      </c>
      <c r="F33" s="29" t="e">
        <f>((Table2[[#This Row],[MYS]]/Table2[[#This Row],[SELL PRICE]])-1)</f>
        <v>#N/A</v>
      </c>
      <c r="G33" s="2" t="e">
        <f t="array" ref="G33">INDEX(Table0[price], MATCH(MIN(IF((Table0[bid]=0)*(Table0[typeID]=10226)*(Table0[volRemaining]&gt;0),Table0[price])), Table0[price], 0))</f>
        <v>#N/A</v>
      </c>
      <c r="H33" s="6">
        <f t="array" ref="H33">INDEX(Table13[OrderID], MATCH(MIN(IF((Table13[Bid]=0)*(Table13[StationID]=60003760),Table13[Price])), Table13[Price], 0))</f>
        <v>2878792084</v>
      </c>
      <c r="I33" s="25">
        <f>(E33/M33)-1</f>
        <v>6.7201789811227153E-2</v>
      </c>
      <c r="J33" s="6">
        <f t="array" ref="J33">INDEX(Table13[OrderID], MATCH(MAX(IF((Table13[Bid]=1)*(Table13[StationID]=60003760),Table13[Price])), Table13[Price], 0))</f>
        <v>2879073664</v>
      </c>
      <c r="K33" s="2" t="e">
        <f t="array" ref="K33">INDEX(Table0[price], MATCH(MAX(IF((Table0[bid]=1)*(Table0[typeID]=10226)*(Table0[volRemaining]&gt;0),Table0[price])), Table0[price], 0))</f>
        <v>#N/A</v>
      </c>
      <c r="L33" s="21" t="e">
        <f>((Table2[[#This Row],[MY2]]/Table2[[#This Row],[BUY PRICE]])-1)</f>
        <v>#N/A</v>
      </c>
      <c r="M33" s="32">
        <f t="array" ref="M33">MAX(IF((Table13[Bid]=1)*(Table13[StationID]=60003760),Table13[Price]))</f>
        <v>111500000.09</v>
      </c>
      <c r="N33" s="21">
        <f t="array" aca="1" ref="N33" ca="1">((Table2[[#This Row],[BUY PRICE]])/AVERAGE(OFFSET(Table93[avgPrice],COUNTA(Table93[avgPrice])-1,):OFFSET(Table93[avgPrice],COUNTA(Table93[avgPrice]),)))-1</f>
        <v>0.15096328752275801</v>
      </c>
      <c r="O33" s="21">
        <f t="array" aca="1" ref="O33" ca="1">((Table2[[#This Row],[BUY PRICE]])/AVERAGE(OFFSET(Table93[avgPrice],COUNTA(Table93[avgPrice])-5,):OFFSET(Table93[avgPrice],COUNTA(Table93[avgPrice]),)))-1</f>
        <v>0.14561975451795539</v>
      </c>
      <c r="P33" s="40">
        <f t="array" ref="P33">SUM(Table2[[#This Row],[10%]:[2%]])</f>
        <v>0.94214876033057848</v>
      </c>
      <c r="Q33" s="40">
        <f t="array" ref="Q33">SUM((Table13[VolRem])*(Table13[StationID]=60003760)*(Table13[Price]&gt;=(Table2[[#This Row],[SELL PRICE]]+(Table2[[#This Row],[SELL PRICE]]*0.05)))*(Table13[Price]&lt;=(Table2[[#This Row],[SELL PRICE]]+(Table2[[#This Row],[SELL PRICE]]*0.1)))/(SUM(IF((Table13[Bid]=0)*(Table13[StationID]=60003760),Table13[VolRem]))))</f>
        <v>0.50413223140495866</v>
      </c>
      <c r="R33" s="40">
        <f t="array" ref="R33">SUM((Table13[VolRem])*(Table13[StationID]=60003760)*(Table13[Price]&gt;=(Table2[[#This Row],[SELL PRICE]]+(Table2[[#This Row],[SELL PRICE]]*0.02)))*(Table13[Price]&lt;=(Table2[[#This Row],[SELL PRICE]]+(Table2[[#This Row],[SELL PRICE]]*0.05)))/(SUM(IF((Table13[Bid]=0)*(Table13[StationID]=60003760),Table13[VolRem]))))</f>
        <v>2.4793388429752067E-2</v>
      </c>
      <c r="S33" s="40">
        <f t="array" ref="S33">SUM((Table13[VolRem])*(Table13[StationID]=60003760)*(Table13[Price]&lt;=(Table2[[#This Row],[SELL PRICE]]+(Table2[[#This Row],[SELL PRICE]]*0.02)))*(Table13[Price]&gt;=Table2[[#This Row],[SELL PRICE]]))/(SUM(IF((Table13[Bid]=0)*(Table13[StationID]=60003760),Table13[VolRem])))</f>
        <v>0.41322314049586778</v>
      </c>
      <c r="T33" s="40">
        <f ca="1">SUM(Table2[[#This Row],[2%2]],Table2[[#This Row],[5%2]],Table2[[#This Row],[10%2]])</f>
        <v>1.6193181818181817</v>
      </c>
      <c r="U33" s="29">
        <f t="array" aca="1" ref="U33" ca="1">SUM((Table13[VolRem])*(Table13[StationID]=60003760)*(Table13[Price]&gt;=(Table2[[#This Row],[SELL PRICE]]+(Table2[[#This Row],[SELL PRICE]]*0.05)))*(Table13[Price]&lt;=(Table2[[#This Row],[SELL PRICE]]+(Table2[[#This Row],[SELL PRICE]]*0.1)))/Table2[[#This Row],[AVG VOL.]])</f>
        <v>0.8664772727272726</v>
      </c>
      <c r="V33" s="29">
        <f t="array" aca="1" ref="V33" ca="1">SUM((Table13[VolRem])*(Table13[StationID]=60003760)*(Table13[Price]&gt;=(Table2[[#This Row],[SELL PRICE]]+(Table2[[#This Row],[SELL PRICE]]*0.02)))*(Table13[Price]&lt;=(Table2[[#This Row],[SELL PRICE]]+(Table2[[#This Row],[SELL PRICE]]*0.05)))/Table2[[#This Row],[AVG VOL.]])</f>
        <v>4.261363636363636E-2</v>
      </c>
      <c r="W33" s="45">
        <f t="array" aca="1" ref="W33" ca="1">SUM((Table13[VolRem])*(Table13[StationID]=60003760)*(Table13[Price]&lt;=(Table2[[#This Row],[SELL PRICE]]+(Table2[[#This Row],[SELL PRICE]]*0.02)))*(Table13[Price]&gt;=Table2[[#This Row],[SELL PRICE]]))/Table2[[#This Row],[AVG VOL.]]</f>
        <v>0.71022727272727271</v>
      </c>
      <c r="X33" s="27">
        <f t="array" aca="1" ref="X33" ca="1">AVERAGE(OFFSET(Table93[volume],COUNTA(Table93[volume])-30,):OFFSET(Table93[volume],COUNTA(Table93[volume]),))</f>
        <v>70.400000000000006</v>
      </c>
      <c r="Y33" s="21">
        <f ca="1">Table2[[#This Row],[sum2]]-Table2[[#This Row],[sum]]</f>
        <v>0.92329545454545459</v>
      </c>
      <c r="Z33" s="45">
        <f t="array" aca="1" ref="Z33" ca="1">SUM((Table13[VolRem])*(Table13[StationID]=60003760)*(Table13[Price]&gt;=(Table2[[#This Row],[BUY PRICE]]-(Table2[[#This Row],[BUY PRICE]]*0.02)))*(Table13[Price]&lt;=Table2[[#This Row],[BUY PRICE]]))/Table2[[#This Row],[AVG VOL.]]</f>
        <v>2.1022727272727271</v>
      </c>
      <c r="AA33" s="21">
        <f t="array" aca="1" ref="AA33" ca="1">SUM((Table13[VolRem])*(Table13[StationID]=60003760)*(Table13[Price]&lt;=(Table2[[#This Row],[BUY PRICE]]-(Table2[[#This Row],[BUY PRICE]]*0.02)))*(Table13[Price]&gt;=(Table2[[#This Row],[BUY PRICE]]-(Table2[[#This Row],[BUY PRICE]]*0.05))))/Table2[[#This Row],[AVG VOL.]]</f>
        <v>0.14204545454545453</v>
      </c>
      <c r="AB33" s="21">
        <f t="array" aca="1" ref="AB33" ca="1">SUM((Table13[VolRem])*(Table13[StationID]=60003760)*(Table13[Price]&lt;=(Table2[[#This Row],[BUY PRICE]]-(Table2[[#This Row],[BUY PRICE]]*0.05)))*(Table13[Price]&gt;=(Table2[[#This Row],[BUY PRICE]]-(Table2[[#This Row],[BUY PRICE]]*0.1))))/Table2[[#This Row],[AVG VOL.]]</f>
        <v>0.29829545454545453</v>
      </c>
      <c r="AC33" s="21">
        <f ca="1">SUM(Table2[[#This Row],[10.00%]],Table2[[#This Row],[5.00%]],Table2[[#This Row],[2.00%]])</f>
        <v>2.5426136363636362</v>
      </c>
      <c r="AD33" s="3">
        <f t="array" aca="1" ref="AD33" ca="1">(((SUM(IF((Table13[Bid]=0)*(Table13[StationID]=60003760),Table13[VolEnt])))-(SUM(IF((Table13[Bid]=0)*(Table13[StationID]=60003760),Table13[VolRem]))))/Table2[[#This Row],[AVG VOL.]])</f>
        <v>0.26988636363636359</v>
      </c>
      <c r="AE33" s="3">
        <f t="array" aca="1" ref="AE33" ca="1">SUM(IF((Table13[Bid]=0)*(Table13[StationID]=60003760),Table13[VolRem]))/Table2[[#This Row],[AVG VOL.]]</f>
        <v>1.7187499999999998</v>
      </c>
      <c r="AF33" s="3">
        <f t="array" aca="1" ref="AF33" ca="1">(((SUM(IF((Table13[Bid]=1)*(Table13[StationID]=60003760),Table13[VolEnt])))-(SUM(IF((Table13[Bid]=1)*(Table13[StationID]=60003760),Table13[VolRem]))))/Table2[[#This Row],[AVG VOL.]])</f>
        <v>0.42613636363636359</v>
      </c>
      <c r="AG33" s="27">
        <f t="array" aca="1" ref="AG33" ca="1">Table2[[#This Row],[AVG VOL.]]*Table2[[#This Row],[BUY PRICE]]</f>
        <v>7849600006.3360004</v>
      </c>
      <c r="AH33" s="28">
        <f ca="1">((E33-M33)*X33)-(Table2[[#This Row],[EXPENSE]]*0.0092)</f>
        <v>455290849.66970837</v>
      </c>
      <c r="AI33" s="2"/>
      <c r="AJ33" s="2"/>
      <c r="AM33"/>
      <c r="AO33" s="37"/>
      <c r="AP33" s="37"/>
    </row>
    <row r="34" spans="1:42" x14ac:dyDescent="0.55000000000000004">
      <c r="A34" s="1">
        <v>10209</v>
      </c>
      <c r="B34" s="2" t="s">
        <v>30</v>
      </c>
      <c r="C34" s="21">
        <f t="array" aca="1" ref="C34" ca="1">((Table2[[#This Row],[SELL PRICE]])/AVERAGE(OFFSET(Table81[avgPrice],COUNTA(Table81[avgPrice])-5,):OFFSET(Table81[avgPrice],COUNTA(Table81[avgPrice]),)))-1</f>
        <v>0.22957675047441706</v>
      </c>
      <c r="D34" s="21">
        <f t="array" aca="1" ref="D34" ca="1">((Table2[[#This Row],[SELL PRICE]])/AVERAGE(OFFSET(Table81[avgPrice],COUNTA(Table81[avgPrice])-1,):OFFSET(Table81[avgPrice],COUNTA(Table81[avgPrice]),)))-1</f>
        <v>0.25750486409465534</v>
      </c>
      <c r="E34" s="32">
        <f t="array" ref="E34">MIN(IF((Table23[Bid]=0)*(Table23[StationID]=60003760),Table23[Price]))</f>
        <v>118597800</v>
      </c>
      <c r="F34" s="29" t="e">
        <f>((Table2[[#This Row],[MYS]]/Table2[[#This Row],[SELL PRICE]])-1)</f>
        <v>#N/A</v>
      </c>
      <c r="G34" s="2" t="e">
        <f t="array" ref="G34">INDEX(Table0[price], MATCH(MIN(IF((Table0[bid]=0)*(Table0[typeID]=10209)*(Table0[volRemaining]&gt;0),Table0[price])), Table0[price], 0))</f>
        <v>#N/A</v>
      </c>
      <c r="H34" s="6">
        <f t="array" ref="H34">INDEX(Table23[OrderID], MATCH(MIN(IF((Table23[Bid]=0)*(Table23[StationID]=60003760),Table23[Price])), Table23[Price], 0))</f>
        <v>2876868981</v>
      </c>
      <c r="I34" s="25">
        <f>(E34/M34)-1</f>
        <v>4.0331578764854159E-2</v>
      </c>
      <c r="J34" s="6">
        <f t="array" ref="J34">INDEX(Table23[OrderID], MATCH(MAX(IF((Table23[Bid]=1)*(Table23[StationID]=60003760),Table23[Price])), Table23[Price], 0))</f>
        <v>2878285575</v>
      </c>
      <c r="K34" s="2" t="e">
        <f t="array" ref="K34">INDEX(Table0[price], MATCH(MAX(IF((Table0[bid]=1)*(Table0[typeID]=10209)*(Table0[volRemaining]&gt;0),Table0[price])), Table0[price], 0))</f>
        <v>#N/A</v>
      </c>
      <c r="L34" s="21" t="e">
        <f>((Table2[[#This Row],[MY2]]/Table2[[#This Row],[BUY PRICE]])-1)</f>
        <v>#N/A</v>
      </c>
      <c r="M34" s="32">
        <f t="array" ref="M34">MAX(IF((Table23[Bid]=1)*(Table23[StationID]=60003760),Table23[Price]))</f>
        <v>114000000.02</v>
      </c>
      <c r="N34" s="21">
        <f t="array" aca="1" ref="N34" ca="1">((Table2[[#This Row],[BUY PRICE]])/AVERAGE(OFFSET(Table81[avgPrice],COUNTA(Table81[avgPrice])-1,):OFFSET(Table81[avgPrice],COUNTA(Table81[avgPrice]),)))-1</f>
        <v>0.20875391054421577</v>
      </c>
      <c r="O34" s="21">
        <f t="array" aca="1" ref="O34" ca="1">((Table2[[#This Row],[BUY PRICE]])/AVERAGE(OFFSET(Table81[avgPrice],COUNTA(Table81[avgPrice])-5,):OFFSET(Table81[avgPrice],COUNTA(Table81[avgPrice]),)))-1</f>
        <v>0.18190851414339115</v>
      </c>
      <c r="P34" s="40">
        <f t="array" ref="P34">SUM(Table2[[#This Row],[10%]:[2%]])</f>
        <v>0.94502617801047117</v>
      </c>
      <c r="Q34" s="40">
        <f t="array" ref="Q34">SUM((Table23[VolRem])*(Table23[StationID]=60003760)*(Table23[Price]&gt;=(Table2[[#This Row],[SELL PRICE]]+(Table2[[#This Row],[SELL PRICE]]*0.05)))*(Table23[Price]&lt;=(Table2[[#This Row],[SELL PRICE]]+(Table2[[#This Row],[SELL PRICE]]*0.1)))/(SUM(IF((Table23[Bid]=0)*(Table23[StationID]=60003760),Table23[VolRem]))))</f>
        <v>0.37434554973821982</v>
      </c>
      <c r="R34" s="40">
        <f t="array" ref="R34">SUM((Table23[VolRem])*(Table23[StationID]=60003760)*(Table23[Price]&gt;=(Table2[[#This Row],[SELL PRICE]]+(Table2[[#This Row],[SELL PRICE]]*0.02)))*(Table23[Price]&lt;=(Table2[[#This Row],[SELL PRICE]]+(Table2[[#This Row],[SELL PRICE]]*0.05)))/(SUM(IF((Table23[Bid]=0)*(Table23[StationID]=60003760),Table23[VolRem]))))</f>
        <v>0.10209424083769633</v>
      </c>
      <c r="S34" s="40">
        <f t="array" ref="S34">SUM((Table23[VolRem])*(Table23[StationID]=60003760)*(Table23[Price]&lt;=(Table2[[#This Row],[SELL PRICE]]+(Table2[[#This Row],[SELL PRICE]]*0.02)))*(Table23[Price]&gt;=Table2[[#This Row],[SELL PRICE]]))/(SUM(IF((Table23[Bid]=0)*(Table23[StationID]=60003760),Table23[VolRem])))</f>
        <v>0.468586387434555</v>
      </c>
      <c r="T34" s="40">
        <f ca="1">SUM(Table2[[#This Row],[2%2]],Table2[[#This Row],[5%2]],Table2[[#This Row],[10%2]])</f>
        <v>2.9654983570646225</v>
      </c>
      <c r="U34" s="29">
        <f t="array" aca="1" ref="U34" ca="1">SUM((Table23[VolRem])*(Table23[StationID]=60003760)*(Table23[Price]&gt;=(Table2[[#This Row],[SELL PRICE]]+(Table2[[#This Row],[SELL PRICE]]*0.05)))*(Table23[Price]&lt;=(Table2[[#This Row],[SELL PRICE]]+(Table2[[#This Row],[SELL PRICE]]*0.1)))/Table2[[#This Row],[AVG VOL.]])</f>
        <v>1.1746987951807231</v>
      </c>
      <c r="V34" s="29">
        <f t="array" aca="1" ref="V34" ca="1">SUM((Table23[VolRem])*(Table23[StationID]=60003760)*(Table23[Price]&gt;=(Table2[[#This Row],[SELL PRICE]]+(Table2[[#This Row],[SELL PRICE]]*0.02)))*(Table23[Price]&lt;=(Table2[[#This Row],[SELL PRICE]]+(Table2[[#This Row],[SELL PRICE]]*0.05)))/Table2[[#This Row],[AVG VOL.]])</f>
        <v>0.3203723986856517</v>
      </c>
      <c r="W34" s="45">
        <f t="array" aca="1" ref="W34" ca="1">SUM((Table23[VolRem])*(Table23[StationID]=60003760)*(Table23[Price]&lt;=(Table2[[#This Row],[SELL PRICE]]+(Table2[[#This Row],[SELL PRICE]]*0.02)))*(Table23[Price]&gt;=Table2[[#This Row],[SELL PRICE]]))/Table2[[#This Row],[AVG VOL.]]</f>
        <v>1.4704271631982475</v>
      </c>
      <c r="X34" s="27">
        <f t="array" aca="1" ref="X34" ca="1">AVERAGE(OFFSET(Table81[volume],COUNTA(Table81[volume])-30,):OFFSET(Table81[volume],COUNTA(Table81[volume]),))</f>
        <v>121.73333333333333</v>
      </c>
      <c r="Y34" s="21">
        <f ca="1">Table2[[#This Row],[sum2]]-Table2[[#This Row],[sum]]</f>
        <v>-1.2897042716319826</v>
      </c>
      <c r="Z34" s="45">
        <f t="array" aca="1" ref="Z34" ca="1">SUM((Table23[VolRem])*(Table23[StationID]=60003760)*(Table23[Price]&gt;=(Table2[[#This Row],[BUY PRICE]]-(Table2[[#This Row],[BUY PRICE]]*0.02)))*(Table23[Price]&lt;=Table2[[#This Row],[BUY PRICE]]))/Table2[[#This Row],[AVG VOL.]]</f>
        <v>0.35323110624315446</v>
      </c>
      <c r="AA34" s="21">
        <f t="array" aca="1" ref="AA34" ca="1">SUM((Table23[VolRem])*(Table23[StationID]=60003760)*(Table23[Price]&lt;=(Table2[[#This Row],[BUY PRICE]]-(Table2[[#This Row],[BUY PRICE]]*0.02)))*(Table23[Price]&gt;=(Table2[[#This Row],[BUY PRICE]]-(Table2[[#This Row],[BUY PRICE]]*0.05))))/Table2[[#This Row],[AVG VOL.]]</f>
        <v>1.2157721796276013</v>
      </c>
      <c r="AB34" s="21">
        <f t="array" aca="1" ref="AB34" ca="1">SUM((Table23[VolRem])*(Table23[StationID]=60003760)*(Table23[Price]&lt;=(Table2[[#This Row],[BUY PRICE]]-(Table2[[#This Row],[BUY PRICE]]*0.05)))*(Table23[Price]&gt;=(Table2[[#This Row],[BUY PRICE]]-(Table2[[#This Row],[BUY PRICE]]*0.1))))/Table2[[#This Row],[AVG VOL.]]</f>
        <v>0.10679079956188389</v>
      </c>
      <c r="AC34" s="21">
        <f ca="1">SUM(Table2[[#This Row],[10.00%]],Table2[[#This Row],[5.00%]],Table2[[#This Row],[2.00%]])</f>
        <v>1.6757940854326399</v>
      </c>
      <c r="AD34" s="3">
        <f t="array" aca="1" ref="AD34" ca="1">(((SUM(IF((Table23[Bid]=0)*(Table23[StationID]=60003760),Table23[VolEnt])))-(SUM(IF((Table23[Bid]=0)*(Table23[StationID]=60003760),Table23[VolRem]))))/Table2[[#This Row],[AVG VOL.]])</f>
        <v>0.53395399780941954</v>
      </c>
      <c r="AE34" s="3">
        <f t="array" aca="1" ref="AE34" ca="1">SUM(IF((Table23[Bid]=0)*(Table23[StationID]=60003760),Table23[VolRem]))/Table2[[#This Row],[AVG VOL.]]</f>
        <v>3.1380065717415113</v>
      </c>
      <c r="AF34" s="3">
        <f t="array" aca="1" ref="AF34" ca="1">(((SUM(IF((Table23[Bid]=1)*(Table23[StationID]=60003760),Table23[VolEnt])))-(SUM(IF((Table23[Bid]=1)*(Table23[StationID]=60003760),Table23[VolRem]))))/Table2[[#This Row],[AVG VOL.]])</f>
        <v>0.24644030668127054</v>
      </c>
      <c r="AG34" s="27">
        <f t="array" aca="1" ref="AG34" ca="1">Table2[[#This Row],[AVG VOL.]]*Table2[[#This Row],[BUY PRICE]]</f>
        <v>13877600002.434666</v>
      </c>
      <c r="AH34" s="28">
        <f ca="1">((E34-M34)*X34)-(Table2[[#This Row],[EXPENSE]]*0.0092)</f>
        <v>432031597.54293489</v>
      </c>
      <c r="AI34" s="2"/>
      <c r="AJ34" s="2"/>
      <c r="AM34"/>
      <c r="AO34" s="37"/>
      <c r="AP34" s="37"/>
    </row>
    <row r="35" spans="1:42" x14ac:dyDescent="0.55000000000000004">
      <c r="A35" s="1">
        <v>10217</v>
      </c>
      <c r="B35" s="2" t="s">
        <v>31</v>
      </c>
      <c r="C35" s="21">
        <f t="array" aca="1" ref="C35" ca="1">((Table2[[#This Row],[SELL PRICE]])/AVERAGE(OFFSET(Table92[avgPrice],COUNTA(Table92[avgPrice])-5,):OFFSET(Table92[avgPrice],COUNTA(Table92[avgPrice]),)))-1</f>
        <v>0.19311173052070774</v>
      </c>
      <c r="D35" s="21">
        <f t="array" aca="1" ref="D35" ca="1">((Table2[[#This Row],[SELL PRICE]])/AVERAGE(OFFSET(Table92[avgPrice],COUNTA(Table92[avgPrice])-1,):OFFSET(Table92[avgPrice],COUNTA(Table92[avgPrice]),)))-1</f>
        <v>0.21479960076875226</v>
      </c>
      <c r="E35" s="32">
        <f t="array" ref="E35">MIN(IF((Table25[Bid]=0)*(Table25[StationID]=60003760),Table25[Price]))</f>
        <v>118199999.94</v>
      </c>
      <c r="F35" s="29" t="e">
        <f>((Table2[[#This Row],[MYS]]/Table2[[#This Row],[SELL PRICE]])-1)</f>
        <v>#N/A</v>
      </c>
      <c r="G35" s="2" t="e">
        <f t="array" ref="G35">INDEX(Table0[price], MATCH(MIN(IF((Table0[bid]=0)*(Table0[typeID]=10217)*(Table0[volRemaining]&gt;0),Table0[price])), Table0[price], 0))</f>
        <v>#N/A</v>
      </c>
      <c r="H35" s="6">
        <f t="array" ref="H35">INDEX(Table25[OrderID], MATCH(MIN(IF((Table25[Bid]=0)*(Table25[StationID]=60003760),Table25[Price])), Table25[Price], 0))</f>
        <v>2878790374</v>
      </c>
      <c r="I35" s="25">
        <f>(E35/M35)-1</f>
        <v>4.2961728330267457E-2</v>
      </c>
      <c r="J35" s="6">
        <f t="array" ref="J35">INDEX(Table25[OrderID], MATCH(MAX(IF((Table25[Bid]=1)*(Table25[StationID]=60003760),Table25[Price])), Table25[Price], 0))</f>
        <v>2879064862</v>
      </c>
      <c r="K35" s="2" t="e">
        <f t="array" ref="K35">INDEX(Table0[price], MATCH(MAX(IF((Table0[bid]=1)*(Table0[typeID]=10217)*(Table0[volRemaining]&gt;0),Table0[price])), Table0[price], 0))</f>
        <v>#N/A</v>
      </c>
      <c r="L35" s="21" t="e">
        <f>((Table2[[#This Row],[MY2]]/Table2[[#This Row],[BUY PRICE]])-1)</f>
        <v>#N/A</v>
      </c>
      <c r="M35" s="32">
        <f t="array" ref="M35">MAX(IF((Table25[Bid]=1)*(Table25[StationID]=60003760),Table25[Price]))</f>
        <v>113331100.01000001</v>
      </c>
      <c r="N35" s="21">
        <f t="array" aca="1" ref="N35" ca="1">((Table2[[#This Row],[BUY PRICE]])/AVERAGE(OFFSET(Table92[avgPrice],COUNTA(Table92[avgPrice])-1,):OFFSET(Table92[avgPrice],COUNTA(Table92[avgPrice]),)))-1</f>
        <v>0.16475951875395189</v>
      </c>
      <c r="O35" s="21">
        <f t="array" aca="1" ref="O35" ca="1">((Table2[[#This Row],[BUY PRICE]])/AVERAGE(OFFSET(Table92[avgPrice],COUNTA(Table92[avgPrice])-5,):OFFSET(Table92[avgPrice],COUNTA(Table92[avgPrice]),)))-1</f>
        <v>0.14396501627228764</v>
      </c>
      <c r="P35" s="40">
        <f t="array" ref="P35">SUM(Table2[[#This Row],[10%]:[2%]])</f>
        <v>0.85658914728682178</v>
      </c>
      <c r="Q35" s="40">
        <f t="array" ref="Q35">SUM((Table25[VolRem])*(Table25[StationID]=60003760)*(Table25[Price]&gt;=(Table2[[#This Row],[SELL PRICE]]+(Table2[[#This Row],[SELL PRICE]]*0.05)))*(Table25[Price]&lt;=(Table2[[#This Row],[SELL PRICE]]+(Table2[[#This Row],[SELL PRICE]]*0.1)))/(SUM(IF((Table25[Bid]=0)*(Table25[StationID]=60003760),Table25[VolRem]))))</f>
        <v>0.35271317829457371</v>
      </c>
      <c r="R35" s="40">
        <f t="array" ref="R35">SUM((Table25[VolRem])*(Table25[StationID]=60003760)*(Table25[Price]&gt;=(Table2[[#This Row],[SELL PRICE]]+(Table2[[#This Row],[SELL PRICE]]*0.02)))*(Table25[Price]&lt;=(Table2[[#This Row],[SELL PRICE]]+(Table2[[#This Row],[SELL PRICE]]*0.05)))/(SUM(IF((Table25[Bid]=0)*(Table25[StationID]=60003760),Table25[VolRem]))))</f>
        <v>0.18217054263565891</v>
      </c>
      <c r="S35" s="40">
        <f t="array" ref="S35">SUM((Table25[VolRem])*(Table25[StationID]=60003760)*(Table25[Price]&lt;=(Table2[[#This Row],[SELL PRICE]]+(Table2[[#This Row],[SELL PRICE]]*0.02)))*(Table25[Price]&gt;=Table2[[#This Row],[SELL PRICE]]))/(SUM(IF((Table25[Bid]=0)*(Table25[StationID]=60003760),Table25[VolRem])))</f>
        <v>0.32170542635658916</v>
      </c>
      <c r="T35" s="40">
        <f ca="1">SUM(Table2[[#This Row],[2%2]],Table2[[#This Row],[5%2]],Table2[[#This Row],[10%2]])</f>
        <v>1.9897959183673466</v>
      </c>
      <c r="U35" s="29">
        <f t="array" aca="1" ref="U35" ca="1">SUM((Table25[VolRem])*(Table25[StationID]=60003760)*(Table25[Price]&gt;=(Table2[[#This Row],[SELL PRICE]]+(Table2[[#This Row],[SELL PRICE]]*0.05)))*(Table25[Price]&lt;=(Table2[[#This Row],[SELL PRICE]]+(Table2[[#This Row],[SELL PRICE]]*0.1)))/Table2[[#This Row],[AVG VOL.]])</f>
        <v>0.81932773109243684</v>
      </c>
      <c r="V35" s="29">
        <f t="array" aca="1" ref="V35" ca="1">SUM((Table25[VolRem])*(Table25[StationID]=60003760)*(Table25[Price]&gt;=(Table2[[#This Row],[SELL PRICE]]+(Table2[[#This Row],[SELL PRICE]]*0.02)))*(Table25[Price]&lt;=(Table2[[#This Row],[SELL PRICE]]+(Table2[[#This Row],[SELL PRICE]]*0.05)))/Table2[[#This Row],[AVG VOL.]])</f>
        <v>0.42316926770708285</v>
      </c>
      <c r="W35" s="45">
        <f t="array" aca="1" ref="W35" ca="1">SUM((Table25[VolRem])*(Table25[StationID]=60003760)*(Table25[Price]&lt;=(Table2[[#This Row],[SELL PRICE]]+(Table2[[#This Row],[SELL PRICE]]*0.02)))*(Table25[Price]&gt;=Table2[[#This Row],[SELL PRICE]]))/Table2[[#This Row],[AVG VOL.]]</f>
        <v>0.74729891956782712</v>
      </c>
      <c r="X35" s="27">
        <f t="array" aca="1" ref="X35" ca="1">AVERAGE(OFFSET(Table92[volume],COUNTA(Table92[volume])-30,):OFFSET(Table92[volume],COUNTA(Table92[volume]),))</f>
        <v>111.06666666666666</v>
      </c>
      <c r="Y35" s="21">
        <f ca="1">Table2[[#This Row],[sum2]]-Table2[[#This Row],[sum]]</f>
        <v>-3.6014405762304413E-2</v>
      </c>
      <c r="Z35" s="45">
        <f t="array" aca="1" ref="Z35" ca="1">SUM((Table25[VolRem])*(Table25[StationID]=60003760)*(Table25[Price]&gt;=(Table2[[#This Row],[BUY PRICE]]-(Table2[[#This Row],[BUY PRICE]]*0.02)))*(Table25[Price]&lt;=Table2[[#This Row],[BUY PRICE]]))/Table2[[#This Row],[AVG VOL.]]</f>
        <v>0.81932773109243695</v>
      </c>
      <c r="AA35" s="21">
        <f t="array" aca="1" ref="AA35" ca="1">SUM((Table25[VolRem])*(Table25[StationID]=60003760)*(Table25[Price]&lt;=(Table2[[#This Row],[BUY PRICE]]-(Table2[[#This Row],[BUY PRICE]]*0.02)))*(Table25[Price]&gt;=(Table2[[#This Row],[BUY PRICE]]-(Table2[[#This Row],[BUY PRICE]]*0.05))))/Table2[[#This Row],[AVG VOL.]]</f>
        <v>1.1074429771908765</v>
      </c>
      <c r="AB35" s="21">
        <f t="array" aca="1" ref="AB35" ca="1">SUM((Table25[VolRem])*(Table25[StationID]=60003760)*(Table25[Price]&lt;=(Table2[[#This Row],[BUY PRICE]]-(Table2[[#This Row],[BUY PRICE]]*0.05)))*(Table25[Price]&gt;=(Table2[[#This Row],[BUY PRICE]]-(Table2[[#This Row],[BUY PRICE]]*0.1))))/Table2[[#This Row],[AVG VOL.]]</f>
        <v>2.7010804321728692E-2</v>
      </c>
      <c r="AC35" s="21">
        <f ca="1">SUM(Table2[[#This Row],[10.00%]],Table2[[#This Row],[5.00%]],Table2[[#This Row],[2.00%]])</f>
        <v>1.9537815126050422</v>
      </c>
      <c r="AD35" s="3">
        <f t="array" aca="1" ref="AD35" ca="1">(((SUM(IF((Table25[Bid]=0)*(Table25[StationID]=60003760),Table25[VolEnt])))-(SUM(IF((Table25[Bid]=0)*(Table25[StationID]=60003760),Table25[VolRem]))))/Table2[[#This Row],[AVG VOL.]])</f>
        <v>0.77430972388955588</v>
      </c>
      <c r="AE35" s="3">
        <f t="array" aca="1" ref="AE35" ca="1">SUM(IF((Table25[Bid]=0)*(Table25[StationID]=60003760),Table25[VolRem]))/Table2[[#This Row],[AVG VOL.]]</f>
        <v>2.3229291716686675</v>
      </c>
      <c r="AF35" s="3">
        <f t="array" aca="1" ref="AF35" ca="1">(((SUM(IF((Table25[Bid]=1)*(Table25[StationID]=60003760),Table25[VolEnt])))-(SUM(IF((Table25[Bid]=1)*(Table25[StationID]=60003760),Table25[VolRem]))))/Table2[[#This Row],[AVG VOL.]])</f>
        <v>0.24309723889555823</v>
      </c>
      <c r="AG35" s="27">
        <f t="array" aca="1" ref="AG35" ca="1">Table2[[#This Row],[AVG VOL.]]*Table2[[#This Row],[BUY PRICE]]</f>
        <v>12587307507.777334</v>
      </c>
      <c r="AH35" s="28">
        <f ca="1">((E35-M35)*X35)-(Table2[[#This Row],[EXPENSE]]*0.0092)</f>
        <v>424969256.48711431</v>
      </c>
      <c r="AI35" s="2"/>
      <c r="AJ35" s="2"/>
      <c r="AM35"/>
      <c r="AO35" s="37"/>
      <c r="AP35" s="37"/>
    </row>
    <row r="36" spans="1:42" x14ac:dyDescent="0.55000000000000004">
      <c r="A36" s="1">
        <v>25605</v>
      </c>
      <c r="B36" s="2" t="s">
        <v>27</v>
      </c>
      <c r="C36" s="21">
        <f t="array" aca="1" ref="C36" ca="1">((Table2[[#This Row],[SELL PRICE]])/AVERAGE(OFFSET(Table100[avgPrice],COUNTA(Table100[avgPrice])-5,):OFFSET(Table100[avgPrice],COUNTA(Table100[avgPrice]),)))-1</f>
        <v>-0.37263267900014119</v>
      </c>
      <c r="D36" s="21">
        <f t="array" aca="1" ref="D36" ca="1">((Table2[[#This Row],[SELL PRICE]])/AVERAGE(OFFSET(Table100[avgPrice],COUNTA(Table100[avgPrice])-1,):OFFSET(Table100[avgPrice],COUNTA(Table100[avgPrice]),)))-1</f>
        <v>-0.37643693326970051</v>
      </c>
      <c r="E36" s="32">
        <f t="array" ref="E36">MIN(IF((Table14[Bid]=0)*(Table14[StationID]=60003760),Table14[Price]))</f>
        <v>111059.7</v>
      </c>
      <c r="F36" s="29" t="e">
        <f>((Table2[[#This Row],[MYS]]/Table2[[#This Row],[SELL PRICE]])-1)</f>
        <v>#N/A</v>
      </c>
      <c r="G36" s="2" t="e">
        <f t="array" ref="G36">INDEX(Table0[price], MATCH(MIN(IF((Table0[bid]=0)*(Table0[typeID]=25605)*(Table0[volRemaining]&gt;0),Table0[price])), Table0[price], 0))</f>
        <v>#N/A</v>
      </c>
      <c r="H36" s="6">
        <f t="array" ref="H36">INDEX(Table14[OrderID], MATCH(MIN(IF((Table14[Bid]=0)*(Table14[StationID]=60003760),Table14[Price])), Table14[Price], 0))</f>
        <v>2879136702</v>
      </c>
      <c r="I36" s="25">
        <f>(E36/M36)-1</f>
        <v>3.3112719544022617E-2</v>
      </c>
      <c r="J36" s="6">
        <f t="array" ref="J36">INDEX(Table14[OrderID], MATCH(MAX(IF((Table14[Bid]=1)*(Table14[StationID]=60003760),Table14[Price])), Table14[Price], 0))</f>
        <v>2869815685</v>
      </c>
      <c r="K36" s="2" t="e">
        <f t="array" ref="K36">INDEX(Table0[price], MATCH(MAX(IF((Table0[bid]=1)*(Table0[typeID]=25605)*(Table0[volRemaining]&gt;0),Table0[price])), Table0[price], 0))</f>
        <v>#N/A</v>
      </c>
      <c r="L36" s="21" t="e">
        <f>((Table2[[#This Row],[MY2]]/Table2[[#This Row],[BUY PRICE]])-1)</f>
        <v>#N/A</v>
      </c>
      <c r="M36" s="32">
        <f t="array" ref="M36">MAX(IF((Table14[Bid]=1)*(Table14[StationID]=60003760),Table14[Price]))</f>
        <v>107500.08</v>
      </c>
      <c r="N36" s="21">
        <f t="array" aca="1" ref="N36" ca="1">((Table2[[#This Row],[BUY PRICE]])/AVERAGE(OFFSET(Table100[avgPrice],COUNTA(Table100[avgPrice])-1,):OFFSET(Table100[avgPrice],COUNTA(Table100[avgPrice]),)))-1</f>
        <v>-0.39642300889924487</v>
      </c>
      <c r="O36" s="21">
        <f t="array" aca="1" ref="O36" ca="1">((Table2[[#This Row],[BUY PRICE]])/AVERAGE(OFFSET(Table100[avgPrice],COUNTA(Table100[avgPrice])-5,):OFFSET(Table100[avgPrice],COUNTA(Table100[avgPrice]),)))-1</f>
        <v>-0.39274068634373671</v>
      </c>
      <c r="P36" s="40">
        <f t="array" ref="P36">SUM(Table2[[#This Row],[10%]:[2%]])</f>
        <v>0.38191669970620223</v>
      </c>
      <c r="Q36" s="40">
        <f t="array" ref="Q36">SUM((Table14[VolRem])*(Table14[StationID]=60003760)*(Table14[Price]&gt;=(Table2[[#This Row],[SELL PRICE]]+(Table2[[#This Row],[SELL PRICE]]*0.05)))*(Table14[Price]&lt;=(Table2[[#This Row],[SELL PRICE]]+(Table2[[#This Row],[SELL PRICE]]*0.1)))/(SUM(IF((Table14[Bid]=0)*(Table14[StationID]=60003760),Table14[VolRem]))))</f>
        <v>1.9779668655816145E-2</v>
      </c>
      <c r="R36" s="40">
        <f t="array" ref="R36">SUM((Table14[VolRem])*(Table14[StationID]=60003760)*(Table14[Price]&gt;=(Table2[[#This Row],[SELL PRICE]]+(Table2[[#This Row],[SELL PRICE]]*0.02)))*(Table14[Price]&lt;=(Table2[[#This Row],[SELL PRICE]]+(Table2[[#This Row],[SELL PRICE]]*0.05)))/(SUM(IF((Table14[Bid]=0)*(Table14[StationID]=60003760),Table14[VolRem]))))</f>
        <v>5.1704331737269613E-2</v>
      </c>
      <c r="S36" s="40">
        <f t="array" ref="S36">SUM((Table14[VolRem])*(Table14[StationID]=60003760)*(Table14[Price]&lt;=(Table2[[#This Row],[SELL PRICE]]+(Table2[[#This Row],[SELL PRICE]]*0.02)))*(Table14[Price]&gt;=Table2[[#This Row],[SELL PRICE]]))/(SUM(IF((Table14[Bid]=0)*(Table14[StationID]=60003760),Table14[VolRem])))</f>
        <v>0.31043269931311651</v>
      </c>
      <c r="T36" s="40">
        <f ca="1">SUM(Table2[[#This Row],[2%2]],Table2[[#This Row],[5%2]],Table2[[#This Row],[10%2]])</f>
        <v>0.89859713793282159</v>
      </c>
      <c r="U36" s="29">
        <f t="array" aca="1" ref="U36" ca="1">SUM((Table14[VolRem])*(Table14[StationID]=60003760)*(Table14[Price]&gt;=(Table2[[#This Row],[SELL PRICE]]+(Table2[[#This Row],[SELL PRICE]]*0.05)))*(Table14[Price]&lt;=(Table2[[#This Row],[SELL PRICE]]+(Table2[[#This Row],[SELL PRICE]]*0.1)))/Table2[[#This Row],[AVG VOL.]])</f>
        <v>4.6538822882185894E-2</v>
      </c>
      <c r="V36" s="29">
        <f t="array" aca="1" ref="V36" ca="1">SUM((Table14[VolRem])*(Table14[StationID]=60003760)*(Table14[Price]&gt;=(Table2[[#This Row],[SELL PRICE]]+(Table2[[#This Row],[SELL PRICE]]*0.02)))*(Table14[Price]&lt;=(Table2[[#This Row],[SELL PRICE]]+(Table2[[#This Row],[SELL PRICE]]*0.05)))/Table2[[#This Row],[AVG VOL.]])</f>
        <v>0.12165313680596067</v>
      </c>
      <c r="W36" s="45">
        <f t="array" aca="1" ref="W36" ca="1">SUM((Table14[VolRem])*(Table14[StationID]=60003760)*(Table14[Price]&lt;=(Table2[[#This Row],[SELL PRICE]]+(Table2[[#This Row],[SELL PRICE]]*0.02)))*(Table14[Price]&gt;=Table2[[#This Row],[SELL PRICE]]))/Table2[[#This Row],[AVG VOL.]]</f>
        <v>0.73040517824467499</v>
      </c>
      <c r="X36" s="27">
        <f t="array" aca="1" ref="X36" ca="1">AVERAGE(OFFSET(Table100[volume],COUNTA(Table100[volume])-30,):OFFSET(Table100[volume],COUNTA(Table100[volume]),))</f>
        <v>125422.16666666667</v>
      </c>
      <c r="Y36" s="21">
        <f ca="1">Table2[[#This Row],[sum2]]-Table2[[#This Row],[sum]]</f>
        <v>-4.261607132178924E-2</v>
      </c>
      <c r="Z36" s="45">
        <f t="array" aca="1" ref="Z36" ca="1">SUM((Table14[VolRem])*(Table14[StationID]=60003760)*(Table14[Price]&gt;=(Table2[[#This Row],[BUY PRICE]]-(Table2[[#This Row],[BUY PRICE]]*0.02)))*(Table14[Price]&lt;=Table2[[#This Row],[BUY PRICE]]))/Table2[[#This Row],[AVG VOL.]]</f>
        <v>0.58502417834168063</v>
      </c>
      <c r="AA36" s="21">
        <f t="array" aca="1" ref="AA36" ca="1">SUM((Table14[VolRem])*(Table14[StationID]=60003760)*(Table14[Price]&lt;=(Table2[[#This Row],[BUY PRICE]]-(Table2[[#This Row],[BUY PRICE]]*0.02)))*(Table14[Price]&gt;=(Table2[[#This Row],[BUY PRICE]]-(Table2[[#This Row],[BUY PRICE]]*0.05))))/Table2[[#This Row],[AVG VOL.]]</f>
        <v>0.2470296983653873</v>
      </c>
      <c r="AB36" s="21">
        <f t="array" aca="1" ref="AB36" ca="1">SUM((Table14[VolRem])*(Table14[StationID]=60003760)*(Table14[Price]&lt;=(Table2[[#This Row],[BUY PRICE]]-(Table2[[#This Row],[BUY PRICE]]*0.05)))*(Table14[Price]&gt;=(Table2[[#This Row],[BUY PRICE]]-(Table2[[#This Row],[BUY PRICE]]*0.1))))/Table2[[#This Row],[AVG VOL.]]</f>
        <v>2.3927189903964342E-2</v>
      </c>
      <c r="AC36" s="21">
        <f ca="1">SUM(Table2[[#This Row],[10.00%]],Table2[[#This Row],[5.00%]],Table2[[#This Row],[2.00%]])</f>
        <v>0.85598106661103235</v>
      </c>
      <c r="AD36" s="3">
        <f t="array" aca="1" ref="AD36" ca="1">(((SUM(IF((Table14[Bid]=0)*(Table14[StationID]=60003760),Table14[VolEnt])))-(SUM(IF((Table14[Bid]=0)*(Table14[StationID]=60003760),Table14[VolRem]))))/Table2[[#This Row],[AVG VOL.]])</f>
        <v>0.68730274951397474</v>
      </c>
      <c r="AE36" s="3">
        <f t="array" aca="1" ref="AE36" ca="1">SUM(IF((Table14[Bid]=0)*(Table14[StationID]=60003760),Table14[VolRem]))/Table2[[#This Row],[AVG VOL.]]</f>
        <v>2.3528616020825663</v>
      </c>
      <c r="AF36" s="3">
        <f t="array" aca="1" ref="AF36" ca="1">(((SUM(IF((Table14[Bid]=1)*(Table14[StationID]=60003760),Table14[VolEnt])))-(SUM(IF((Table14[Bid]=1)*(Table14[StationID]=60003760),Table14[VolRem]))))/Table2[[#This Row],[AVG VOL.]])</f>
        <v>0.34427726093074984</v>
      </c>
      <c r="AG36" s="27">
        <f t="array" aca="1" ref="AG36" ca="1">Table2[[#This Row],[AVG VOL.]]*Table2[[#This Row],[BUY PRICE]]</f>
        <v>13482892950.440001</v>
      </c>
      <c r="AH36" s="28">
        <f ca="1">((E36-M36)*X36)-(Table2[[#This Row],[EXPENSE]]*0.0092)</f>
        <v>322412637.7659514</v>
      </c>
      <c r="AI36" s="2"/>
      <c r="AJ36" s="2"/>
      <c r="AM36"/>
      <c r="AO36" s="37"/>
      <c r="AP36" s="37"/>
    </row>
    <row r="37" spans="1:42" x14ac:dyDescent="0.55000000000000004">
      <c r="A37" s="1">
        <v>25595</v>
      </c>
      <c r="B37" s="2" t="s">
        <v>45</v>
      </c>
      <c r="C37" s="21">
        <f t="array" aca="1" ref="C37" ca="1">((Table2[[#This Row],[SELL PRICE]])/AVERAGE(OFFSET(Table98[avgPrice],COUNTA(Table98[avgPrice])-5,):OFFSET(Table98[avgPrice],COUNTA(Table98[avgPrice]),)))-1</f>
        <v>-0.46215399507720134</v>
      </c>
      <c r="D37" s="21">
        <f t="array" aca="1" ref="D37" ca="1">((Table2[[#This Row],[SELL PRICE]])/AVERAGE(OFFSET(Table98[avgPrice],COUNTA(Table98[avgPrice])-1,):OFFSET(Table98[avgPrice],COUNTA(Table98[avgPrice]),)))-1</f>
        <v>-0.45981643160958141</v>
      </c>
      <c r="E37" s="32">
        <f t="array" ref="E37">MIN(IF((Table48[Bid]=0)*(Table48[StationID]=60003760),Table48[Price]))</f>
        <v>67564</v>
      </c>
      <c r="F37" s="29" t="e">
        <f>((Table2[[#This Row],[MYS]]/Table2[[#This Row],[SELL PRICE]])-1)</f>
        <v>#N/A</v>
      </c>
      <c r="G37" s="2" t="e">
        <f t="array" ref="G37">INDEX(Table0[price], MATCH(MIN(IF((Table0[bid]=0)*(Table0[typeID]=25595)*(Table0[volRemaining]&gt;0),Table0[price])), Table0[price], 0))</f>
        <v>#N/A</v>
      </c>
      <c r="H37" s="6">
        <f t="array" ref="H37">INDEX(Table48[OrderID], MATCH(MIN(IF((Table48[Bid]=0)*(Table48[StationID]=60003760),Table48[Price])), Table48[Price], 0))</f>
        <v>2879125566</v>
      </c>
      <c r="I37" s="25">
        <f>(E37/M37)-1</f>
        <v>7.6164043180994678E-2</v>
      </c>
      <c r="J37" s="6">
        <f t="array" ref="J37">INDEX(Table48[OrderID], MATCH(MAX(IF((Table48[Bid]=1)*(Table48[StationID]=60003760),Table48[Price])), Table48[Price], 0))</f>
        <v>2878794493</v>
      </c>
      <c r="K37" s="2" t="e">
        <f t="array" ref="K37">INDEX(Table0[price], MATCH(MAX(IF((Table0[bid]=1)*(Table0[typeID]=25595)*(Table0[volRemaining]&gt;0),Table0[price])), Table0[price], 0))</f>
        <v>#N/A</v>
      </c>
      <c r="L37" s="21" t="e">
        <f>((Table2[[#This Row],[MY2]]/Table2[[#This Row],[BUY PRICE]])-1)</f>
        <v>#N/A</v>
      </c>
      <c r="M37" s="32">
        <f t="array" ref="M37">MAX(IF((Table48[Bid]=1)*(Table48[StationID]=60003760),Table48[Price]))</f>
        <v>62782.25</v>
      </c>
      <c r="N37" s="21">
        <f t="array" aca="1" ref="N37" ca="1">((Table2[[#This Row],[BUY PRICE]])/AVERAGE(OFFSET(Table98[avgPrice],COUNTA(Table98[avgPrice])-1,):OFFSET(Table98[avgPrice],COUNTA(Table98[avgPrice]),)))-1</f>
        <v>-0.49804718731011544</v>
      </c>
      <c r="O37" s="21">
        <f t="array" aca="1" ref="O37" ca="1">((Table2[[#This Row],[BUY PRICE]])/AVERAGE(OFFSET(Table98[avgPrice],COUNTA(Table98[avgPrice])-5,):OFFSET(Table98[avgPrice],COUNTA(Table98[avgPrice]),)))-1</f>
        <v>-0.50021931290976895</v>
      </c>
      <c r="P37" s="40">
        <f t="array" ref="P37">SUM(Table2[[#This Row],[10%]:[2%]])</f>
        <v>6.5418268051353355E-4</v>
      </c>
      <c r="Q37" s="40">
        <f t="array" ref="Q37">SUM((Table48[VolRem])*(Table48[StationID]=60003760)*(Table48[Price]&gt;=(Table2[[#This Row],[SELL PRICE]]+(Table2[[#This Row],[SELL PRICE]]*0.05)))*(Table48[Price]&lt;=(Table2[[#This Row],[SELL PRICE]]+(Table2[[#This Row],[SELL PRICE]]*0.1)))/(SUM(IF((Table48[Bid]=0)*(Table48[StationID]=60003760),Table48[VolRem]))))</f>
        <v>2.9074785800601487E-4</v>
      </c>
      <c r="R37" s="40">
        <f t="array" ref="R37">SUM((Table48[VolRem])*(Table48[StationID]=60003760)*(Table48[Price]&gt;=(Table2[[#This Row],[SELL PRICE]]+(Table2[[#This Row],[SELL PRICE]]*0.02)))*(Table48[Price]&lt;=(Table2[[#This Row],[SELL PRICE]]+(Table2[[#This Row],[SELL PRICE]]*0.05)))/(SUM(IF((Table48[Bid]=0)*(Table48[StationID]=60003760),Table48[VolRem]))))</f>
        <v>2.4986144047391904E-4</v>
      </c>
      <c r="S37" s="40">
        <f t="array" ref="S37">SUM((Table48[VolRem])*(Table48[StationID]=60003760)*(Table48[Price]&lt;=(Table2[[#This Row],[SELL PRICE]]+(Table2[[#This Row],[SELL PRICE]]*0.02)))*(Table48[Price]&gt;=Table2[[#This Row],[SELL PRICE]]))/(SUM(IF((Table48[Bid]=0)*(Table48[StationID]=60003760),Table48[VolRem])))</f>
        <v>1.1357338203359954E-4</v>
      </c>
      <c r="T37" s="40">
        <f ca="1">SUM(Table2[[#This Row],[2%2]],Table2[[#This Row],[5%2]],Table2[[#This Row],[10%2]])</f>
        <v>1.9549298171145056E-3</v>
      </c>
      <c r="U37" s="29">
        <f t="array" aca="1" ref="U37" ca="1">SUM((Table48[VolRem])*(Table48[StationID]=60003760)*(Table48[Price]&gt;=(Table2[[#This Row],[SELL PRICE]]+(Table2[[#This Row],[SELL PRICE]]*0.05)))*(Table48[Price]&lt;=(Table2[[#This Row],[SELL PRICE]]+(Table2[[#This Row],[SELL PRICE]]*0.1)))/Table2[[#This Row],[AVG VOL.]])</f>
        <v>8.688576964953358E-4</v>
      </c>
      <c r="V37" s="29">
        <f t="array" aca="1" ref="V37" ca="1">SUM((Table48[VolRem])*(Table48[StationID]=60003760)*(Table48[Price]&gt;=(Table2[[#This Row],[SELL PRICE]]+(Table2[[#This Row],[SELL PRICE]]*0.02)))*(Table48[Price]&lt;=(Table2[[#This Row],[SELL PRICE]]+(Table2[[#This Row],[SELL PRICE]]*0.05)))/Table2[[#This Row],[AVG VOL.]])</f>
        <v>7.4667458292567909E-4</v>
      </c>
      <c r="W37" s="45">
        <f t="array" aca="1" ref="W37" ca="1">SUM((Table48[VolRem])*(Table48[StationID]=60003760)*(Table48[Price]&lt;=(Table2[[#This Row],[SELL PRICE]]+(Table2[[#This Row],[SELL PRICE]]*0.02)))*(Table48[Price]&gt;=Table2[[#This Row],[SELL PRICE]]))/Table2[[#This Row],[AVG VOL.]]</f>
        <v>3.3939753769349055E-4</v>
      </c>
      <c r="X37" s="27">
        <f t="array" aca="1" ref="X37" ca="1">AVERAGE(OFFSET(Table98[volume],COUNTA(Table98[volume])-30,):OFFSET(Table98[volume],COUNTA(Table98[volume]),))</f>
        <v>73659.933333333334</v>
      </c>
      <c r="Y37" s="21">
        <f ca="1">Table2[[#This Row],[sum2]]-Table2[[#This Row],[sum]]</f>
        <v>0.9324472191575881</v>
      </c>
      <c r="Z37" s="45">
        <f t="array" aca="1" ref="Z37" ca="1">SUM((Table48[VolRem])*(Table48[StationID]=60003760)*(Table48[Price]&gt;=(Table2[[#This Row],[BUY PRICE]]-(Table2[[#This Row],[BUY PRICE]]*0.02)))*(Table48[Price]&lt;=Table2[[#This Row],[BUY PRICE]]))/Table2[[#This Row],[AVG VOL.]]</f>
        <v>0.92236032433733761</v>
      </c>
      <c r="AA37" s="21">
        <f t="array" aca="1" ref="AA37" ca="1">SUM((Table48[VolRem])*(Table48[StationID]=60003760)*(Table48[Price]&lt;=(Table2[[#This Row],[BUY PRICE]]-(Table2[[#This Row],[BUY PRICE]]*0.02)))*(Table48[Price]&gt;=(Table2[[#This Row],[BUY PRICE]]-(Table2[[#This Row],[BUY PRICE]]*0.05))))/Table2[[#This Row],[AVG VOL.]]</f>
        <v>1.2041824637365044E-2</v>
      </c>
      <c r="AB37" s="21">
        <f t="array" aca="1" ref="AB37" ca="1">SUM((Table48[VolRem])*(Table48[StationID]=60003760)*(Table48[Price]&lt;=(Table2[[#This Row],[BUY PRICE]]-(Table2[[#This Row],[BUY PRICE]]*0.05)))*(Table48[Price]&gt;=(Table2[[#This Row],[BUY PRICE]]-(Table2[[#This Row],[BUY PRICE]]*0.1))))/Table2[[#This Row],[AVG VOL.]]</f>
        <v>0</v>
      </c>
      <c r="AC37" s="21">
        <f ca="1">SUM(Table2[[#This Row],[10.00%]],Table2[[#This Row],[5.00%]],Table2[[#This Row],[2.00%]])</f>
        <v>0.93440214897470264</v>
      </c>
      <c r="AD37" s="3">
        <f t="array" aca="1" ref="AD37" ca="1">(((SUM(IF((Table48[Bid]=0)*(Table48[StationID]=60003760),Table48[VolEnt])))-(SUM(IF((Table48[Bid]=0)*(Table48[StationID]=60003760),Table48[VolRem]))))/Table2[[#This Row],[AVG VOL.]])</f>
        <v>0.82978625195606115</v>
      </c>
      <c r="AE37" s="3">
        <f t="array" aca="1" ref="AE37" ca="1">SUM(IF((Table48[Bid]=0)*(Table48[StationID]=60003760),Table48[VolRem]))/Table2[[#This Row],[AVG VOL.]]</f>
        <v>2.9883545916866607</v>
      </c>
      <c r="AF37" s="3">
        <f t="array" aca="1" ref="AF37" ca="1">(((SUM(IF((Table48[Bid]=1)*(Table48[StationID]=60003760),Table48[VolEnt])))-(SUM(IF((Table48[Bid]=1)*(Table48[StationID]=60003760),Table48[VolRem]))))/Table2[[#This Row],[AVG VOL.]])</f>
        <v>0.26732307658890087</v>
      </c>
      <c r="AG37" s="27">
        <f t="array" aca="1" ref="AG37" ca="1">Table2[[#This Row],[AVG VOL.]]*Table2[[#This Row],[BUY PRICE]]</f>
        <v>4624536349.5166664</v>
      </c>
      <c r="AH37" s="28">
        <f ca="1">((E37-M37)*X37)-(Table2[[#This Row],[EXPENSE]]*0.0092)</f>
        <v>309677651.80111337</v>
      </c>
      <c r="AI37" s="2"/>
      <c r="AJ37" s="2"/>
      <c r="AM37"/>
      <c r="AO37" s="37"/>
      <c r="AP37" s="37"/>
    </row>
    <row r="38" spans="1:42" x14ac:dyDescent="0.55000000000000004">
      <c r="A38" s="1">
        <v>17317</v>
      </c>
      <c r="B38" s="2" t="s">
        <v>49</v>
      </c>
      <c r="C38" s="21">
        <f t="array" aca="1" ref="C38" ca="1">((Table2[[#This Row],[SELL PRICE]])/AVERAGE(OFFSET(Table79[avgPrice],COUNTA(Table79[avgPrice])-5,):OFFSET(Table79[avgPrice],COUNTA(Table79[avgPrice]),)))-1</f>
        <v>0.3273781169271357</v>
      </c>
      <c r="D38" s="21">
        <f t="array" aca="1" ref="D38" ca="1">((Table2[[#This Row],[SELL PRICE]])/AVERAGE(OFFSET(Table79[avgPrice],COUNTA(Table79[avgPrice])-1,):OFFSET(Table79[avgPrice],COUNTA(Table79[avgPrice]),)))-1</f>
        <v>0.30628127112914116</v>
      </c>
      <c r="E38" s="32">
        <f t="array" ref="E38">MIN(IF((Table52[Bid]=0)*(Table52[StationID]=60003760),Table52[Price]))</f>
        <v>28979.85</v>
      </c>
      <c r="F38" s="29" t="e">
        <f>((Table2[[#This Row],[MYS]]/Table2[[#This Row],[SELL PRICE]])-1)</f>
        <v>#N/A</v>
      </c>
      <c r="G38" s="2" t="e">
        <f t="array" ref="G38">INDEX(Table0[price], MATCH(MIN(IF((Table0[bid]=0)*(Table0[typeID]=17317)*(Table0[volRemaining]&gt;0),Table0[price])), Table0[price], 0))</f>
        <v>#N/A</v>
      </c>
      <c r="H38" s="6">
        <f t="array" ref="H38">INDEX(Table52[OrderID], MATCH(MIN(IF((Table52[Bid]=0)*(Table52[StationID]=60003760),Table52[Price])), Table52[Price], 0))</f>
        <v>2876141387</v>
      </c>
      <c r="I38" s="25">
        <f>(E38/M38)-1</f>
        <v>4.5409158235651725E-2</v>
      </c>
      <c r="J38" s="6">
        <f t="array" ref="J38">INDEX(Table52[OrderID], MATCH(MAX(IF((Table52[Bid]=1)*(Table52[StationID]=60003760),Table52[Price])), Table52[Price], 0))</f>
        <v>2878966387</v>
      </c>
      <c r="K38" s="2" t="e">
        <f t="array" ref="K38">INDEX(Table0[price], MATCH(MAX(IF((Table0[bid]=1)*(Table0[typeID]=17317)*(Table0[volRemaining]&gt;0),Table0[price])), Table0[price], 0))</f>
        <v>#N/A</v>
      </c>
      <c r="L38" s="21" t="e">
        <f>((Table2[[#This Row],[MY2]]/Table2[[#This Row],[BUY PRICE]])-1)</f>
        <v>#N/A</v>
      </c>
      <c r="M38" s="32">
        <f t="array" ref="M38">MAX(IF((Table52[Bid]=1)*(Table52[StationID]=60003760),Table52[Price]))</f>
        <v>27721.06</v>
      </c>
      <c r="N38" s="21">
        <f t="array" aca="1" ref="N38" ca="1">((Table2[[#This Row],[BUY PRICE]])/AVERAGE(OFFSET(Table79[avgPrice],COUNTA(Table79[avgPrice])-1,):OFFSET(Table79[avgPrice],COUNTA(Table79[avgPrice]),)))-1</f>
        <v>0.24954068064007218</v>
      </c>
      <c r="O38" s="21">
        <f t="array" aca="1" ref="O38" ca="1">((Table2[[#This Row],[BUY PRICE]])/AVERAGE(OFFSET(Table79[avgPrice],COUNTA(Table79[avgPrice])-5,):OFFSET(Table79[avgPrice],COUNTA(Table79[avgPrice]),)))-1</f>
        <v>0.26972114838496908</v>
      </c>
      <c r="P38" s="40">
        <f t="array" ref="P38">SUM(Table2[[#This Row],[10%]:[2%]])</f>
        <v>0.94767872422269839</v>
      </c>
      <c r="Q38" s="40">
        <f t="array" ref="Q38">SUM((Table52[VolRem])*(Table52[StationID]=60003760)*(Table52[Price]&gt;=(Table2[[#This Row],[SELL PRICE]]+(Table2[[#This Row],[SELL PRICE]]*0.05)))*(Table52[Price]&lt;=(Table2[[#This Row],[SELL PRICE]]+(Table2[[#This Row],[SELL PRICE]]*0.1)))/(SUM(IF((Table52[Bid]=0)*(Table52[StationID]=60003760),Table52[VolRem]))))</f>
        <v>0.36328240297249459</v>
      </c>
      <c r="R38" s="40">
        <f t="array" ref="R38">SUM((Table52[VolRem])*(Table52[StationID]=60003760)*(Table52[Price]&gt;=(Table2[[#This Row],[SELL PRICE]]+(Table2[[#This Row],[SELL PRICE]]*0.02)))*(Table52[Price]&lt;=(Table2[[#This Row],[SELL PRICE]]+(Table2[[#This Row],[SELL PRICE]]*0.05)))/(SUM(IF((Table52[Bid]=0)*(Table52[StationID]=60003760),Table52[VolRem]))))</f>
        <v>2.1357079760589297E-2</v>
      </c>
      <c r="S38" s="40">
        <f t="array" ref="S38">SUM((Table52[VolRem])*(Table52[StationID]=60003760)*(Table52[Price]&lt;=(Table2[[#This Row],[SELL PRICE]]+(Table2[[#This Row],[SELL PRICE]]*0.02)))*(Table52[Price]&gt;=Table2[[#This Row],[SELL PRICE]]))/(SUM(IF((Table52[Bid]=0)*(Table52[StationID]=60003760),Table52[VolRem])))</f>
        <v>0.56303924148961448</v>
      </c>
      <c r="T38" s="40">
        <f ca="1">SUM(Table2[[#This Row],[2%2]],Table2[[#This Row],[5%2]],Table2[[#This Row],[10%2]])</f>
        <v>3.2876129486339698</v>
      </c>
      <c r="U38" s="29">
        <f t="array" aca="1" ref="U38" ca="1">SUM((Table52[VolRem])*(Table52[StationID]=60003760)*(Table52[Price]&gt;=(Table2[[#This Row],[SELL PRICE]]+(Table2[[#This Row],[SELL PRICE]]*0.05)))*(Table52[Price]&lt;=(Table2[[#This Row],[SELL PRICE]]+(Table2[[#This Row],[SELL PRICE]]*0.1)))/Table2[[#This Row],[AVG VOL.]])</f>
        <v>1.2602709140725381</v>
      </c>
      <c r="V38" s="29">
        <f t="array" aca="1" ref="V38" ca="1">SUM((Table52[VolRem])*(Table52[StationID]=60003760)*(Table52[Price]&gt;=(Table2[[#This Row],[SELL PRICE]]+(Table2[[#This Row],[SELL PRICE]]*0.02)))*(Table52[Price]&lt;=(Table2[[#This Row],[SELL PRICE]]+(Table2[[#This Row],[SELL PRICE]]*0.05)))/Table2[[#This Row],[AVG VOL.]])</f>
        <v>7.409031159110635E-2</v>
      </c>
      <c r="W38" s="45">
        <f t="array" aca="1" ref="W38" ca="1">SUM((Table52[VolRem])*(Table52[StationID]=60003760)*(Table52[Price]&lt;=(Table2[[#This Row],[SELL PRICE]]+(Table2[[#This Row],[SELL PRICE]]*0.02)))*(Table52[Price]&gt;=Table2[[#This Row],[SELL PRICE]]))/Table2[[#This Row],[AVG VOL.]]</f>
        <v>1.9532517229703255</v>
      </c>
      <c r="X38" s="27">
        <f t="array" aca="1" ref="X38" ca="1">AVERAGE(OFFSET(Table79[volume],COUNTA(Table79[volume])-30,):OFFSET(Table79[volume],COUNTA(Table79[volume]),))</f>
        <v>270521.2</v>
      </c>
      <c r="Y38" s="21">
        <f ca="1">Table2[[#This Row],[sum2]]-Table2[[#This Row],[sum]]</f>
        <v>-2.5935231693486496</v>
      </c>
      <c r="Z38" s="45">
        <f t="array" aca="1" ref="Z38" ca="1">SUM((Table52[VolRem])*(Table52[StationID]=60003760)*(Table52[Price]&gt;=(Table2[[#This Row],[BUY PRICE]]-(Table2[[#This Row],[BUY PRICE]]*0.02)))*(Table52[Price]&lt;=Table2[[#This Row],[BUY PRICE]]))/Table2[[#This Row],[AVG VOL.]]</f>
        <v>0.57389217554853367</v>
      </c>
      <c r="AA38" s="21">
        <f t="array" aca="1" ref="AA38" ca="1">SUM((Table52[VolRem])*(Table52[StationID]=60003760)*(Table52[Price]&lt;=(Table2[[#This Row],[BUY PRICE]]-(Table2[[#This Row],[BUY PRICE]]*0.02)))*(Table52[Price]&gt;=(Table2[[#This Row],[BUY PRICE]]-(Table2[[#This Row],[BUY PRICE]]*0.05))))/Table2[[#This Row],[AVG VOL.]]</f>
        <v>3.3269111626001955E-4</v>
      </c>
      <c r="AB38" s="21">
        <f t="array" aca="1" ref="AB38" ca="1">SUM((Table52[VolRem])*(Table52[StationID]=60003760)*(Table52[Price]&lt;=(Table2[[#This Row],[BUY PRICE]]-(Table2[[#This Row],[BUY PRICE]]*0.05)))*(Table52[Price]&gt;=(Table2[[#This Row],[BUY PRICE]]-(Table2[[#This Row],[BUY PRICE]]*0.1))))/Table2[[#This Row],[AVG VOL.]]</f>
        <v>0.11986491262052659</v>
      </c>
      <c r="AC38" s="21">
        <f ca="1">SUM(Table2[[#This Row],[10.00%]],Table2[[#This Row],[5.00%]],Table2[[#This Row],[2.00%]])</f>
        <v>0.69408977928532023</v>
      </c>
      <c r="AD38" s="3">
        <f t="array" aca="1" ref="AD38" ca="1">(((SUM(IF((Table52[Bid]=0)*(Table52[StationID]=60003760),Table52[VolEnt])))-(SUM(IF((Table52[Bid]=0)*(Table52[StationID]=60003760),Table52[VolRem]))))/Table2[[#This Row],[AVG VOL.]])</f>
        <v>1.2131951211217458</v>
      </c>
      <c r="AE38" s="3">
        <f t="array" aca="1" ref="AE38" ca="1">SUM(IF((Table52[Bid]=0)*(Table52[StationID]=60003760),Table52[VolRem]))/Table2[[#This Row],[AVG VOL.]]</f>
        <v>3.46912182852952</v>
      </c>
      <c r="AF38" s="3">
        <f t="array" aca="1" ref="AF38" ca="1">(((SUM(IF((Table52[Bid]=1)*(Table52[StationID]=60003760),Table52[VolEnt])))-(SUM(IF((Table52[Bid]=1)*(Table52[StationID]=60003760),Table52[VolRem]))))/Table2[[#This Row],[AVG VOL.]])</f>
        <v>0.19722668685485648</v>
      </c>
      <c r="AG38" s="27">
        <f t="array" aca="1" ref="AG38" ca="1">Table2[[#This Row],[AVG VOL.]]*Table2[[#This Row],[BUY PRICE]]</f>
        <v>7499134416.4720011</v>
      </c>
      <c r="AH38" s="28">
        <f ca="1">((E38-M38)*X38)-(Table2[[#This Row],[EXPENSE]]*0.0092)</f>
        <v>271537344.71645689</v>
      </c>
      <c r="AI38" s="2"/>
      <c r="AJ38" s="2"/>
      <c r="AM38"/>
      <c r="AO38" s="37"/>
      <c r="AP38" s="37"/>
    </row>
    <row r="39" spans="1:42" x14ac:dyDescent="0.55000000000000004">
      <c r="A39" s="1">
        <v>25622</v>
      </c>
      <c r="B39" s="2" t="s">
        <v>47</v>
      </c>
      <c r="C39" s="21">
        <f t="array" aca="1" ref="C39" ca="1">((Table2[[#This Row],[SELL PRICE]])/AVERAGE(OFFSET(Table82[avgPrice],COUNTA(Table82[avgPrice])-5,):OFFSET(Table82[avgPrice],COUNTA(Table82[avgPrice]),)))-1</f>
        <v>-0.27871065201311263</v>
      </c>
      <c r="D39" s="21">
        <f t="array" aca="1" ref="D39" ca="1">((Table2[[#This Row],[SELL PRICE]])/AVERAGE(OFFSET(Table82[avgPrice],COUNTA(Table82[avgPrice])-1,):OFFSET(Table82[avgPrice],COUNTA(Table82[avgPrice]),)))-1</f>
        <v>-0.15299468727681553</v>
      </c>
      <c r="E39" s="32">
        <f t="array" ref="E39">MIN(IF((Table50[Bid]=0)*(Table50[StationID]=60003760),Table50[Price]))</f>
        <v>14400000</v>
      </c>
      <c r="F39" s="29" t="e">
        <f>((Table2[[#This Row],[MYS]]/Table2[[#This Row],[SELL PRICE]])-1)</f>
        <v>#N/A</v>
      </c>
      <c r="G39" s="2" t="e">
        <f t="array" ref="G39">INDEX(Table0[price], MATCH(MIN(IF((Table0[bid]=0)*(Table0[typeID]=25622)*(Table0[volRemaining]&gt;0),Table0[price])), Table0[price], 0))</f>
        <v>#N/A</v>
      </c>
      <c r="H39" s="6">
        <f t="array" ref="H39">INDEX(Table50[OrderID], MATCH(MIN(IF((Table50[Bid]=0)*(Table50[StationID]=60003760),Table50[Price])), Table50[Price], 0))</f>
        <v>2879016389</v>
      </c>
      <c r="I39" s="25">
        <f>(E39/M39)-1</f>
        <v>4.3478172400763571E-2</v>
      </c>
      <c r="J39" s="6">
        <f t="array" ref="J39">INDEX(Table50[OrderID], MATCH(MAX(IF((Table50[Bid]=1)*(Table50[StationID]=60003760),Table50[Price])), Table50[Price], 0))</f>
        <v>2879074004</v>
      </c>
      <c r="K39" s="2" t="e">
        <f t="array" ref="K39">INDEX(Table0[price], MATCH(MAX(IF((Table0[bid]=1)*(Table0[typeID]=25622)*(Table0[volRemaining]&gt;0),Table0[price])), Table0[price], 0))</f>
        <v>#N/A</v>
      </c>
      <c r="L39" s="21" t="e">
        <f>((Table2[[#This Row],[MY2]]/Table2[[#This Row],[BUY PRICE]])-1)</f>
        <v>#N/A</v>
      </c>
      <c r="M39" s="32">
        <f t="array" ref="M39">MAX(IF((Table50[Bid]=1)*(Table50[StationID]=60003760),Table50[Price]))</f>
        <v>13800001.17</v>
      </c>
      <c r="N39" s="21">
        <f t="array" aca="1" ref="N39" ca="1">((Table2[[#This Row],[BUY PRICE]])/AVERAGE(OFFSET(Table82[avgPrice],COUNTA(Table82[avgPrice])-1,):OFFSET(Table82[avgPrice],COUNTA(Table82[avgPrice]),)))-1</f>
        <v>-0.18828650648776657</v>
      </c>
      <c r="O39" s="21">
        <f t="array" aca="1" ref="O39" ca="1">((Table2[[#This Row],[BUY PRICE]])/AVERAGE(OFFSET(Table82[avgPrice],COUNTA(Table82[avgPrice])-5,):OFFSET(Table82[avgPrice],COUNTA(Table82[avgPrice]),)))-1</f>
        <v>-0.30876431624114009</v>
      </c>
      <c r="P39" s="40">
        <f t="array" ref="P39">SUM(Table2[[#This Row],[10%]:[2%]])</f>
        <v>0.55764075067024121</v>
      </c>
      <c r="Q39" s="40">
        <f t="array" ref="Q39">SUM((Table50[VolRem])*(Table50[StationID]=60003760)*(Table50[Price]&gt;=(Table2[[#This Row],[SELL PRICE]]+(Table2[[#This Row],[SELL PRICE]]*0.05)))*(Table50[Price]&lt;=(Table2[[#This Row],[SELL PRICE]]+(Table2[[#This Row],[SELL PRICE]]*0.1)))/(SUM(IF((Table50[Bid]=0)*(Table50[StationID]=60003760),Table50[VolRem]))))</f>
        <v>0.32707774798927614</v>
      </c>
      <c r="R39" s="40">
        <f t="array" ref="R39">SUM((Table50[VolRem])*(Table50[StationID]=60003760)*(Table50[Price]&gt;=(Table2[[#This Row],[SELL PRICE]]+(Table2[[#This Row],[SELL PRICE]]*0.02)))*(Table50[Price]&lt;=(Table2[[#This Row],[SELL PRICE]]+(Table2[[#This Row],[SELL PRICE]]*0.05)))/(SUM(IF((Table50[Bid]=0)*(Table50[StationID]=60003760),Table50[VolRem]))))</f>
        <v>8.2439678284182305E-2</v>
      </c>
      <c r="S39" s="40">
        <f t="array" ref="S39">SUM((Table50[VolRem])*(Table50[StationID]=60003760)*(Table50[Price]&lt;=(Table2[[#This Row],[SELL PRICE]]+(Table2[[#This Row],[SELL PRICE]]*0.02)))*(Table50[Price]&gt;=Table2[[#This Row],[SELL PRICE]]))/(SUM(IF((Table50[Bid]=0)*(Table50[StationID]=60003760),Table50[VolRem])))</f>
        <v>0.14812332439678283</v>
      </c>
      <c r="T39" s="40">
        <f ca="1">SUM(Table2[[#This Row],[2%2]],Table2[[#This Row],[5%2]],Table2[[#This Row],[10%2]])</f>
        <v>1.523065657798389</v>
      </c>
      <c r="U39" s="29">
        <f t="array" aca="1" ref="U39" ca="1">SUM((Table50[VolRem])*(Table50[StationID]=60003760)*(Table50[Price]&gt;=(Table2[[#This Row],[SELL PRICE]]+(Table2[[#This Row],[SELL PRICE]]*0.05)))*(Table50[Price]&lt;=(Table2[[#This Row],[SELL PRICE]]+(Table2[[#This Row],[SELL PRICE]]*0.1)))/Table2[[#This Row],[AVG VOL.]])</f>
        <v>0.89333658774713209</v>
      </c>
      <c r="V39" s="29">
        <f t="array" aca="1" ref="V39" ca="1">SUM((Table50[VolRem])*(Table50[StationID]=60003760)*(Table50[Price]&gt;=(Table2[[#This Row],[SELL PRICE]]+(Table2[[#This Row],[SELL PRICE]]*0.02)))*(Table50[Price]&lt;=(Table2[[#This Row],[SELL PRICE]]+(Table2[[#This Row],[SELL PRICE]]*0.05)))/Table2[[#This Row],[AVG VOL.]])</f>
        <v>0.22516475469855993</v>
      </c>
      <c r="W39" s="45">
        <f t="array" aca="1" ref="W39" ca="1">SUM((Table50[VolRem])*(Table50[StationID]=60003760)*(Table50[Price]&lt;=(Table2[[#This Row],[SELL PRICE]]+(Table2[[#This Row],[SELL PRICE]]*0.02)))*(Table50[Price]&gt;=Table2[[#This Row],[SELL PRICE]]))/Table2[[#This Row],[AVG VOL.]]</f>
        <v>0.4045643153526971</v>
      </c>
      <c r="X39" s="27">
        <f t="array" aca="1" ref="X39" ca="1">AVERAGE(OFFSET(Table82[volume],COUNTA(Table82[volume])-30,):OFFSET(Table82[volume],COUNTA(Table82[volume]),))</f>
        <v>546.26666666666665</v>
      </c>
      <c r="Y39" s="21">
        <f ca="1">Table2[[#This Row],[sum2]]-Table2[[#This Row],[sum]]</f>
        <v>-0.18123016841591388</v>
      </c>
      <c r="Z39" s="45">
        <f t="array" aca="1" ref="Z39" ca="1">SUM((Table50[VolRem])*(Table50[StationID]=60003760)*(Table50[Price]&gt;=(Table2[[#This Row],[BUY PRICE]]-(Table2[[#This Row],[BUY PRICE]]*0.02)))*(Table50[Price]&lt;=Table2[[#This Row],[BUY PRICE]]))/Table2[[#This Row],[AVG VOL.]]</f>
        <v>0.37161337564071273</v>
      </c>
      <c r="AA39" s="21">
        <f t="array" aca="1" ref="AA39" ca="1">SUM((Table50[VolRem])*(Table50[StationID]=60003760)*(Table50[Price]&lt;=(Table2[[#This Row],[BUY PRICE]]-(Table2[[#This Row],[BUY PRICE]]*0.02)))*(Table50[Price]&gt;=(Table2[[#This Row],[BUY PRICE]]-(Table2[[#This Row],[BUY PRICE]]*0.05))))/Table2[[#This Row],[AVG VOL.]]</f>
        <v>0.97022211374176226</v>
      </c>
      <c r="AB39" s="21">
        <f t="array" aca="1" ref="AB39" ca="1">SUM((Table50[VolRem])*(Table50[StationID]=60003760)*(Table50[Price]&lt;=(Table2[[#This Row],[BUY PRICE]]-(Table2[[#This Row],[BUY PRICE]]*0.05)))*(Table50[Price]&gt;=(Table2[[#This Row],[BUY PRICE]]-(Table2[[#This Row],[BUY PRICE]]*0.1))))/Table2[[#This Row],[AVG VOL.]]</f>
        <v>0</v>
      </c>
      <c r="AC39" s="21">
        <f ca="1">SUM(Table2[[#This Row],[10.00%]],Table2[[#This Row],[5.00%]],Table2[[#This Row],[2.00%]])</f>
        <v>1.3418354893824751</v>
      </c>
      <c r="AD39" s="3">
        <f t="array" aca="1" ref="AD39" ca="1">(((SUM(IF((Table50[Bid]=0)*(Table50[StationID]=60003760),Table50[VolEnt])))-(SUM(IF((Table50[Bid]=0)*(Table50[StationID]=60003760),Table50[VolRem]))))/Table2[[#This Row],[AVG VOL.]])</f>
        <v>0.6315596778130339</v>
      </c>
      <c r="AE39" s="3">
        <f t="array" aca="1" ref="AE39" ca="1">SUM(IF((Table50[Bid]=0)*(Table50[StationID]=60003760),Table50[VolRem]))/Table2[[#This Row],[AVG VOL.]]</f>
        <v>2.7312667805711497</v>
      </c>
      <c r="AF39" s="3">
        <f t="array" aca="1" ref="AF39" ca="1">(((SUM(IF((Table50[Bid]=1)*(Table50[StationID]=60003760),Table50[VolEnt])))-(SUM(IF((Table50[Bid]=1)*(Table50[StationID]=60003760),Table50[VolRem]))))/Table2[[#This Row],[AVG VOL.]])</f>
        <v>0.47595801806199661</v>
      </c>
      <c r="AG39" s="27">
        <f t="array" aca="1" ref="AG39" ca="1">Table2[[#This Row],[AVG VOL.]]*Table2[[#This Row],[BUY PRICE]]</f>
        <v>7538480639.132</v>
      </c>
      <c r="AH39" s="28">
        <f ca="1">((E39-M39)*X39)-(Table2[[#This Row],[EXPENSE]]*0.0092)</f>
        <v>258405338.98798561</v>
      </c>
      <c r="AI39" s="2"/>
      <c r="AJ39" s="2"/>
      <c r="AM39"/>
      <c r="AO39" s="37"/>
      <c r="AP39" s="37"/>
    </row>
    <row r="40" spans="1:42" x14ac:dyDescent="0.55000000000000004">
      <c r="A40" s="1">
        <v>44</v>
      </c>
      <c r="B40" s="2" t="s">
        <v>18</v>
      </c>
      <c r="C40" s="21">
        <f t="array" aca="1" ref="C40" ca="1">((Table2[[#This Row],[SELL PRICE]])/AVERAGE(OFFSET(Table68[avgPrice],COUNTA(Table68[avgPrice])-5,):OFFSET(Table68[avgPrice],COUNTA(Table68[avgPrice]),)))-1</f>
        <v>0.23193101569947272</v>
      </c>
      <c r="D40" s="21">
        <f t="array" aca="1" ref="D40" ca="1">((Table2[[#This Row],[SELL PRICE]])/AVERAGE(OFFSET(Table68[avgPrice],COUNTA(Table68[avgPrice])-1,):OFFSET(Table68[avgPrice],COUNTA(Table68[avgPrice]),)))-1</f>
        <v>0.23296242211838014</v>
      </c>
      <c r="E40" s="32">
        <f t="array" ref="E40">MIN(IF((Table30[Bid]=0)*(Table30[StationID]=60003760),Table30[Price]))</f>
        <v>12664.99</v>
      </c>
      <c r="F40" s="29" t="e">
        <f>((Table2[[#This Row],[MYS]]/Table2[[#This Row],[SELL PRICE]])-1)</f>
        <v>#N/A</v>
      </c>
      <c r="G40" s="2" t="e">
        <f t="array" ref="G40">INDEX(Table0[price], MATCH(MIN(IF((Table0[bid]=0)*(Table0[typeID]=44)*(Table0[volRemaining]&gt;0),Table0[price])), Table0[price], 0))</f>
        <v>#N/A</v>
      </c>
      <c r="H40" s="6">
        <f t="array" ref="H40">INDEX(Table30[OrderID], MATCH(MIN(IF((Table30[Bid]=0)*(Table30[StationID]=60003760),Table30[Price])), Table30[Price], 0))</f>
        <v>2878580612</v>
      </c>
      <c r="I40" s="25">
        <f>(E40/M40)-1</f>
        <v>2.5034660200539571E-2</v>
      </c>
      <c r="J40" s="6">
        <f t="array" ref="J40">INDEX(Table30[OrderID], MATCH(MAX(IF((Table30[Bid]=1)*(Table30[StationID]=60003760),Table30[Price])), Table30[Price], 0))</f>
        <v>2878683804</v>
      </c>
      <c r="K40" s="2" t="e">
        <f t="array" ref="K40">INDEX(Table0[price], MATCH(MAX(IF((Table0[bid]=1)*(Table0[typeID]=44)*(Table0[volRemaining]&gt;0),Table0[price])), Table0[price], 0))</f>
        <v>#N/A</v>
      </c>
      <c r="L40" s="21" t="e">
        <f>((Table2[[#This Row],[MY2]]/Table2[[#This Row],[BUY PRICE]])-1)</f>
        <v>#N/A</v>
      </c>
      <c r="M40" s="32">
        <f t="array" ref="M40">MAX(IF((Table30[Bid]=1)*(Table30[StationID]=60003760),Table30[Price]))</f>
        <v>12355.67</v>
      </c>
      <c r="N40" s="21">
        <f t="array" aca="1" ref="N40" ca="1">((Table2[[#This Row],[BUY PRICE]])/AVERAGE(OFFSET(Table68[avgPrice],COUNTA(Table68[avgPrice])-1,):OFFSET(Table68[avgPrice],COUNTA(Table68[avgPrice]),)))-1</f>
        <v>0.20284949376947048</v>
      </c>
      <c r="O40" s="21">
        <f t="array" aca="1" ref="O40" ca="1">((Table2[[#This Row],[BUY PRICE]])/AVERAGE(OFFSET(Table68[avgPrice],COUNTA(Table68[avgPrice])-5,):OFFSET(Table68[avgPrice],COUNTA(Table68[avgPrice]),)))-1</f>
        <v>0.20184327762971033</v>
      </c>
      <c r="P40" s="40">
        <f t="array" ref="P40">SUM(Table2[[#This Row],[10%]:[2%]])</f>
        <v>0.55739103261245648</v>
      </c>
      <c r="Q40" s="40">
        <f t="array" ref="Q40">SUM((Table30[VolRem])*(Table30[StationID]=60003760)*(Table30[Price]&gt;=(Table2[[#This Row],[SELL PRICE]]+(Table2[[#This Row],[SELL PRICE]]*0.05)))*(Table30[Price]&lt;=(Table2[[#This Row],[SELL PRICE]]+(Table2[[#This Row],[SELL PRICE]]*0.1)))/(SUM(IF((Table30[Bid]=0)*(Table30[StationID]=60003760),Table30[VolRem]))))</f>
        <v>0.17625193124512406</v>
      </c>
      <c r="R40" s="40">
        <f t="array" ref="R40">SUM((Table30[VolRem])*(Table30[StationID]=60003760)*(Table30[Price]&gt;=(Table2[[#This Row],[SELL PRICE]]+(Table2[[#This Row],[SELL PRICE]]*0.02)))*(Table30[Price]&lt;=(Table2[[#This Row],[SELL PRICE]]+(Table2[[#This Row],[SELL PRICE]]*0.05)))/(SUM(IF((Table30[Bid]=0)*(Table30[StationID]=60003760),Table30[VolRem]))))</f>
        <v>0.13301462173818981</v>
      </c>
      <c r="S40" s="40">
        <f t="array" ref="S40">SUM((Table30[VolRem])*(Table30[StationID]=60003760)*(Table30[Price]&lt;=(Table2[[#This Row],[SELL PRICE]]+(Table2[[#This Row],[SELL PRICE]]*0.02)))*(Table30[Price]&gt;=Table2[[#This Row],[SELL PRICE]]))/(SUM(IF((Table30[Bid]=0)*(Table30[StationID]=60003760),Table30[VolRem])))</f>
        <v>0.24812447962914266</v>
      </c>
      <c r="T40" s="40">
        <f ca="1">SUM(Table2[[#This Row],[2%2]],Table2[[#This Row],[5%2]],Table2[[#This Row],[10%2]])</f>
        <v>0.60620543853653264</v>
      </c>
      <c r="U40" s="29">
        <f t="array" aca="1" ref="U40" ca="1">SUM((Table30[VolRem])*(Table30[StationID]=60003760)*(Table30[Price]&gt;=(Table2[[#This Row],[SELL PRICE]]+(Table2[[#This Row],[SELL PRICE]]*0.05)))*(Table30[Price]&lt;=(Table2[[#This Row],[SELL PRICE]]+(Table2[[#This Row],[SELL PRICE]]*0.1)))/Table2[[#This Row],[AVG VOL.]])</f>
        <v>0.19168747436173497</v>
      </c>
      <c r="V40" s="29">
        <f t="array" aca="1" ref="V40" ca="1">SUM((Table30[VolRem])*(Table30[StationID]=60003760)*(Table30[Price]&gt;=(Table2[[#This Row],[SELL PRICE]]+(Table2[[#This Row],[SELL PRICE]]*0.02)))*(Table30[Price]&lt;=(Table2[[#This Row],[SELL PRICE]]+(Table2[[#This Row],[SELL PRICE]]*0.05)))/Table2[[#This Row],[AVG VOL.]])</f>
        <v>0.1446635887280838</v>
      </c>
      <c r="W40" s="45">
        <f t="array" aca="1" ref="W40" ca="1">SUM((Table30[VolRem])*(Table30[StationID]=60003760)*(Table30[Price]&lt;=(Table2[[#This Row],[SELL PRICE]]+(Table2[[#This Row],[SELL PRICE]]*0.02)))*(Table30[Price]&gt;=Table2[[#This Row],[SELL PRICE]]))/Table2[[#This Row],[AVG VOL.]]</f>
        <v>0.26985437544671387</v>
      </c>
      <c r="X40" s="27">
        <f t="array" aca="1" ref="X40" ca="1">AVERAGE(OFFSET(Table68[volume],COUNTA(Table68[volume])-30,):OFFSET(Table68[volume],COUNTA(Table68[volume]),))</f>
        <v>1262273.3999999999</v>
      </c>
      <c r="Y40" s="21">
        <f ca="1">Table2[[#This Row],[sum2]]-Table2[[#This Row],[sum]]</f>
        <v>-0.12746129325073319</v>
      </c>
      <c r="Z40" s="45">
        <f t="array" aca="1" ref="Z40" ca="1">SUM((Table30[VolRem])*(Table30[StationID]=60003760)*(Table30[Price]&gt;=(Table2[[#This Row],[BUY PRICE]]-(Table2[[#This Row],[BUY PRICE]]*0.02)))*(Table30[Price]&lt;=Table2[[#This Row],[BUY PRICE]]))/Table2[[#This Row],[AVG VOL.]]</f>
        <v>0.45855042180243999</v>
      </c>
      <c r="AA40" s="21">
        <f t="array" aca="1" ref="AA40" ca="1">SUM((Table30[VolRem])*(Table30[StationID]=60003760)*(Table30[Price]&lt;=(Table2[[#This Row],[BUY PRICE]]-(Table2[[#This Row],[BUY PRICE]]*0.02)))*(Table30[Price]&gt;=(Table2[[#This Row],[BUY PRICE]]-(Table2[[#This Row],[BUY PRICE]]*0.05))))/Table2[[#This Row],[AVG VOL.]]</f>
        <v>2.0193723483359471E-2</v>
      </c>
      <c r="AB40" s="21">
        <f t="array" aca="1" ref="AB40" ca="1">SUM((Table30[VolRem])*(Table30[StationID]=60003760)*(Table30[Price]&lt;=(Table2[[#This Row],[BUY PRICE]]-(Table2[[#This Row],[BUY PRICE]]*0.05)))*(Table30[Price]&gt;=(Table2[[#This Row],[BUY PRICE]]-(Table2[[#This Row],[BUY PRICE]]*0.1))))/Table2[[#This Row],[AVG VOL.]]</f>
        <v>0</v>
      </c>
      <c r="AC40" s="21">
        <f ca="1">SUM(Table2[[#This Row],[10.00%]],Table2[[#This Row],[5.00%]],Table2[[#This Row],[2.00%]])</f>
        <v>0.47874414528579945</v>
      </c>
      <c r="AD40" s="3">
        <f t="array" aca="1" ref="AD40" ca="1">(((SUM(IF((Table30[Bid]=0)*(Table30[StationID]=60003760),Table30[VolEnt])))-(SUM(IF((Table30[Bid]=0)*(Table30[StationID]=60003760),Table30[VolRem]))))/Table2[[#This Row],[AVG VOL.]])</f>
        <v>0.27283392013172425</v>
      </c>
      <c r="AE40" s="3">
        <f t="array" aca="1" ref="AE40" ca="1">SUM(IF((Table30[Bid]=0)*(Table30[StationID]=60003760),Table30[VolRem]))/Table2[[#This Row],[AVG VOL.]]</f>
        <v>1.0875765899843886</v>
      </c>
      <c r="AF40" s="3">
        <f t="array" aca="1" ref="AF40" ca="1">(((SUM(IF((Table30[Bid]=1)*(Table30[StationID]=60003760),Table30[VolEnt])))-(SUM(IF((Table30[Bid]=1)*(Table30[StationID]=60003760),Table30[VolRem]))))/Table2[[#This Row],[AVG VOL.]])</f>
        <v>0.44601668703467889</v>
      </c>
      <c r="AG40" s="27">
        <f t="array" aca="1" ref="AG40" ca="1">Table2[[#This Row],[AVG VOL.]]*Table2[[#This Row],[BUY PRICE]]</f>
        <v>15596233580.177999</v>
      </c>
      <c r="AH40" s="28">
        <f ca="1">((E40-M40)*X40)-(Table2[[#This Row],[EXPENSE]]*0.0092)</f>
        <v>246961059.15036198</v>
      </c>
      <c r="AI40" s="2"/>
      <c r="AJ40" s="2"/>
      <c r="AM40"/>
      <c r="AO40" s="37"/>
      <c r="AP40" s="37"/>
    </row>
    <row r="41" spans="1:42" x14ac:dyDescent="0.55000000000000004">
      <c r="A41" s="1">
        <v>30311</v>
      </c>
      <c r="B41" s="2" t="s">
        <v>44</v>
      </c>
      <c r="C41" s="21">
        <f t="array" aca="1" ref="C41" ca="1">((Table2[[#This Row],[SELL PRICE]])/AVERAGE(OFFSET(Table77[avgPrice],COUNTA(Table77[avgPrice])-5,):OFFSET(Table77[avgPrice],COUNTA(Table77[avgPrice]),)))-1</f>
        <v>-0.16024886597371157</v>
      </c>
      <c r="D41" s="21">
        <f t="array" aca="1" ref="D41" ca="1">((Table2[[#This Row],[SELL PRICE]])/AVERAGE(OFFSET(Table77[avgPrice],COUNTA(Table77[avgPrice])-1,):OFFSET(Table77[avgPrice],COUNTA(Table77[avgPrice]),)))-1</f>
        <v>-0.15440734840653014</v>
      </c>
      <c r="E41" s="32">
        <f t="array" ref="E41">MIN(IF((Table47[Bid]=0)*(Table47[StationID]=60003760),Table47[Price]))</f>
        <v>3127000.78</v>
      </c>
      <c r="F41" s="29" t="e">
        <f>((Table2[[#This Row],[MYS]]/Table2[[#This Row],[SELL PRICE]])-1)</f>
        <v>#N/A</v>
      </c>
      <c r="G41" s="2" t="e">
        <f t="array" ref="G41">INDEX(Table0[price], MATCH(MIN(IF((Table0[bid]=0)*(Table0[typeID]=30311)*(Table0[volRemaining]&gt;0),Table0[price])), Table0[price], 0))</f>
        <v>#N/A</v>
      </c>
      <c r="H41" s="6">
        <f t="array" ref="H41">INDEX(Table47[OrderID], MATCH(MIN(IF((Table47[Bid]=0)*(Table47[StationID]=60003760),Table47[Price])), Table47[Price], 0))</f>
        <v>2877648737</v>
      </c>
      <c r="I41" s="25">
        <f>(E41/M41)-1</f>
        <v>5.2831020495015535E-2</v>
      </c>
      <c r="J41" s="6">
        <f t="array" ref="J41">INDEX(Table47[OrderID], MATCH(MAX(IF((Table47[Bid]=1)*(Table47[StationID]=60003760),Table47[Price])), Table47[Price], 0))</f>
        <v>2793448391</v>
      </c>
      <c r="K41" s="2" t="e">
        <f t="array" ref="K41">INDEX(Table0[price], MATCH(MAX(IF((Table0[bid]=1)*(Table0[typeID]=30311)*(Table0[volRemaining]&gt;0),Table0[price])), Table0[price], 0))</f>
        <v>#N/A</v>
      </c>
      <c r="L41" s="21" t="e">
        <f>((Table2[[#This Row],[MY2]]/Table2[[#This Row],[BUY PRICE]])-1)</f>
        <v>#N/A</v>
      </c>
      <c r="M41" s="32">
        <f t="array" ref="M41">MAX(IF((Table47[Bid]=1)*(Table47[StationID]=60003760),Table47[Price]))</f>
        <v>2970088</v>
      </c>
      <c r="N41" s="21">
        <f t="array" aca="1" ref="N41" ca="1">((Table2[[#This Row],[BUY PRICE]])/AVERAGE(OFFSET(Table77[avgPrice],COUNTA(Table77[avgPrice])-1,):OFFSET(Table77[avgPrice],COUNTA(Table77[avgPrice]),)))-1</f>
        <v>-0.19683915544595876</v>
      </c>
      <c r="O41" s="21">
        <f t="array" aca="1" ref="O41" ca="1">((Table2[[#This Row],[BUY PRICE]])/AVERAGE(OFFSET(Table77[avgPrice],COUNTA(Table77[avgPrice])-5,):OFFSET(Table77[avgPrice],COUNTA(Table77[avgPrice]),)))-1</f>
        <v>-0.20238754588418395</v>
      </c>
      <c r="P41" s="40">
        <f t="array" ref="P41">SUM(Table2[[#This Row],[10%]:[2%]])</f>
        <v>0.58600291226792867</v>
      </c>
      <c r="Q41" s="40">
        <f t="array" ref="Q41">SUM((Table47[VolRem])*(Table47[StationID]=60003760)*(Table47[Price]&gt;=(Table2[[#This Row],[SELL PRICE]]+(Table2[[#This Row],[SELL PRICE]]*0.05)))*(Table47[Price]&lt;=(Table2[[#This Row],[SELL PRICE]]+(Table2[[#This Row],[SELL PRICE]]*0.1)))/(SUM(IF((Table47[Bid]=0)*(Table47[StationID]=60003760),Table47[VolRem]))))</f>
        <v>0.10493265380414997</v>
      </c>
      <c r="R41" s="40">
        <f t="array" ref="R41">SUM((Table47[VolRem])*(Table47[StationID]=60003760)*(Table47[Price]&gt;=(Table2[[#This Row],[SELL PRICE]]+(Table2[[#This Row],[SELL PRICE]]*0.02)))*(Table47[Price]&lt;=(Table2[[#This Row],[SELL PRICE]]+(Table2[[#This Row],[SELL PRICE]]*0.05)))/(SUM(IF((Table47[Bid]=0)*(Table47[StationID]=60003760),Table47[VolRem]))))</f>
        <v>0</v>
      </c>
      <c r="S41" s="40">
        <f t="array" ref="S41">SUM((Table47[VolRem])*(Table47[StationID]=60003760)*(Table47[Price]&lt;=(Table2[[#This Row],[SELL PRICE]]+(Table2[[#This Row],[SELL PRICE]]*0.02)))*(Table47[Price]&gt;=Table2[[#This Row],[SELL PRICE]]))/(SUM(IF((Table47[Bid]=0)*(Table47[StationID]=60003760),Table47[VolRem])))</f>
        <v>0.48107025846377865</v>
      </c>
      <c r="T41" s="40">
        <f ca="1">SUM(Table2[[#This Row],[2%2]],Table2[[#This Row],[5%2]],Table2[[#This Row],[10%2]])</f>
        <v>3.8153268812956744</v>
      </c>
      <c r="U41" s="29">
        <f t="array" aca="1" ref="U41" ca="1">SUM((Table47[VolRem])*(Table47[StationID]=60003760)*(Table47[Price]&gt;=(Table2[[#This Row],[SELL PRICE]]+(Table2[[#This Row],[SELL PRICE]]*0.05)))*(Table47[Price]&lt;=(Table2[[#This Row],[SELL PRICE]]+(Table2[[#This Row],[SELL PRICE]]*0.1)))/Table2[[#This Row],[AVG VOL.]])</f>
        <v>0.68319178352755294</v>
      </c>
      <c r="V41" s="29">
        <f t="array" aca="1" ref="V41" ca="1">SUM((Table47[VolRem])*(Table47[StationID]=60003760)*(Table47[Price]&gt;=(Table2[[#This Row],[SELL PRICE]]+(Table2[[#This Row],[SELL PRICE]]*0.02)))*(Table47[Price]&lt;=(Table2[[#This Row],[SELL PRICE]]+(Table2[[#This Row],[SELL PRICE]]*0.05)))/Table2[[#This Row],[AVG VOL.]])</f>
        <v>0</v>
      </c>
      <c r="W41" s="45">
        <f t="array" aca="1" ref="W41" ca="1">SUM((Table47[VolRem])*(Table47[StationID]=60003760)*(Table47[Price]&lt;=(Table2[[#This Row],[SELL PRICE]]+(Table2[[#This Row],[SELL PRICE]]*0.02)))*(Table47[Price]&gt;=Table2[[#This Row],[SELL PRICE]]))/Table2[[#This Row],[AVG VOL.]]</f>
        <v>3.1321350977681215</v>
      </c>
      <c r="X41" s="27">
        <f t="array" aca="1" ref="X41" ca="1">AVERAGE(OFFSET(Table77[volume],COUNTA(Table77[volume])-30,):OFFSET(Table77[volume],COUNTA(Table77[volume]),))</f>
        <v>1687.6666666666667</v>
      </c>
      <c r="Y41" s="21">
        <f ca="1">Table2[[#This Row],[sum2]]-Table2[[#This Row],[sum]]</f>
        <v>-3.324708670748568</v>
      </c>
      <c r="Z41" s="45">
        <f t="array" aca="1" ref="Z41" ca="1">SUM((Table47[VolRem])*(Table47[StationID]=60003760)*(Table47[Price]&gt;=(Table2[[#This Row],[BUY PRICE]]-(Table2[[#This Row],[BUY PRICE]]*0.02)))*(Table47[Price]&lt;=Table2[[#This Row],[BUY PRICE]]))/Table2[[#This Row],[AVG VOL.]]</f>
        <v>0.4129962472842188</v>
      </c>
      <c r="AA41" s="21">
        <f t="array" aca="1" ref="AA41" ca="1">SUM((Table47[VolRem])*(Table47[StationID]=60003760)*(Table47[Price]&lt;=(Table2[[#This Row],[BUY PRICE]]-(Table2[[#This Row],[BUY PRICE]]*0.02)))*(Table47[Price]&gt;=(Table2[[#This Row],[BUY PRICE]]-(Table2[[#This Row],[BUY PRICE]]*0.05))))/Table2[[#This Row],[AVG VOL.]]</f>
        <v>0</v>
      </c>
      <c r="AB41" s="21">
        <f t="array" aca="1" ref="AB41" ca="1">SUM((Table47[VolRem])*(Table47[StationID]=60003760)*(Table47[Price]&lt;=(Table2[[#This Row],[BUY PRICE]]-(Table2[[#This Row],[BUY PRICE]]*0.05)))*(Table47[Price]&gt;=(Table2[[#This Row],[BUY PRICE]]-(Table2[[#This Row],[BUY PRICE]]*0.1))))/Table2[[#This Row],[AVG VOL.]]</f>
        <v>7.7621963262887617E-2</v>
      </c>
      <c r="AC41" s="21">
        <f ca="1">SUM(Table2[[#This Row],[10.00%]],Table2[[#This Row],[5.00%]],Table2[[#This Row],[2.00%]])</f>
        <v>0.49061821054710641</v>
      </c>
      <c r="AD41" s="3">
        <f t="array" aca="1" ref="AD41" ca="1">(((SUM(IF((Table47[Bid]=0)*(Table47[StationID]=60003760),Table47[VolEnt])))-(SUM(IF((Table47[Bid]=0)*(Table47[StationID]=60003760),Table47[VolRem]))))/Table2[[#This Row],[AVG VOL.]])</f>
        <v>1.3189808413983803</v>
      </c>
      <c r="AE41" s="3">
        <f t="array" aca="1" ref="AE41" ca="1">SUM(IF((Table47[Bid]=0)*(Table47[StationID]=60003760),Table47[VolRem]))/Table2[[#This Row],[AVG VOL.]]</f>
        <v>6.5107643689512145</v>
      </c>
      <c r="AF41" s="3">
        <f t="array" aca="1" ref="AF41" ca="1">(((SUM(IF((Table47[Bid]=1)*(Table47[StationID]=60003760),Table47[VolEnt])))-(SUM(IF((Table47[Bid]=1)*(Table47[StationID]=60003760),Table47[VolRem]))))/Table2[[#This Row],[AVG VOL.]])</f>
        <v>0.60734742247679241</v>
      </c>
      <c r="AG41" s="27">
        <f t="array" aca="1" ref="AG41" ca="1">Table2[[#This Row],[AVG VOL.]]*Table2[[#This Row],[BUY PRICE]]</f>
        <v>5012518514.666667</v>
      </c>
      <c r="AH41" s="28">
        <f ca="1">((E41-M41)*X41)-(Table2[[#This Row],[EXPENSE]]*0.0092)</f>
        <v>218701298.04506633</v>
      </c>
      <c r="AI41" s="2"/>
      <c r="AJ41" s="2"/>
      <c r="AM41"/>
      <c r="AO41" s="37"/>
      <c r="AP41" s="37"/>
    </row>
    <row r="42" spans="1:42" x14ac:dyDescent="0.55000000000000004">
      <c r="A42" s="1">
        <v>16683</v>
      </c>
      <c r="B42" s="2" t="s">
        <v>20</v>
      </c>
      <c r="C42" s="21">
        <f t="array" aca="1" ref="C42" ca="1">((Table2[[#This Row],[SELL PRICE]])/AVERAGE(OFFSET(Table91[avgPrice],COUNTA(Table91[avgPrice])-5,):OFFSET(Table91[avgPrice],COUNTA(Table91[avgPrice]),)))-1</f>
        <v>-0.12020003681659197</v>
      </c>
      <c r="D42" s="21">
        <f t="array" aca="1" ref="D42" ca="1">((Table2[[#This Row],[SELL PRICE]])/AVERAGE(OFFSET(Table91[avgPrice],COUNTA(Table91[avgPrice])-1,):OFFSET(Table91[avgPrice],COUNTA(Table91[avgPrice]),)))-1</f>
        <v>-0.10545284392222098</v>
      </c>
      <c r="E42" s="32">
        <f t="array" ref="E42">MIN(IF((Table33[Bid]=0)*(Table33[StationID]=60003760),Table33[Price]))</f>
        <v>8602.86</v>
      </c>
      <c r="F42" s="29" t="e">
        <f>((Table2[[#This Row],[MYS]]/Table2[[#This Row],[SELL PRICE]])-1)</f>
        <v>#N/A</v>
      </c>
      <c r="G42" s="2" t="e">
        <f t="array" ref="G42">INDEX(Table0[price], MATCH(MIN(IF((Table0[bid]=0)*(Table0[typeID]=16683)*(Table0[volRemaining]&gt;0),Table0[price])), Table0[price], 0))</f>
        <v>#N/A</v>
      </c>
      <c r="H42" s="6">
        <f t="array" ref="H42">INDEX(Table33[OrderID], MATCH(MIN(IF((Table33[Bid]=0)*(Table33[StationID]=60003760),Table33[Price])), Table33[Price], 0))</f>
        <v>2878261201</v>
      </c>
      <c r="I42" s="25">
        <f>(E42/M42)-1</f>
        <v>2.6043294173773157E-2</v>
      </c>
      <c r="J42" s="6">
        <f t="array" ref="J42">INDEX(Table33[OrderID], MATCH(MAX(IF((Table33[Bid]=1)*(Table33[StationID]=60003760),Table33[Price])), Table33[Price], 0))</f>
        <v>2878192106</v>
      </c>
      <c r="K42" s="2" t="e">
        <f t="array" ref="K42">INDEX(Table0[price], MATCH(MAX(IF((Table0[bid]=1)*(Table0[typeID]=16683)*(Table0[volRemaining]&gt;0),Table0[price])), Table0[price], 0))</f>
        <v>#N/A</v>
      </c>
      <c r="L42" s="21" t="e">
        <f>((Table2[[#This Row],[MY2]]/Table2[[#This Row],[BUY PRICE]])-1)</f>
        <v>#N/A</v>
      </c>
      <c r="M42" s="32">
        <f t="array" ref="M42">MAX(IF((Table33[Bid]=1)*(Table33[StationID]=60003760),Table33[Price]))</f>
        <v>8384.5</v>
      </c>
      <c r="N42" s="21">
        <f t="array" aca="1" ref="N42" ca="1">((Table2[[#This Row],[BUY PRICE]])/AVERAGE(OFFSET(Table91[avgPrice],COUNTA(Table91[avgPrice])-1,):OFFSET(Table91[avgPrice],COUNTA(Table91[avgPrice]),)))-1</f>
        <v>-0.12815846937714459</v>
      </c>
      <c r="O42" s="21">
        <f t="array" aca="1" ref="O42" ca="1">((Table2[[#This Row],[BUY PRICE]])/AVERAGE(OFFSET(Table91[avgPrice],COUNTA(Table91[avgPrice])-5,):OFFSET(Table91[avgPrice],COUNTA(Table91[avgPrice]),)))-1</f>
        <v>-0.14253134523736477</v>
      </c>
      <c r="P42" s="40">
        <f t="array" ref="P42">SUM(Table2[[#This Row],[10%]:[2%]])</f>
        <v>0.4166391493092671</v>
      </c>
      <c r="Q42" s="40">
        <f t="array" ref="Q42">SUM((Table33[VolRem])*(Table33[StationID]=60003760)*(Table33[Price]&gt;=(Table2[[#This Row],[SELL PRICE]]+(Table2[[#This Row],[SELL PRICE]]*0.05)))*(Table33[Price]&lt;=(Table2[[#This Row],[SELL PRICE]]+(Table2[[#This Row],[SELL PRICE]]*0.1)))/(SUM(IF((Table33[Bid]=0)*(Table33[StationID]=60003760),Table33[VolRem]))))</f>
        <v>7.8199092416594077E-2</v>
      </c>
      <c r="R42" s="40">
        <f t="array" ref="R42">SUM((Table33[VolRem])*(Table33[StationID]=60003760)*(Table33[Price]&gt;=(Table2[[#This Row],[SELL PRICE]]+(Table2[[#This Row],[SELL PRICE]]*0.02)))*(Table33[Price]&lt;=(Table2[[#This Row],[SELL PRICE]]+(Table2[[#This Row],[SELL PRICE]]*0.05)))/(SUM(IF((Table33[Bid]=0)*(Table33[StationID]=60003760),Table33[VolRem]))))</f>
        <v>1.0096852512287509E-2</v>
      </c>
      <c r="S42" s="40">
        <f t="array" ref="S42">SUM((Table33[VolRem])*(Table33[StationID]=60003760)*(Table33[Price]&lt;=(Table2[[#This Row],[SELL PRICE]]+(Table2[[#This Row],[SELL PRICE]]*0.02)))*(Table33[Price]&gt;=Table2[[#This Row],[SELL PRICE]]))/(SUM(IF((Table33[Bid]=0)*(Table33[StationID]=60003760),Table33[VolRem])))</f>
        <v>0.3283432043803855</v>
      </c>
      <c r="T42" s="40">
        <f ca="1">SUM(Table2[[#This Row],[2%2]],Table2[[#This Row],[5%2]],Table2[[#This Row],[10%2]])</f>
        <v>1.199123911623158</v>
      </c>
      <c r="U42" s="29">
        <f t="array" aca="1" ref="U42" ca="1">SUM((Table33[VolRem])*(Table33[StationID]=60003760)*(Table33[Price]&gt;=(Table2[[#This Row],[SELL PRICE]]+(Table2[[#This Row],[SELL PRICE]]*0.05)))*(Table33[Price]&lt;=(Table2[[#This Row],[SELL PRICE]]+(Table2[[#This Row],[SELL PRICE]]*0.1)))/Table2[[#This Row],[AVG VOL.]])</f>
        <v>0.22506382738978348</v>
      </c>
      <c r="V42" s="29">
        <f t="array" aca="1" ref="V42" ca="1">SUM((Table33[VolRem])*(Table33[StationID]=60003760)*(Table33[Price]&gt;=(Table2[[#This Row],[SELL PRICE]]+(Table2[[#This Row],[SELL PRICE]]*0.02)))*(Table33[Price]&lt;=(Table2[[#This Row],[SELL PRICE]]+(Table2[[#This Row],[SELL PRICE]]*0.05)))/Table2[[#This Row],[AVG VOL.]])</f>
        <v>2.9059624616862685E-2</v>
      </c>
      <c r="W42" s="45">
        <f t="array" aca="1" ref="W42" ca="1">SUM((Table33[VolRem])*(Table33[StationID]=60003760)*(Table33[Price]&lt;=(Table2[[#This Row],[SELL PRICE]]+(Table2[[#This Row],[SELL PRICE]]*0.02)))*(Table33[Price]&gt;=Table2[[#This Row],[SELL PRICE]]))/Table2[[#This Row],[AVG VOL.]]</f>
        <v>0.94500045961651169</v>
      </c>
      <c r="X42" s="27">
        <f t="array" aca="1" ref="X42" ca="1">AVERAGE(OFFSET(Table91[volume],COUNTA(Table91[volume])-30,):OFFSET(Table91[volume],COUNTA(Table91[volume]),))</f>
        <v>1348950.6666666667</v>
      </c>
      <c r="Y42" s="21">
        <f ca="1">Table2[[#This Row],[sum2]]-Table2[[#This Row],[sum]]</f>
        <v>-0.17937275689844867</v>
      </c>
      <c r="Z42" s="45">
        <f t="array" aca="1" ref="Z42" ca="1">SUM((Table33[VolRem])*(Table33[StationID]=60003760)*(Table33[Price]&gt;=(Table2[[#This Row],[BUY PRICE]]-(Table2[[#This Row],[BUY PRICE]]*0.02)))*(Table33[Price]&lt;=Table2[[#This Row],[BUY PRICE]]))/Table2[[#This Row],[AVG VOL.]]</f>
        <v>0.98268530699911927</v>
      </c>
      <c r="AA42" s="21">
        <f t="array" aca="1" ref="AA42" ca="1">SUM((Table33[VolRem])*(Table33[StationID]=60003760)*(Table33[Price]&lt;=(Table2[[#This Row],[BUY PRICE]]-(Table2[[#This Row],[BUY PRICE]]*0.02)))*(Table33[Price]&gt;=(Table2[[#This Row],[BUY PRICE]]-(Table2[[#This Row],[BUY PRICE]]*0.05))))/Table2[[#This Row],[AVG VOL.]]</f>
        <v>0</v>
      </c>
      <c r="AB42" s="21">
        <f t="array" aca="1" ref="AB42" ca="1">SUM((Table33[VolRem])*(Table33[StationID]=60003760)*(Table33[Price]&lt;=(Table2[[#This Row],[BUY PRICE]]-(Table2[[#This Row],[BUY PRICE]]*0.05)))*(Table33[Price]&gt;=(Table2[[#This Row],[BUY PRICE]]-(Table2[[#This Row],[BUY PRICE]]*0.1))))/Table2[[#This Row],[AVG VOL.]]</f>
        <v>3.7065847725590163E-2</v>
      </c>
      <c r="AC42" s="21">
        <f ca="1">SUM(Table2[[#This Row],[10.00%]],Table2[[#This Row],[5.00%]],Table2[[#This Row],[2.00%]])</f>
        <v>1.0197511547247093</v>
      </c>
      <c r="AD42" s="3">
        <f t="array" aca="1" ref="AD42" ca="1">(((SUM(IF((Table33[Bid]=0)*(Table33[StationID]=60003760),Table33[VolEnt])))-(SUM(IF((Table33[Bid]=0)*(Table33[StationID]=60003760),Table33[VolRem]))))/Table2[[#This Row],[AVG VOL.]])</f>
        <v>1.5998628069422849</v>
      </c>
      <c r="AE42" s="3">
        <f t="array" aca="1" ref="AE42" ca="1">SUM(IF((Table33[Bid]=0)*(Table33[StationID]=60003760),Table33[VolRem]))/Table2[[#This Row],[AVG VOL.]]</f>
        <v>2.8780874615627159</v>
      </c>
      <c r="AF42" s="3">
        <f t="array" aca="1" ref="AF42" ca="1">(((SUM(IF((Table33[Bid]=1)*(Table33[StationID]=60003760),Table33[VolEnt])))-(SUM(IF((Table33[Bid]=1)*(Table33[StationID]=60003760),Table33[VolRem]))))/Table2[[#This Row],[AVG VOL.]])</f>
        <v>1.9613022665518776E-2</v>
      </c>
      <c r="AG42" s="27">
        <f t="array" aca="1" ref="AG42" ca="1">Table2[[#This Row],[AVG VOL.]]*Table2[[#This Row],[BUY PRICE]]</f>
        <v>11310276864.666668</v>
      </c>
      <c r="AH42" s="28">
        <f ca="1">((E42-M42)*X42)-(Table2[[#This Row],[EXPENSE]]*0.0092)</f>
        <v>190502320.41840082</v>
      </c>
      <c r="AI42" s="2"/>
      <c r="AJ42" s="2"/>
      <c r="AM42"/>
      <c r="AO42" s="37"/>
      <c r="AP42" s="37"/>
    </row>
    <row r="43" spans="1:42" x14ac:dyDescent="0.55000000000000004">
      <c r="A43" s="1">
        <v>25624</v>
      </c>
      <c r="B43" s="2" t="s">
        <v>28</v>
      </c>
      <c r="C43" s="21">
        <f t="array" aca="1" ref="C43" ca="1">((Table2[[#This Row],[SELL PRICE]])/AVERAGE(OFFSET(Table71[avgPrice],COUNTA(Table71[avgPrice])-5,):OFFSET(Table71[avgPrice],COUNTA(Table71[avgPrice]),)))-1</f>
        <v>-0.15765466426094543</v>
      </c>
      <c r="D43" s="21">
        <f t="array" aca="1" ref="D43" ca="1">((Table2[[#This Row],[SELL PRICE]])/AVERAGE(OFFSET(Table71[avgPrice],COUNTA(Table71[avgPrice])-1,):OFFSET(Table71[avgPrice],COUNTA(Table71[avgPrice]),)))-1</f>
        <v>-0.15375797163044169</v>
      </c>
      <c r="E43" s="32">
        <f t="array" ref="E43">MIN(IF((Table15[Bid]=0)*(Table15[StationID]=60003760),Table15[Price]))</f>
        <v>18194994</v>
      </c>
      <c r="F43" s="29" t="e">
        <f>((Table2[[#This Row],[MYS]]/Table2[[#This Row],[SELL PRICE]])-1)</f>
        <v>#N/A</v>
      </c>
      <c r="G43" s="2" t="e">
        <f t="array" ref="G43">INDEX(Table0[price], MATCH(MIN(IF((Table0[bid]=0)*(Table0[typeID]=25624)*(Table0[volRemaining]&gt;0),Table0[price])), Table0[price], 0))</f>
        <v>#N/A</v>
      </c>
      <c r="H43" s="6">
        <f t="array" ref="H43">INDEX(Table15[OrderID], MATCH(MIN(IF((Table15[Bid]=0)*(Table15[StationID]=60003760),Table15[Price])), Table15[Price], 0))</f>
        <v>2876470520</v>
      </c>
      <c r="I43" s="25">
        <f>(E43/M43)-1</f>
        <v>2.5012282476386316E-2</v>
      </c>
      <c r="J43" s="6">
        <f t="array" ref="J43">INDEX(Table15[OrderID], MATCH(MAX(IF((Table15[Bid]=1)*(Table15[StationID]=60003760),Table15[Price])), Table15[Price], 0))</f>
        <v>2878895646</v>
      </c>
      <c r="K43" s="2" t="e">
        <f t="array" ref="K43">INDEX(Table0[price], MATCH(MAX(IF((Table0[bid]=1)*(Table0[typeID]=25624)*(Table0[volRemaining]&gt;0),Table0[price])), Table0[price], 0))</f>
        <v>#N/A</v>
      </c>
      <c r="L43" s="21" t="e">
        <f>((Table2[[#This Row],[MY2]]/Table2[[#This Row],[BUY PRICE]])-1)</f>
        <v>#N/A</v>
      </c>
      <c r="M43" s="32">
        <f t="array" ref="M43">MAX(IF((Table15[Bid]=1)*(Table15[StationID]=60003760),Table15[Price]))</f>
        <v>17751000.949999999</v>
      </c>
      <c r="N43" s="21">
        <f t="array" aca="1" ref="N43" ca="1">((Table2[[#This Row],[BUY PRICE]])/AVERAGE(OFFSET(Table71[avgPrice],COUNTA(Table71[avgPrice])-1,):OFFSET(Table71[avgPrice],COUNTA(Table71[avgPrice]),)))-1</f>
        <v>-0.17440791409340639</v>
      </c>
      <c r="O43" s="21">
        <f t="array" aca="1" ref="O43" ca="1">((Table2[[#This Row],[BUY PRICE]])/AVERAGE(OFFSET(Table71[avgPrice],COUNTA(Table71[avgPrice])-5,):OFFSET(Table71[avgPrice],COUNTA(Table71[avgPrice]),)))-1</f>
        <v>-0.17820951988596279</v>
      </c>
      <c r="P43" s="40">
        <f t="array" ref="P43">SUM(Table2[[#This Row],[10%]:[2%]])</f>
        <v>0.55766465343687088</v>
      </c>
      <c r="Q43" s="40">
        <f t="array" ref="Q43">SUM((Table15[VolRem])*(Table15[StationID]=60003760)*(Table15[Price]&gt;=(Table2[[#This Row],[SELL PRICE]]+(Table2[[#This Row],[SELL PRICE]]*0.05)))*(Table15[Price]&lt;=(Table2[[#This Row],[SELL PRICE]]+(Table2[[#This Row],[SELL PRICE]]*0.1)))/(SUM(IF((Table15[Bid]=0)*(Table15[StationID]=60003760),Table15[VolRem]))))</f>
        <v>0.25452976704055219</v>
      </c>
      <c r="R43" s="40">
        <f t="array" ref="R43">SUM((Table15[VolRem])*(Table15[StationID]=60003760)*(Table15[Price]&gt;=(Table2[[#This Row],[SELL PRICE]]+(Table2[[#This Row],[SELL PRICE]]*0.02)))*(Table15[Price]&lt;=(Table2[[#This Row],[SELL PRICE]]+(Table2[[#This Row],[SELL PRICE]]*0.05)))/(SUM(IF((Table15[Bid]=0)*(Table15[StationID]=60003760),Table15[VolRem]))))</f>
        <v>3.0486051193557663E-2</v>
      </c>
      <c r="S43" s="40">
        <f t="array" ref="S43">SUM((Table15[VolRem])*(Table15[StationID]=60003760)*(Table15[Price]&lt;=(Table2[[#This Row],[SELL PRICE]]+(Table2[[#This Row],[SELL PRICE]]*0.02)))*(Table15[Price]&gt;=Table2[[#This Row],[SELL PRICE]]))/(SUM(IF((Table15[Bid]=0)*(Table15[StationID]=60003760),Table15[VolRem])))</f>
        <v>0.27264883520276101</v>
      </c>
      <c r="T43" s="40">
        <f ca="1">SUM(Table2[[#This Row],[2%2]],Table2[[#This Row],[5%2]],Table2[[#This Row],[10%2]])</f>
        <v>2.9692205604614363</v>
      </c>
      <c r="U43" s="29">
        <f t="array" aca="1" ref="U43" ca="1">SUM((Table15[VolRem])*(Table15[StationID]=60003760)*(Table15[Price]&gt;=(Table2[[#This Row],[SELL PRICE]]+(Table2[[#This Row],[SELL PRICE]]*0.05)))*(Table15[Price]&lt;=(Table2[[#This Row],[SELL PRICE]]+(Table2[[#This Row],[SELL PRICE]]*0.1)))/Table2[[#This Row],[AVG VOL.]])</f>
        <v>1.3552141289367567</v>
      </c>
      <c r="V43" s="29">
        <f t="array" aca="1" ref="V43" ca="1">SUM((Table15[VolRem])*(Table15[StationID]=60003760)*(Table15[Price]&gt;=(Table2[[#This Row],[SELL PRICE]]+(Table2[[#This Row],[SELL PRICE]]*0.02)))*(Table15[Price]&lt;=(Table2[[#This Row],[SELL PRICE]]+(Table2[[#This Row],[SELL PRICE]]*0.05)))/Table2[[#This Row],[AVG VOL.]])</f>
        <v>0.16231943239242508</v>
      </c>
      <c r="W43" s="45">
        <f t="array" aca="1" ref="W43" ca="1">SUM((Table15[VolRem])*(Table15[StationID]=60003760)*(Table15[Price]&lt;=(Table2[[#This Row],[SELL PRICE]]+(Table2[[#This Row],[SELL PRICE]]*0.02)))*(Table15[Price]&gt;=Table2[[#This Row],[SELL PRICE]]))/Table2[[#This Row],[AVG VOL.]]</f>
        <v>1.4516869991322547</v>
      </c>
      <c r="X43" s="27">
        <f t="array" aca="1" ref="X43" ca="1">AVERAGE(OFFSET(Table71[volume],COUNTA(Table71[volume])-30,):OFFSET(Table71[volume],COUNTA(Table71[volume]),))</f>
        <v>653.0333333333333</v>
      </c>
      <c r="Y43" s="21">
        <f ca="1">Table2[[#This Row],[sum2]]-Table2[[#This Row],[sum]]</f>
        <v>-2.3827267622888062</v>
      </c>
      <c r="Z43" s="45">
        <f t="array" aca="1" ref="Z43" ca="1">SUM((Table15[VolRem])*(Table15[StationID]=60003760)*(Table15[Price]&gt;=(Table2[[#This Row],[BUY PRICE]]-(Table2[[#This Row],[BUY PRICE]]*0.02)))*(Table15[Price]&lt;=Table2[[#This Row],[BUY PRICE]]))/Table2[[#This Row],[AVG VOL.]]</f>
        <v>0.45633198917870454</v>
      </c>
      <c r="AA43" s="21">
        <f t="array" aca="1" ref="AA43" ca="1">SUM((Table15[VolRem])*(Table15[StationID]=60003760)*(Table15[Price]&lt;=(Table2[[#This Row],[BUY PRICE]]-(Table2[[#This Row],[BUY PRICE]]*0.02)))*(Table15[Price]&gt;=(Table2[[#This Row],[BUY PRICE]]-(Table2[[#This Row],[BUY PRICE]]*0.05))))/Table2[[#This Row],[AVG VOL.]]</f>
        <v>0.13016180899392579</v>
      </c>
      <c r="AB43" s="21">
        <f t="array" aca="1" ref="AB43" ca="1">SUM((Table15[VolRem])*(Table15[StationID]=60003760)*(Table15[Price]&lt;=(Table2[[#This Row],[BUY PRICE]]-(Table2[[#This Row],[BUY PRICE]]*0.05)))*(Table15[Price]&gt;=(Table2[[#This Row],[BUY PRICE]]-(Table2[[#This Row],[BUY PRICE]]*0.1))))/Table2[[#This Row],[AVG VOL.]]</f>
        <v>0</v>
      </c>
      <c r="AC43" s="21">
        <f ca="1">SUM(Table2[[#This Row],[10.00%]],Table2[[#This Row],[5.00%]],Table2[[#This Row],[2.00%]])</f>
        <v>0.58649379817263037</v>
      </c>
      <c r="AD43" s="3">
        <f t="array" aca="1" ref="AD43" ca="1">(((SUM(IF((Table15[Bid]=0)*(Table15[StationID]=60003760),Table15[VolEnt])))-(SUM(IF((Table15[Bid]=0)*(Table15[StationID]=60003760),Table15[VolRem]))))/Table2[[#This Row],[AVG VOL.]])</f>
        <v>1.6844469399213926</v>
      </c>
      <c r="AE43" s="3">
        <f t="array" aca="1" ref="AE43" ca="1">SUM(IF((Table15[Bid]=0)*(Table15[StationID]=60003760),Table15[VolRem]))/Table2[[#This Row],[AVG VOL.]]</f>
        <v>5.3243836455515288</v>
      </c>
      <c r="AF43" s="3">
        <f t="array" aca="1" ref="AF43" ca="1">(((SUM(IF((Table15[Bid]=1)*(Table15[StationID]=60003760),Table15[VolEnt])))-(SUM(IF((Table15[Bid]=1)*(Table15[StationID]=60003760),Table15[VolRem]))))/Table2[[#This Row],[AVG VOL.]])</f>
        <v>0.4976775049767751</v>
      </c>
      <c r="AG43" s="27">
        <f t="array" aca="1" ref="AG43" ca="1">Table2[[#This Row],[AVG VOL.]]*Table2[[#This Row],[BUY PRICE]]</f>
        <v>11591995320.381666</v>
      </c>
      <c r="AH43" s="28">
        <f ca="1">((E43-M43)*X43)-(Table2[[#This Row],[EXPENSE]]*0.0092)</f>
        <v>183295904.47082251</v>
      </c>
      <c r="AI43" s="2"/>
      <c r="AJ43" s="2"/>
      <c r="AM43"/>
      <c r="AO43" s="37"/>
      <c r="AP43" s="37"/>
    </row>
    <row r="44" spans="1:42" x14ac:dyDescent="0.55000000000000004">
      <c r="A44" s="1">
        <v>9830</v>
      </c>
      <c r="B44" s="2" t="s">
        <v>39</v>
      </c>
      <c r="C44" s="21">
        <f t="array" aca="1" ref="C44" ca="1">((Table2[[#This Row],[SELL PRICE]])/AVERAGE(OFFSET(Table87[avgPrice],COUNTA(Table87[avgPrice])-5,):OFFSET(Table87[avgPrice],COUNTA(Table87[avgPrice]),)))-1</f>
        <v>-0.30311366384522376</v>
      </c>
      <c r="D44" s="21">
        <f t="array" aca="1" ref="D44" ca="1">((Table2[[#This Row],[SELL PRICE]])/AVERAGE(OFFSET(Table87[avgPrice],COUNTA(Table87[avgPrice])-1,):OFFSET(Table87[avgPrice],COUNTA(Table87[avgPrice]),)))-1</f>
        <v>-0.3341492914522971</v>
      </c>
      <c r="E44" s="32">
        <f t="array" ref="E44">MIN(IF((Table42[Bid]=0)*(Table42[StationID]=60003760),Table42[Price]))</f>
        <v>7376.96</v>
      </c>
      <c r="F44" s="29" t="e">
        <f>((Table2[[#This Row],[MYS]]/Table2[[#This Row],[SELL PRICE]])-1)</f>
        <v>#N/A</v>
      </c>
      <c r="G44" s="2" t="e">
        <f t="array" ref="G44">INDEX(Table0[price], MATCH(MIN(IF((Table0[bid]=0)*(Table0[typeID]=9830)*(Table0[volRemaining]&gt;0),Table0[price])), Table0[price], 0))</f>
        <v>#N/A</v>
      </c>
      <c r="H44" s="6">
        <f t="array" ref="H44">INDEX(Table42[OrderID], MATCH(MIN(IF((Table42[Bid]=0)*(Table42[StationID]=60003760),Table42[Price])), Table42[Price], 0))</f>
        <v>2879043749</v>
      </c>
      <c r="I44" s="25">
        <f>(E44/M44)-1</f>
        <v>3.637663791807566E-2</v>
      </c>
      <c r="J44" s="6">
        <f t="array" ref="J44">INDEX(Table42[OrderID], MATCH(MAX(IF((Table42[Bid]=1)*(Table42[StationID]=60003760),Table42[Price])), Table42[Price], 0))</f>
        <v>2879038902</v>
      </c>
      <c r="K44" s="2" t="e">
        <f t="array" ref="K44">INDEX(Table0[price], MATCH(MAX(IF((Table0[bid]=1)*(Table0[typeID]=9830)*(Table0[volRemaining]&gt;0),Table0[price])), Table0[price], 0))</f>
        <v>#N/A</v>
      </c>
      <c r="L44" s="21" t="e">
        <f>((Table2[[#This Row],[MY2]]/Table2[[#This Row],[BUY PRICE]])-1)</f>
        <v>#N/A</v>
      </c>
      <c r="M44" s="32">
        <f t="array" ref="M44">MAX(IF((Table42[Bid]=1)*(Table42[StationID]=60003760),Table42[Price]))</f>
        <v>7118.03</v>
      </c>
      <c r="N44" s="21">
        <f t="array" aca="1" ref="N44" ca="1">((Table2[[#This Row],[BUY PRICE]])/AVERAGE(OFFSET(Table87[avgPrice],COUNTA(Table87[avgPrice])-1,):OFFSET(Table87[avgPrice],COUNTA(Table87[avgPrice]),)))-1</f>
        <v>-0.3575205343442549</v>
      </c>
      <c r="O44" s="21">
        <f t="array" aca="1" ref="O44" ca="1">((Table2[[#This Row],[BUY PRICE]])/AVERAGE(OFFSET(Table87[avgPrice],COUNTA(Table87[avgPrice])-5,):OFFSET(Table87[avgPrice],COUNTA(Table87[avgPrice]),)))-1</f>
        <v>-0.32757425181378486</v>
      </c>
      <c r="P44" s="40">
        <f t="array" ref="P44">SUM(Table2[[#This Row],[10%]:[2%]])</f>
        <v>0.72595556126613126</v>
      </c>
      <c r="Q44" s="40">
        <f t="array" ref="Q44">SUM((Table42[VolRem])*(Table42[StationID]=60003760)*(Table42[Price]&gt;=(Table2[[#This Row],[SELL PRICE]]+(Table2[[#This Row],[SELL PRICE]]*0.05)))*(Table42[Price]&lt;=(Table2[[#This Row],[SELL PRICE]]+(Table2[[#This Row],[SELL PRICE]]*0.1)))/(SUM(IF((Table42[Bid]=0)*(Table42[StationID]=60003760),Table42[VolRem]))))</f>
        <v>0.38082063986999204</v>
      </c>
      <c r="R44" s="40">
        <f t="array" ref="R44">SUM((Table42[VolRem])*(Table42[StationID]=60003760)*(Table42[Price]&gt;=(Table2[[#This Row],[SELL PRICE]]+(Table2[[#This Row],[SELL PRICE]]*0.02)))*(Table42[Price]&lt;=(Table2[[#This Row],[SELL PRICE]]+(Table2[[#This Row],[SELL PRICE]]*0.05)))/(SUM(IF((Table42[Bid]=0)*(Table42[StationID]=60003760),Table42[VolRem]))))</f>
        <v>0.10301566648147512</v>
      </c>
      <c r="S44" s="40">
        <f t="array" ref="S44">SUM((Table42[VolRem])*(Table42[StationID]=60003760)*(Table42[Price]&lt;=(Table2[[#This Row],[SELL PRICE]]+(Table2[[#This Row],[SELL PRICE]]*0.02)))*(Table42[Price]&gt;=Table2[[#This Row],[SELL PRICE]]))/(SUM(IF((Table42[Bid]=0)*(Table42[StationID]=60003760),Table42[VolRem])))</f>
        <v>0.2421192549146641</v>
      </c>
      <c r="T44" s="40">
        <f ca="1">SUM(Table2[[#This Row],[2%2]],Table2[[#This Row],[5%2]],Table2[[#This Row],[10%2]])</f>
        <v>1.8916786575116029</v>
      </c>
      <c r="U44" s="29">
        <f t="array" aca="1" ref="U44" ca="1">SUM((Table42[VolRem])*(Table42[StationID]=60003760)*(Table42[Price]&gt;=(Table2[[#This Row],[SELL PRICE]]+(Table2[[#This Row],[SELL PRICE]]*0.05)))*(Table42[Price]&lt;=(Table2[[#This Row],[SELL PRICE]]+(Table2[[#This Row],[SELL PRICE]]*0.1)))/Table2[[#This Row],[AVG VOL.]])</f>
        <v>0.99233384964439297</v>
      </c>
      <c r="V44" s="29">
        <f t="array" aca="1" ref="V44" ca="1">SUM((Table42[VolRem])*(Table42[StationID]=60003760)*(Table42[Price]&gt;=(Table2[[#This Row],[SELL PRICE]]+(Table2[[#This Row],[SELL PRICE]]*0.02)))*(Table42[Price]&lt;=(Table2[[#This Row],[SELL PRICE]]+(Table2[[#This Row],[SELL PRICE]]*0.05)))/Table2[[#This Row],[AVG VOL.]])</f>
        <v>0.26843590444085152</v>
      </c>
      <c r="W44" s="45">
        <f t="array" aca="1" ref="W44" ca="1">SUM((Table42[VolRem])*(Table42[StationID]=60003760)*(Table42[Price]&lt;=(Table2[[#This Row],[SELL PRICE]]+(Table2[[#This Row],[SELL PRICE]]*0.02)))*(Table42[Price]&gt;=Table2[[#This Row],[SELL PRICE]]))/Table2[[#This Row],[AVG VOL.]]</f>
        <v>0.63090890342635841</v>
      </c>
      <c r="X44" s="27">
        <f t="array" aca="1" ref="X44" ca="1">AVERAGE(OFFSET(Table87[volume],COUNTA(Table87[volume])-30,):OFFSET(Table87[volume],COUNTA(Table87[volume]),))</f>
        <v>848239.73333333328</v>
      </c>
      <c r="Y44" s="21">
        <f ca="1">Table2[[#This Row],[sum2]]-Table2[[#This Row],[sum]]</f>
        <v>-1.5277284817908396</v>
      </c>
      <c r="Z44" s="45">
        <f t="array" aca="1" ref="Z44" ca="1">SUM((Table42[VolRem])*(Table42[StationID]=60003760)*(Table42[Price]&gt;=(Table2[[#This Row],[BUY PRICE]]-(Table2[[#This Row],[BUY PRICE]]*0.02)))*(Table42[Price]&lt;=Table2[[#This Row],[BUY PRICE]]))/Table2[[#This Row],[AVG VOL.]]</f>
        <v>0.21615823073917154</v>
      </c>
      <c r="AA44" s="21">
        <f t="array" aca="1" ref="AA44" ca="1">SUM((Table42[VolRem])*(Table42[StationID]=60003760)*(Table42[Price]&lt;=(Table2[[#This Row],[BUY PRICE]]-(Table2[[#This Row],[BUY PRICE]]*0.02)))*(Table42[Price]&gt;=(Table2[[#This Row],[BUY PRICE]]-(Table2[[#This Row],[BUY PRICE]]*0.05))))/Table2[[#This Row],[AVG VOL.]]</f>
        <v>0</v>
      </c>
      <c r="AB44" s="21">
        <f t="array" aca="1" ref="AB44" ca="1">SUM((Table42[VolRem])*(Table42[StationID]=60003760)*(Table42[Price]&lt;=(Table2[[#This Row],[BUY PRICE]]-(Table2[[#This Row],[BUY PRICE]]*0.05)))*(Table42[Price]&gt;=(Table2[[#This Row],[BUY PRICE]]-(Table2[[#This Row],[BUY PRICE]]*0.1))))/Table2[[#This Row],[AVG VOL.]]</f>
        <v>0.14779194498159171</v>
      </c>
      <c r="AC44" s="21">
        <f ca="1">SUM(Table2[[#This Row],[10.00%]],Table2[[#This Row],[5.00%]],Table2[[#This Row],[2.00%]])</f>
        <v>0.36395017572076327</v>
      </c>
      <c r="AD44" s="3">
        <f t="array" aca="1" ref="AD44" ca="1">(((SUM(IF((Table42[Bid]=0)*(Table42[StationID]=60003760),Table42[VolEnt])))-(SUM(IF((Table42[Bid]=0)*(Table42[StationID]=60003760),Table42[VolRem]))))/Table2[[#This Row],[AVG VOL.]])</f>
        <v>0.88085239424452022</v>
      </c>
      <c r="AE44" s="3">
        <f t="array" aca="1" ref="AE44" ca="1">SUM(IF((Table42[Bid]=0)*(Table42[StationID]=60003760),Table42[VolRem]))/Table2[[#This Row],[AVG VOL.]]</f>
        <v>2.6057774861760779</v>
      </c>
      <c r="AF44" s="3">
        <f t="array" aca="1" ref="AF44" ca="1">(((SUM(IF((Table42[Bid]=1)*(Table42[StationID]=60003760),Table42[VolEnt])))-(SUM(IF((Table42[Bid]=1)*(Table42[StationID]=60003760),Table42[VolRem]))))/Table2[[#This Row],[AVG VOL.]])</f>
        <v>0.2168608622908178</v>
      </c>
      <c r="AG44" s="27">
        <f t="array" aca="1" ref="AG44" ca="1">Table2[[#This Row],[AVG VOL.]]*Table2[[#This Row],[BUY PRICE]]</f>
        <v>6037795869.0586662</v>
      </c>
      <c r="AH44" s="28">
        <f ca="1">((E44-M44)*X44)-(Table2[[#This Row],[EXPENSE]]*0.0092)</f>
        <v>164086992.1566605</v>
      </c>
      <c r="AI44" s="2"/>
      <c r="AJ44" s="2"/>
      <c r="AM44"/>
      <c r="AO44" s="37"/>
      <c r="AP44" s="37"/>
    </row>
    <row r="45" spans="1:42" x14ac:dyDescent="0.55000000000000004">
      <c r="A45" s="1">
        <v>25625</v>
      </c>
      <c r="B45" s="2" t="s">
        <v>32</v>
      </c>
      <c r="C45" s="21">
        <f t="array" aca="1" ref="C45" ca="1">((Table2[[#This Row],[SELL PRICE]])/AVERAGE(OFFSET(Table73[avgPrice],COUNTA(Table73[avgPrice])-5,):OFFSET(Table73[avgPrice],COUNTA(Table73[avgPrice]),)))-1</f>
        <v>-0.72751733885782599</v>
      </c>
      <c r="D45" s="21">
        <f t="array" aca="1" ref="D45" ca="1">((Table2[[#This Row],[SELL PRICE]])/AVERAGE(OFFSET(Table73[avgPrice],COUNTA(Table73[avgPrice])-1,):OFFSET(Table73[avgPrice],COUNTA(Table73[avgPrice]),)))-1</f>
        <v>-0.71176663065008605</v>
      </c>
      <c r="E45" s="32">
        <f t="array" ref="E45">MIN(IF((Table26[Bid]=0)*(Table26[StationID]=60003760),Table26[Price]))</f>
        <v>4397003.22</v>
      </c>
      <c r="F45" s="29" t="e">
        <f>((Table2[[#This Row],[MYS]]/Table2[[#This Row],[SELL PRICE]])-1)</f>
        <v>#N/A</v>
      </c>
      <c r="G45" s="2" t="e">
        <f t="array" ref="G45">INDEX(Table0[price], MATCH(MIN(IF((Table0[bid]=0)*(Table0[typeID]=25625)*(Table0[volRemaining]&gt;0),Table0[price])), Table0[price], 0))</f>
        <v>#N/A</v>
      </c>
      <c r="H45" s="6">
        <f t="array" ref="H45">INDEX(Table26[OrderID], MATCH(MIN(IF((Table26[Bid]=0)*(Table26[StationID]=60003760),Table26[Price])), Table26[Price], 0))</f>
        <v>2878055067</v>
      </c>
      <c r="I45" s="25">
        <f>(E45/M45)-1</f>
        <v>4.268433523897408E-2</v>
      </c>
      <c r="J45" s="6">
        <f t="array" ref="J45">INDEX(Table26[OrderID], MATCH(MAX(IF((Table26[Bid]=1)*(Table26[StationID]=60003760),Table26[Price])), Table26[Price], 0))</f>
        <v>2878951176</v>
      </c>
      <c r="K45" s="2" t="e">
        <f t="array" ref="K45">INDEX(Table0[price], MATCH(MAX(IF((Table0[bid]=1)*(Table0[typeID]=25625)*(Table0[volRemaining]&gt;0),Table0[price])), Table0[price], 0))</f>
        <v>#N/A</v>
      </c>
      <c r="L45" s="21" t="e">
        <f>((Table2[[#This Row],[MY2]]/Table2[[#This Row],[BUY PRICE]])-1)</f>
        <v>#N/A</v>
      </c>
      <c r="M45" s="32">
        <f t="array" ref="M45">MAX(IF((Table26[Bid]=1)*(Table26[StationID]=60003760),Table26[Price]))</f>
        <v>4217003.24</v>
      </c>
      <c r="N45" s="21">
        <f t="array" aca="1" ref="N45" ca="1">((Table2[[#This Row],[BUY PRICE]])/AVERAGE(OFFSET(Table73[avgPrice],COUNTA(Table73[avgPrice])-1,):OFFSET(Table73[avgPrice],COUNTA(Table73[avgPrice]),)))-1</f>
        <v>-0.72356603086028581</v>
      </c>
      <c r="O45" s="21">
        <f t="array" aca="1" ref="O45" ca="1">((Table2[[#This Row],[BUY PRICE]])/AVERAGE(OFFSET(Table73[avgPrice],COUNTA(Table73[avgPrice])-5,):OFFSET(Table73[avgPrice],COUNTA(Table73[avgPrice]),)))-1</f>
        <v>-0.73867195283055298</v>
      </c>
      <c r="P45" s="40">
        <f t="array" ref="P45">SUM(Table2[[#This Row],[10%]:[2%]])</f>
        <v>0.19296875000000002</v>
      </c>
      <c r="Q45" s="40">
        <f t="array" ref="Q45">SUM((Table26[VolRem])*(Table26[StationID]=60003760)*(Table26[Price]&gt;=(Table2[[#This Row],[SELL PRICE]]+(Table2[[#This Row],[SELL PRICE]]*0.05)))*(Table26[Price]&lt;=(Table2[[#This Row],[SELL PRICE]]+(Table2[[#This Row],[SELL PRICE]]*0.1)))/(SUM(IF((Table26[Bid]=0)*(Table26[StationID]=60003760),Table26[VolRem]))))</f>
        <v>3.90625E-3</v>
      </c>
      <c r="R45" s="40">
        <f t="array" ref="R45">SUM((Table26[VolRem])*(Table26[StationID]=60003760)*(Table26[Price]&gt;=(Table2[[#This Row],[SELL PRICE]]+(Table2[[#This Row],[SELL PRICE]]*0.02)))*(Table26[Price]&lt;=(Table2[[#This Row],[SELL PRICE]]+(Table2[[#This Row],[SELL PRICE]]*0.05)))/(SUM(IF((Table26[Bid]=0)*(Table26[StationID]=60003760),Table26[VolRem]))))</f>
        <v>0.10390625000000001</v>
      </c>
      <c r="S45" s="40">
        <f t="array" ref="S45">SUM((Table26[VolRem])*(Table26[StationID]=60003760)*(Table26[Price]&lt;=(Table2[[#This Row],[SELL PRICE]]+(Table2[[#This Row],[SELL PRICE]]*0.02)))*(Table26[Price]&gt;=Table2[[#This Row],[SELL PRICE]]))/(SUM(IF((Table26[Bid]=0)*(Table26[StationID]=60003760),Table26[VolRem])))</f>
        <v>8.5156250000000003E-2</v>
      </c>
      <c r="T45" s="40">
        <f ca="1">SUM(Table2[[#This Row],[2%2]],Table2[[#This Row],[5%2]],Table2[[#This Row],[10%2]])</f>
        <v>0.3478546615341282</v>
      </c>
      <c r="U45" s="29">
        <f t="array" aca="1" ref="U45" ca="1">SUM((Table26[VolRem])*(Table26[StationID]=60003760)*(Table26[Price]&gt;=(Table2[[#This Row],[SELL PRICE]]+(Table2[[#This Row],[SELL PRICE]]*0.05)))*(Table26[Price]&lt;=(Table2[[#This Row],[SELL PRICE]]+(Table2[[#This Row],[SELL PRICE]]*0.1)))/Table2[[#This Row],[AVG VOL.]])</f>
        <v>7.0415923387475345E-3</v>
      </c>
      <c r="V45" s="29">
        <f t="array" aca="1" ref="V45" ca="1">SUM((Table26[VolRem])*(Table26[StationID]=60003760)*(Table26[Price]&gt;=(Table2[[#This Row],[SELL PRICE]]+(Table2[[#This Row],[SELL PRICE]]*0.02)))*(Table26[Price]&lt;=(Table2[[#This Row],[SELL PRICE]]+(Table2[[#This Row],[SELL PRICE]]*0.05)))/Table2[[#This Row],[AVG VOL.]])</f>
        <v>0.18730635621068442</v>
      </c>
      <c r="W45" s="45">
        <f t="array" aca="1" ref="W45" ca="1">SUM((Table26[VolRem])*(Table26[StationID]=60003760)*(Table26[Price]&lt;=(Table2[[#This Row],[SELL PRICE]]+(Table2[[#This Row],[SELL PRICE]]*0.02)))*(Table26[Price]&gt;=Table2[[#This Row],[SELL PRICE]]))/Table2[[#This Row],[AVG VOL.]]</f>
        <v>0.15350671298469626</v>
      </c>
      <c r="X45" s="27">
        <f t="array" aca="1" ref="X45" ca="1">AVERAGE(OFFSET(Table73[volume],COUNTA(Table73[volume])-30,):OFFSET(Table73[volume],COUNTA(Table73[volume]),))</f>
        <v>710.06666666666672</v>
      </c>
      <c r="Y45" s="21">
        <f ca="1">Table2[[#This Row],[sum2]]-Table2[[#This Row],[sum]]</f>
        <v>1.422401652427002</v>
      </c>
      <c r="Z45" s="45">
        <f t="array" aca="1" ref="Z45" ca="1">SUM((Table26[VolRem])*(Table26[StationID]=60003760)*(Table26[Price]&gt;=(Table2[[#This Row],[BUY PRICE]]-(Table2[[#This Row],[BUY PRICE]]*0.02)))*(Table26[Price]&lt;=Table2[[#This Row],[BUY PRICE]]))/Table2[[#This Row],[AVG VOL.]]</f>
        <v>0.93230682565017364</v>
      </c>
      <c r="AA45" s="21">
        <f t="array" aca="1" ref="AA45" ca="1">SUM((Table26[VolRem])*(Table26[StationID]=60003760)*(Table26[Price]&lt;=(Table2[[#This Row],[BUY PRICE]]-(Table2[[#This Row],[BUY PRICE]]*0.02)))*(Table26[Price]&gt;=(Table2[[#This Row],[BUY PRICE]]-(Table2[[#This Row],[BUY PRICE]]*0.05))))/Table2[[#This Row],[AVG VOL.]]</f>
        <v>0.83794948831095661</v>
      </c>
      <c r="AB45" s="21">
        <f t="array" aca="1" ref="AB45" ca="1">SUM((Table26[VolRem])*(Table26[StationID]=60003760)*(Table26[Price]&lt;=(Table2[[#This Row],[BUY PRICE]]-(Table2[[#This Row],[BUY PRICE]]*0.05)))*(Table26[Price]&gt;=(Table2[[#This Row],[BUY PRICE]]-(Table2[[#This Row],[BUY PRICE]]*0.1))))/Table2[[#This Row],[AVG VOL.]]</f>
        <v>0</v>
      </c>
      <c r="AC45" s="21">
        <f ca="1">SUM(Table2[[#This Row],[10.00%]],Table2[[#This Row],[5.00%]],Table2[[#This Row],[2.00%]])</f>
        <v>1.7702563139611303</v>
      </c>
      <c r="AD45" s="3">
        <f t="array" aca="1" ref="AD45" ca="1">(((SUM(IF((Table26[Bid]=0)*(Table26[StationID]=60003760),Table26[VolEnt])))-(SUM(IF((Table26[Bid]=0)*(Table26[StationID]=60003760),Table26[VolRem]))))/Table2[[#This Row],[AVG VOL.]])</f>
        <v>1.0097643413763966</v>
      </c>
      <c r="AE45" s="3">
        <f t="array" aca="1" ref="AE45" ca="1">SUM(IF((Table26[Bid]=0)*(Table26[StationID]=60003760),Table26[VolRem]))/Table2[[#This Row],[AVG VOL.]]</f>
        <v>1.8026476387193688</v>
      </c>
      <c r="AF45" s="3">
        <f t="array" aca="1" ref="AF45" ca="1">(((SUM(IF((Table26[Bid]=1)*(Table26[StationID]=60003760),Table26[VolEnt])))-(SUM(IF((Table26[Bid]=1)*(Table26[StationID]=60003760),Table26[VolRem]))))/Table2[[#This Row],[AVG VOL.]])</f>
        <v>1.382968735330016</v>
      </c>
      <c r="AG45" s="27">
        <f t="array" aca="1" ref="AG45" ca="1">Table2[[#This Row],[AVG VOL.]]*Table2[[#This Row],[BUY PRICE]]</f>
        <v>2994353433.9493337</v>
      </c>
      <c r="AH45" s="28">
        <f ca="1">((E45-M45)*X45)-(Table2[[#This Row],[EXPENSE]]*0.0092)</f>
        <v>100263934.20633246</v>
      </c>
      <c r="AI45" s="2"/>
      <c r="AJ45" s="2"/>
      <c r="AM45"/>
      <c r="AO45" s="37"/>
      <c r="AP45" s="37"/>
    </row>
    <row r="46" spans="1:42" x14ac:dyDescent="0.55000000000000004">
      <c r="A46" s="1">
        <v>16272</v>
      </c>
      <c r="B46" s="2" t="s">
        <v>25</v>
      </c>
      <c r="C46" s="21">
        <f t="array" aca="1" ref="C46" ca="1">((Table2[[#This Row],[SELL PRICE]])/AVERAGE(OFFSET(Table96[avgPrice],COUNTA(Table96[avgPrice])-5,):OFFSET(Table96[avgPrice],COUNTA(Table96[avgPrice]),)))-1</f>
        <v>-0.32889492753623184</v>
      </c>
      <c r="D46" s="21">
        <f t="array" aca="1" ref="D46" ca="1">((Table2[[#This Row],[SELL PRICE]])/AVERAGE(OFFSET(Table96[avgPrice],COUNTA(Table96[avgPrice])-1,):OFFSET(Table96[avgPrice],COUNTA(Table96[avgPrice]),)))-1</f>
        <v>-0.44708955223880598</v>
      </c>
      <c r="E46" s="32">
        <f t="array" ref="E46">MIN(IF((Table12[Bid]=0)*(Table12[StationID]=60003760),Table12[Price]))</f>
        <v>74.09</v>
      </c>
      <c r="F46" s="29" t="e">
        <f>((Table2[[#This Row],[MYS]]/Table2[[#This Row],[SELL PRICE]])-1)</f>
        <v>#N/A</v>
      </c>
      <c r="G46" s="2" t="e">
        <f t="array" ref="G46">INDEX(Table0[price], MATCH(MIN(IF((Table0[bid]=0)*(Table0[typeID]=16272)*(Table0[volRemaining]&gt;0),Table0[price])), Table0[price], 0))</f>
        <v>#N/A</v>
      </c>
      <c r="H46" s="6">
        <f t="array" ref="H46">INDEX(Table12[OrderID], MATCH(MIN(IF((Table12[Bid]=0)*(Table12[StationID]=60003760),Table12[Price])), Table12[Price], 0))</f>
        <v>2879000295</v>
      </c>
      <c r="I46" s="25">
        <f>(E46/M46)-1</f>
        <v>2.9027777777777874E-2</v>
      </c>
      <c r="J46" s="6">
        <f t="array" ref="J46">INDEX(Table12[OrderID], MATCH(MAX(IF((Table12[Bid]=1)*(Table12[StationID]=60003760),Table12[Price])), Table12[Price], 0))</f>
        <v>2878632378</v>
      </c>
      <c r="K46" s="2" t="e">
        <f t="array" ref="K46">INDEX(Table0[price], MATCH(MAX(IF((Table0[bid]=1)*(Table0[typeID]=16272)*(Table0[volRemaining]&gt;0),Table0[price])), Table0[price], 0))</f>
        <v>#N/A</v>
      </c>
      <c r="L46" s="21" t="e">
        <f>((Table2[[#This Row],[MY2]]/Table2[[#This Row],[BUY PRICE]])-1)</f>
        <v>#N/A</v>
      </c>
      <c r="M46" s="32">
        <f t="array" ref="M46">MAX(IF((Table12[Bid]=1)*(Table12[StationID]=60003760),Table12[Price]))</f>
        <v>72</v>
      </c>
      <c r="N46" s="21">
        <f t="array" aca="1" ref="N46" ca="1">((Table2[[#This Row],[BUY PRICE]])/AVERAGE(OFFSET(Table96[avgPrice],COUNTA(Table96[avgPrice])-1,):OFFSET(Table96[avgPrice],COUNTA(Table96[avgPrice]),)))-1</f>
        <v>-0.46268656716417911</v>
      </c>
      <c r="O46" s="21">
        <f t="array" aca="1" ref="O46" ca="1">((Table2[[#This Row],[BUY PRICE]])/AVERAGE(OFFSET(Table96[avgPrice],COUNTA(Table96[avgPrice])-5,):OFFSET(Table96[avgPrice],COUNTA(Table96[avgPrice]),)))-1</f>
        <v>-0.34782608695652173</v>
      </c>
      <c r="P46" s="40">
        <f t="array" ref="P46">SUM(Table2[[#This Row],[10%]:[2%]])</f>
        <v>0.45592238583374101</v>
      </c>
      <c r="Q46" s="40">
        <f t="array" ref="Q46">SUM((Table12[VolRem])*(Table12[StationID]=60003760)*(Table12[Price]&gt;=(Table2[[#This Row],[SELL PRICE]]+(Table2[[#This Row],[SELL PRICE]]*0.05)))*(Table12[Price]&lt;=(Table2[[#This Row],[SELL PRICE]]+(Table2[[#This Row],[SELL PRICE]]*0.1)))/(SUM(IF((Table12[Bid]=0)*(Table12[StationID]=60003760),Table12[VolRem]))))</f>
        <v>0.11548152292535183</v>
      </c>
      <c r="R46" s="40">
        <f t="array" ref="R46">SUM((Table12[VolRem])*(Table12[StationID]=60003760)*(Table12[Price]&gt;=(Table2[[#This Row],[SELL PRICE]]+(Table2[[#This Row],[SELL PRICE]]*0.02)))*(Table12[Price]&lt;=(Table2[[#This Row],[SELL PRICE]]+(Table2[[#This Row],[SELL PRICE]]*0.05)))/(SUM(IF((Table12[Bid]=0)*(Table12[StationID]=60003760),Table12[VolRem]))))</f>
        <v>1.9630754613925317E-2</v>
      </c>
      <c r="S46" s="40">
        <f t="array" ref="S46">SUM((Table12[VolRem])*(Table12[StationID]=60003760)*(Table12[Price]&lt;=(Table2[[#This Row],[SELL PRICE]]+(Table2[[#This Row],[SELL PRICE]]*0.02)))*(Table12[Price]&gt;=Table2[[#This Row],[SELL PRICE]]))/(SUM(IF((Table12[Bid]=0)*(Table12[StationID]=60003760),Table12[VolRem])))</f>
        <v>0.32081010829446388</v>
      </c>
      <c r="T46" s="40">
        <f ca="1">SUM(Table2[[#This Row],[2%2]],Table2[[#This Row],[5%2]],Table2[[#This Row],[10%2]])</f>
        <v>2.2128614276298091</v>
      </c>
      <c r="U46" s="29">
        <f t="array" aca="1" ref="U46" ca="1">SUM((Table12[VolRem])*(Table12[StationID]=60003760)*(Table12[Price]&gt;=(Table2[[#This Row],[SELL PRICE]]+(Table2[[#This Row],[SELL PRICE]]*0.05)))*(Table12[Price]&lt;=(Table2[[#This Row],[SELL PRICE]]+(Table2[[#This Row],[SELL PRICE]]*0.1)))/Table2[[#This Row],[AVG VOL.]])</f>
        <v>0.56050024220273054</v>
      </c>
      <c r="V46" s="29">
        <f t="array" aca="1" ref="V46" ca="1">SUM((Table12[VolRem])*(Table12[StationID]=60003760)*(Table12[Price]&gt;=(Table2[[#This Row],[SELL PRICE]]+(Table2[[#This Row],[SELL PRICE]]*0.02)))*(Table12[Price]&lt;=(Table2[[#This Row],[SELL PRICE]]+(Table2[[#This Row],[SELL PRICE]]*0.05)))/Table2[[#This Row],[AVG VOL.]])</f>
        <v>9.5279681433019917E-2</v>
      </c>
      <c r="W46" s="45">
        <f t="array" aca="1" ref="W46" ca="1">SUM((Table12[VolRem])*(Table12[StationID]=60003760)*(Table12[Price]&lt;=(Table2[[#This Row],[SELL PRICE]]+(Table2[[#This Row],[SELL PRICE]]*0.02)))*(Table12[Price]&gt;=Table2[[#This Row],[SELL PRICE]]))/Table2[[#This Row],[AVG VOL.]]</f>
        <v>1.5570815039940586</v>
      </c>
      <c r="X46" s="27">
        <f t="array" aca="1" ref="X46" ca="1">AVERAGE(OFFSET(Table96[volume],COUNTA(Table96[volume])-30,):OFFSET(Table96[volume],COUNTA(Table96[volume]),))</f>
        <v>64243770.633333333</v>
      </c>
      <c r="Y46" s="21">
        <f ca="1">Table2[[#This Row],[sum2]]-Table2[[#This Row],[sum]]</f>
        <v>-0.17656583491558742</v>
      </c>
      <c r="Z46" s="45">
        <f t="array" aca="1" ref="Z46" ca="1">SUM((Table12[VolRem])*(Table12[StationID]=60003760)*(Table12[Price]&gt;=(Table2[[#This Row],[BUY PRICE]]-(Table2[[#This Row],[BUY PRICE]]*0.02)))*(Table12[Price]&lt;=Table2[[#This Row],[BUY PRICE]]))/Table2[[#This Row],[AVG VOL.]]</f>
        <v>0.96509151609214983</v>
      </c>
      <c r="AA46" s="21">
        <f t="array" aca="1" ref="AA46" ca="1">SUM((Table12[VolRem])*(Table12[StationID]=60003760)*(Table12[Price]&lt;=(Table2[[#This Row],[BUY PRICE]]-(Table2[[#This Row],[BUY PRICE]]*0.02)))*(Table12[Price]&gt;=(Table2[[#This Row],[BUY PRICE]]-(Table2[[#This Row],[BUY PRICE]]*0.05))))/Table2[[#This Row],[AVG VOL.]]</f>
        <v>0.19348632369268898</v>
      </c>
      <c r="AB46" s="21">
        <f t="array" aca="1" ref="AB46" ca="1">SUM((Table12[VolRem])*(Table12[StationID]=60003760)*(Table12[Price]&lt;=(Table2[[#This Row],[BUY PRICE]]-(Table2[[#This Row],[BUY PRICE]]*0.05)))*(Table12[Price]&gt;=(Table2[[#This Row],[BUY PRICE]]-(Table2[[#This Row],[BUY PRICE]]*0.1))))/Table2[[#This Row],[AVG VOL.]]</f>
        <v>0.8777177529293827</v>
      </c>
      <c r="AC46" s="21">
        <f ca="1">SUM(Table2[[#This Row],[10.00%]],Table2[[#This Row],[5.00%]],Table2[[#This Row],[2.00%]])</f>
        <v>2.0362955927142217</v>
      </c>
      <c r="AD46" s="3">
        <f t="array" aca="1" ref="AD46" ca="1">(((SUM(IF((Table12[Bid]=0)*(Table12[StationID]=60003760),Table12[VolEnt])))-(SUM(IF((Table12[Bid]=0)*(Table12[StationID]=60003760),Table12[VolRem]))))/Table2[[#This Row],[AVG VOL.]])</f>
        <v>0.67256872649347643</v>
      </c>
      <c r="AE46" s="3">
        <f t="array" aca="1" ref="AE46" ca="1">SUM(IF((Table12[Bid]=0)*(Table12[StationID]=60003760),Table12[VolRem]))/Table2[[#This Row],[AVG VOL.]]</f>
        <v>4.853592401661019</v>
      </c>
      <c r="AF46" s="3">
        <f t="array" aca="1" ref="AF46" ca="1">(((SUM(IF((Table12[Bid]=1)*(Table12[StationID]=60003760),Table12[VolEnt])))-(SUM(IF((Table12[Bid]=1)*(Table12[StationID]=60003760),Table12[VolRem]))))/Table2[[#This Row],[AVG VOL.]])</f>
        <v>0.39068757566009182</v>
      </c>
      <c r="AG46" s="27">
        <f t="array" aca="1" ref="AG46" ca="1">Table2[[#This Row],[AVG VOL.]]*Table2[[#This Row],[BUY PRICE]]</f>
        <v>4625551485.6000004</v>
      </c>
      <c r="AH46" s="28">
        <f ca="1">((E46-M46)*X46)-(Table2[[#This Row],[EXPENSE]]*0.0092)</f>
        <v>91714406.956146881</v>
      </c>
      <c r="AI46" s="2"/>
      <c r="AJ46" s="2"/>
      <c r="AM46"/>
      <c r="AO46" s="37"/>
      <c r="AP46" s="37"/>
    </row>
    <row r="47" spans="1:42" x14ac:dyDescent="0.55000000000000004">
      <c r="A47" s="1">
        <v>25606</v>
      </c>
      <c r="B47" s="2" t="s">
        <v>46</v>
      </c>
      <c r="C47" s="21">
        <f t="array" aca="1" ref="C47" ca="1">((Table2[[#This Row],[SELL PRICE]])/AVERAGE(OFFSET(Table75[avgPrice],COUNTA(Table75[avgPrice])-5,):OFFSET(Table75[avgPrice],COUNTA(Table75[avgPrice]),)))-1</f>
        <v>-0.72795475822980182</v>
      </c>
      <c r="D47" s="21">
        <f t="array" aca="1" ref="D47" ca="1">((Table2[[#This Row],[SELL PRICE]])/AVERAGE(OFFSET(Table75[avgPrice],COUNTA(Table75[avgPrice])-1,):OFFSET(Table75[avgPrice],COUNTA(Table75[avgPrice]),)))-1</f>
        <v>-0.7315514163368747</v>
      </c>
      <c r="E47" s="32">
        <f t="array" ref="E47">MIN(IF((Table49[Bid]=0)*(Table49[StationID]=60003760),Table49[Price]))</f>
        <v>21503</v>
      </c>
      <c r="F47" s="29" t="e">
        <f>((Table2[[#This Row],[MYS]]/Table2[[#This Row],[SELL PRICE]])-1)</f>
        <v>#N/A</v>
      </c>
      <c r="G47" s="2" t="e">
        <f t="array" ref="G47">INDEX(Table0[price], MATCH(MIN(IF((Table0[bid]=0)*(Table0[typeID]=25606)*(Table0[volRemaining]&gt;0),Table0[price])), Table0[price], 0))</f>
        <v>#N/A</v>
      </c>
      <c r="H47" s="6">
        <f t="array" ref="H47">INDEX(Table49[OrderID], MATCH(MIN(IF((Table49[Bid]=0)*(Table49[StationID]=60003760),Table49[Price])), Table49[Price], 0))</f>
        <v>2879128765</v>
      </c>
      <c r="I47" s="25">
        <f>(E47/M47)-1</f>
        <v>4.8772838719778333E-2</v>
      </c>
      <c r="J47" s="6">
        <f t="array" ref="J47">INDEX(Table49[OrderID], MATCH(MAX(IF((Table49[Bid]=1)*(Table49[StationID]=60003760),Table49[Price])), Table49[Price], 0))</f>
        <v>2879134279</v>
      </c>
      <c r="K47" s="2" t="e">
        <f t="array" ref="K47">INDEX(Table0[price], MATCH(MAX(IF((Table0[bid]=1)*(Table0[typeID]=25606)*(Table0[volRemaining]&gt;0),Table0[price])), Table0[price], 0))</f>
        <v>#N/A</v>
      </c>
      <c r="L47" s="21" t="e">
        <f>((Table2[[#This Row],[MY2]]/Table2[[#This Row],[BUY PRICE]])-1)</f>
        <v>#N/A</v>
      </c>
      <c r="M47" s="32">
        <f t="array" ref="M47">MAX(IF((Table49[Bid]=1)*(Table49[StationID]=60003760),Table49[Price]))</f>
        <v>20503.009999999998</v>
      </c>
      <c r="N47" s="21">
        <f t="array" aca="1" ref="N47" ca="1">((Table2[[#This Row],[BUY PRICE]])/AVERAGE(OFFSET(Table75[avgPrice],COUNTA(Table75[avgPrice])-1,):OFFSET(Table75[avgPrice],COUNTA(Table75[avgPrice]),)))-1</f>
        <v>-0.74403553014319423</v>
      </c>
      <c r="O47" s="21">
        <f t="array" aca="1" ref="O47" ca="1">((Table2[[#This Row],[BUY PRICE]])/AVERAGE(OFFSET(Table75[avgPrice],COUNTA(Table75[avgPrice])-5,):OFFSET(Table75[avgPrice],COUNTA(Table75[avgPrice]),)))-1</f>
        <v>-0.74060613344804027</v>
      </c>
      <c r="P47" s="40">
        <f t="array" ref="P47">SUM(Table2[[#This Row],[10%]:[2%]])</f>
        <v>7.728809912484623E-2</v>
      </c>
      <c r="Q47" s="40">
        <f t="array" ref="Q47">SUM((Table49[VolRem])*(Table49[StationID]=60003760)*(Table49[Price]&gt;=(Table2[[#This Row],[SELL PRICE]]+(Table2[[#This Row],[SELL PRICE]]*0.05)))*(Table49[Price]&lt;=(Table2[[#This Row],[SELL PRICE]]+(Table2[[#This Row],[SELL PRICE]]*0.1)))/(SUM(IF((Table49[Bid]=0)*(Table49[StationID]=60003760),Table49[VolRem]))))</f>
        <v>2.9631743151021326E-3</v>
      </c>
      <c r="R47" s="40">
        <f t="array" ref="R47">SUM((Table49[VolRem])*(Table49[StationID]=60003760)*(Table49[Price]&gt;=(Table2[[#This Row],[SELL PRICE]]+(Table2[[#This Row],[SELL PRICE]]*0.02)))*(Table49[Price]&lt;=(Table2[[#This Row],[SELL PRICE]]+(Table2[[#This Row],[SELL PRICE]]*0.05)))/(SUM(IF((Table49[Bid]=0)*(Table49[StationID]=60003760),Table49[VolRem]))))</f>
        <v>7.4313231146306433E-2</v>
      </c>
      <c r="S47" s="40">
        <f t="array" ref="S47">SUM((Table49[VolRem])*(Table49[StationID]=60003760)*(Table49[Price]&lt;=(Table2[[#This Row],[SELL PRICE]]+(Table2[[#This Row],[SELL PRICE]]*0.02)))*(Table49[Price]&gt;=Table2[[#This Row],[SELL PRICE]]))/(SUM(IF((Table49[Bid]=0)*(Table49[StationID]=60003760),Table49[VolRem])))</f>
        <v>1.1693663437656403E-5</v>
      </c>
      <c r="T47" s="40">
        <f ca="1">SUM(Table2[[#This Row],[2%2]],Table2[[#This Row],[5%2]],Table2[[#This Row],[10%2]])</f>
        <v>0.31830307708064376</v>
      </c>
      <c r="U47" s="29">
        <f t="array" aca="1" ref="U47" ca="1">SUM((Table49[VolRem])*(Table49[StationID]=60003760)*(Table49[Price]&gt;=(Table2[[#This Row],[SELL PRICE]]+(Table2[[#This Row],[SELL PRICE]]*0.05)))*(Table49[Price]&lt;=(Table2[[#This Row],[SELL PRICE]]+(Table2[[#This Row],[SELL PRICE]]*0.1)))/Table2[[#This Row],[AVG VOL.]])</f>
        <v>1.2203528267654421E-2</v>
      </c>
      <c r="V47" s="29">
        <f t="array" aca="1" ref="V47" ca="1">SUM((Table49[VolRem])*(Table49[StationID]=60003760)*(Table49[Price]&gt;=(Table2[[#This Row],[SELL PRICE]]+(Table2[[#This Row],[SELL PRICE]]*0.02)))*(Table49[Price]&lt;=(Table2[[#This Row],[SELL PRICE]]+(Table2[[#This Row],[SELL PRICE]]*0.05)))/Table2[[#This Row],[AVG VOL.]])</f>
        <v>0.30605138966434037</v>
      </c>
      <c r="W47" s="45">
        <f t="array" aca="1" ref="W47" ca="1">SUM((Table49[VolRem])*(Table49[StationID]=60003760)*(Table49[Price]&lt;=(Table2[[#This Row],[SELL PRICE]]+(Table2[[#This Row],[SELL PRICE]]*0.02)))*(Table49[Price]&gt;=Table2[[#This Row],[SELL PRICE]]))/Table2[[#This Row],[AVG VOL.]]</f>
        <v>4.8159148648991402E-5</v>
      </c>
      <c r="X47" s="27">
        <f t="array" aca="1" ref="X47" ca="1">AVERAGE(OFFSET(Table75[volume],COUNTA(Table75[volume])-30,):OFFSET(Table75[volume],COUNTA(Table75[volume]),))</f>
        <v>103822.43333333333</v>
      </c>
      <c r="Y47" s="21">
        <f ca="1">Table2[[#This Row],[sum2]]-Table2[[#This Row],[sum]]</f>
        <v>0.38973272635682776</v>
      </c>
      <c r="Z47" s="45">
        <f t="array" aca="1" ref="Z47" ca="1">SUM((Table49[VolRem])*(Table49[StationID]=60003760)*(Table49[Price]&gt;=(Table2[[#This Row],[BUY PRICE]]-(Table2[[#This Row],[BUY PRICE]]*0.02)))*(Table49[Price]&lt;=Table2[[#This Row],[BUY PRICE]]))/Table2[[#This Row],[AVG VOL.]]</f>
        <v>0.14728030839834549</v>
      </c>
      <c r="AA47" s="21">
        <f t="array" aca="1" ref="AA47" ca="1">SUM((Table49[VolRem])*(Table49[StationID]=60003760)*(Table49[Price]&lt;=(Table2[[#This Row],[BUY PRICE]]-(Table2[[#This Row],[BUY PRICE]]*0.02)))*(Table49[Price]&gt;=(Table2[[#This Row],[BUY PRICE]]-(Table2[[#This Row],[BUY PRICE]]*0.05))))/Table2[[#This Row],[AVG VOL.]]</f>
        <v>0.28784723147502161</v>
      </c>
      <c r="AB47" s="21">
        <f t="array" aca="1" ref="AB47" ca="1">SUM((Table49[VolRem])*(Table49[StationID]=60003760)*(Table49[Price]&lt;=(Table2[[#This Row],[BUY PRICE]]-(Table2[[#This Row],[BUY PRICE]]*0.05)))*(Table49[Price]&gt;=(Table2[[#This Row],[BUY PRICE]]-(Table2[[#This Row],[BUY PRICE]]*0.1))))/Table2[[#This Row],[AVG VOL.]]</f>
        <v>0.27290826356410447</v>
      </c>
      <c r="AC47" s="21">
        <f ca="1">SUM(Table2[[#This Row],[10.00%]],Table2[[#This Row],[5.00%]],Table2[[#This Row],[2.00%]])</f>
        <v>0.70803580343747152</v>
      </c>
      <c r="AD47" s="3">
        <f t="array" aca="1" ref="AD47" ca="1">(((SUM(IF((Table49[Bid]=0)*(Table49[StationID]=60003760),Table49[VolEnt])))-(SUM(IF((Table49[Bid]=0)*(Table49[StationID]=60003760),Table49[VolRem]))))/Table2[[#This Row],[AVG VOL.]])</f>
        <v>1.0483765069398938</v>
      </c>
      <c r="AE47" s="3">
        <f t="array" aca="1" ref="AE47" ca="1">SUM(IF((Table49[Bid]=0)*(Table49[StationID]=60003760),Table49[VolRem]))/Table2[[#This Row],[AVG VOL.]]</f>
        <v>4.1183970195266086</v>
      </c>
      <c r="AF47" s="3">
        <f t="array" aca="1" ref="AF47" ca="1">(((SUM(IF((Table49[Bid]=1)*(Table49[StationID]=60003760),Table49[VolEnt])))-(SUM(IF((Table49[Bid]=1)*(Table49[StationID]=60003760),Table49[VolRem]))))/Table2[[#This Row],[AVG VOL.]])</f>
        <v>0.58341919039334145</v>
      </c>
      <c r="AG47" s="27">
        <f t="array" aca="1" ref="AG47" ca="1">Table2[[#This Row],[AVG VOL.]]*Table2[[#This Row],[BUY PRICE]]</f>
        <v>2128672388.8576665</v>
      </c>
      <c r="AH47" s="28">
        <f ca="1">((E47-M47)*X47)-(Table2[[#This Row],[EXPENSE]]*0.0092)</f>
        <v>84237609.131509632</v>
      </c>
      <c r="AI47" s="2"/>
      <c r="AJ47" s="2"/>
      <c r="AM47"/>
      <c r="AO47" s="37"/>
      <c r="AP47" s="37"/>
    </row>
    <row r="48" spans="1:42" x14ac:dyDescent="0.55000000000000004">
      <c r="A48" s="1">
        <v>16680</v>
      </c>
      <c r="B48" s="2" t="s">
        <v>48</v>
      </c>
      <c r="C48" s="21">
        <f t="array" aca="1" ref="C48" ca="1">((Table2[[#This Row],[SELL PRICE]])/AVERAGE(OFFSET(Table99[avgPrice],COUNTA(Table99[avgPrice])-5,):OFFSET(Table99[avgPrice],COUNTA(Table99[avgPrice]),)))-1</f>
        <v>-8.4080126515550857E-2</v>
      </c>
      <c r="D48" s="21">
        <f t="array" aca="1" ref="D48" ca="1">((Table2[[#This Row],[SELL PRICE]])/AVERAGE(OFFSET(Table99[avgPrice],COUNTA(Table99[avgPrice])-1,):OFFSET(Table99[avgPrice],COUNTA(Table99[avgPrice]),)))-1</f>
        <v>-7.9470198675496651E-2</v>
      </c>
      <c r="E48" s="32">
        <f t="array" ref="E48">MIN(IF((Table51[Bid]=0)*(Table51[StationID]=60003760),Table51[Price]))</f>
        <v>695</v>
      </c>
      <c r="F48" s="29" t="e">
        <f>((Table2[[#This Row],[MYS]]/Table2[[#This Row],[SELL PRICE]])-1)</f>
        <v>#N/A</v>
      </c>
      <c r="G48" s="2" t="e">
        <f t="array" ref="G48">INDEX(Table0[price], MATCH(MIN(IF((Table0[bid]=0)*(Table0[typeID]=16680)*(Table0[volRemaining]&gt;0),Table0[price])), Table0[price], 0))</f>
        <v>#N/A</v>
      </c>
      <c r="H48" s="6">
        <f t="array" ref="H48">INDEX(Table51[OrderID], MATCH(MIN(IF((Table51[Bid]=0)*(Table51[StationID]=60003760),Table51[Price])), Table51[Price], 0))</f>
        <v>2873321687</v>
      </c>
      <c r="I48" s="25">
        <f>(E48/M48)-1</f>
        <v>2.3127088577779897E-2</v>
      </c>
      <c r="J48" s="6">
        <f t="array" ref="J48">INDEX(Table51[OrderID], MATCH(MAX(IF((Table51[Bid]=1)*(Table51[StationID]=60003760),Table51[Price])), Table51[Price], 0))</f>
        <v>2878516290</v>
      </c>
      <c r="K48" s="2" t="e">
        <f t="array" ref="K48">INDEX(Table0[price], MATCH(MAX(IF((Table0[bid]=1)*(Table0[typeID]=16680)*(Table0[volRemaining]&gt;0),Table0[price])), Table0[price], 0))</f>
        <v>#N/A</v>
      </c>
      <c r="L48" s="21" t="e">
        <f>((Table2[[#This Row],[MY2]]/Table2[[#This Row],[BUY PRICE]])-1)</f>
        <v>#N/A</v>
      </c>
      <c r="M48" s="32">
        <f t="array" ref="M48">MAX(IF((Table51[Bid]=1)*(Table51[StationID]=60003760),Table51[Price]))</f>
        <v>679.29</v>
      </c>
      <c r="N48" s="21">
        <f t="array" aca="1" ref="N48" ca="1">((Table2[[#This Row],[BUY PRICE]])/AVERAGE(OFFSET(Table99[avgPrice],COUNTA(Table99[avgPrice])-1,):OFFSET(Table99[avgPrice],COUNTA(Table99[avgPrice]),)))-1</f>
        <v>-0.10027814569536431</v>
      </c>
      <c r="O48" s="21">
        <f t="array" aca="1" ref="O48" ca="1">((Table2[[#This Row],[BUY PRICE]])/AVERAGE(OFFSET(Table99[avgPrice],COUNTA(Table99[avgPrice])-5,):OFFSET(Table99[avgPrice],COUNTA(Table99[avgPrice]),)))-1</f>
        <v>-0.10478386926726413</v>
      </c>
      <c r="P48" s="40">
        <f t="array" ref="P48">SUM(Table2[[#This Row],[10%]:[2%]])</f>
        <v>0.58456102760433715</v>
      </c>
      <c r="Q48" s="40">
        <f t="array" ref="Q48">SUM((Table51[VolRem])*(Table51[StationID]=60003760)*(Table51[Price]&gt;=(Table2[[#This Row],[SELL PRICE]]+(Table2[[#This Row],[SELL PRICE]]*0.05)))*(Table51[Price]&lt;=(Table2[[#This Row],[SELL PRICE]]+(Table2[[#This Row],[SELL PRICE]]*0.1)))/(SUM(IF((Table51[Bid]=0)*(Table51[StationID]=60003760),Table51[VolRem]))))</f>
        <v>0.13946962009427866</v>
      </c>
      <c r="R48" s="40">
        <f t="array" ref="R48">SUM((Table51[VolRem])*(Table51[StationID]=60003760)*(Table51[Price]&gt;=(Table2[[#This Row],[SELL PRICE]]+(Table2[[#This Row],[SELL PRICE]]*0.02)))*(Table51[Price]&lt;=(Table2[[#This Row],[SELL PRICE]]+(Table2[[#This Row],[SELL PRICE]]*0.05)))/(SUM(IF((Table51[Bid]=0)*(Table51[StationID]=60003760),Table51[VolRem]))))</f>
        <v>0.12421665369825663</v>
      </c>
      <c r="S48" s="40">
        <f t="array" ref="S48">SUM((Table51[VolRem])*(Table51[StationID]=60003760)*(Table51[Price]&lt;=(Table2[[#This Row],[SELL PRICE]]+(Table2[[#This Row],[SELL PRICE]]*0.02)))*(Table51[Price]&gt;=Table2[[#This Row],[SELL PRICE]]))/(SUM(IF((Table51[Bid]=0)*(Table51[StationID]=60003760),Table51[VolRem])))</f>
        <v>0.32087475381180192</v>
      </c>
      <c r="T48" s="40">
        <f ca="1">SUM(Table2[[#This Row],[2%2]],Table2[[#This Row],[5%2]],Table2[[#This Row],[10%2]])</f>
        <v>5.8940259567620386</v>
      </c>
      <c r="U48" s="29">
        <f t="array" aca="1" ref="U48" ca="1">SUM((Table51[VolRem])*(Table51[StationID]=60003760)*(Table51[Price]&gt;=(Table2[[#This Row],[SELL PRICE]]+(Table2[[#This Row],[SELL PRICE]]*0.05)))*(Table51[Price]&lt;=(Table2[[#This Row],[SELL PRICE]]+(Table2[[#This Row],[SELL PRICE]]*0.1)))/Table2[[#This Row],[AVG VOL.]])</f>
        <v>1.4062476323204676</v>
      </c>
      <c r="V48" s="29">
        <f t="array" aca="1" ref="V48" ca="1">SUM((Table51[VolRem])*(Table51[StationID]=60003760)*(Table51[Price]&gt;=(Table2[[#This Row],[SELL PRICE]]+(Table2[[#This Row],[SELL PRICE]]*0.02)))*(Table51[Price]&lt;=(Table2[[#This Row],[SELL PRICE]]+(Table2[[#This Row],[SELL PRICE]]*0.05)))/Table2[[#This Row],[AVG VOL.]])</f>
        <v>1.2524546567192563</v>
      </c>
      <c r="W48" s="45">
        <f t="array" aca="1" ref="W48" ca="1">SUM((Table51[VolRem])*(Table51[StationID]=60003760)*(Table51[Price]&lt;=(Table2[[#This Row],[SELL PRICE]]+(Table2[[#This Row],[SELL PRICE]]*0.02)))*(Table51[Price]&gt;=Table2[[#This Row],[SELL PRICE]]))/Table2[[#This Row],[AVG VOL.]]</f>
        <v>3.2353236677223149</v>
      </c>
      <c r="X48" s="27">
        <f t="array" aca="1" ref="X48" ca="1">AVERAGE(OFFSET(Table99[volume],COUNTA(Table99[volume])-30,):OFFSET(Table99[volume],COUNTA(Table99[volume]),))</f>
        <v>6355114.7000000002</v>
      </c>
      <c r="Y48" s="21">
        <f ca="1">Table2[[#This Row],[sum2]]-Table2[[#This Row],[sum]]</f>
        <v>-4.6615775479237218</v>
      </c>
      <c r="Z48" s="45">
        <f t="array" aca="1" ref="Z48" ca="1">SUM((Table51[VolRem])*(Table51[StationID]=60003760)*(Table51[Price]&gt;=(Table2[[#This Row],[BUY PRICE]]-(Table2[[#This Row],[BUY PRICE]]*0.02)))*(Table51[Price]&lt;=Table2[[#This Row],[BUY PRICE]]))/Table2[[#This Row],[AVG VOL.]]</f>
        <v>0.85136999966342064</v>
      </c>
      <c r="AA48" s="21">
        <f t="array" aca="1" ref="AA48" ca="1">SUM((Table51[VolRem])*(Table51[StationID]=60003760)*(Table51[Price]&lt;=(Table2[[#This Row],[BUY PRICE]]-(Table2[[#This Row],[BUY PRICE]]*0.02)))*(Table51[Price]&gt;=(Table2[[#This Row],[BUY PRICE]]-(Table2[[#This Row],[BUY PRICE]]*0.05))))/Table2[[#This Row],[AVG VOL.]]</f>
        <v>0.34460432319183787</v>
      </c>
      <c r="AB48" s="21">
        <f t="array" aca="1" ref="AB48" ca="1">SUM((Table51[VolRem])*(Table51[StationID]=60003760)*(Table51[Price]&lt;=(Table2[[#This Row],[BUY PRICE]]-(Table2[[#This Row],[BUY PRICE]]*0.05)))*(Table51[Price]&gt;=(Table2[[#This Row],[BUY PRICE]]-(Table2[[#This Row],[BUY PRICE]]*0.1))))/Table2[[#This Row],[AVG VOL.]]</f>
        <v>3.6474085983058652E-2</v>
      </c>
      <c r="AC48" s="21">
        <f ca="1">SUM(Table2[[#This Row],[10.00%]],Table2[[#This Row],[5.00%]],Table2[[#This Row],[2.00%]])</f>
        <v>1.2324484088383172</v>
      </c>
      <c r="AD48" s="3">
        <f t="array" aca="1" ref="AD48" ca="1">(((SUM(IF((Table51[Bid]=0)*(Table51[StationID]=60003760),Table51[VolEnt])))-(SUM(IF((Table51[Bid]=0)*(Table51[StationID]=60003760),Table51[VolRem]))))/Table2[[#This Row],[AVG VOL.]])</f>
        <v>1.3358278175530018</v>
      </c>
      <c r="AE48" s="3">
        <f t="array" aca="1" ref="AE48" ca="1">SUM(IF((Table51[Bid]=0)*(Table51[StationID]=60003760),Table51[VolRem]))/Table2[[#This Row],[AVG VOL.]]</f>
        <v>10.082823996866649</v>
      </c>
      <c r="AF48" s="3">
        <f t="array" aca="1" ref="AF48" ca="1">(((SUM(IF((Table51[Bid]=1)*(Table51[StationID]=60003760),Table51[VolEnt])))-(SUM(IF((Table51[Bid]=1)*(Table51[StationID]=60003760),Table51[VolRem]))))/Table2[[#This Row],[AVG VOL.]])</f>
        <v>0.27000566960656114</v>
      </c>
      <c r="AG48" s="27">
        <f t="array" aca="1" ref="AG48" ca="1">Table2[[#This Row],[AVG VOL.]]*Table2[[#This Row],[BUY PRICE]]</f>
        <v>4316965864.5629997</v>
      </c>
      <c r="AH48" s="28">
        <f ca="1">((E48-M48)*X48)-(Table2[[#This Row],[EXPENSE]]*0.0092)</f>
        <v>60122765.983020633</v>
      </c>
      <c r="AI48" s="2"/>
      <c r="AJ48" s="2"/>
      <c r="AM48"/>
      <c r="AO48" s="37"/>
      <c r="AP48" s="37"/>
    </row>
    <row r="49" spans="1:67" x14ac:dyDescent="0.55000000000000004">
      <c r="A49" s="1">
        <v>16682</v>
      </c>
      <c r="B49" s="2" t="s">
        <v>41</v>
      </c>
      <c r="C49" s="21">
        <f t="array" aca="1" ref="C49" ca="1">((Table2[[#This Row],[SELL PRICE]])/AVERAGE(OFFSET(Table89[avgPrice],COUNTA(Table89[avgPrice])-5,):OFFSET(Table89[avgPrice],COUNTA(Table89[avgPrice]),)))-1</f>
        <v>-0.15586500655307989</v>
      </c>
      <c r="D49" s="21">
        <f t="array" aca="1" ref="D49" ca="1">((Table2[[#This Row],[SELL PRICE]])/AVERAGE(OFFSET(Table89[avgPrice],COUNTA(Table89[avgPrice])-1,):OFFSET(Table89[avgPrice],COUNTA(Table89[avgPrice]),)))-1</f>
        <v>-0.13008051948051946</v>
      </c>
      <c r="E49" s="32">
        <f t="array" ref="E49">MIN(IF((Table44[Bid]=0)*(Table44[StationID]=60003760),Table44[Price]))</f>
        <v>3349.19</v>
      </c>
      <c r="F49" s="29" t="e">
        <f>((Table2[[#This Row],[MYS]]/Table2[[#This Row],[SELL PRICE]])-1)</f>
        <v>#N/A</v>
      </c>
      <c r="G49" s="2" t="e">
        <f t="array" ref="G49">INDEX(Table0[price], MATCH(MIN(IF((Table0[bid]=0)*(Table0[typeID]=16682)*(Table0[volRemaining]&gt;0),Table0[price])), Table0[price], 0))</f>
        <v>#N/A</v>
      </c>
      <c r="H49" s="6">
        <f t="array" ref="H49">INDEX(Table44[OrderID], MATCH(MIN(IF((Table44[Bid]=0)*(Table44[StationID]=60003760),Table44[Price])), Table44[Price], 0))</f>
        <v>2878336323</v>
      </c>
      <c r="I49" s="25">
        <f>(E49/M49)-1</f>
        <v>1.4902985142469127E-2</v>
      </c>
      <c r="J49" s="6">
        <f t="array" ref="J49">INDEX(Table44[OrderID], MATCH(MAX(IF((Table44[Bid]=1)*(Table44[StationID]=60003760),Table44[Price])), Table44[Price], 0))</f>
        <v>2878679713</v>
      </c>
      <c r="K49" s="2" t="e">
        <f t="array" ref="K49">INDEX(Table0[price], MATCH(MAX(IF((Table0[bid]=1)*(Table0[typeID]=16682)*(Table0[volRemaining]&gt;0),Table0[price])), Table0[price], 0))</f>
        <v>#N/A</v>
      </c>
      <c r="L49" s="21" t="e">
        <f>((Table2[[#This Row],[MY2]]/Table2[[#This Row],[BUY PRICE]])-1)</f>
        <v>#N/A</v>
      </c>
      <c r="M49" s="32">
        <f t="array" ref="M49">MAX(IF((Table44[Bid]=1)*(Table44[StationID]=60003760),Table44[Price]))</f>
        <v>3300.01</v>
      </c>
      <c r="N49" s="21">
        <f t="array" aca="1" ref="N49" ca="1">((Table2[[#This Row],[BUY PRICE]])/AVERAGE(OFFSET(Table89[avgPrice],COUNTA(Table89[avgPrice])-1,):OFFSET(Table89[avgPrice],COUNTA(Table89[avgPrice]),)))-1</f>
        <v>-0.14285454545454535</v>
      </c>
      <c r="O49" s="21">
        <f t="array" aca="1" ref="O49" ca="1">((Table2[[#This Row],[BUY PRICE]])/AVERAGE(OFFSET(Table89[avgPrice],COUNTA(Table89[avgPrice])-5,):OFFSET(Table89[avgPrice],COUNTA(Table89[avgPrice]),)))-1</f>
        <v>-0.16826040931545516</v>
      </c>
      <c r="P49" s="40">
        <f t="array" ref="P49">SUM(Table2[[#This Row],[10%]:[2%]])</f>
        <v>0.91811034846732709</v>
      </c>
      <c r="Q49" s="40">
        <f t="array" ref="Q49">SUM((Table44[VolRem])*(Table44[StationID]=60003760)*(Table44[Price]&gt;=(Table2[[#This Row],[SELL PRICE]]+(Table2[[#This Row],[SELL PRICE]]*0.05)))*(Table44[Price]&lt;=(Table2[[#This Row],[SELL PRICE]]+(Table2[[#This Row],[SELL PRICE]]*0.1)))/(SUM(IF((Table44[Bid]=0)*(Table44[StationID]=60003760),Table44[VolRem]))))</f>
        <v>4.4043399156890352E-2</v>
      </c>
      <c r="R49" s="40">
        <f t="array" ref="R49">SUM((Table44[VolRem])*(Table44[StationID]=60003760)*(Table44[Price]&gt;=(Table2[[#This Row],[SELL PRICE]]+(Table2[[#This Row],[SELL PRICE]]*0.02)))*(Table44[Price]&lt;=(Table2[[#This Row],[SELL PRICE]]+(Table2[[#This Row],[SELL PRICE]]*0.05)))/(SUM(IF((Table44[Bid]=0)*(Table44[StationID]=60003760),Table44[VolRem]))))</f>
        <v>0.23210481822986806</v>
      </c>
      <c r="S49" s="40">
        <f t="array" ref="S49">SUM((Table44[VolRem])*(Table44[StationID]=60003760)*(Table44[Price]&lt;=(Table2[[#This Row],[SELL PRICE]]+(Table2[[#This Row],[SELL PRICE]]*0.02)))*(Table44[Price]&gt;=Table2[[#This Row],[SELL PRICE]]))/(SUM(IF((Table44[Bid]=0)*(Table44[StationID]=60003760),Table44[VolRem])))</f>
        <v>0.64196213108056865</v>
      </c>
      <c r="T49" s="40">
        <f ca="1">SUM(Table2[[#This Row],[2%2]],Table2[[#This Row],[5%2]],Table2[[#This Row],[10%2]])</f>
        <v>6.5882670695616978</v>
      </c>
      <c r="U49" s="29">
        <f t="array" aca="1" ref="U49" ca="1">SUM((Table44[VolRem])*(Table44[StationID]=60003760)*(Table44[Price]&gt;=(Table2[[#This Row],[SELL PRICE]]+(Table2[[#This Row],[SELL PRICE]]*0.05)))*(Table44[Price]&lt;=(Table2[[#This Row],[SELL PRICE]]+(Table2[[#This Row],[SELL PRICE]]*0.1)))/Table2[[#This Row],[AVG VOL.]])</f>
        <v>0.3160509809973332</v>
      </c>
      <c r="V49" s="29">
        <f t="array" aca="1" ref="V49" ca="1">SUM((Table44[VolRem])*(Table44[StationID]=60003760)*(Table44[Price]&gt;=(Table2[[#This Row],[SELL PRICE]]+(Table2[[#This Row],[SELL PRICE]]*0.02)))*(Table44[Price]&lt;=(Table2[[#This Row],[SELL PRICE]]+(Table2[[#This Row],[SELL PRICE]]*0.05)))/Table2[[#This Row],[AVG VOL.]])</f>
        <v>1.6655607173834857</v>
      </c>
      <c r="W49" s="45">
        <f t="array" aca="1" ref="W49" ca="1">SUM((Table44[VolRem])*(Table44[StationID]=60003760)*(Table44[Price]&lt;=(Table2[[#This Row],[SELL PRICE]]+(Table2[[#This Row],[SELL PRICE]]*0.02)))*(Table44[Price]&gt;=Table2[[#This Row],[SELL PRICE]]))/Table2[[#This Row],[AVG VOL.]]</f>
        <v>4.6066553711808789</v>
      </c>
      <c r="X49" s="27">
        <f t="array" aca="1" ref="X49" ca="1">AVERAGE(OFFSET(Table89[volume],COUNTA(Table89[volume])-30,):OFFSET(Table89[volume],COUNTA(Table89[volume]),))</f>
        <v>2127182.1333333333</v>
      </c>
      <c r="Y49" s="21">
        <f ca="1">Table2[[#This Row],[sum2]]-Table2[[#This Row],[sum]]</f>
        <v>-6.1678865172867825</v>
      </c>
      <c r="Z49" s="45">
        <f t="array" aca="1" ref="Z49" ca="1">SUM((Table44[VolRem])*(Table44[StationID]=60003760)*(Table44[Price]&gt;=(Table2[[#This Row],[BUY PRICE]]-(Table2[[#This Row],[BUY PRICE]]*0.02)))*(Table44[Price]&lt;=Table2[[#This Row],[BUY PRICE]]))/Table2[[#This Row],[AVG VOL.]]</f>
        <v>0.17881167486300814</v>
      </c>
      <c r="AA49" s="21">
        <f t="array" aca="1" ref="AA49" ca="1">SUM((Table44[VolRem])*(Table44[StationID]=60003760)*(Table44[Price]&lt;=(Table2[[#This Row],[BUY PRICE]]-(Table2[[#This Row],[BUY PRICE]]*0.02)))*(Table44[Price]&gt;=(Table2[[#This Row],[BUY PRICE]]-(Table2[[#This Row],[BUY PRICE]]*0.05))))/Table2[[#This Row],[AVG VOL.]]</f>
        <v>7.0515823562765284E-2</v>
      </c>
      <c r="AB49" s="21">
        <f t="array" aca="1" ref="AB49" ca="1">SUM((Table44[VolRem])*(Table44[StationID]=60003760)*(Table44[Price]&lt;=(Table2[[#This Row],[BUY PRICE]]-(Table2[[#This Row],[BUY PRICE]]*0.05)))*(Table44[Price]&gt;=(Table2[[#This Row],[BUY PRICE]]-(Table2[[#This Row],[BUY PRICE]]*0.1))))/Table2[[#This Row],[AVG VOL.]]</f>
        <v>0.17105305384914227</v>
      </c>
      <c r="AC49" s="21">
        <f ca="1">SUM(Table2[[#This Row],[10.00%]],Table2[[#This Row],[5.00%]],Table2[[#This Row],[2.00%]])</f>
        <v>0.42038055227491566</v>
      </c>
      <c r="AD49" s="3">
        <f t="array" aca="1" ref="AD49" ca="1">(((SUM(IF((Table44[Bid]=0)*(Table44[StationID]=60003760),Table44[VolEnt])))-(SUM(IF((Table44[Bid]=0)*(Table44[StationID]=60003760),Table44[VolRem]))))/Table2[[#This Row],[AVG VOL.]])</f>
        <v>2.716433590453875</v>
      </c>
      <c r="AE49" s="3">
        <f t="array" aca="1" ref="AE49" ca="1">SUM(IF((Table44[Bid]=0)*(Table44[StationID]=60003760),Table44[VolRem]))/Table2[[#This Row],[AVG VOL.]]</f>
        <v>7.175898932584742</v>
      </c>
      <c r="AF49" s="3">
        <f t="array" aca="1" ref="AF49" ca="1">(((SUM(IF((Table44[Bid]=1)*(Table44[StationID]=60003760),Table44[VolEnt])))-(SUM(IF((Table44[Bid]=1)*(Table44[StationID]=60003760),Table44[VolRem]))))/Table2[[#This Row],[AVG VOL.]])</f>
        <v>0.28466673845699847</v>
      </c>
      <c r="AG49" s="27">
        <f t="array" aca="1" ref="AG49" ca="1">Table2[[#This Row],[AVG VOL.]]*Table2[[#This Row],[BUY PRICE]]</f>
        <v>7019722311.8213339</v>
      </c>
      <c r="AH49" s="28">
        <f ca="1">((E49-M49)*X49)-(Table2[[#This Row],[EXPENSE]]*0.0092)</f>
        <v>40033372.048576713</v>
      </c>
      <c r="AI49" s="2"/>
      <c r="AJ49" s="2"/>
      <c r="AM49"/>
      <c r="AO49" s="37"/>
      <c r="AP49" s="37"/>
    </row>
    <row r="50" spans="1:67" x14ac:dyDescent="0.55000000000000004">
      <c r="A50" s="1">
        <v>16672</v>
      </c>
      <c r="B50" s="2" t="s">
        <v>33</v>
      </c>
      <c r="C50" s="21">
        <f t="array" aca="1" ref="C50" ca="1">((Table2[[#This Row],[SELL PRICE]])/AVERAGE(OFFSET(Table94[avgPrice],COUNTA(Table94[avgPrice])-5,):OFFSET(Table94[avgPrice],COUNTA(Table94[avgPrice]),)))-1</f>
        <v>0.30086767895878519</v>
      </c>
      <c r="D50" s="21">
        <f t="array" aca="1" ref="D50" ca="1">((Table2[[#This Row],[SELL PRICE]])/AVERAGE(OFFSET(Table94[avgPrice],COUNTA(Table94[avgPrice])-1,):OFFSET(Table94[avgPrice],COUNTA(Table94[avgPrice]),)))-1</f>
        <v>0.30369565217391292</v>
      </c>
      <c r="E50" s="32">
        <f t="array" ref="E50">MIN(IF((Table27[Bid]=0)*(Table27[StationID]=60003760),Table27[Price]))</f>
        <v>119.94</v>
      </c>
      <c r="F50" s="29" t="e">
        <f>((Table2[[#This Row],[MYS]]/Table2[[#This Row],[SELL PRICE]])-1)</f>
        <v>#N/A</v>
      </c>
      <c r="G50" s="2" t="e">
        <f t="array" ref="G50">INDEX(Table0[price], MATCH(MIN(IF((Table0[bid]=0)*(Table0[typeID]=16672)*(Table0[volRemaining]&gt;0),Table0[price])), Table0[price], 0))</f>
        <v>#N/A</v>
      </c>
      <c r="H50" s="6">
        <f t="array" ref="H50">INDEX(Table27[OrderID], MATCH(MIN(IF((Table27[Bid]=0)*(Table27[StationID]=60003760),Table27[Price])), Table27[Price], 0))</f>
        <v>2879026998</v>
      </c>
      <c r="I50" s="25">
        <f>(E50/M50)-1</f>
        <v>4.9434436531210491E-3</v>
      </c>
      <c r="J50" s="6">
        <f t="array" ref="J50">INDEX(Table27[OrderID], MATCH(MAX(IF((Table27[Bid]=1)*(Table27[StationID]=60003760),Table27[Price])), Table27[Price], 0))</f>
        <v>2878275703</v>
      </c>
      <c r="K50" s="2" t="e">
        <f t="array" ref="K50">INDEX(Table0[price], MATCH(MAX(IF((Table0[bid]=1)*(Table0[typeID]=16672)*(Table0[volRemaining]&gt;0),Table0[price])), Table0[price], 0))</f>
        <v>#N/A</v>
      </c>
      <c r="L50" s="21" t="e">
        <f>((Table2[[#This Row],[MY2]]/Table2[[#This Row],[BUY PRICE]])-1)</f>
        <v>#N/A</v>
      </c>
      <c r="M50" s="32">
        <f t="array" ref="M50">MAX(IF((Table27[Bid]=1)*(Table27[StationID]=60003760),Table27[Price]))</f>
        <v>119.35</v>
      </c>
      <c r="N50" s="21">
        <f t="array" aca="1" ref="N50" ca="1">((Table2[[#This Row],[BUY PRICE]])/AVERAGE(OFFSET(Table94[avgPrice],COUNTA(Table94[avgPrice])-1,):OFFSET(Table94[avgPrice],COUNTA(Table94[avgPrice]),)))-1</f>
        <v>0.29728260869565215</v>
      </c>
      <c r="O50" s="21">
        <f t="array" aca="1" ref="O50" ca="1">((Table2[[#This Row],[BUY PRICE]])/AVERAGE(OFFSET(Table94[avgPrice],COUNTA(Table94[avgPrice])-5,):OFFSET(Table94[avgPrice],COUNTA(Table94[avgPrice]),)))-1</f>
        <v>0.29446854663774391</v>
      </c>
      <c r="P50" s="40">
        <f t="array" ref="P50">SUM(Table2[[#This Row],[10%]:[2%]])</f>
        <v>0.36582777438756348</v>
      </c>
      <c r="Q50" s="40">
        <f t="array" ref="Q50">SUM((Table27[VolRem])*(Table27[StationID]=60003760)*(Table27[Price]&gt;=(Table2[[#This Row],[SELL PRICE]]+(Table2[[#This Row],[SELL PRICE]]*0.05)))*(Table27[Price]&lt;=(Table2[[#This Row],[SELL PRICE]]+(Table2[[#This Row],[SELL PRICE]]*0.1)))/(SUM(IF((Table27[Bid]=0)*(Table27[StationID]=60003760),Table27[VolRem]))))</f>
        <v>0.1122220971222502</v>
      </c>
      <c r="R50" s="40">
        <f t="array" ref="R50">SUM((Table27[VolRem])*(Table27[StationID]=60003760)*(Table27[Price]&gt;=(Table2[[#This Row],[SELL PRICE]]+(Table2[[#This Row],[SELL PRICE]]*0.02)))*(Table27[Price]&lt;=(Table2[[#This Row],[SELL PRICE]]+(Table2[[#This Row],[SELL PRICE]]*0.05)))/(SUM(IF((Table27[Bid]=0)*(Table27[StationID]=60003760),Table27[VolRem]))))</f>
        <v>0.25063777636149515</v>
      </c>
      <c r="S50" s="40">
        <f t="array" ref="S50">SUM((Table27[VolRem])*(Table27[StationID]=60003760)*(Table27[Price]&lt;=(Table2[[#This Row],[SELL PRICE]]+(Table2[[#This Row],[SELL PRICE]]*0.02)))*(Table27[Price]&gt;=Table2[[#This Row],[SELL PRICE]]))/(SUM(IF((Table27[Bid]=0)*(Table27[StationID]=60003760),Table27[VolRem])))</f>
        <v>2.9679009038180784E-3</v>
      </c>
      <c r="T50" s="40">
        <f ca="1">SUM(Table2[[#This Row],[2%2]],Table2[[#This Row],[5%2]],Table2[[#This Row],[10%2]])</f>
        <v>1.1685954355982047</v>
      </c>
      <c r="U50" s="29">
        <f t="array" aca="1" ref="U50" ca="1">SUM((Table27[VolRem])*(Table27[StationID]=60003760)*(Table27[Price]&gt;=(Table2[[#This Row],[SELL PRICE]]+(Table2[[#This Row],[SELL PRICE]]*0.05)))*(Table27[Price]&lt;=(Table2[[#This Row],[SELL PRICE]]+(Table2[[#This Row],[SELL PRICE]]*0.1)))/Table2[[#This Row],[AVG VOL.]])</f>
        <v>0.35848079247090192</v>
      </c>
      <c r="V50" s="29">
        <f t="array" aca="1" ref="V50" ca="1">SUM((Table27[VolRem])*(Table27[StationID]=60003760)*(Table27[Price]&gt;=(Table2[[#This Row],[SELL PRICE]]+(Table2[[#This Row],[SELL PRICE]]*0.02)))*(Table27[Price]&lt;=(Table2[[#This Row],[SELL PRICE]]+(Table2[[#This Row],[SELL PRICE]]*0.05)))/Table2[[#This Row],[AVG VOL.]])</f>
        <v>0.8006340194777839</v>
      </c>
      <c r="W50" s="45">
        <f t="array" aca="1" ref="W50" ca="1">SUM((Table27[VolRem])*(Table27[StationID]=60003760)*(Table27[Price]&lt;=(Table2[[#This Row],[SELL PRICE]]+(Table2[[#This Row],[SELL PRICE]]*0.02)))*(Table27[Price]&gt;=Table2[[#This Row],[SELL PRICE]]))/Table2[[#This Row],[AVG VOL.]]</f>
        <v>9.4806236495188871E-3</v>
      </c>
      <c r="X50" s="27">
        <f t="array" aca="1" ref="X50" ca="1">AVERAGE(OFFSET(Table94[volume],COUNTA(Table94[volume])-30,):OFFSET(Table94[volume],COUNTA(Table94[volume]),))</f>
        <v>100888088.73333333</v>
      </c>
      <c r="Y50" s="21">
        <f ca="1">Table2[[#This Row],[sum2]]-Table2[[#This Row],[sum]]</f>
        <v>-0.54788917793956604</v>
      </c>
      <c r="Z50" s="45">
        <f t="array" aca="1" ref="Z50" ca="1">SUM((Table27[VolRem])*(Table27[StationID]=60003760)*(Table27[Price]&gt;=(Table2[[#This Row],[BUY PRICE]]-(Table2[[#This Row],[BUY PRICE]]*0.02)))*(Table27[Price]&lt;=Table2[[#This Row],[BUY PRICE]]))/Table2[[#This Row],[AVG VOL.]]</f>
        <v>0.21425423230223403</v>
      </c>
      <c r="AA50" s="21">
        <f t="array" aca="1" ref="AA50" ca="1">SUM((Table27[VolRem])*(Table27[StationID]=60003760)*(Table27[Price]&lt;=(Table2[[#This Row],[BUY PRICE]]-(Table2[[#This Row],[BUY PRICE]]*0.02)))*(Table27[Price]&gt;=(Table2[[#This Row],[BUY PRICE]]-(Table2[[#This Row],[BUY PRICE]]*0.05))))/Table2[[#This Row],[AVG VOL.]]</f>
        <v>4.2819722865586173E-3</v>
      </c>
      <c r="AB50" s="21">
        <f t="array" aca="1" ref="AB50" ca="1">SUM((Table27[VolRem])*(Table27[StationID]=60003760)*(Table27[Price]&lt;=(Table2[[#This Row],[BUY PRICE]]-(Table2[[#This Row],[BUY PRICE]]*0.05)))*(Table27[Price]&gt;=(Table2[[#This Row],[BUY PRICE]]-(Table2[[#This Row],[BUY PRICE]]*0.1))))/Table2[[#This Row],[AVG VOL.]]</f>
        <v>0.40217005306984599</v>
      </c>
      <c r="AC50" s="21">
        <f ca="1">SUM(Table2[[#This Row],[10.00%]],Table2[[#This Row],[5.00%]],Table2[[#This Row],[2.00%]])</f>
        <v>0.62070625765863863</v>
      </c>
      <c r="AD50" s="3">
        <f t="array" aca="1" ref="AD50" ca="1">(((SUM(IF((Table27[Bid]=0)*(Table27[StationID]=60003760),Table27[VolEnt])))-(SUM(IF((Table27[Bid]=0)*(Table27[StationID]=60003760),Table27[VolRem]))))/Table2[[#This Row],[AVG VOL.]])</f>
        <v>0.36736659862755877</v>
      </c>
      <c r="AE50" s="3">
        <f t="array" aca="1" ref="AE50" ca="1">SUM(IF((Table27[Bid]=0)*(Table27[StationID]=60003760),Table27[VolRem]))/Table2[[#This Row],[AVG VOL.]]</f>
        <v>3.194386860195523</v>
      </c>
      <c r="AF50" s="3">
        <f t="array" aca="1" ref="AF50" ca="1">(((SUM(IF((Table27[Bid]=1)*(Table27[StationID]=60003760),Table27[VolEnt])))-(SUM(IF((Table27[Bid]=1)*(Table27[StationID]=60003760),Table27[VolRem]))))/Table2[[#This Row],[AVG VOL.]])</f>
        <v>0.21610712695359477</v>
      </c>
      <c r="AG50" s="27">
        <f t="array" aca="1" ref="AG50" ca="1">Table2[[#This Row],[AVG VOL.]]*Table2[[#This Row],[BUY PRICE]]</f>
        <v>12040993390.323334</v>
      </c>
      <c r="AH50" s="28">
        <f ca="1">((E50-M50)*X50)-(Table2[[#This Row],[EXPENSE]]*0.0092)</f>
        <v>-51253166.838307656</v>
      </c>
      <c r="AI50" s="2"/>
      <c r="AJ50" s="2"/>
      <c r="AM50"/>
      <c r="AO50" s="37"/>
      <c r="AP50" s="37"/>
    </row>
    <row r="51" spans="1:67" x14ac:dyDescent="0.55000000000000004">
      <c r="A51" s="1">
        <v>11725</v>
      </c>
      <c r="B51" s="2" t="s">
        <v>50</v>
      </c>
      <c r="C51" s="21">
        <f t="array" aca="1" ref="C51" ca="1">((Table2[[#This Row],[SELL PRICE]])/AVERAGE(OFFSET(Table63[avgPrice],COUNTA(Table63[avgPrice])-5,):OFFSET(Table63[avgPrice],COUNTA(Table63[avgPrice]),)))-1</f>
        <v>0.83869743685930498</v>
      </c>
      <c r="D51" s="21">
        <f t="array" aca="1" ref="D51" ca="1">((Table2[[#This Row],[SELL PRICE]])/AVERAGE(OFFSET(Table63[avgPrice],COUNTA(Table63[avgPrice])-1,):OFFSET(Table63[avgPrice],COUNTA(Table63[avgPrice]),)))-1</f>
        <v>0.82023495804320667</v>
      </c>
      <c r="E51" s="32">
        <f>'Refine Index'!I220</f>
        <v>50975.68</v>
      </c>
      <c r="F51" s="29" t="e">
        <f>((Table2[[#This Row],[MYS]]/Table2[[#This Row],[SELL PRICE]])-1)</f>
        <v>#N/A</v>
      </c>
      <c r="G51" s="2" t="e">
        <f t="array" ref="G51">INDEX(Table0[price], MATCH(MIN(IF((Table0[bid]=0)*(Table0[typeID]=11725)*(Table0[volRemaining]&gt;0),Table0[price])), Table0[price], 0))</f>
        <v>#N/A</v>
      </c>
      <c r="H51" s="6">
        <f t="array" ref="H51">INDEX(Table53[OrderID], MATCH(MIN(IF((Table53[Bid]=0)*(Table53[StationID]=60003760),Table53[Price])), Table53[Price], 0))</f>
        <v>2875960613</v>
      </c>
      <c r="I51" s="25">
        <f>(E51/M51)-1</f>
        <v>5.428948038507686E-3</v>
      </c>
      <c r="J51" s="6">
        <f t="array" ref="J51">INDEX(Table53[OrderID], MATCH(MAX(IF((Table53[Bid]=1)*(Table53[StationID]=60003760),Table53[Price])), Table53[Price], 0))</f>
        <v>2870980459</v>
      </c>
      <c r="K51" s="2" t="e">
        <f t="array" ref="K51">INDEX(Table0[price], MATCH(MAX(IF((Table0[bid]=1)*(Table0[typeID]=11725)*(Table0[volRemaining]&gt;0),Table0[price])), Table0[price], 0))</f>
        <v>#N/A</v>
      </c>
      <c r="L51" s="21" t="e">
        <f>((Table2[[#This Row],[MY2]]/Table2[[#This Row],[BUY PRICE]])-1)</f>
        <v>#N/A</v>
      </c>
      <c r="M51" s="32">
        <f t="array" ref="M51">MAX(IF((Table53[Bid]=1)*(Table53[StationID]=60003760),Table53[Price]))</f>
        <v>50700.43</v>
      </c>
      <c r="N51" s="21">
        <f t="array" aca="1" ref="N51" ca="1">((Table2[[#This Row],[BUY PRICE]])/AVERAGE(OFFSET(Table63[avgPrice],COUNTA(Table63[avgPrice])-1,):OFFSET(Table63[avgPrice],COUNTA(Table63[avgPrice]),)))-1</f>
        <v>0.81040635600785582</v>
      </c>
      <c r="O51" s="21">
        <f t="array" aca="1" ref="O51" ca="1">((Table2[[#This Row],[BUY PRICE]])/AVERAGE(OFFSET(Table63[avgPrice],COUNTA(Table63[avgPrice])-5,):OFFSET(Table63[avgPrice],COUNTA(Table63[avgPrice]),)))-1</f>
        <v>0.82876914420101144</v>
      </c>
      <c r="P51" s="40">
        <f t="array" ref="P51">SUM(Table2[[#This Row],[10%]:[2%]])</f>
        <v>0</v>
      </c>
      <c r="Q51" s="40">
        <f t="array" ref="Q51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0</v>
      </c>
      <c r="R51" s="40">
        <f t="array" ref="R51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</v>
      </c>
      <c r="S51" s="40">
        <f t="array" ref="S51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</v>
      </c>
      <c r="T51" s="40">
        <f>SUM(Table2[[#This Row],[2%2]],Table2[[#This Row],[5%2]],Table2[[#This Row],[10%2]])</f>
        <v>0</v>
      </c>
      <c r="U51" s="29"/>
      <c r="V51" s="29"/>
      <c r="W51" s="45"/>
      <c r="X51" s="27">
        <f t="array" aca="1" ref="X51" ca="1">AVERAGE(OFFSET(Table63[volume],COUNTA(Table63[volume])-30,):OFFSET(Table63[volume],COUNTA(Table63[volume]),))</f>
        <v>3461455.6333333333</v>
      </c>
      <c r="Y51" s="21">
        <f>Table2[[#This Row],[sum2]]-Table2[[#This Row],[sum]]</f>
        <v>0</v>
      </c>
      <c r="Z51" s="45"/>
      <c r="AA51" s="21"/>
      <c r="AB51" s="21"/>
      <c r="AC51" s="21">
        <f>SUM(Table2[[#This Row],[10.00%]],Table2[[#This Row],[5.00%]],Table2[[#This Row],[2.00%]])</f>
        <v>0</v>
      </c>
      <c r="AD51" s="3"/>
      <c r="AE51" s="3"/>
      <c r="AF51" s="3"/>
      <c r="AG51" s="27">
        <f t="array" aca="1" ref="AG51" ca="1">Table2[[#This Row],[AVG VOL.]]*Table2[[#This Row],[BUY PRICE]]</f>
        <v>175497289035.92233</v>
      </c>
      <c r="AH51" s="28">
        <f ca="1">((E51-M51)*X51)-(Table2[[#This Row],[EXPENSE]]*0.0092)</f>
        <v>-661809396.05548549</v>
      </c>
      <c r="AI51" s="2"/>
      <c r="AJ51" s="2"/>
      <c r="AM51"/>
      <c r="AO51" s="37"/>
      <c r="AP51" s="37"/>
    </row>
    <row r="52" spans="1:67" ht="15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 s="46"/>
      <c r="W52"/>
      <c r="X52" s="46"/>
      <c r="Y52" s="21"/>
      <c r="AM52" s="27" t="s">
        <v>51</v>
      </c>
      <c r="AN52" s="1" t="s">
        <v>73</v>
      </c>
      <c r="AO52" s="6" t="s">
        <v>71</v>
      </c>
      <c r="AP52" s="1" t="s">
        <v>75</v>
      </c>
      <c r="AQ52" s="37" t="s">
        <v>74</v>
      </c>
      <c r="AR52" s="37" t="s">
        <v>72</v>
      </c>
      <c r="AT52" s="2" t="s">
        <v>461</v>
      </c>
    </row>
    <row r="53" spans="1:67" ht="15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s="46"/>
      <c r="W53"/>
      <c r="X53" s="46"/>
      <c r="Y53" s="21"/>
      <c r="AM53" s="27" t="s">
        <v>485</v>
      </c>
      <c r="AN53" s="1">
        <v>3339</v>
      </c>
      <c r="AO53" s="6">
        <v>2879096996</v>
      </c>
      <c r="AP53" s="1">
        <v>1</v>
      </c>
      <c r="AQ53" s="37">
        <v>4297727.55</v>
      </c>
      <c r="AR53" s="37">
        <v>0</v>
      </c>
      <c r="AT53" s="2" t="s">
        <v>462</v>
      </c>
      <c r="AU53" s="2" t="s">
        <v>463</v>
      </c>
      <c r="AV53" s="2" t="s">
        <v>464</v>
      </c>
      <c r="AW53" s="2" t="s">
        <v>465</v>
      </c>
      <c r="AX53" s="2" t="s">
        <v>466</v>
      </c>
      <c r="AY53" s="2" t="s">
        <v>467</v>
      </c>
      <c r="AZ53" s="2" t="s">
        <v>468</v>
      </c>
      <c r="BA53" s="2" t="s">
        <v>469</v>
      </c>
      <c r="BB53" s="2" t="s">
        <v>470</v>
      </c>
      <c r="BC53" s="2" t="s">
        <v>471</v>
      </c>
      <c r="BD53" s="2" t="s">
        <v>472</v>
      </c>
      <c r="BE53" s="2" t="s">
        <v>473</v>
      </c>
      <c r="BF53" s="2" t="s">
        <v>474</v>
      </c>
      <c r="BG53" s="2" t="s">
        <v>475</v>
      </c>
      <c r="BH53" s="2" t="s">
        <v>476</v>
      </c>
      <c r="BI53" s="2" t="s">
        <v>477</v>
      </c>
      <c r="BJ53" s="2" t="s">
        <v>478</v>
      </c>
      <c r="BK53" s="2" t="s">
        <v>479</v>
      </c>
      <c r="BL53" s="2" t="s">
        <v>480</v>
      </c>
      <c r="BM53" s="2" t="s">
        <v>481</v>
      </c>
      <c r="BN53" s="2" t="s">
        <v>482</v>
      </c>
      <c r="BO53" s="2" t="s">
        <v>483</v>
      </c>
    </row>
    <row r="54" spans="1:67" ht="15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s="46"/>
      <c r="W54"/>
      <c r="X54" s="46"/>
      <c r="Y54" s="21"/>
      <c r="AM54" s="27" t="s">
        <v>485</v>
      </c>
      <c r="AN54" s="1">
        <v>29668</v>
      </c>
      <c r="AO54" s="6">
        <v>2879104001</v>
      </c>
      <c r="AP54" s="1">
        <v>1</v>
      </c>
      <c r="AQ54" s="37">
        <v>508500189.00999999</v>
      </c>
      <c r="AR54" s="37">
        <v>0</v>
      </c>
      <c r="AT54" s="2">
        <v>2</v>
      </c>
      <c r="AU54" s="2">
        <v>2</v>
      </c>
      <c r="AV54" s="2">
        <v>41355.028032407405</v>
      </c>
      <c r="AW54" s="2">
        <v>41355.002743055556</v>
      </c>
      <c r="AX54" s="2" t="s">
        <v>484</v>
      </c>
      <c r="AY54" s="2" t="s">
        <v>71</v>
      </c>
      <c r="AZ54" s="2" t="s">
        <v>402</v>
      </c>
      <c r="BA54" s="2">
        <v>1000</v>
      </c>
      <c r="BB54" s="2">
        <v>1</v>
      </c>
      <c r="BC54" s="2">
        <v>1783403772</v>
      </c>
      <c r="BD54" s="2">
        <v>0</v>
      </c>
      <c r="BE54" s="2">
        <v>0</v>
      </c>
      <c r="BF54" s="2">
        <v>41354.969513888886</v>
      </c>
      <c r="BG54" s="2">
        <v>1</v>
      </c>
      <c r="BH54" s="2">
        <v>2879096996</v>
      </c>
      <c r="BI54" s="2">
        <v>2</v>
      </c>
      <c r="BJ54" s="2">
        <v>4297727.55</v>
      </c>
      <c r="BK54" s="2">
        <v>-1</v>
      </c>
      <c r="BL54" s="2">
        <v>60003760</v>
      </c>
      <c r="BM54" s="2">
        <v>3339</v>
      </c>
      <c r="BN54" s="2">
        <v>1</v>
      </c>
      <c r="BO54" s="2">
        <v>0</v>
      </c>
    </row>
    <row r="55" spans="1:67" ht="15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s="46"/>
      <c r="W55"/>
      <c r="X55" s="46"/>
      <c r="Y55" s="21"/>
      <c r="AM55" s="27" t="s">
        <v>485</v>
      </c>
      <c r="AN55" s="1">
        <v>3339</v>
      </c>
      <c r="AO55" s="6">
        <v>2879105633</v>
      </c>
      <c r="AP55" s="1">
        <v>0</v>
      </c>
      <c r="AQ55" s="37">
        <v>3709007.95</v>
      </c>
      <c r="AR55" s="37">
        <v>0</v>
      </c>
      <c r="AT55" s="2">
        <v>2</v>
      </c>
      <c r="AV55" s="2">
        <v>41355.028032407405</v>
      </c>
      <c r="AW55" s="2">
        <v>41355.002743055556</v>
      </c>
      <c r="AX55" s="2" t="s">
        <v>484</v>
      </c>
      <c r="AY55" s="2" t="s">
        <v>71</v>
      </c>
      <c r="AZ55" s="2" t="s">
        <v>402</v>
      </c>
      <c r="BA55" s="2">
        <v>1000</v>
      </c>
      <c r="BB55" s="2">
        <v>1</v>
      </c>
      <c r="BC55" s="2">
        <v>1783403772</v>
      </c>
      <c r="BD55" s="2">
        <v>1</v>
      </c>
      <c r="BE55" s="2">
        <v>0</v>
      </c>
      <c r="BF55" s="2">
        <v>41354.973530092589</v>
      </c>
      <c r="BG55" s="2">
        <v>1</v>
      </c>
      <c r="BH55" s="2">
        <v>2879104001</v>
      </c>
      <c r="BI55" s="2">
        <v>2</v>
      </c>
      <c r="BJ55" s="2">
        <v>508500189.00999999</v>
      </c>
      <c r="BK55" s="2">
        <v>-1</v>
      </c>
      <c r="BL55" s="2">
        <v>60003760</v>
      </c>
      <c r="BM55" s="2">
        <v>29668</v>
      </c>
      <c r="BN55" s="2">
        <v>1</v>
      </c>
      <c r="BO55" s="2">
        <v>0</v>
      </c>
    </row>
    <row r="56" spans="1:67" ht="15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s="46"/>
      <c r="W56"/>
      <c r="X56" s="46"/>
      <c r="Y56" s="21"/>
      <c r="AM56"/>
      <c r="AN56"/>
      <c r="AO56"/>
      <c r="AP56"/>
      <c r="AQ56"/>
      <c r="AR56"/>
      <c r="AT56" s="2">
        <v>2</v>
      </c>
      <c r="AV56" s="2">
        <v>41355.028032407405</v>
      </c>
      <c r="AW56" s="2">
        <v>41355.002743055556</v>
      </c>
      <c r="AX56" s="2" t="s">
        <v>484</v>
      </c>
      <c r="AY56" s="2" t="s">
        <v>71</v>
      </c>
      <c r="AZ56" s="2" t="s">
        <v>402</v>
      </c>
      <c r="BA56" s="2">
        <v>1000</v>
      </c>
      <c r="BB56" s="2">
        <v>0</v>
      </c>
      <c r="BC56" s="2">
        <v>1783403772</v>
      </c>
      <c r="BD56" s="2">
        <v>0</v>
      </c>
      <c r="BE56" s="2">
        <v>0</v>
      </c>
      <c r="BF56" s="2">
        <v>41354.974490740744</v>
      </c>
      <c r="BG56" s="2">
        <v>1</v>
      </c>
      <c r="BH56" s="2">
        <v>2879105633</v>
      </c>
      <c r="BI56" s="2">
        <v>2</v>
      </c>
      <c r="BJ56" s="2">
        <v>3709007.95</v>
      </c>
      <c r="BK56" s="2">
        <v>32767</v>
      </c>
      <c r="BL56" s="2">
        <v>60003760</v>
      </c>
      <c r="BM56" s="2">
        <v>3339</v>
      </c>
      <c r="BN56" s="2">
        <v>1</v>
      </c>
      <c r="BO56" s="2">
        <v>0</v>
      </c>
    </row>
    <row r="57" spans="1:67" ht="15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s="46"/>
      <c r="W57"/>
      <c r="X57" s="46"/>
      <c r="Y57" s="21"/>
      <c r="AM57"/>
      <c r="AN57"/>
      <c r="AO57"/>
      <c r="AP57"/>
      <c r="AQ57"/>
      <c r="AR57"/>
    </row>
    <row r="58" spans="1:67" ht="15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s="46"/>
      <c r="W58"/>
      <c r="X58" s="46"/>
      <c r="Y58" s="21"/>
      <c r="AM58"/>
      <c r="AN58"/>
      <c r="AO58"/>
      <c r="AP58"/>
      <c r="AQ58"/>
      <c r="AR58"/>
    </row>
    <row r="59" spans="1:67" ht="15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s="46"/>
      <c r="W59"/>
      <c r="X59" s="46"/>
      <c r="Y59" s="21"/>
      <c r="AM59"/>
      <c r="AN59"/>
      <c r="AO59"/>
      <c r="AP59"/>
      <c r="AQ59"/>
      <c r="AR59"/>
    </row>
    <row r="60" spans="1:67" ht="15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s="46"/>
      <c r="W60"/>
      <c r="X60" s="46"/>
      <c r="Y60" s="21"/>
      <c r="AM60"/>
      <c r="AN60"/>
      <c r="AO60"/>
      <c r="AP60"/>
      <c r="AQ60"/>
      <c r="AR60"/>
    </row>
    <row r="61" spans="1:67" ht="15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s="46"/>
      <c r="W61"/>
      <c r="X61" s="46"/>
      <c r="Y61" s="21"/>
      <c r="AM61"/>
      <c r="AN61"/>
      <c r="AO61"/>
      <c r="AP61"/>
      <c r="AQ61"/>
      <c r="AR61"/>
    </row>
    <row r="62" spans="1:67" ht="15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 s="46"/>
      <c r="W62"/>
      <c r="X62" s="46"/>
      <c r="Y62" s="21"/>
      <c r="AM62"/>
      <c r="AN62"/>
      <c r="AO62"/>
      <c r="AP62"/>
      <c r="AQ62"/>
      <c r="AR62"/>
    </row>
    <row r="63" spans="1:67" ht="15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 s="46"/>
      <c r="W63"/>
      <c r="X63" s="46"/>
      <c r="Y63" s="21"/>
      <c r="AM63"/>
      <c r="AN63"/>
      <c r="AO63"/>
      <c r="AP63"/>
      <c r="AQ63"/>
      <c r="AR63"/>
    </row>
    <row r="64" spans="1:67" ht="15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 s="46"/>
      <c r="W64"/>
      <c r="X64" s="46"/>
      <c r="Y64" s="21"/>
      <c r="AM64"/>
      <c r="AN64"/>
      <c r="AO64"/>
      <c r="AP64"/>
      <c r="AQ64"/>
      <c r="AR64"/>
    </row>
    <row r="65" spans="2:44" ht="15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s="46"/>
      <c r="W65"/>
      <c r="X65" s="46"/>
      <c r="Y65" s="21"/>
      <c r="AM65"/>
      <c r="AN65"/>
      <c r="AO65"/>
      <c r="AP65"/>
      <c r="AQ65"/>
      <c r="AR65"/>
    </row>
    <row r="66" spans="2:44" ht="15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s="46"/>
      <c r="W66"/>
      <c r="X66" s="46"/>
      <c r="Y66" s="21"/>
      <c r="AM66"/>
      <c r="AN66"/>
      <c r="AO66"/>
      <c r="AP66"/>
      <c r="AQ66"/>
      <c r="AR66"/>
    </row>
    <row r="67" spans="2:44" ht="15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s="46"/>
      <c r="W67"/>
      <c r="X67" s="46"/>
      <c r="Y67" s="21"/>
      <c r="AM67"/>
      <c r="AN67"/>
      <c r="AO67"/>
      <c r="AP67"/>
      <c r="AQ67"/>
      <c r="AR67"/>
    </row>
    <row r="68" spans="2:44" ht="15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s="46"/>
      <c r="W68"/>
      <c r="X68" s="46"/>
      <c r="Y68" s="21"/>
      <c r="AM68"/>
      <c r="AN68"/>
      <c r="AO68"/>
      <c r="AP68"/>
      <c r="AQ68"/>
      <c r="AR68"/>
    </row>
    <row r="69" spans="2:44" ht="15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 s="46"/>
      <c r="W69"/>
      <c r="X69" s="46"/>
      <c r="Y69" s="21"/>
      <c r="AM69"/>
      <c r="AN69"/>
      <c r="AO69"/>
      <c r="AP69"/>
      <c r="AQ69"/>
      <c r="AR69"/>
    </row>
    <row r="70" spans="2:44" ht="15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 s="46"/>
      <c r="W70"/>
      <c r="X70" s="46"/>
      <c r="Y70" s="21"/>
      <c r="AM70"/>
      <c r="AN70"/>
      <c r="AO70"/>
      <c r="AP70"/>
      <c r="AQ70"/>
      <c r="AR70"/>
    </row>
    <row r="71" spans="2:44" ht="15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s="46"/>
      <c r="W71"/>
      <c r="X71" s="46"/>
      <c r="Y71" s="21"/>
      <c r="AM71"/>
      <c r="AN71"/>
      <c r="AO71"/>
      <c r="AP71"/>
      <c r="AQ71"/>
      <c r="AR71"/>
    </row>
    <row r="72" spans="2:44" ht="15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 s="46"/>
      <c r="W72"/>
      <c r="X72" s="46"/>
      <c r="Y72" s="21"/>
      <c r="AM72"/>
      <c r="AN72"/>
      <c r="AO72"/>
      <c r="AP72"/>
      <c r="AQ72"/>
      <c r="AR72"/>
    </row>
    <row r="73" spans="2:44" ht="15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s="46"/>
      <c r="W73"/>
      <c r="X73" s="46"/>
      <c r="Y73" s="21"/>
      <c r="AM73"/>
      <c r="AN73"/>
      <c r="AO73"/>
      <c r="AP73"/>
      <c r="AQ73"/>
      <c r="AR73"/>
    </row>
    <row r="74" spans="2:44" ht="15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 s="46"/>
      <c r="W74"/>
      <c r="X74" s="46"/>
      <c r="Y74" s="21"/>
      <c r="AM74"/>
      <c r="AN74"/>
      <c r="AO74"/>
      <c r="AP74"/>
      <c r="AQ74"/>
      <c r="AR74"/>
    </row>
    <row r="75" spans="2:44" ht="15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s="46"/>
      <c r="W75"/>
      <c r="X75" s="46"/>
      <c r="Y75" s="21"/>
      <c r="AM75"/>
      <c r="AN75"/>
      <c r="AO75"/>
      <c r="AP75"/>
      <c r="AQ75"/>
      <c r="AR75"/>
    </row>
    <row r="76" spans="2:44" ht="15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s="46"/>
      <c r="W76"/>
      <c r="X76" s="46"/>
      <c r="Y76" s="21"/>
      <c r="AM76"/>
      <c r="AN76"/>
      <c r="AO76"/>
      <c r="AP76"/>
      <c r="AQ76"/>
      <c r="AR76"/>
    </row>
    <row r="77" spans="2:44" ht="15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46"/>
      <c r="W77"/>
      <c r="X77" s="46"/>
      <c r="Y77" s="21"/>
      <c r="AM77"/>
      <c r="AN77"/>
      <c r="AO77"/>
      <c r="AP77"/>
      <c r="AQ77"/>
      <c r="AR77"/>
    </row>
    <row r="78" spans="2:44" ht="15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46"/>
      <c r="W78"/>
      <c r="X78" s="46"/>
      <c r="Y78" s="21"/>
      <c r="AM78"/>
      <c r="AN78"/>
      <c r="AO78"/>
      <c r="AP78"/>
      <c r="AQ78"/>
      <c r="AR78"/>
    </row>
    <row r="79" spans="2:44" ht="15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 s="46"/>
      <c r="W79"/>
      <c r="X79" s="46"/>
      <c r="Y79" s="21"/>
      <c r="AM79"/>
      <c r="AN79"/>
      <c r="AO79"/>
      <c r="AP79"/>
      <c r="AQ79"/>
      <c r="AR79"/>
    </row>
    <row r="80" spans="2:44" ht="15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 s="46"/>
      <c r="W80"/>
      <c r="X80" s="46"/>
      <c r="Y80" s="21"/>
      <c r="AM80"/>
      <c r="AN80"/>
      <c r="AO80"/>
      <c r="AP80"/>
      <c r="AQ80"/>
      <c r="AR80"/>
    </row>
    <row r="81" spans="2:44" ht="15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s="46"/>
      <c r="W81"/>
      <c r="X81" s="46"/>
      <c r="Y81" s="21"/>
      <c r="AM81"/>
      <c r="AN81"/>
      <c r="AO81"/>
      <c r="AP81"/>
      <c r="AQ81"/>
      <c r="AR81"/>
    </row>
    <row r="82" spans="2:44" ht="15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s="46"/>
      <c r="W82"/>
      <c r="X82" s="46"/>
      <c r="Y82" s="21"/>
      <c r="AM82"/>
      <c r="AN82"/>
      <c r="AO82"/>
      <c r="AP82"/>
      <c r="AQ82"/>
      <c r="AR82"/>
    </row>
    <row r="83" spans="2:44" ht="15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 s="46"/>
      <c r="W83"/>
      <c r="X83" s="46"/>
      <c r="Y83" s="21"/>
      <c r="AM83"/>
      <c r="AN83"/>
      <c r="AO83"/>
      <c r="AP83"/>
      <c r="AQ83"/>
      <c r="AR83"/>
    </row>
    <row r="84" spans="2:44" ht="15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46"/>
      <c r="W84"/>
      <c r="X84" s="46"/>
      <c r="Y84" s="21"/>
      <c r="AM84"/>
      <c r="AN84"/>
      <c r="AO84"/>
      <c r="AP84"/>
      <c r="AQ84"/>
      <c r="AR84"/>
    </row>
    <row r="85" spans="2:44" ht="15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 s="46"/>
      <c r="W85"/>
      <c r="X85" s="46"/>
      <c r="Y85" s="21"/>
      <c r="AM85"/>
      <c r="AN85"/>
      <c r="AO85"/>
      <c r="AP85"/>
      <c r="AQ85"/>
      <c r="AR85"/>
    </row>
    <row r="86" spans="2:44" ht="15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s="46"/>
      <c r="W86"/>
      <c r="X86" s="46"/>
      <c r="Y86" s="21"/>
      <c r="AM86"/>
      <c r="AN86"/>
      <c r="AO86"/>
      <c r="AP86"/>
      <c r="AQ86"/>
      <c r="AR86"/>
    </row>
    <row r="87" spans="2:44" ht="15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 s="46"/>
      <c r="W87"/>
      <c r="X87" s="46"/>
      <c r="Y87" s="21"/>
      <c r="AM87"/>
      <c r="AN87"/>
      <c r="AO87"/>
      <c r="AP87"/>
      <c r="AQ87"/>
      <c r="AR87"/>
    </row>
    <row r="88" spans="2:44" ht="15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 s="46"/>
      <c r="W88"/>
      <c r="X88" s="46"/>
      <c r="Y88" s="21"/>
      <c r="AM88"/>
      <c r="AN88"/>
      <c r="AO88"/>
      <c r="AP88"/>
      <c r="AQ88"/>
      <c r="AR88"/>
    </row>
    <row r="89" spans="2:44" ht="15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s="46"/>
      <c r="W89"/>
      <c r="X89" s="46"/>
      <c r="Y89" s="21"/>
      <c r="AM89"/>
      <c r="AN89"/>
      <c r="AO89"/>
      <c r="AP89"/>
      <c r="AQ89"/>
      <c r="AR89"/>
    </row>
    <row r="90" spans="2:44" ht="15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 s="46"/>
      <c r="W90"/>
      <c r="X90" s="46"/>
      <c r="Y90" s="21"/>
      <c r="AM90"/>
      <c r="AN90"/>
      <c r="AO90"/>
      <c r="AP90"/>
      <c r="AQ90"/>
      <c r="AR90"/>
    </row>
    <row r="91" spans="2:44" ht="15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s="46"/>
      <c r="W91"/>
      <c r="X91" s="46"/>
      <c r="Y91" s="21"/>
      <c r="AM91"/>
      <c r="AN91"/>
      <c r="AO91"/>
      <c r="AP91"/>
      <c r="AQ91"/>
      <c r="AR91"/>
    </row>
    <row r="92" spans="2:44" ht="15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 s="46"/>
      <c r="W92"/>
      <c r="X92" s="46"/>
      <c r="Y92" s="21"/>
      <c r="AM92"/>
      <c r="AN92"/>
      <c r="AO92"/>
      <c r="AP92"/>
      <c r="AQ92"/>
      <c r="AR92"/>
    </row>
    <row r="93" spans="2:44" ht="15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 s="46"/>
      <c r="W93"/>
      <c r="X93" s="46"/>
      <c r="Y93" s="21"/>
      <c r="AM93"/>
      <c r="AN93"/>
      <c r="AO93"/>
      <c r="AP93"/>
      <c r="AQ93"/>
      <c r="AR93"/>
    </row>
    <row r="94" spans="2:44" ht="15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46"/>
      <c r="W94"/>
      <c r="X94" s="46"/>
      <c r="Y94" s="21"/>
      <c r="AM94"/>
      <c r="AN94"/>
      <c r="AO94"/>
      <c r="AP94"/>
      <c r="AQ94"/>
      <c r="AR94"/>
    </row>
    <row r="95" spans="2:44" ht="15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46"/>
      <c r="W95"/>
      <c r="X95" s="46"/>
      <c r="Y95" s="21"/>
      <c r="AM95"/>
      <c r="AN95"/>
      <c r="AO95"/>
      <c r="AP95"/>
      <c r="AQ95"/>
      <c r="AR95"/>
    </row>
    <row r="96" spans="2:44" ht="15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s="46"/>
      <c r="W96"/>
      <c r="X96" s="46"/>
      <c r="Y96" s="21"/>
      <c r="AM96"/>
      <c r="AN96"/>
      <c r="AO96"/>
      <c r="AP96"/>
      <c r="AQ96"/>
      <c r="AR96"/>
    </row>
    <row r="97" spans="2:44" ht="15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s="46"/>
      <c r="W97"/>
      <c r="X97" s="46"/>
      <c r="Y97" s="21"/>
      <c r="AM97"/>
      <c r="AN97"/>
      <c r="AO97"/>
      <c r="AP97"/>
      <c r="AQ97"/>
      <c r="AR97"/>
    </row>
    <row r="98" spans="2:44" ht="15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s="46"/>
      <c r="W98"/>
      <c r="X98" s="46"/>
      <c r="Y98" s="21"/>
      <c r="AM98"/>
      <c r="AN98"/>
      <c r="AO98"/>
      <c r="AP98"/>
      <c r="AQ98"/>
      <c r="AR98"/>
    </row>
    <row r="99" spans="2:44" ht="15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s="46"/>
      <c r="W99"/>
      <c r="X99" s="46"/>
      <c r="Y99" s="21"/>
      <c r="AM99"/>
      <c r="AN99"/>
      <c r="AO99"/>
      <c r="AP99"/>
      <c r="AQ99"/>
      <c r="AR99"/>
    </row>
    <row r="100" spans="2:44" ht="15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s="46"/>
      <c r="W100"/>
      <c r="X100" s="46"/>
      <c r="Y100" s="21"/>
      <c r="AM100"/>
      <c r="AN100"/>
      <c r="AO100"/>
      <c r="AP100"/>
      <c r="AQ100"/>
      <c r="AR100"/>
    </row>
    <row r="101" spans="2:44" ht="15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s="46"/>
      <c r="W101"/>
      <c r="X101" s="46"/>
      <c r="Y101" s="21"/>
      <c r="AM101"/>
      <c r="AN101"/>
      <c r="AO101"/>
      <c r="AP101"/>
      <c r="AQ101"/>
      <c r="AR101"/>
    </row>
    <row r="102" spans="2:44" ht="15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s="46"/>
      <c r="W102"/>
      <c r="X102" s="46"/>
      <c r="Y102" s="21"/>
      <c r="AM102"/>
      <c r="AN102"/>
      <c r="AO102"/>
      <c r="AP102"/>
      <c r="AQ102"/>
      <c r="AR102"/>
    </row>
    <row r="103" spans="2:44" ht="15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s="46"/>
      <c r="W103"/>
      <c r="X103" s="46"/>
      <c r="Y103" s="21"/>
      <c r="AM103"/>
      <c r="AN103"/>
      <c r="AO103"/>
      <c r="AP103"/>
      <c r="AQ103"/>
      <c r="AR103"/>
    </row>
    <row r="104" spans="2:44" ht="15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s="46"/>
      <c r="W104"/>
      <c r="X104" s="46"/>
      <c r="Y104" s="21"/>
      <c r="AM104"/>
      <c r="AN104"/>
      <c r="AO104"/>
      <c r="AP104"/>
      <c r="AQ104"/>
      <c r="AR104"/>
    </row>
    <row r="105" spans="2:44" ht="15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s="46"/>
      <c r="W105"/>
      <c r="X105" s="46"/>
      <c r="Y105" s="21"/>
      <c r="AM105"/>
      <c r="AN105"/>
      <c r="AO105"/>
      <c r="AP105"/>
      <c r="AQ105"/>
      <c r="AR105"/>
    </row>
    <row r="106" spans="2:44" ht="15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s="46"/>
      <c r="W106"/>
      <c r="X106" s="46"/>
      <c r="Y106" s="21"/>
      <c r="AM106"/>
      <c r="AN106"/>
      <c r="AO106"/>
      <c r="AP106"/>
      <c r="AQ106"/>
      <c r="AR106"/>
    </row>
    <row r="107" spans="2:44" ht="15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 s="46"/>
      <c r="W107"/>
      <c r="X107" s="46"/>
      <c r="Y107" s="21"/>
      <c r="AM107"/>
      <c r="AN107"/>
      <c r="AO107"/>
      <c r="AP107"/>
      <c r="AQ107"/>
      <c r="AR107"/>
    </row>
    <row r="108" spans="2:44" ht="15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 s="46"/>
      <c r="W108"/>
      <c r="X108" s="46"/>
      <c r="Y108" s="21"/>
      <c r="AM108"/>
      <c r="AN108"/>
      <c r="AO108"/>
      <c r="AP108"/>
      <c r="AQ108"/>
      <c r="AR108"/>
    </row>
    <row r="109" spans="2:44" ht="15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 s="46"/>
      <c r="W109"/>
      <c r="X109" s="46"/>
      <c r="Y109" s="21"/>
      <c r="AM109"/>
      <c r="AN109"/>
      <c r="AO109"/>
      <c r="AP109"/>
      <c r="AQ109"/>
      <c r="AR109"/>
    </row>
    <row r="110" spans="2:44" ht="15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 s="46"/>
      <c r="W110"/>
      <c r="X110" s="46"/>
      <c r="Y110" s="21"/>
      <c r="AM110"/>
      <c r="AN110"/>
      <c r="AO110"/>
      <c r="AP110"/>
      <c r="AQ110"/>
      <c r="AR110"/>
    </row>
    <row r="111" spans="2:44" ht="15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s="46"/>
      <c r="W111"/>
      <c r="X111" s="46"/>
      <c r="Y111" s="21"/>
      <c r="AM111"/>
      <c r="AN111"/>
      <c r="AO111"/>
      <c r="AP111"/>
      <c r="AQ111"/>
      <c r="AR111"/>
    </row>
    <row r="112" spans="2:44" ht="15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s="46"/>
      <c r="W112"/>
      <c r="X112" s="46"/>
      <c r="Y112" s="21"/>
      <c r="AM112"/>
      <c r="AN112"/>
      <c r="AO112"/>
      <c r="AP112"/>
      <c r="AQ112"/>
      <c r="AR112"/>
    </row>
    <row r="113" spans="2:44" ht="15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 s="46"/>
      <c r="W113"/>
      <c r="X113" s="46"/>
      <c r="Y113" s="21"/>
      <c r="AM113"/>
      <c r="AN113"/>
      <c r="AO113"/>
      <c r="AP113"/>
      <c r="AQ113"/>
      <c r="AR113"/>
    </row>
    <row r="114" spans="2:44" ht="15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s="46"/>
      <c r="W114"/>
      <c r="X114" s="46"/>
      <c r="Y114" s="21"/>
      <c r="AM114"/>
      <c r="AN114"/>
      <c r="AO114"/>
      <c r="AP114"/>
      <c r="AQ114"/>
      <c r="AR114"/>
    </row>
    <row r="115" spans="2:44" ht="15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 s="46"/>
      <c r="W115"/>
      <c r="X115" s="46"/>
      <c r="Y115" s="21"/>
      <c r="AM115"/>
      <c r="AN115"/>
      <c r="AO115"/>
      <c r="AP115"/>
      <c r="AQ115"/>
      <c r="AR115"/>
    </row>
    <row r="116" spans="2:44" ht="15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 s="46"/>
      <c r="W116"/>
      <c r="X116" s="46"/>
      <c r="Y116" s="21"/>
      <c r="AM116"/>
      <c r="AN116"/>
      <c r="AO116"/>
      <c r="AP116"/>
      <c r="AQ116"/>
      <c r="AR116"/>
    </row>
    <row r="117" spans="2:44" ht="15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 s="46"/>
      <c r="W117"/>
      <c r="X117" s="46"/>
      <c r="Y117" s="21"/>
      <c r="AM117"/>
      <c r="AN117"/>
      <c r="AO117"/>
      <c r="AP117"/>
      <c r="AQ117"/>
      <c r="AR117"/>
    </row>
    <row r="118" spans="2:44" ht="15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 s="46"/>
      <c r="W118"/>
      <c r="X118" s="46"/>
      <c r="Y118" s="21"/>
      <c r="AM118"/>
      <c r="AN118"/>
      <c r="AO118"/>
      <c r="AP118"/>
      <c r="AQ118"/>
      <c r="AR118"/>
    </row>
    <row r="119" spans="2:44" ht="15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 s="46"/>
      <c r="W119"/>
      <c r="X119" s="46"/>
      <c r="Y119" s="21"/>
      <c r="AM119"/>
      <c r="AN119"/>
      <c r="AO119"/>
      <c r="AP119"/>
      <c r="AQ119"/>
      <c r="AR119"/>
    </row>
    <row r="120" spans="2:44" ht="15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 s="46"/>
      <c r="W120"/>
      <c r="X120" s="46"/>
      <c r="Y120" s="21"/>
      <c r="AM120"/>
      <c r="AN120"/>
      <c r="AO120"/>
      <c r="AP120"/>
      <c r="AQ120"/>
      <c r="AR120"/>
    </row>
    <row r="121" spans="2:44" ht="15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 s="46"/>
      <c r="W121"/>
      <c r="X121" s="46"/>
      <c r="Y121" s="21"/>
      <c r="AM121"/>
      <c r="AN121"/>
      <c r="AO121"/>
      <c r="AP121"/>
      <c r="AQ121"/>
      <c r="AR121"/>
    </row>
    <row r="122" spans="2:44" ht="15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 s="46"/>
      <c r="W122"/>
      <c r="X122" s="46"/>
      <c r="Y122" s="21"/>
      <c r="AM122"/>
      <c r="AN122"/>
      <c r="AO122"/>
      <c r="AP122"/>
      <c r="AQ122"/>
      <c r="AR122"/>
    </row>
    <row r="123" spans="2:44" ht="15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 s="46"/>
      <c r="W123"/>
      <c r="X123" s="46"/>
      <c r="Y123" s="21"/>
      <c r="AM123"/>
      <c r="AN123"/>
      <c r="AO123"/>
      <c r="AP123"/>
      <c r="AQ123"/>
      <c r="AR123"/>
    </row>
    <row r="124" spans="2:44" ht="15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 s="46"/>
      <c r="W124"/>
      <c r="X124" s="46"/>
      <c r="Y124" s="21"/>
      <c r="AM124"/>
      <c r="AN124"/>
      <c r="AO124"/>
      <c r="AP124"/>
      <c r="AQ124"/>
      <c r="AR124"/>
    </row>
    <row r="125" spans="2:44" ht="15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s="46"/>
      <c r="W125"/>
      <c r="X125" s="46"/>
      <c r="Y125" s="21"/>
      <c r="AM125"/>
      <c r="AN125"/>
      <c r="AO125"/>
      <c r="AP125"/>
      <c r="AQ125"/>
      <c r="AR125"/>
    </row>
    <row r="126" spans="2:44" ht="15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 s="46"/>
      <c r="W126"/>
      <c r="X126" s="46"/>
      <c r="Y126" s="21"/>
      <c r="AM126"/>
      <c r="AN126"/>
      <c r="AO126"/>
      <c r="AP126"/>
      <c r="AQ126"/>
      <c r="AR126"/>
    </row>
    <row r="127" spans="2:44" ht="15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 s="46"/>
      <c r="W127"/>
      <c r="X127" s="46"/>
      <c r="Y127" s="21"/>
      <c r="AM127"/>
      <c r="AN127"/>
      <c r="AO127"/>
      <c r="AP127"/>
      <c r="AQ127"/>
      <c r="AR127"/>
    </row>
    <row r="128" spans="2:44" ht="15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 s="46"/>
      <c r="W128"/>
      <c r="X128" s="46"/>
      <c r="Y128" s="21"/>
      <c r="AE128"/>
      <c r="AF128"/>
      <c r="AG128"/>
      <c r="AH128"/>
      <c r="AM128"/>
      <c r="AN128"/>
      <c r="AO128"/>
      <c r="AP128"/>
      <c r="AQ128"/>
      <c r="AR128"/>
    </row>
    <row r="129" spans="2:44" ht="15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 s="46"/>
      <c r="W129"/>
      <c r="X129" s="46"/>
      <c r="Y129" s="21"/>
      <c r="AE129"/>
      <c r="AF129"/>
      <c r="AG129"/>
      <c r="AH129"/>
      <c r="AM129"/>
      <c r="AN129"/>
      <c r="AO129"/>
      <c r="AP129"/>
      <c r="AQ129"/>
      <c r="AR129"/>
    </row>
    <row r="130" spans="2:44" ht="15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s="46"/>
      <c r="W130"/>
      <c r="X130" s="46"/>
      <c r="Y130" s="21"/>
      <c r="AE130"/>
      <c r="AF130"/>
      <c r="AG130"/>
      <c r="AH130"/>
      <c r="AM130"/>
      <c r="AN130"/>
      <c r="AO130"/>
      <c r="AP130"/>
      <c r="AQ130"/>
      <c r="AR130"/>
    </row>
    <row r="131" spans="2:44" ht="15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 s="46"/>
      <c r="W131"/>
      <c r="X131" s="46"/>
      <c r="Y131" s="21"/>
      <c r="AE131"/>
      <c r="AF131"/>
      <c r="AG131"/>
      <c r="AH131"/>
      <c r="AM131"/>
      <c r="AN131"/>
      <c r="AO131"/>
      <c r="AP131"/>
      <c r="AQ131"/>
      <c r="AR131"/>
    </row>
    <row r="132" spans="2:44" ht="15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 s="46"/>
      <c r="W132"/>
      <c r="X132" s="46"/>
      <c r="Y132" s="21"/>
      <c r="AE132"/>
      <c r="AF132"/>
      <c r="AG132"/>
      <c r="AH132"/>
      <c r="AM132"/>
      <c r="AN132"/>
      <c r="AO132"/>
      <c r="AP132"/>
      <c r="AQ132"/>
      <c r="AR132"/>
    </row>
    <row r="133" spans="2:44" ht="15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s="46"/>
      <c r="W133"/>
      <c r="X133" s="46"/>
      <c r="Y133" s="21"/>
      <c r="AE133"/>
      <c r="AF133"/>
      <c r="AG133"/>
      <c r="AH133"/>
      <c r="AM133"/>
      <c r="AN133"/>
      <c r="AO133"/>
      <c r="AP133"/>
      <c r="AQ133"/>
      <c r="AR133"/>
    </row>
    <row r="134" spans="2:44" ht="15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 s="46"/>
      <c r="W134"/>
      <c r="X134" s="46"/>
      <c r="Y134" s="21"/>
      <c r="AE134"/>
      <c r="AF134"/>
      <c r="AG134"/>
      <c r="AH134"/>
      <c r="AM134"/>
      <c r="AN134"/>
      <c r="AO134"/>
      <c r="AP134"/>
      <c r="AQ134"/>
      <c r="AR134"/>
    </row>
    <row r="135" spans="2:44" ht="15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s="46"/>
      <c r="W135"/>
      <c r="X135" s="46"/>
      <c r="Y135" s="21"/>
      <c r="AE135"/>
      <c r="AF135"/>
      <c r="AG135"/>
      <c r="AH135"/>
      <c r="AM135"/>
      <c r="AN135"/>
      <c r="AO135"/>
      <c r="AP135"/>
      <c r="AQ135"/>
      <c r="AR135"/>
    </row>
    <row r="136" spans="2:44" ht="15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 s="46"/>
      <c r="W136"/>
      <c r="X136" s="46"/>
      <c r="Y136" s="21"/>
      <c r="AE136"/>
      <c r="AF136"/>
      <c r="AG136"/>
      <c r="AH136"/>
      <c r="AM136"/>
      <c r="AN136"/>
      <c r="AO136"/>
      <c r="AP136"/>
      <c r="AQ136"/>
      <c r="AR136"/>
    </row>
    <row r="137" spans="2:44" ht="15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 s="46"/>
      <c r="W137"/>
      <c r="X137" s="46"/>
      <c r="Y137" s="21"/>
      <c r="AE137"/>
      <c r="AF137"/>
      <c r="AG137"/>
      <c r="AH137"/>
      <c r="AM137"/>
      <c r="AN137"/>
      <c r="AO137"/>
      <c r="AP137"/>
      <c r="AQ137"/>
      <c r="AR137"/>
    </row>
    <row r="138" spans="2:44" ht="15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 s="46"/>
      <c r="W138"/>
      <c r="X138" s="46"/>
      <c r="Y138" s="21"/>
      <c r="AE138"/>
      <c r="AF138"/>
      <c r="AG138"/>
      <c r="AH138"/>
      <c r="AM138"/>
      <c r="AN138"/>
      <c r="AO138"/>
      <c r="AP138"/>
      <c r="AQ138"/>
      <c r="AR138"/>
    </row>
    <row r="139" spans="2:44" ht="15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s="46"/>
      <c r="W139"/>
      <c r="X139" s="46"/>
      <c r="Y139" s="21"/>
      <c r="AE139"/>
      <c r="AF139"/>
      <c r="AG139"/>
      <c r="AH139"/>
      <c r="AM139"/>
      <c r="AN139"/>
      <c r="AO139"/>
      <c r="AP139"/>
      <c r="AQ139"/>
      <c r="AR139"/>
    </row>
    <row r="140" spans="2:44" ht="15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 s="46"/>
      <c r="W140"/>
      <c r="X140" s="46"/>
      <c r="Y140" s="21"/>
      <c r="AE140"/>
      <c r="AF140"/>
      <c r="AG140"/>
      <c r="AH140"/>
      <c r="AM140"/>
      <c r="AN140"/>
      <c r="AO140"/>
      <c r="AP140"/>
      <c r="AQ140"/>
      <c r="AR140"/>
    </row>
    <row r="141" spans="2:44" ht="15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 s="46"/>
      <c r="W141"/>
      <c r="X141" s="46"/>
      <c r="Y141" s="21"/>
      <c r="AE141"/>
      <c r="AF141"/>
      <c r="AG141"/>
      <c r="AH141"/>
      <c r="AM141"/>
      <c r="AN141"/>
      <c r="AO141"/>
      <c r="AP141"/>
      <c r="AQ141"/>
      <c r="AR141"/>
    </row>
    <row r="142" spans="2:44" ht="15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 s="46"/>
      <c r="W142"/>
      <c r="X142" s="46"/>
      <c r="Y142" s="21"/>
      <c r="AE142"/>
      <c r="AF142"/>
      <c r="AG142"/>
      <c r="AH142"/>
      <c r="AM142"/>
      <c r="AN142"/>
      <c r="AO142"/>
      <c r="AP142"/>
      <c r="AQ142"/>
      <c r="AR142"/>
    </row>
    <row r="143" spans="2:44" ht="15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 s="46"/>
      <c r="W143"/>
      <c r="X143" s="46"/>
      <c r="Y143" s="21"/>
      <c r="AE143"/>
      <c r="AF143"/>
      <c r="AG143"/>
      <c r="AH143"/>
      <c r="AM143"/>
      <c r="AN143"/>
      <c r="AO143"/>
      <c r="AP143"/>
      <c r="AQ143"/>
      <c r="AR143"/>
    </row>
    <row r="144" spans="2:44" ht="15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s="46"/>
      <c r="W144"/>
      <c r="X144" s="46"/>
      <c r="Y144" s="21"/>
      <c r="AE144"/>
      <c r="AF144"/>
      <c r="AG144"/>
      <c r="AH144"/>
      <c r="AM144"/>
      <c r="AN144"/>
      <c r="AO144"/>
      <c r="AP144"/>
      <c r="AQ144"/>
      <c r="AR144"/>
    </row>
    <row r="145" spans="2:44" ht="15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 s="46"/>
      <c r="W145"/>
      <c r="X145" s="46"/>
      <c r="Y145" s="21"/>
      <c r="AE145"/>
      <c r="AF145"/>
      <c r="AG145"/>
      <c r="AH145"/>
      <c r="AM145"/>
      <c r="AN145"/>
      <c r="AO145"/>
      <c r="AP145"/>
      <c r="AQ145"/>
      <c r="AR145"/>
    </row>
    <row r="146" spans="2:44" ht="15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 s="46"/>
      <c r="W146"/>
      <c r="X146" s="46"/>
      <c r="Y146" s="21"/>
      <c r="AE146"/>
      <c r="AF146"/>
      <c r="AG146"/>
      <c r="AH146"/>
      <c r="AM146"/>
      <c r="AN146"/>
      <c r="AO146"/>
      <c r="AP146"/>
      <c r="AQ146"/>
      <c r="AR146"/>
    </row>
    <row r="147" spans="2:44" ht="15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 s="46"/>
      <c r="W147"/>
      <c r="X147" s="46"/>
      <c r="Y147" s="21"/>
      <c r="AE147"/>
      <c r="AF147"/>
      <c r="AG147"/>
      <c r="AH147"/>
      <c r="AM147"/>
      <c r="AN147"/>
      <c r="AO147"/>
      <c r="AP147"/>
      <c r="AQ147"/>
      <c r="AR147"/>
    </row>
    <row r="148" spans="2:44" ht="15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 s="46"/>
      <c r="W148"/>
      <c r="X148" s="46"/>
      <c r="Y148" s="21"/>
      <c r="AE148"/>
      <c r="AF148"/>
      <c r="AG148"/>
      <c r="AH148"/>
      <c r="AM148"/>
      <c r="AN148"/>
      <c r="AO148"/>
      <c r="AP148"/>
      <c r="AQ148"/>
      <c r="AR148"/>
    </row>
    <row r="149" spans="2:44" ht="15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 s="46"/>
      <c r="W149"/>
      <c r="X149" s="46"/>
      <c r="Y149" s="21"/>
      <c r="AE149"/>
      <c r="AF149"/>
      <c r="AG149"/>
      <c r="AH149"/>
      <c r="AM149"/>
      <c r="AN149"/>
      <c r="AO149"/>
      <c r="AP149"/>
      <c r="AQ149"/>
      <c r="AR149"/>
    </row>
    <row r="150" spans="2:44" ht="15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 s="46"/>
      <c r="W150"/>
      <c r="X150" s="46"/>
      <c r="Y150" s="21"/>
      <c r="AE150"/>
      <c r="AF150"/>
      <c r="AG150"/>
      <c r="AH150"/>
      <c r="AM150"/>
      <c r="AN150"/>
      <c r="AO150"/>
      <c r="AP150"/>
      <c r="AQ150"/>
      <c r="AR150"/>
    </row>
    <row r="151" spans="2:44" ht="15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 s="46"/>
      <c r="W151"/>
      <c r="X151" s="46"/>
      <c r="Y151" s="21"/>
      <c r="AE151"/>
      <c r="AF151"/>
      <c r="AG151"/>
      <c r="AH151"/>
      <c r="AM151"/>
      <c r="AN151"/>
      <c r="AO151"/>
      <c r="AP151"/>
      <c r="AQ151"/>
      <c r="AR151"/>
    </row>
    <row r="152" spans="2:44" ht="15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 s="46"/>
      <c r="W152"/>
      <c r="X152" s="46"/>
      <c r="Y152" s="21"/>
      <c r="AE152"/>
      <c r="AF152"/>
      <c r="AG152"/>
      <c r="AH152"/>
      <c r="AM152"/>
      <c r="AN152"/>
      <c r="AO152"/>
      <c r="AP152"/>
      <c r="AQ152"/>
      <c r="AR152"/>
    </row>
    <row r="153" spans="2:44" ht="15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 s="46"/>
      <c r="W153"/>
      <c r="X153" s="46"/>
      <c r="Y153" s="21"/>
      <c r="AE153"/>
      <c r="AF153"/>
      <c r="AG153"/>
      <c r="AH153"/>
      <c r="AM153"/>
      <c r="AN153"/>
      <c r="AO153"/>
      <c r="AP153"/>
      <c r="AQ153"/>
      <c r="AR153"/>
    </row>
    <row r="154" spans="2:44" ht="15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 s="46"/>
      <c r="W154"/>
      <c r="X154" s="46"/>
      <c r="Y154" s="21"/>
      <c r="AE154"/>
      <c r="AF154"/>
      <c r="AG154"/>
      <c r="AH154"/>
      <c r="AM154"/>
      <c r="AN154"/>
      <c r="AO154"/>
      <c r="AP154"/>
      <c r="AQ154"/>
      <c r="AR154"/>
    </row>
    <row r="155" spans="2:44" ht="15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 s="46"/>
      <c r="W155"/>
      <c r="X155" s="46"/>
      <c r="Y155" s="21"/>
      <c r="AE155"/>
      <c r="AF155"/>
      <c r="AG155"/>
      <c r="AH155"/>
      <c r="AM155"/>
      <c r="AN155"/>
      <c r="AO155"/>
      <c r="AP155"/>
      <c r="AQ155"/>
      <c r="AR155"/>
    </row>
    <row r="156" spans="2:44" ht="15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 s="46"/>
      <c r="W156"/>
      <c r="X156" s="46"/>
      <c r="Y156" s="21"/>
      <c r="AE156"/>
      <c r="AF156"/>
      <c r="AG156"/>
      <c r="AH156"/>
      <c r="AM156"/>
      <c r="AN156"/>
      <c r="AO156"/>
      <c r="AP156"/>
      <c r="AQ156"/>
      <c r="AR156"/>
    </row>
    <row r="157" spans="2:44" ht="15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 s="46"/>
      <c r="W157"/>
      <c r="X157" s="46"/>
      <c r="Y157" s="21"/>
      <c r="AE157"/>
      <c r="AF157"/>
      <c r="AG157"/>
      <c r="AH157"/>
      <c r="AM157"/>
      <c r="AN157"/>
      <c r="AO157"/>
      <c r="AP157"/>
      <c r="AQ157"/>
      <c r="AR157"/>
    </row>
    <row r="158" spans="2:44" ht="15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s="46"/>
      <c r="W158"/>
      <c r="X158" s="46"/>
      <c r="Y158" s="21"/>
      <c r="AE158"/>
      <c r="AF158"/>
      <c r="AG158"/>
      <c r="AH158"/>
      <c r="AM158"/>
      <c r="AN158"/>
      <c r="AO158"/>
      <c r="AP158"/>
      <c r="AQ158"/>
      <c r="AR158"/>
    </row>
    <row r="159" spans="2:44" ht="15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 s="46"/>
      <c r="W159"/>
      <c r="X159" s="46"/>
      <c r="Y159" s="21"/>
      <c r="AE159"/>
      <c r="AF159"/>
      <c r="AG159"/>
      <c r="AH159"/>
      <c r="AM159"/>
      <c r="AN159"/>
      <c r="AO159"/>
      <c r="AP159"/>
      <c r="AQ159"/>
      <c r="AR159"/>
    </row>
    <row r="160" spans="2:44" ht="15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 s="46"/>
      <c r="W160"/>
      <c r="X160" s="46"/>
      <c r="Y160" s="21"/>
      <c r="AE160"/>
      <c r="AF160"/>
      <c r="AG160"/>
      <c r="AH160"/>
      <c r="AM160"/>
      <c r="AN160"/>
      <c r="AO160"/>
      <c r="AP160"/>
      <c r="AQ160"/>
      <c r="AR160"/>
    </row>
    <row r="161" spans="2:44" ht="15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 s="46"/>
      <c r="W161"/>
      <c r="X161" s="46"/>
      <c r="Y161" s="21"/>
      <c r="AE161"/>
      <c r="AF161"/>
      <c r="AG161"/>
      <c r="AH161"/>
      <c r="AM161"/>
      <c r="AN161"/>
      <c r="AO161"/>
      <c r="AP161"/>
      <c r="AQ161"/>
      <c r="AR161"/>
    </row>
    <row r="162" spans="2:44" ht="15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 s="46"/>
      <c r="W162"/>
      <c r="X162" s="46"/>
      <c r="Y162" s="21"/>
      <c r="AE162"/>
      <c r="AF162"/>
      <c r="AG162"/>
      <c r="AH162"/>
      <c r="AM162"/>
      <c r="AN162"/>
      <c r="AO162"/>
      <c r="AP162"/>
      <c r="AQ162"/>
      <c r="AR162"/>
    </row>
    <row r="163" spans="2:44" ht="15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 s="46"/>
      <c r="W163"/>
      <c r="X163" s="46"/>
      <c r="Y163" s="21"/>
      <c r="AE163"/>
      <c r="AF163"/>
      <c r="AG163"/>
      <c r="AH163"/>
      <c r="AM163"/>
      <c r="AN163"/>
      <c r="AO163"/>
      <c r="AP163"/>
      <c r="AQ163"/>
      <c r="AR163"/>
    </row>
    <row r="164" spans="2:44" ht="15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 s="46"/>
      <c r="W164"/>
      <c r="X164" s="46"/>
      <c r="Y164" s="21"/>
      <c r="AE164"/>
      <c r="AF164"/>
      <c r="AG164"/>
      <c r="AH164"/>
      <c r="AM164"/>
      <c r="AN164"/>
      <c r="AO164"/>
      <c r="AP164"/>
      <c r="AQ164"/>
      <c r="AR164"/>
    </row>
    <row r="165" spans="2:44" ht="15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 s="46"/>
      <c r="W165"/>
      <c r="X165" s="46"/>
      <c r="Y165" s="21"/>
      <c r="AE165"/>
      <c r="AF165"/>
      <c r="AG165"/>
      <c r="AH165"/>
      <c r="AM165"/>
      <c r="AN165"/>
      <c r="AO165"/>
      <c r="AP165"/>
      <c r="AQ165"/>
      <c r="AR165"/>
    </row>
    <row r="166" spans="2:44" ht="15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 s="46"/>
      <c r="W166"/>
      <c r="X166" s="46"/>
      <c r="Y166" s="21"/>
      <c r="AE166"/>
      <c r="AF166"/>
      <c r="AG166"/>
      <c r="AH166"/>
      <c r="AM166"/>
      <c r="AN166"/>
      <c r="AO166"/>
      <c r="AP166"/>
      <c r="AQ166"/>
      <c r="AR166"/>
    </row>
    <row r="167" spans="2:44" ht="15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 s="46"/>
      <c r="W167"/>
      <c r="X167" s="46"/>
      <c r="Y167" s="21"/>
      <c r="AE167"/>
      <c r="AF167"/>
      <c r="AG167"/>
      <c r="AH167"/>
      <c r="AM167"/>
      <c r="AN167"/>
      <c r="AO167"/>
      <c r="AP167"/>
      <c r="AQ167"/>
      <c r="AR167"/>
    </row>
    <row r="168" spans="2:44" ht="15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 s="46"/>
      <c r="W168"/>
      <c r="X168" s="46"/>
      <c r="Y168" s="21"/>
      <c r="AE168"/>
      <c r="AF168"/>
      <c r="AG168"/>
      <c r="AH168"/>
      <c r="AM168"/>
      <c r="AN168"/>
      <c r="AO168"/>
      <c r="AP168"/>
      <c r="AQ168"/>
      <c r="AR168"/>
    </row>
    <row r="169" spans="2:44" ht="15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 s="46"/>
      <c r="W169"/>
      <c r="X169" s="46"/>
      <c r="Y169" s="21"/>
      <c r="AE169"/>
      <c r="AF169"/>
      <c r="AG169"/>
      <c r="AH169"/>
      <c r="AM169"/>
      <c r="AN169"/>
      <c r="AO169"/>
      <c r="AP169"/>
      <c r="AQ169"/>
      <c r="AR169"/>
    </row>
    <row r="170" spans="2:44" ht="15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 s="46"/>
      <c r="W170"/>
      <c r="X170" s="46"/>
      <c r="Y170" s="21"/>
      <c r="AE170"/>
      <c r="AF170"/>
      <c r="AG170"/>
      <c r="AH170"/>
      <c r="AM170"/>
      <c r="AN170"/>
      <c r="AO170"/>
      <c r="AP170"/>
      <c r="AQ170"/>
      <c r="AR170"/>
    </row>
    <row r="171" spans="2:44" ht="15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s="46"/>
      <c r="W171"/>
      <c r="X171" s="46"/>
      <c r="Y171" s="21"/>
      <c r="AE171"/>
      <c r="AF171"/>
      <c r="AG171"/>
      <c r="AH171"/>
      <c r="AM171"/>
      <c r="AN171"/>
      <c r="AO171"/>
      <c r="AP171"/>
      <c r="AQ171"/>
      <c r="AR171"/>
    </row>
    <row r="172" spans="2:44" ht="15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 s="46"/>
      <c r="W172"/>
      <c r="X172" s="46"/>
      <c r="Y172" s="21"/>
      <c r="AE172"/>
      <c r="AF172"/>
      <c r="AG172"/>
      <c r="AH172"/>
      <c r="AM172"/>
      <c r="AN172"/>
      <c r="AO172"/>
      <c r="AP172"/>
      <c r="AQ172"/>
      <c r="AR172"/>
    </row>
    <row r="173" spans="2:44" ht="15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s="46"/>
      <c r="W173"/>
      <c r="X173" s="46"/>
      <c r="Y173" s="21"/>
      <c r="AE173"/>
      <c r="AF173"/>
      <c r="AG173"/>
      <c r="AH173"/>
      <c r="AM173"/>
      <c r="AN173"/>
      <c r="AO173"/>
      <c r="AP173"/>
      <c r="AQ173"/>
      <c r="AR173"/>
    </row>
    <row r="174" spans="2:44" ht="15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 s="46"/>
      <c r="W174"/>
      <c r="X174" s="46"/>
      <c r="Y174" s="21"/>
      <c r="AE174"/>
      <c r="AF174"/>
      <c r="AG174"/>
      <c r="AH174"/>
      <c r="AM174"/>
      <c r="AN174"/>
      <c r="AO174"/>
      <c r="AP174"/>
      <c r="AQ174"/>
      <c r="AR174"/>
    </row>
    <row r="175" spans="2:44" ht="15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 s="46"/>
      <c r="W175"/>
      <c r="X175" s="46"/>
      <c r="Y175" s="21"/>
      <c r="AE175"/>
      <c r="AF175"/>
      <c r="AG175"/>
      <c r="AH175"/>
      <c r="AM175"/>
      <c r="AN175"/>
      <c r="AO175"/>
      <c r="AP175"/>
      <c r="AQ175"/>
      <c r="AR175"/>
    </row>
    <row r="176" spans="2:44" ht="15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 s="46"/>
      <c r="W176"/>
      <c r="X176" s="46"/>
      <c r="Y176" s="21"/>
      <c r="AE176"/>
      <c r="AF176"/>
      <c r="AG176"/>
      <c r="AH176"/>
      <c r="AM176"/>
      <c r="AN176"/>
      <c r="AO176"/>
      <c r="AP176"/>
      <c r="AQ176"/>
      <c r="AR176"/>
    </row>
    <row r="177" spans="2:44" ht="15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 s="46"/>
      <c r="W177"/>
      <c r="X177" s="46"/>
      <c r="Y177" s="21"/>
      <c r="AE177"/>
      <c r="AF177"/>
      <c r="AG177"/>
      <c r="AH177"/>
      <c r="AM177"/>
      <c r="AN177"/>
      <c r="AO177"/>
      <c r="AP177"/>
      <c r="AQ177"/>
      <c r="AR177"/>
    </row>
    <row r="178" spans="2:44" ht="15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 s="46"/>
      <c r="W178"/>
      <c r="X178" s="46"/>
      <c r="Y178" s="21"/>
      <c r="AE178"/>
      <c r="AF178"/>
      <c r="AG178"/>
      <c r="AH178"/>
      <c r="AM178"/>
      <c r="AN178"/>
      <c r="AO178"/>
      <c r="AP178"/>
      <c r="AQ178"/>
      <c r="AR178"/>
    </row>
    <row r="179" spans="2:44" ht="15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 s="46"/>
      <c r="W179"/>
      <c r="X179" s="46"/>
      <c r="Y179" s="21"/>
      <c r="AE179"/>
      <c r="AF179"/>
      <c r="AG179"/>
      <c r="AH179"/>
      <c r="AM179"/>
      <c r="AN179"/>
      <c r="AO179"/>
      <c r="AP179"/>
      <c r="AQ179"/>
      <c r="AR179"/>
    </row>
    <row r="180" spans="2:44" ht="15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 s="46"/>
      <c r="W180"/>
      <c r="X180" s="46"/>
      <c r="Y180" s="21"/>
      <c r="AE180"/>
      <c r="AF180"/>
      <c r="AG180"/>
      <c r="AH180"/>
      <c r="AM180"/>
      <c r="AN180"/>
      <c r="AO180"/>
      <c r="AP180"/>
      <c r="AQ180"/>
      <c r="AR180"/>
    </row>
    <row r="181" spans="2:44" ht="15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 s="46"/>
      <c r="W181"/>
      <c r="X181" s="46"/>
      <c r="Y181" s="21"/>
      <c r="AE181"/>
      <c r="AF181"/>
      <c r="AG181"/>
      <c r="AH181"/>
      <c r="AM181"/>
      <c r="AN181"/>
      <c r="AO181"/>
      <c r="AP181"/>
      <c r="AQ181"/>
      <c r="AR181"/>
    </row>
    <row r="182" spans="2:44" ht="15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 s="46"/>
      <c r="W182"/>
      <c r="X182" s="46"/>
      <c r="Y182" s="21"/>
      <c r="AE182"/>
      <c r="AF182"/>
      <c r="AG182"/>
      <c r="AH182"/>
      <c r="AM182"/>
      <c r="AN182"/>
      <c r="AO182"/>
      <c r="AP182"/>
      <c r="AQ182"/>
      <c r="AR182"/>
    </row>
    <row r="183" spans="2:44" ht="15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 s="46"/>
      <c r="W183"/>
      <c r="X183" s="46"/>
      <c r="Y183" s="21"/>
      <c r="AE183"/>
      <c r="AF183"/>
      <c r="AG183"/>
      <c r="AH183"/>
      <c r="AM183"/>
      <c r="AN183"/>
      <c r="AO183"/>
      <c r="AP183"/>
      <c r="AQ183"/>
      <c r="AR183"/>
    </row>
    <row r="184" spans="2:44" ht="15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 s="46"/>
      <c r="W184"/>
      <c r="X184" s="46"/>
      <c r="Y184" s="21"/>
      <c r="AE184"/>
      <c r="AF184"/>
      <c r="AG184"/>
      <c r="AH184"/>
      <c r="AM184"/>
      <c r="AN184"/>
      <c r="AO184"/>
      <c r="AP184"/>
      <c r="AQ184"/>
      <c r="AR184"/>
    </row>
    <row r="185" spans="2:44" ht="15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 s="46"/>
      <c r="W185"/>
      <c r="X185" s="46"/>
      <c r="Y185" s="21"/>
      <c r="AE185"/>
      <c r="AF185"/>
      <c r="AG185"/>
      <c r="AH185"/>
      <c r="AM185"/>
      <c r="AN185"/>
      <c r="AO185"/>
      <c r="AP185"/>
      <c r="AQ185"/>
      <c r="AR185"/>
    </row>
    <row r="186" spans="2:44" ht="15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 s="46"/>
      <c r="W186"/>
      <c r="X186" s="46"/>
      <c r="Y186" s="21"/>
      <c r="AE186"/>
      <c r="AF186"/>
      <c r="AG186"/>
      <c r="AH186"/>
      <c r="AM186"/>
      <c r="AN186"/>
      <c r="AO186"/>
      <c r="AP186"/>
      <c r="AQ186"/>
      <c r="AR186"/>
    </row>
    <row r="187" spans="2:44" ht="15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 s="46"/>
      <c r="W187"/>
      <c r="X187" s="46"/>
      <c r="Y187" s="21"/>
      <c r="AE187"/>
      <c r="AF187"/>
      <c r="AG187"/>
      <c r="AH187"/>
      <c r="AM187"/>
      <c r="AN187"/>
      <c r="AO187"/>
      <c r="AP187"/>
      <c r="AQ187"/>
      <c r="AR187"/>
    </row>
    <row r="188" spans="2:44" ht="15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 s="46"/>
      <c r="W188"/>
      <c r="X188" s="46"/>
      <c r="Y188" s="21"/>
      <c r="AE188"/>
      <c r="AF188"/>
      <c r="AG188"/>
      <c r="AH188"/>
      <c r="AM188"/>
      <c r="AN188"/>
      <c r="AO188"/>
      <c r="AP188"/>
      <c r="AQ188"/>
      <c r="AR188"/>
    </row>
    <row r="189" spans="2:44" ht="15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 s="46"/>
      <c r="W189"/>
      <c r="X189" s="46"/>
      <c r="Y189" s="21"/>
      <c r="AE189"/>
      <c r="AF189"/>
      <c r="AG189"/>
      <c r="AH189"/>
      <c r="AM189"/>
      <c r="AN189"/>
      <c r="AO189"/>
      <c r="AP189"/>
      <c r="AQ189"/>
      <c r="AR189"/>
    </row>
    <row r="190" spans="2:44" ht="15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 s="46"/>
      <c r="W190"/>
      <c r="X190" s="46"/>
      <c r="Y190" s="21"/>
      <c r="AE190"/>
      <c r="AF190"/>
      <c r="AG190"/>
      <c r="AH190"/>
      <c r="AM190"/>
      <c r="AN190"/>
      <c r="AO190"/>
      <c r="AP190"/>
      <c r="AQ190"/>
      <c r="AR190"/>
    </row>
    <row r="191" spans="2:44" ht="15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s="46"/>
      <c r="W191"/>
      <c r="X191" s="46"/>
      <c r="Y191" s="21"/>
      <c r="AE191"/>
      <c r="AF191"/>
      <c r="AG191"/>
      <c r="AH191"/>
      <c r="AM191"/>
      <c r="AN191"/>
      <c r="AO191"/>
      <c r="AP191"/>
      <c r="AQ191"/>
      <c r="AR191"/>
    </row>
    <row r="192" spans="2:44" ht="15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 s="46"/>
      <c r="W192"/>
      <c r="X192" s="46"/>
      <c r="Y192" s="21"/>
      <c r="AE192"/>
      <c r="AF192"/>
      <c r="AG192"/>
      <c r="AH192"/>
      <c r="AM192"/>
      <c r="AN192"/>
      <c r="AO192"/>
      <c r="AP192"/>
      <c r="AQ192"/>
      <c r="AR192"/>
    </row>
    <row r="193" spans="2:44" ht="15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 s="46"/>
      <c r="W193"/>
      <c r="X193" s="46"/>
      <c r="Y193" s="21"/>
      <c r="AE193"/>
      <c r="AF193"/>
      <c r="AG193"/>
      <c r="AH193"/>
      <c r="AM193"/>
      <c r="AN193"/>
      <c r="AO193"/>
      <c r="AP193"/>
      <c r="AQ193"/>
      <c r="AR193"/>
    </row>
    <row r="194" spans="2:44" ht="15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 s="46"/>
      <c r="W194"/>
      <c r="X194" s="46"/>
      <c r="Y194" s="21"/>
      <c r="AE194"/>
      <c r="AF194"/>
      <c r="AG194"/>
      <c r="AH194"/>
      <c r="AM194"/>
      <c r="AN194"/>
      <c r="AO194"/>
      <c r="AP194"/>
      <c r="AQ194"/>
      <c r="AR194"/>
    </row>
    <row r="195" spans="2:44" ht="15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 s="46"/>
      <c r="W195"/>
      <c r="X195" s="46"/>
      <c r="Y195" s="21"/>
      <c r="AE195"/>
      <c r="AF195"/>
      <c r="AG195"/>
      <c r="AH195"/>
      <c r="AM195"/>
      <c r="AN195"/>
      <c r="AO195"/>
      <c r="AP195"/>
      <c r="AQ195"/>
      <c r="AR195"/>
    </row>
    <row r="196" spans="2:44" ht="15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s="46"/>
      <c r="W196"/>
      <c r="X196" s="46"/>
      <c r="Y196" s="21"/>
      <c r="AE196"/>
      <c r="AF196"/>
      <c r="AG196"/>
      <c r="AH196"/>
      <c r="AM196"/>
      <c r="AN196"/>
      <c r="AO196"/>
      <c r="AP196"/>
      <c r="AQ196"/>
      <c r="AR196"/>
    </row>
    <row r="197" spans="2:44" ht="15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 s="46"/>
      <c r="W197"/>
      <c r="X197" s="46"/>
      <c r="Y197" s="21"/>
      <c r="AE197"/>
      <c r="AF197"/>
      <c r="AG197"/>
      <c r="AH197"/>
      <c r="AM197"/>
      <c r="AN197"/>
      <c r="AO197"/>
      <c r="AP197"/>
      <c r="AQ197"/>
      <c r="AR197"/>
    </row>
    <row r="198" spans="2:44" ht="15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 s="46"/>
      <c r="W198"/>
      <c r="X198" s="46"/>
      <c r="Y198" s="21"/>
      <c r="AE198"/>
      <c r="AF198"/>
      <c r="AG198"/>
      <c r="AH198"/>
      <c r="AM198"/>
      <c r="AN198"/>
      <c r="AO198"/>
      <c r="AP198"/>
      <c r="AQ198"/>
      <c r="AR198"/>
    </row>
    <row r="199" spans="2:44" ht="15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 s="46"/>
      <c r="W199"/>
      <c r="X199" s="46"/>
      <c r="Y199" s="21"/>
      <c r="AE199"/>
      <c r="AF199"/>
      <c r="AG199"/>
      <c r="AH199"/>
      <c r="AM199"/>
      <c r="AN199"/>
      <c r="AO199"/>
      <c r="AP199"/>
      <c r="AQ199"/>
      <c r="AR199"/>
    </row>
    <row r="200" spans="2:44" ht="15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s="46"/>
      <c r="W200"/>
      <c r="X200" s="46"/>
      <c r="Y200" s="21"/>
      <c r="AE200"/>
      <c r="AF200"/>
      <c r="AG200"/>
      <c r="AH200"/>
      <c r="AM200"/>
      <c r="AN200"/>
      <c r="AO200"/>
      <c r="AP200"/>
      <c r="AQ200"/>
      <c r="AR200"/>
    </row>
    <row r="201" spans="2:44" ht="15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 s="46"/>
      <c r="W201"/>
      <c r="X201" s="46"/>
      <c r="Y201" s="21"/>
      <c r="AE201"/>
      <c r="AF201"/>
      <c r="AG201"/>
      <c r="AH201"/>
      <c r="AM201"/>
      <c r="AN201"/>
      <c r="AO201"/>
      <c r="AP201"/>
      <c r="AQ201"/>
      <c r="AR201"/>
    </row>
    <row r="202" spans="2:44" ht="15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 s="46"/>
      <c r="W202"/>
      <c r="X202" s="46"/>
      <c r="Y202" s="21"/>
      <c r="AE202"/>
      <c r="AF202"/>
      <c r="AG202"/>
      <c r="AH202"/>
      <c r="AM202"/>
      <c r="AN202"/>
      <c r="AO202"/>
      <c r="AP202"/>
      <c r="AQ202"/>
      <c r="AR202"/>
    </row>
    <row r="203" spans="2:44" ht="15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 s="46"/>
      <c r="W203"/>
      <c r="X203" s="46"/>
      <c r="Y203" s="21"/>
      <c r="AE203"/>
      <c r="AF203"/>
      <c r="AG203"/>
      <c r="AH203"/>
      <c r="AM203"/>
      <c r="AN203"/>
      <c r="AO203"/>
      <c r="AP203"/>
      <c r="AQ203"/>
      <c r="AR203"/>
    </row>
    <row r="204" spans="2:44" ht="15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s="46"/>
      <c r="W204"/>
      <c r="X204" s="46"/>
      <c r="Y204" s="21"/>
      <c r="AE204"/>
      <c r="AF204"/>
      <c r="AG204"/>
      <c r="AH204"/>
      <c r="AM204"/>
      <c r="AN204"/>
      <c r="AO204"/>
      <c r="AP204"/>
      <c r="AQ204"/>
      <c r="AR204"/>
    </row>
    <row r="205" spans="2:44" ht="15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 s="46"/>
      <c r="W205"/>
      <c r="X205" s="46"/>
      <c r="Y205" s="21"/>
      <c r="AE205"/>
      <c r="AF205"/>
      <c r="AG205"/>
      <c r="AH205"/>
      <c r="AM205"/>
      <c r="AN205"/>
      <c r="AO205"/>
      <c r="AP205"/>
      <c r="AQ205"/>
      <c r="AR205"/>
    </row>
    <row r="206" spans="2:44" ht="15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 s="46"/>
      <c r="W206"/>
      <c r="X206" s="46"/>
      <c r="Y206" s="21"/>
      <c r="AE206"/>
      <c r="AF206"/>
      <c r="AG206"/>
      <c r="AH206"/>
      <c r="AM206"/>
      <c r="AN206"/>
      <c r="AO206"/>
      <c r="AP206"/>
      <c r="AQ206"/>
      <c r="AR206"/>
    </row>
    <row r="207" spans="2:44" ht="15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 s="46"/>
      <c r="W207"/>
      <c r="X207" s="46"/>
      <c r="Y207" s="21"/>
      <c r="AE207"/>
      <c r="AF207"/>
      <c r="AG207"/>
      <c r="AH207"/>
      <c r="AM207"/>
      <c r="AN207"/>
      <c r="AO207"/>
      <c r="AP207"/>
      <c r="AQ207"/>
      <c r="AR207"/>
    </row>
    <row r="208" spans="2:44" ht="15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 s="46"/>
      <c r="W208"/>
      <c r="X208" s="46"/>
      <c r="Y208" s="21"/>
      <c r="AE208"/>
      <c r="AF208"/>
      <c r="AG208"/>
      <c r="AH208"/>
      <c r="AM208"/>
      <c r="AN208"/>
      <c r="AO208"/>
      <c r="AP208"/>
      <c r="AQ208"/>
      <c r="AR208"/>
    </row>
    <row r="209" spans="2:44" ht="15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s="46"/>
      <c r="W209"/>
      <c r="X209" s="46"/>
      <c r="Y209" s="21"/>
      <c r="AE209"/>
      <c r="AF209"/>
      <c r="AG209"/>
      <c r="AH209"/>
      <c r="AM209"/>
      <c r="AN209"/>
      <c r="AO209"/>
      <c r="AP209"/>
      <c r="AQ209"/>
      <c r="AR209"/>
    </row>
    <row r="210" spans="2:44" ht="15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 s="46"/>
      <c r="W210"/>
      <c r="X210" s="46"/>
      <c r="Y210" s="21"/>
      <c r="AE210"/>
      <c r="AF210"/>
      <c r="AG210"/>
      <c r="AH210"/>
      <c r="AM210"/>
      <c r="AN210"/>
      <c r="AO210"/>
      <c r="AP210"/>
      <c r="AQ210"/>
      <c r="AR210"/>
    </row>
    <row r="211" spans="2:44" ht="15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s="46"/>
      <c r="W211"/>
      <c r="X211" s="46"/>
      <c r="Y211" s="21"/>
      <c r="AE211"/>
      <c r="AF211"/>
      <c r="AG211"/>
      <c r="AH211"/>
      <c r="AM211"/>
      <c r="AN211"/>
      <c r="AO211"/>
      <c r="AP211"/>
      <c r="AQ211"/>
      <c r="AR211"/>
    </row>
    <row r="212" spans="2:44" ht="15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 s="46"/>
      <c r="W212"/>
      <c r="X212" s="46"/>
      <c r="Y212" s="21"/>
      <c r="AE212"/>
      <c r="AF212"/>
      <c r="AG212"/>
      <c r="AH212"/>
      <c r="AM212"/>
      <c r="AN212"/>
      <c r="AO212"/>
      <c r="AP212"/>
      <c r="AQ212"/>
      <c r="AR212"/>
    </row>
    <row r="213" spans="2:44" ht="15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 s="46"/>
      <c r="W213"/>
      <c r="X213" s="46"/>
      <c r="Y213" s="21"/>
      <c r="AE213"/>
      <c r="AF213"/>
      <c r="AG213"/>
      <c r="AH213"/>
      <c r="AM213"/>
      <c r="AN213"/>
      <c r="AO213"/>
      <c r="AP213"/>
      <c r="AQ213"/>
      <c r="AR213"/>
    </row>
    <row r="214" spans="2:44" ht="15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 s="46"/>
      <c r="W214"/>
      <c r="X214" s="46"/>
      <c r="Y214" s="21"/>
      <c r="AE214"/>
      <c r="AF214"/>
      <c r="AG214"/>
      <c r="AH214"/>
      <c r="AM214"/>
      <c r="AN214"/>
      <c r="AO214"/>
      <c r="AP214"/>
      <c r="AQ214"/>
      <c r="AR214"/>
    </row>
    <row r="215" spans="2:44" ht="15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 s="46"/>
      <c r="W215"/>
      <c r="X215" s="46"/>
      <c r="Y215" s="21"/>
      <c r="AE215"/>
      <c r="AF215"/>
      <c r="AG215"/>
      <c r="AH215"/>
      <c r="AM215"/>
      <c r="AN215"/>
      <c r="AO215"/>
      <c r="AP215"/>
      <c r="AQ215"/>
      <c r="AR215"/>
    </row>
    <row r="216" spans="2:44" ht="15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 s="46"/>
      <c r="W216"/>
      <c r="X216" s="46"/>
      <c r="Y216" s="21"/>
      <c r="AE216"/>
      <c r="AF216"/>
      <c r="AG216"/>
      <c r="AH216"/>
      <c r="AM216"/>
      <c r="AN216"/>
      <c r="AO216"/>
      <c r="AP216"/>
      <c r="AQ216"/>
      <c r="AR216"/>
    </row>
    <row r="217" spans="2:44" ht="15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s="46"/>
      <c r="W217"/>
      <c r="X217" s="46"/>
      <c r="Y217" s="21"/>
      <c r="AE217"/>
      <c r="AF217"/>
      <c r="AG217"/>
      <c r="AH217"/>
      <c r="AM217"/>
      <c r="AN217"/>
      <c r="AO217"/>
      <c r="AP217"/>
      <c r="AQ217"/>
      <c r="AR217"/>
    </row>
    <row r="218" spans="2:44" ht="15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s="46"/>
      <c r="W218"/>
      <c r="X218" s="46"/>
      <c r="Y218" s="21"/>
      <c r="AE218"/>
      <c r="AF218"/>
      <c r="AG218"/>
      <c r="AH218"/>
      <c r="AM218"/>
      <c r="AN218"/>
      <c r="AO218"/>
      <c r="AP218"/>
      <c r="AQ218"/>
      <c r="AR218"/>
    </row>
    <row r="219" spans="2:44" ht="15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s="46"/>
      <c r="W219"/>
      <c r="X219" s="46"/>
      <c r="Y219" s="21"/>
      <c r="AE219"/>
      <c r="AF219"/>
      <c r="AG219"/>
      <c r="AH219"/>
      <c r="AM219"/>
      <c r="AN219"/>
      <c r="AO219"/>
      <c r="AP219"/>
      <c r="AQ219"/>
      <c r="AR219"/>
    </row>
    <row r="220" spans="2:44" ht="15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s="46"/>
      <c r="W220"/>
      <c r="X220" s="46"/>
      <c r="Y220" s="21"/>
      <c r="AE220"/>
      <c r="AF220"/>
      <c r="AG220"/>
      <c r="AH220"/>
      <c r="AM220"/>
      <c r="AN220"/>
      <c r="AO220"/>
      <c r="AP220"/>
      <c r="AQ220"/>
      <c r="AR220"/>
    </row>
    <row r="221" spans="2:44" ht="15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s="46"/>
      <c r="W221"/>
      <c r="X221" s="46"/>
      <c r="Y221" s="21"/>
      <c r="AE221"/>
      <c r="AF221"/>
      <c r="AG221"/>
      <c r="AH221"/>
      <c r="AM221"/>
      <c r="AN221"/>
      <c r="AO221"/>
      <c r="AP221"/>
      <c r="AQ221"/>
      <c r="AR221"/>
    </row>
    <row r="222" spans="2:44" ht="15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s="46"/>
      <c r="W222"/>
      <c r="X222" s="46"/>
      <c r="Y222" s="21"/>
      <c r="AE222"/>
      <c r="AF222"/>
      <c r="AG222"/>
      <c r="AH222"/>
      <c r="AM222"/>
      <c r="AN222"/>
      <c r="AO222"/>
      <c r="AP222"/>
      <c r="AQ222"/>
      <c r="AR222"/>
    </row>
    <row r="223" spans="2:44" ht="15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s="46"/>
      <c r="W223"/>
      <c r="X223" s="46"/>
      <c r="Y223" s="21"/>
      <c r="AE223"/>
      <c r="AF223"/>
      <c r="AG223"/>
      <c r="AH223"/>
      <c r="AM223"/>
      <c r="AN223"/>
      <c r="AO223"/>
      <c r="AP223"/>
      <c r="AQ223"/>
      <c r="AR223"/>
    </row>
    <row r="224" spans="2:44" ht="15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 s="46"/>
      <c r="W224"/>
      <c r="X224" s="46"/>
      <c r="Y224" s="21"/>
      <c r="AE224"/>
      <c r="AF224"/>
      <c r="AG224"/>
      <c r="AH224"/>
      <c r="AM224"/>
      <c r="AN224"/>
      <c r="AO224"/>
      <c r="AP224"/>
      <c r="AQ224"/>
      <c r="AR224"/>
    </row>
    <row r="225" spans="2:44" ht="15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s="46"/>
      <c r="W225"/>
      <c r="X225" s="46"/>
      <c r="Y225" s="21"/>
      <c r="AE225"/>
      <c r="AF225"/>
      <c r="AG225"/>
      <c r="AH225"/>
      <c r="AM225"/>
      <c r="AN225"/>
      <c r="AO225"/>
      <c r="AP225"/>
      <c r="AQ225"/>
      <c r="AR225"/>
    </row>
    <row r="226" spans="2:44" ht="15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s="46"/>
      <c r="W226"/>
      <c r="X226" s="46"/>
      <c r="Y226" s="21"/>
      <c r="AE226"/>
      <c r="AF226"/>
      <c r="AG226"/>
      <c r="AH226"/>
      <c r="AM226"/>
      <c r="AN226"/>
      <c r="AO226"/>
      <c r="AP226"/>
      <c r="AQ226"/>
      <c r="AR226"/>
    </row>
    <row r="227" spans="2:44" ht="15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s="46"/>
      <c r="W227"/>
      <c r="X227" s="46"/>
      <c r="Y227" s="21"/>
      <c r="AE227"/>
      <c r="AF227"/>
      <c r="AG227"/>
      <c r="AH227"/>
      <c r="AM227"/>
      <c r="AN227"/>
      <c r="AO227"/>
      <c r="AP227"/>
      <c r="AQ227"/>
      <c r="AR227"/>
    </row>
    <row r="228" spans="2:44" ht="15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s="46"/>
      <c r="W228"/>
      <c r="X228" s="46"/>
      <c r="Y228" s="21"/>
      <c r="AE228"/>
      <c r="AF228"/>
      <c r="AG228"/>
      <c r="AH228"/>
      <c r="AM228"/>
      <c r="AN228"/>
      <c r="AO228"/>
      <c r="AP228"/>
      <c r="AQ228"/>
      <c r="AR228"/>
    </row>
    <row r="229" spans="2:44" ht="15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s="46"/>
      <c r="W229"/>
      <c r="X229" s="46"/>
      <c r="Y229" s="21"/>
      <c r="AE229"/>
      <c r="AF229"/>
      <c r="AG229"/>
      <c r="AH229"/>
      <c r="AM229"/>
      <c r="AN229"/>
      <c r="AO229"/>
      <c r="AP229"/>
      <c r="AQ229"/>
      <c r="AR229"/>
    </row>
    <row r="230" spans="2:44" ht="15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s="46"/>
      <c r="W230"/>
      <c r="X230" s="46"/>
      <c r="Y230" s="21"/>
      <c r="AE230"/>
      <c r="AF230"/>
      <c r="AG230"/>
      <c r="AH230"/>
      <c r="AM230"/>
      <c r="AN230"/>
      <c r="AO230"/>
      <c r="AP230"/>
      <c r="AQ230"/>
      <c r="AR230"/>
    </row>
    <row r="231" spans="2:44" ht="15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 s="46"/>
      <c r="W231"/>
      <c r="X231" s="46"/>
      <c r="Y231" s="21"/>
      <c r="AE231"/>
      <c r="AF231"/>
      <c r="AG231"/>
      <c r="AH231"/>
      <c r="AM231"/>
      <c r="AN231"/>
      <c r="AO231"/>
      <c r="AP231"/>
      <c r="AQ231"/>
      <c r="AR231"/>
    </row>
    <row r="232" spans="2:44" ht="15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 s="46"/>
      <c r="W232"/>
      <c r="X232" s="46"/>
      <c r="Y232" s="21"/>
      <c r="AE232"/>
      <c r="AF232"/>
      <c r="AG232"/>
      <c r="AH232"/>
      <c r="AM232"/>
      <c r="AN232"/>
      <c r="AO232"/>
      <c r="AP232"/>
      <c r="AQ232"/>
      <c r="AR232"/>
    </row>
    <row r="233" spans="2:44" ht="15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 s="46"/>
      <c r="W233"/>
      <c r="X233" s="46"/>
      <c r="Y233" s="21"/>
      <c r="AE233"/>
      <c r="AF233"/>
      <c r="AG233"/>
      <c r="AH233"/>
      <c r="AM233"/>
      <c r="AN233"/>
      <c r="AO233"/>
      <c r="AP233"/>
      <c r="AQ233"/>
      <c r="AR233"/>
    </row>
    <row r="234" spans="2:44" ht="15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s="46"/>
      <c r="W234"/>
      <c r="X234" s="46"/>
      <c r="Y234" s="21"/>
      <c r="AE234"/>
      <c r="AF234"/>
      <c r="AG234"/>
      <c r="AH234"/>
      <c r="AM234"/>
      <c r="AN234"/>
      <c r="AO234"/>
      <c r="AP234"/>
      <c r="AQ234"/>
      <c r="AR234"/>
    </row>
    <row r="235" spans="2:44" ht="15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 s="46"/>
      <c r="W235"/>
      <c r="X235" s="46"/>
      <c r="Y235" s="21"/>
      <c r="AE235"/>
      <c r="AF235"/>
      <c r="AG235"/>
      <c r="AH235"/>
      <c r="AM235"/>
      <c r="AN235"/>
      <c r="AO235"/>
      <c r="AP235"/>
      <c r="AQ235"/>
      <c r="AR235"/>
    </row>
    <row r="236" spans="2:44" ht="15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 s="46"/>
      <c r="W236"/>
      <c r="X236" s="46"/>
      <c r="Y236" s="21"/>
      <c r="AE236"/>
      <c r="AF236"/>
      <c r="AG236"/>
      <c r="AH236"/>
      <c r="AM236"/>
      <c r="AN236"/>
      <c r="AO236"/>
      <c r="AP236"/>
      <c r="AQ236"/>
      <c r="AR236"/>
    </row>
    <row r="237" spans="2:44" ht="15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 s="46"/>
      <c r="W237"/>
      <c r="X237" s="46"/>
      <c r="Y237" s="21"/>
      <c r="AE237"/>
      <c r="AF237"/>
      <c r="AG237"/>
      <c r="AH237"/>
      <c r="AM237"/>
      <c r="AN237"/>
      <c r="AO237"/>
      <c r="AP237"/>
      <c r="AQ237"/>
      <c r="AR237"/>
    </row>
    <row r="238" spans="2:44" ht="15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 s="46"/>
      <c r="W238"/>
      <c r="X238" s="46"/>
      <c r="Y238" s="21"/>
      <c r="AE238"/>
      <c r="AF238"/>
      <c r="AG238"/>
      <c r="AH238"/>
      <c r="AM238"/>
      <c r="AN238"/>
      <c r="AO238"/>
      <c r="AP238"/>
      <c r="AQ238"/>
      <c r="AR238"/>
    </row>
    <row r="239" spans="2:44" ht="15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 s="46"/>
      <c r="W239"/>
      <c r="X239" s="46"/>
      <c r="Y239" s="21"/>
      <c r="AE239"/>
      <c r="AF239"/>
      <c r="AG239"/>
      <c r="AH239"/>
      <c r="AM239"/>
      <c r="AN239"/>
      <c r="AO239"/>
      <c r="AP239"/>
      <c r="AQ239"/>
      <c r="AR239"/>
    </row>
    <row r="240" spans="2:44" ht="15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 s="46"/>
      <c r="W240"/>
      <c r="X240" s="46"/>
      <c r="Y240" s="21"/>
      <c r="AE240"/>
      <c r="AF240"/>
      <c r="AG240"/>
      <c r="AH240"/>
      <c r="AM240"/>
      <c r="AN240"/>
      <c r="AO240"/>
      <c r="AP240"/>
      <c r="AQ240"/>
      <c r="AR240"/>
    </row>
    <row r="241" spans="2:44" ht="15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 s="46"/>
      <c r="W241"/>
      <c r="X241" s="46"/>
      <c r="Y241" s="21"/>
      <c r="AE241"/>
      <c r="AF241"/>
      <c r="AG241"/>
      <c r="AH241"/>
      <c r="AM241"/>
      <c r="AN241"/>
      <c r="AO241"/>
      <c r="AP241"/>
      <c r="AQ241"/>
      <c r="AR241"/>
    </row>
    <row r="242" spans="2:44" ht="15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 s="46"/>
      <c r="W242"/>
      <c r="X242" s="46"/>
      <c r="Y242" s="21"/>
      <c r="AE242"/>
      <c r="AF242"/>
      <c r="AG242"/>
      <c r="AH242"/>
      <c r="AM242"/>
      <c r="AN242"/>
      <c r="AO242"/>
      <c r="AP242"/>
      <c r="AQ242"/>
      <c r="AR242"/>
    </row>
    <row r="243" spans="2:44" ht="15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 s="46"/>
      <c r="W243"/>
      <c r="X243" s="46"/>
      <c r="Y243" s="21"/>
      <c r="AE243"/>
      <c r="AF243"/>
      <c r="AG243"/>
      <c r="AH243"/>
      <c r="AM243"/>
      <c r="AN243"/>
      <c r="AO243"/>
      <c r="AP243"/>
      <c r="AQ243"/>
      <c r="AR243"/>
    </row>
    <row r="244" spans="2:44" ht="15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 s="46"/>
      <c r="W244"/>
      <c r="X244" s="46"/>
      <c r="Y244" s="21"/>
      <c r="AE244"/>
      <c r="AF244"/>
      <c r="AG244"/>
      <c r="AH244"/>
      <c r="AM244"/>
      <c r="AN244"/>
      <c r="AO244"/>
      <c r="AP244"/>
      <c r="AQ244"/>
      <c r="AR244"/>
    </row>
    <row r="245" spans="2:44" ht="15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 s="46"/>
      <c r="W245"/>
      <c r="X245" s="46"/>
      <c r="Y245" s="21"/>
      <c r="AE245"/>
      <c r="AF245"/>
      <c r="AG245"/>
      <c r="AH245"/>
      <c r="AM245"/>
      <c r="AN245"/>
      <c r="AO245"/>
      <c r="AP245"/>
      <c r="AQ245"/>
      <c r="AR245"/>
    </row>
    <row r="246" spans="2:44" ht="15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 s="46"/>
      <c r="W246"/>
      <c r="X246" s="46"/>
      <c r="Y246" s="21"/>
      <c r="AE246"/>
      <c r="AF246"/>
      <c r="AG246"/>
      <c r="AH246"/>
      <c r="AM246"/>
      <c r="AN246"/>
      <c r="AO246"/>
      <c r="AP246"/>
      <c r="AQ246"/>
      <c r="AR246"/>
    </row>
    <row r="247" spans="2:44" ht="15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 s="46"/>
      <c r="W247"/>
      <c r="X247" s="46"/>
      <c r="Y247" s="21"/>
      <c r="AE247"/>
      <c r="AF247"/>
      <c r="AG247"/>
      <c r="AH247"/>
      <c r="AM247"/>
      <c r="AN247"/>
      <c r="AO247"/>
      <c r="AP247"/>
      <c r="AQ247"/>
      <c r="AR247"/>
    </row>
    <row r="248" spans="2:44" ht="15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 s="46"/>
      <c r="W248"/>
      <c r="X248" s="46"/>
      <c r="Y248" s="21"/>
      <c r="AE248"/>
      <c r="AF248"/>
      <c r="AG248"/>
      <c r="AH248"/>
      <c r="AM248"/>
      <c r="AN248"/>
      <c r="AO248"/>
      <c r="AP248"/>
      <c r="AQ248"/>
      <c r="AR248"/>
    </row>
    <row r="249" spans="2:44" ht="15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 s="46"/>
      <c r="W249"/>
      <c r="X249" s="46"/>
      <c r="Y249" s="21"/>
      <c r="AE249"/>
      <c r="AF249"/>
      <c r="AG249"/>
      <c r="AH249"/>
      <c r="AM249"/>
      <c r="AN249"/>
      <c r="AO249"/>
      <c r="AP249"/>
      <c r="AQ249"/>
      <c r="AR249"/>
    </row>
    <row r="250" spans="2:44" ht="15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 s="46"/>
      <c r="W250"/>
      <c r="X250" s="46"/>
      <c r="Y250" s="21"/>
      <c r="AA250"/>
      <c r="AB250"/>
      <c r="AC250"/>
      <c r="AD250"/>
      <c r="AE250"/>
      <c r="AF250"/>
      <c r="AG250"/>
      <c r="AH250"/>
      <c r="AM250"/>
      <c r="AN250"/>
      <c r="AO250"/>
      <c r="AP250"/>
      <c r="AQ250"/>
      <c r="AR250"/>
    </row>
    <row r="251" spans="2:44" ht="15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 s="46"/>
      <c r="W251"/>
      <c r="X251" s="46"/>
      <c r="Y251" s="21"/>
      <c r="AA251"/>
      <c r="AB251"/>
      <c r="AC251"/>
      <c r="AD251"/>
      <c r="AE251"/>
      <c r="AF251"/>
      <c r="AG251"/>
      <c r="AH251"/>
      <c r="AM251"/>
      <c r="AN251"/>
      <c r="AO251"/>
      <c r="AP251"/>
      <c r="AQ251"/>
      <c r="AR251"/>
    </row>
    <row r="252" spans="2:44" ht="15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 s="46"/>
      <c r="W252"/>
      <c r="X252" s="46"/>
      <c r="Y252" s="21"/>
      <c r="AA252"/>
      <c r="AB252"/>
      <c r="AC252"/>
      <c r="AD252"/>
      <c r="AE252"/>
      <c r="AF252"/>
      <c r="AG252"/>
      <c r="AH252"/>
      <c r="AM252"/>
      <c r="AN252"/>
      <c r="AO252"/>
      <c r="AP252"/>
      <c r="AQ252"/>
      <c r="AR252"/>
    </row>
    <row r="253" spans="2:44" ht="15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 s="46"/>
      <c r="W253"/>
      <c r="X253" s="46"/>
      <c r="Y253" s="21"/>
      <c r="AA253"/>
      <c r="AB253"/>
      <c r="AC253"/>
      <c r="AD253"/>
      <c r="AE253"/>
      <c r="AF253"/>
      <c r="AG253"/>
      <c r="AH253"/>
      <c r="AM253"/>
      <c r="AN253"/>
      <c r="AO253"/>
      <c r="AP253"/>
      <c r="AQ253"/>
      <c r="AR253"/>
    </row>
    <row r="254" spans="2:44" ht="15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 s="46"/>
      <c r="W254"/>
      <c r="X254" s="46"/>
      <c r="Y254" s="21"/>
      <c r="AA254"/>
      <c r="AB254"/>
      <c r="AC254"/>
      <c r="AD254"/>
      <c r="AE254"/>
      <c r="AF254"/>
      <c r="AG254"/>
      <c r="AH254"/>
      <c r="AM254"/>
      <c r="AN254"/>
      <c r="AO254"/>
      <c r="AP254"/>
      <c r="AQ254"/>
      <c r="AR254"/>
    </row>
    <row r="255" spans="2:44" ht="15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 s="46"/>
      <c r="W255"/>
      <c r="X255" s="46"/>
      <c r="Y255" s="21"/>
      <c r="AA255"/>
      <c r="AB255"/>
      <c r="AC255"/>
      <c r="AD255"/>
      <c r="AE255"/>
      <c r="AF255"/>
      <c r="AG255"/>
      <c r="AH255"/>
      <c r="AM255"/>
      <c r="AN255"/>
      <c r="AO255"/>
      <c r="AP255"/>
      <c r="AQ255"/>
      <c r="AR255"/>
    </row>
    <row r="256" spans="2:44" ht="15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 s="46"/>
      <c r="W256"/>
      <c r="X256" s="46"/>
      <c r="Y256" s="21"/>
      <c r="AA256"/>
      <c r="AB256"/>
      <c r="AC256"/>
      <c r="AD256"/>
      <c r="AE256"/>
      <c r="AF256"/>
      <c r="AG256"/>
      <c r="AH256"/>
      <c r="AM256"/>
      <c r="AN256"/>
      <c r="AO256"/>
      <c r="AP256"/>
      <c r="AQ256"/>
      <c r="AR256"/>
    </row>
    <row r="257" spans="2:44" ht="15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 s="46"/>
      <c r="W257"/>
      <c r="X257" s="46"/>
      <c r="Y257" s="21"/>
      <c r="AA257"/>
      <c r="AB257"/>
      <c r="AC257"/>
      <c r="AD257"/>
      <c r="AE257"/>
      <c r="AF257"/>
      <c r="AG257"/>
      <c r="AH257"/>
      <c r="AM257"/>
      <c r="AN257"/>
      <c r="AO257"/>
      <c r="AP257"/>
      <c r="AQ257"/>
      <c r="AR257"/>
    </row>
    <row r="258" spans="2:44" ht="15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 s="46"/>
      <c r="W258"/>
      <c r="X258" s="46"/>
      <c r="Y258" s="21"/>
      <c r="AA258"/>
      <c r="AB258"/>
      <c r="AC258"/>
      <c r="AD258"/>
      <c r="AE258"/>
      <c r="AF258"/>
      <c r="AG258"/>
      <c r="AH258"/>
      <c r="AM258"/>
      <c r="AN258"/>
      <c r="AO258"/>
      <c r="AP258"/>
      <c r="AQ258"/>
      <c r="AR258"/>
    </row>
    <row r="259" spans="2:44" ht="15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 s="46"/>
      <c r="W259"/>
      <c r="X259" s="46"/>
      <c r="Y259" s="21"/>
      <c r="AA259"/>
      <c r="AB259"/>
      <c r="AC259"/>
      <c r="AD259"/>
      <c r="AE259"/>
      <c r="AF259"/>
      <c r="AG259"/>
      <c r="AH259"/>
      <c r="AM259"/>
      <c r="AN259"/>
      <c r="AO259"/>
      <c r="AP259"/>
      <c r="AQ259"/>
      <c r="AR259"/>
    </row>
    <row r="260" spans="2:44" ht="15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 s="46"/>
      <c r="W260"/>
      <c r="X260" s="46"/>
      <c r="Y260" s="21"/>
      <c r="AA260"/>
      <c r="AB260"/>
      <c r="AC260"/>
      <c r="AD260"/>
      <c r="AE260"/>
      <c r="AF260"/>
      <c r="AG260"/>
      <c r="AH260"/>
      <c r="AM260"/>
      <c r="AN260"/>
      <c r="AO260"/>
      <c r="AP260"/>
      <c r="AQ260"/>
      <c r="AR260"/>
    </row>
    <row r="261" spans="2:44" ht="15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 s="46"/>
      <c r="W261"/>
      <c r="X261" s="46"/>
      <c r="Y261" s="21"/>
      <c r="AA261"/>
      <c r="AB261"/>
      <c r="AC261"/>
      <c r="AD261"/>
      <c r="AE261"/>
      <c r="AF261"/>
      <c r="AG261"/>
      <c r="AH261"/>
      <c r="AM261"/>
      <c r="AN261"/>
      <c r="AO261"/>
      <c r="AP261"/>
      <c r="AQ261"/>
      <c r="AR261"/>
    </row>
    <row r="262" spans="2:44" ht="15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 s="46"/>
      <c r="W262"/>
      <c r="X262" s="46"/>
      <c r="Y262" s="21"/>
      <c r="AA262"/>
      <c r="AB262"/>
      <c r="AC262"/>
      <c r="AD262"/>
      <c r="AE262"/>
      <c r="AF262"/>
      <c r="AG262"/>
      <c r="AH262"/>
      <c r="AM262"/>
      <c r="AN262"/>
      <c r="AO262"/>
      <c r="AP262"/>
      <c r="AQ262"/>
      <c r="AR262"/>
    </row>
    <row r="263" spans="2:44" ht="15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 s="46"/>
      <c r="W263"/>
      <c r="X263" s="46"/>
      <c r="Y263" s="21"/>
      <c r="AA263"/>
      <c r="AB263"/>
      <c r="AC263"/>
      <c r="AD263"/>
      <c r="AE263"/>
      <c r="AF263"/>
      <c r="AG263"/>
      <c r="AH263"/>
      <c r="AM263"/>
      <c r="AN263"/>
      <c r="AO263"/>
      <c r="AP263"/>
      <c r="AQ263"/>
      <c r="AR263"/>
    </row>
    <row r="264" spans="2:44" ht="15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s="46"/>
      <c r="W264"/>
      <c r="X264" s="46"/>
      <c r="Y264" s="21"/>
      <c r="AA264"/>
      <c r="AB264"/>
      <c r="AC264"/>
      <c r="AD264"/>
      <c r="AE264"/>
      <c r="AF264"/>
      <c r="AG264"/>
      <c r="AH264"/>
      <c r="AM264"/>
      <c r="AN264"/>
      <c r="AO264"/>
      <c r="AP264"/>
      <c r="AQ264"/>
      <c r="AR264"/>
    </row>
    <row r="265" spans="2:44" ht="15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 s="46"/>
      <c r="W265"/>
      <c r="X265" s="46"/>
      <c r="Y265" s="21"/>
      <c r="AA265"/>
      <c r="AB265"/>
      <c r="AC265"/>
      <c r="AD265"/>
      <c r="AE265"/>
      <c r="AF265"/>
      <c r="AG265"/>
      <c r="AH265"/>
      <c r="AM265"/>
      <c r="AN265"/>
      <c r="AO265"/>
      <c r="AP265"/>
      <c r="AQ265"/>
      <c r="AR265"/>
    </row>
    <row r="266" spans="2:44" ht="15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 s="46"/>
      <c r="W266"/>
      <c r="X266" s="46"/>
      <c r="Y266" s="21"/>
      <c r="AA266"/>
      <c r="AB266"/>
      <c r="AC266"/>
      <c r="AD266"/>
      <c r="AE266"/>
      <c r="AF266"/>
      <c r="AG266"/>
      <c r="AH266"/>
      <c r="AM266"/>
      <c r="AN266"/>
      <c r="AO266"/>
      <c r="AP266"/>
      <c r="AQ266"/>
      <c r="AR266"/>
    </row>
    <row r="267" spans="2:44" ht="15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 s="46"/>
      <c r="W267"/>
      <c r="X267" s="46"/>
      <c r="Y267" s="21"/>
      <c r="AA267"/>
      <c r="AB267"/>
      <c r="AC267"/>
      <c r="AD267"/>
      <c r="AE267"/>
      <c r="AF267"/>
      <c r="AG267"/>
      <c r="AH267"/>
      <c r="AM267"/>
      <c r="AN267"/>
      <c r="AO267"/>
      <c r="AP267"/>
      <c r="AQ267"/>
      <c r="AR267"/>
    </row>
    <row r="268" spans="2:44" ht="15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 s="46"/>
      <c r="W268"/>
      <c r="X268" s="46"/>
      <c r="Y268" s="21"/>
      <c r="AA268"/>
      <c r="AB268"/>
      <c r="AC268"/>
      <c r="AD268"/>
      <c r="AE268"/>
      <c r="AF268"/>
      <c r="AG268"/>
      <c r="AH268"/>
      <c r="AM268"/>
      <c r="AN268"/>
      <c r="AO268"/>
      <c r="AP268"/>
      <c r="AQ268"/>
      <c r="AR268"/>
    </row>
    <row r="269" spans="2:44" ht="15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 s="46"/>
      <c r="W269"/>
      <c r="X269" s="46"/>
      <c r="Y269" s="21"/>
      <c r="AA269"/>
      <c r="AB269"/>
      <c r="AC269"/>
      <c r="AD269"/>
      <c r="AE269"/>
      <c r="AF269"/>
      <c r="AG269"/>
      <c r="AH269"/>
      <c r="AM269"/>
      <c r="AN269"/>
      <c r="AO269"/>
      <c r="AP269"/>
      <c r="AQ269"/>
      <c r="AR269"/>
    </row>
    <row r="270" spans="2:44" ht="15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46"/>
      <c r="W270"/>
      <c r="X270" s="46"/>
      <c r="Y270" s="21"/>
      <c r="AA270"/>
      <c r="AB270"/>
      <c r="AC270"/>
      <c r="AD270"/>
      <c r="AE270"/>
      <c r="AF270"/>
      <c r="AG270"/>
      <c r="AH270"/>
      <c r="AM270"/>
      <c r="AN270"/>
      <c r="AO270"/>
      <c r="AP270"/>
      <c r="AQ270"/>
      <c r="AR270"/>
    </row>
    <row r="271" spans="2:44" ht="15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s="46"/>
      <c r="W271"/>
      <c r="X271" s="46"/>
      <c r="Y271" s="21"/>
      <c r="AA271"/>
      <c r="AB271"/>
      <c r="AC271"/>
      <c r="AD271"/>
      <c r="AE271"/>
      <c r="AF271"/>
      <c r="AG271"/>
      <c r="AH271"/>
      <c r="AM271"/>
      <c r="AN271"/>
      <c r="AO271"/>
      <c r="AP271"/>
      <c r="AQ271"/>
      <c r="AR271"/>
    </row>
    <row r="272" spans="2:44" ht="15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 s="46"/>
      <c r="W272"/>
      <c r="X272" s="46"/>
      <c r="Y272" s="21"/>
      <c r="AA272"/>
      <c r="AB272"/>
      <c r="AC272"/>
      <c r="AD272"/>
      <c r="AE272"/>
      <c r="AF272"/>
      <c r="AG272"/>
      <c r="AH272"/>
      <c r="AM272"/>
      <c r="AN272"/>
      <c r="AO272"/>
      <c r="AP272"/>
      <c r="AQ272"/>
      <c r="AR272"/>
    </row>
    <row r="273" spans="2:44" ht="15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 s="46"/>
      <c r="W273"/>
      <c r="X273" s="46"/>
      <c r="Y273" s="21"/>
      <c r="AA273"/>
      <c r="AB273"/>
      <c r="AC273"/>
      <c r="AD273"/>
      <c r="AE273"/>
      <c r="AF273"/>
      <c r="AG273"/>
      <c r="AH273"/>
      <c r="AM273"/>
      <c r="AN273"/>
      <c r="AO273"/>
      <c r="AP273"/>
      <c r="AQ273"/>
      <c r="AR273"/>
    </row>
    <row r="274" spans="2:44" ht="15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 s="46"/>
      <c r="W274"/>
      <c r="X274" s="46"/>
      <c r="Y274" s="21"/>
      <c r="AA274"/>
      <c r="AB274"/>
      <c r="AC274"/>
      <c r="AD274"/>
      <c r="AE274"/>
      <c r="AF274"/>
      <c r="AG274"/>
      <c r="AH274"/>
      <c r="AM274"/>
      <c r="AN274"/>
      <c r="AO274"/>
      <c r="AP274"/>
      <c r="AQ274"/>
      <c r="AR274"/>
    </row>
    <row r="275" spans="2:44" ht="15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 s="46"/>
      <c r="W275"/>
      <c r="X275" s="46"/>
      <c r="Y275" s="21"/>
      <c r="AA275"/>
      <c r="AB275"/>
      <c r="AC275"/>
      <c r="AD275"/>
      <c r="AE275"/>
      <c r="AF275"/>
      <c r="AG275"/>
      <c r="AH275"/>
      <c r="AM275"/>
      <c r="AN275"/>
      <c r="AO275"/>
      <c r="AP275"/>
      <c r="AQ275"/>
      <c r="AR275"/>
    </row>
    <row r="276" spans="2:44" ht="15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 s="46"/>
      <c r="W276"/>
      <c r="X276" s="46"/>
      <c r="Y276" s="21"/>
      <c r="AA276"/>
      <c r="AB276"/>
      <c r="AC276"/>
      <c r="AD276"/>
      <c r="AE276"/>
      <c r="AF276"/>
      <c r="AG276"/>
      <c r="AH276"/>
      <c r="AM276"/>
      <c r="AN276"/>
      <c r="AO276"/>
      <c r="AP276"/>
      <c r="AQ276"/>
      <c r="AR276"/>
    </row>
    <row r="277" spans="2:44" ht="15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 s="46"/>
      <c r="W277"/>
      <c r="X277" s="46"/>
      <c r="Y277" s="21"/>
      <c r="AA277"/>
      <c r="AB277"/>
      <c r="AC277"/>
      <c r="AD277"/>
      <c r="AE277"/>
      <c r="AF277"/>
      <c r="AG277"/>
      <c r="AH277"/>
      <c r="AM277"/>
      <c r="AN277"/>
      <c r="AO277"/>
      <c r="AP277"/>
      <c r="AQ277"/>
      <c r="AR277"/>
    </row>
    <row r="278" spans="2:44" ht="15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 s="46"/>
      <c r="W278"/>
      <c r="X278" s="46"/>
      <c r="Y278" s="21"/>
      <c r="AA278"/>
      <c r="AB278"/>
      <c r="AC278"/>
      <c r="AD278"/>
      <c r="AE278"/>
      <c r="AF278"/>
      <c r="AG278"/>
      <c r="AH278"/>
      <c r="AM278"/>
      <c r="AN278"/>
      <c r="AO278"/>
      <c r="AP278"/>
      <c r="AQ278"/>
      <c r="AR278"/>
    </row>
    <row r="279" spans="2:44" ht="15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 s="46"/>
      <c r="W279"/>
      <c r="X279" s="46"/>
      <c r="Y279" s="21"/>
      <c r="AA279"/>
      <c r="AB279"/>
      <c r="AC279"/>
      <c r="AD279"/>
      <c r="AE279"/>
      <c r="AF279"/>
      <c r="AG279"/>
      <c r="AH279"/>
      <c r="AM279"/>
      <c r="AN279"/>
      <c r="AO279"/>
      <c r="AP279"/>
      <c r="AQ279"/>
      <c r="AR279"/>
    </row>
    <row r="280" spans="2:44" ht="15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 s="46"/>
      <c r="W280"/>
      <c r="X280" s="46"/>
      <c r="Y280" s="21"/>
      <c r="AA280"/>
      <c r="AB280"/>
      <c r="AC280"/>
      <c r="AD280"/>
      <c r="AE280"/>
      <c r="AF280"/>
      <c r="AG280"/>
      <c r="AH280"/>
      <c r="AM280"/>
      <c r="AN280"/>
      <c r="AO280"/>
      <c r="AP280"/>
      <c r="AQ280"/>
      <c r="AR280"/>
    </row>
    <row r="281" spans="2:44" ht="15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 s="46"/>
      <c r="W281"/>
      <c r="X281" s="46"/>
      <c r="Y281" s="21"/>
      <c r="AA281"/>
      <c r="AB281"/>
      <c r="AC281"/>
      <c r="AD281"/>
      <c r="AE281"/>
      <c r="AF281"/>
      <c r="AG281"/>
      <c r="AH281"/>
      <c r="AM281"/>
      <c r="AN281"/>
      <c r="AO281"/>
      <c r="AP281"/>
      <c r="AQ281"/>
      <c r="AR281"/>
    </row>
    <row r="282" spans="2:44" ht="15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 s="46"/>
      <c r="W282"/>
      <c r="X282" s="46"/>
      <c r="Y282" s="21"/>
      <c r="AA282"/>
      <c r="AB282"/>
      <c r="AC282"/>
      <c r="AD282"/>
      <c r="AE282"/>
      <c r="AF282"/>
      <c r="AG282"/>
      <c r="AH282"/>
      <c r="AM282"/>
      <c r="AN282"/>
      <c r="AO282"/>
      <c r="AP282"/>
      <c r="AQ282"/>
      <c r="AR282"/>
    </row>
    <row r="283" spans="2:44" ht="15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 s="46"/>
      <c r="W283"/>
      <c r="X283" s="46"/>
      <c r="Y283" s="21"/>
      <c r="AA283"/>
      <c r="AB283"/>
      <c r="AC283"/>
      <c r="AD283"/>
      <c r="AM283"/>
      <c r="AN283"/>
      <c r="AO283"/>
      <c r="AP283"/>
      <c r="AQ283"/>
      <c r="AR283"/>
    </row>
    <row r="284" spans="2:44" ht="15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 s="46"/>
      <c r="W284"/>
      <c r="X284" s="46"/>
      <c r="Y284" s="21"/>
      <c r="AA284"/>
      <c r="AB284"/>
      <c r="AC284"/>
      <c r="AD284"/>
      <c r="AM284"/>
      <c r="AN284"/>
      <c r="AO284"/>
      <c r="AP284"/>
      <c r="AQ284"/>
      <c r="AR284"/>
    </row>
    <row r="285" spans="2:44" ht="15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s="46"/>
      <c r="W285"/>
      <c r="X285" s="46"/>
      <c r="Y285" s="21"/>
      <c r="AA285"/>
      <c r="AB285"/>
      <c r="AC285"/>
      <c r="AD285"/>
      <c r="AM285"/>
      <c r="AN285"/>
      <c r="AO285"/>
      <c r="AP285"/>
      <c r="AQ285"/>
      <c r="AR285"/>
    </row>
    <row r="286" spans="2:44" ht="15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s="46"/>
      <c r="W286"/>
      <c r="X286" s="46"/>
      <c r="Y286" s="21"/>
      <c r="AA286"/>
      <c r="AB286"/>
      <c r="AC286"/>
      <c r="AD286"/>
      <c r="AM286"/>
      <c r="AN286"/>
      <c r="AO286"/>
      <c r="AP286"/>
      <c r="AQ286"/>
      <c r="AR286"/>
    </row>
    <row r="287" spans="2:44" ht="15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 s="46"/>
      <c r="W287"/>
      <c r="X287" s="46"/>
      <c r="Y287" s="21"/>
      <c r="AA287"/>
      <c r="AB287"/>
      <c r="AC287"/>
      <c r="AD287"/>
      <c r="AM287"/>
      <c r="AN287"/>
      <c r="AO287"/>
      <c r="AP287"/>
      <c r="AQ287"/>
      <c r="AR287"/>
    </row>
    <row r="288" spans="2:44" ht="15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 s="46"/>
      <c r="W288"/>
      <c r="X288" s="46"/>
      <c r="Y288" s="21"/>
      <c r="AA288"/>
      <c r="AB288"/>
      <c r="AC288"/>
      <c r="AD288"/>
      <c r="AM288"/>
      <c r="AN288"/>
      <c r="AO288"/>
      <c r="AP288"/>
      <c r="AQ288"/>
      <c r="AR288"/>
    </row>
    <row r="289" spans="2:44" ht="15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 s="46"/>
      <c r="W289"/>
      <c r="X289" s="46"/>
      <c r="Y289" s="21"/>
      <c r="AM289"/>
      <c r="AN289"/>
      <c r="AO289"/>
      <c r="AP289"/>
      <c r="AQ289"/>
      <c r="AR289"/>
    </row>
    <row r="290" spans="2:44" ht="15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 s="46"/>
      <c r="W290"/>
      <c r="X290" s="46"/>
      <c r="Y290" s="21"/>
      <c r="AM290"/>
      <c r="AN290"/>
      <c r="AO290"/>
      <c r="AP290"/>
      <c r="AQ290"/>
      <c r="AR290"/>
    </row>
    <row r="291" spans="2:44" ht="15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 s="46"/>
      <c r="W291"/>
      <c r="X291" s="46"/>
      <c r="Y291" s="21"/>
      <c r="AM291"/>
      <c r="AN291"/>
      <c r="AO291"/>
      <c r="AP291"/>
      <c r="AQ291"/>
      <c r="AR291"/>
    </row>
    <row r="292" spans="2:44" ht="15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 s="46"/>
      <c r="W292"/>
      <c r="X292" s="46"/>
      <c r="Y292" s="21"/>
      <c r="AM292"/>
      <c r="AN292"/>
      <c r="AO292"/>
      <c r="AP292"/>
      <c r="AQ292"/>
      <c r="AR292"/>
    </row>
    <row r="293" spans="2:44" ht="15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 s="46"/>
      <c r="W293"/>
      <c r="X293" s="46"/>
      <c r="Y293" s="21"/>
      <c r="AM293"/>
      <c r="AN293"/>
      <c r="AO293"/>
      <c r="AP293"/>
      <c r="AQ293"/>
      <c r="AR293"/>
    </row>
    <row r="294" spans="2:44" ht="15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 s="46"/>
      <c r="W294"/>
      <c r="X294" s="46"/>
      <c r="Y294" s="21"/>
      <c r="AM294"/>
      <c r="AN294"/>
      <c r="AO294"/>
      <c r="AP294"/>
      <c r="AQ294"/>
      <c r="AR294"/>
    </row>
    <row r="295" spans="2:44" ht="15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 s="46"/>
      <c r="W295"/>
      <c r="X295" s="46"/>
      <c r="Y295" s="21"/>
      <c r="AM295"/>
      <c r="AN295"/>
      <c r="AO295"/>
      <c r="AP295"/>
      <c r="AQ295"/>
      <c r="AR295"/>
    </row>
    <row r="296" spans="2:44" ht="15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 s="46"/>
      <c r="W296"/>
      <c r="X296" s="46"/>
      <c r="Y296" s="21"/>
      <c r="AM296"/>
      <c r="AN296"/>
      <c r="AO296"/>
      <c r="AP296"/>
      <c r="AQ296"/>
      <c r="AR296"/>
    </row>
    <row r="297" spans="2:44" ht="15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 s="46"/>
      <c r="W297"/>
      <c r="X297" s="46"/>
      <c r="Y297" s="21"/>
      <c r="AM297"/>
      <c r="AN297"/>
      <c r="AO297"/>
      <c r="AP297"/>
      <c r="AQ297"/>
      <c r="AR297"/>
    </row>
    <row r="298" spans="2:44" ht="15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 s="46"/>
      <c r="W298"/>
      <c r="X298" s="46"/>
      <c r="Y298" s="21"/>
      <c r="AM298"/>
      <c r="AN298"/>
      <c r="AO298"/>
      <c r="AP298"/>
      <c r="AQ298"/>
      <c r="AR298"/>
    </row>
    <row r="299" spans="2:44" ht="15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 s="46"/>
      <c r="W299"/>
      <c r="X299" s="46"/>
      <c r="Y299" s="21"/>
      <c r="AM299"/>
      <c r="AN299"/>
      <c r="AO299"/>
      <c r="AP299"/>
      <c r="AQ299"/>
      <c r="AR299"/>
    </row>
    <row r="300" spans="2:44" ht="15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 s="46"/>
      <c r="W300"/>
      <c r="X300" s="46"/>
      <c r="Y300" s="21"/>
      <c r="AM300"/>
      <c r="AN300"/>
      <c r="AO300"/>
      <c r="AP300"/>
      <c r="AQ300"/>
      <c r="AR300"/>
    </row>
    <row r="301" spans="2:44" ht="15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 s="46"/>
      <c r="W301"/>
      <c r="X301" s="46"/>
      <c r="Y301" s="21"/>
      <c r="AM301"/>
      <c r="AN301"/>
      <c r="AO301"/>
      <c r="AP301"/>
      <c r="AQ301"/>
      <c r="AR301"/>
    </row>
    <row r="302" spans="2:44" ht="15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 s="46"/>
      <c r="W302"/>
      <c r="X302" s="46"/>
      <c r="Y302" s="21"/>
      <c r="AM302"/>
      <c r="AN302"/>
      <c r="AO302"/>
      <c r="AP302"/>
      <c r="AQ302"/>
      <c r="AR302"/>
    </row>
    <row r="303" spans="2:44" ht="15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 s="46"/>
      <c r="W303"/>
      <c r="X303" s="46"/>
      <c r="Y303" s="21"/>
      <c r="AM303"/>
      <c r="AN303"/>
      <c r="AO303"/>
      <c r="AP303"/>
      <c r="AQ303"/>
      <c r="AR303"/>
    </row>
    <row r="304" spans="2:44" ht="15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 s="46"/>
      <c r="W304"/>
      <c r="X304" s="46"/>
      <c r="Y304" s="21"/>
      <c r="AM304"/>
      <c r="AN304"/>
      <c r="AO304"/>
      <c r="AP304"/>
      <c r="AQ304"/>
      <c r="AR304"/>
    </row>
    <row r="305" spans="2:44" ht="15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 s="46"/>
      <c r="W305"/>
      <c r="X305" s="46"/>
      <c r="Y305" s="21"/>
      <c r="AM305"/>
      <c r="AN305"/>
      <c r="AO305"/>
      <c r="AP305"/>
      <c r="AQ305"/>
      <c r="AR305"/>
    </row>
    <row r="306" spans="2:44" ht="15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 s="46"/>
      <c r="W306"/>
      <c r="X306" s="46"/>
      <c r="Y306" s="21"/>
      <c r="AM306"/>
      <c r="AN306"/>
      <c r="AO306"/>
      <c r="AP306"/>
      <c r="AQ306"/>
      <c r="AR306"/>
    </row>
    <row r="307" spans="2:44" ht="15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 s="46"/>
      <c r="W307"/>
      <c r="X307" s="46"/>
      <c r="Y307" s="21"/>
      <c r="AM307"/>
      <c r="AN307"/>
      <c r="AO307"/>
      <c r="AP307"/>
      <c r="AQ307"/>
      <c r="AR307"/>
    </row>
    <row r="308" spans="2:44" ht="15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s="46"/>
      <c r="W308"/>
      <c r="X308" s="46"/>
      <c r="Y308" s="21"/>
      <c r="AM308"/>
      <c r="AN308"/>
      <c r="AO308"/>
      <c r="AP308"/>
      <c r="AQ308"/>
      <c r="AR308"/>
    </row>
    <row r="309" spans="2:44" ht="15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 s="46"/>
      <c r="W309"/>
      <c r="X309" s="46"/>
      <c r="Y309" s="21"/>
      <c r="AM309"/>
      <c r="AN309"/>
      <c r="AO309"/>
      <c r="AP309"/>
      <c r="AQ309"/>
      <c r="AR309"/>
    </row>
    <row r="310" spans="2:44" ht="15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46"/>
      <c r="W310"/>
      <c r="X310" s="46"/>
      <c r="Y310" s="21"/>
      <c r="AM310"/>
      <c r="AN310"/>
      <c r="AO310"/>
      <c r="AP310"/>
      <c r="AQ310"/>
      <c r="AR310"/>
    </row>
    <row r="311" spans="2:44" ht="15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 s="46"/>
      <c r="W311"/>
      <c r="X311" s="46"/>
      <c r="Y311" s="21"/>
      <c r="AM311"/>
      <c r="AN311"/>
      <c r="AO311"/>
      <c r="AP311"/>
      <c r="AQ311"/>
      <c r="AR311"/>
    </row>
    <row r="312" spans="2:44" ht="15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 s="46"/>
      <c r="W312"/>
      <c r="X312" s="46"/>
      <c r="Y312" s="21"/>
      <c r="AM312"/>
      <c r="AN312"/>
      <c r="AO312"/>
      <c r="AP312"/>
      <c r="AQ312"/>
      <c r="AR312"/>
    </row>
    <row r="313" spans="2:44" ht="15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 s="46"/>
      <c r="W313"/>
      <c r="X313" s="46"/>
      <c r="Y313" s="21"/>
      <c r="AM313"/>
      <c r="AN313"/>
      <c r="AO313"/>
      <c r="AP313"/>
      <c r="AQ313"/>
      <c r="AR313"/>
    </row>
    <row r="314" spans="2:44" ht="15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 s="46"/>
      <c r="W314"/>
      <c r="X314" s="46"/>
      <c r="Y314" s="21"/>
      <c r="AM314"/>
      <c r="AN314"/>
      <c r="AO314"/>
      <c r="AP314"/>
      <c r="AQ314"/>
      <c r="AR314"/>
    </row>
    <row r="315" spans="2:44" ht="15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 s="46"/>
      <c r="W315"/>
      <c r="X315" s="46"/>
      <c r="Y315" s="21"/>
      <c r="AM315"/>
      <c r="AN315"/>
      <c r="AO315"/>
      <c r="AP315"/>
      <c r="AQ315"/>
      <c r="AR315"/>
    </row>
    <row r="316" spans="2:44" ht="15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 s="46"/>
      <c r="W316"/>
      <c r="X316" s="46"/>
      <c r="Y316" s="21"/>
      <c r="AM316"/>
      <c r="AN316"/>
      <c r="AO316"/>
      <c r="AP316"/>
      <c r="AQ316"/>
      <c r="AR316"/>
    </row>
    <row r="317" spans="2:44" ht="15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 s="46"/>
      <c r="W317"/>
      <c r="X317" s="46"/>
      <c r="Y317" s="21"/>
      <c r="AM317"/>
      <c r="AN317"/>
      <c r="AO317"/>
      <c r="AP317"/>
      <c r="AQ317"/>
      <c r="AR317"/>
    </row>
    <row r="318" spans="2:44" ht="15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 s="46"/>
      <c r="W318"/>
      <c r="X318" s="46"/>
      <c r="Y318" s="21"/>
      <c r="AM318"/>
      <c r="AN318"/>
      <c r="AO318"/>
      <c r="AP318"/>
      <c r="AQ318"/>
      <c r="AR318"/>
    </row>
    <row r="319" spans="2:44" ht="15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 s="46"/>
      <c r="W319"/>
      <c r="X319" s="46"/>
      <c r="Y319" s="21"/>
      <c r="AM319"/>
      <c r="AN319"/>
      <c r="AO319"/>
      <c r="AP319"/>
      <c r="AQ319"/>
      <c r="AR319"/>
    </row>
    <row r="320" spans="2:44" ht="15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s="46"/>
      <c r="W320"/>
      <c r="X320" s="46"/>
      <c r="Y320" s="21"/>
      <c r="AM320"/>
      <c r="AN320"/>
      <c r="AO320"/>
      <c r="AP320"/>
      <c r="AQ320"/>
      <c r="AR320"/>
    </row>
    <row r="321" spans="2:44" ht="1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 s="46"/>
      <c r="W321"/>
      <c r="X321" s="46"/>
      <c r="Y321" s="21"/>
      <c r="AM321"/>
      <c r="AN321"/>
      <c r="AO321"/>
      <c r="AP321"/>
      <c r="AQ321"/>
      <c r="AR321"/>
    </row>
    <row r="322" spans="2:44" ht="1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 s="46"/>
      <c r="W322"/>
      <c r="X322" s="46"/>
      <c r="Y322" s="21"/>
      <c r="AM322"/>
      <c r="AN322"/>
      <c r="AO322"/>
      <c r="AP322"/>
      <c r="AQ322"/>
      <c r="AR322"/>
    </row>
    <row r="323" spans="2:44" ht="1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46"/>
      <c r="W323"/>
      <c r="X323" s="46"/>
      <c r="Y323" s="21"/>
      <c r="AM323"/>
      <c r="AN323"/>
      <c r="AO323"/>
      <c r="AP323"/>
      <c r="AQ323"/>
      <c r="AR323"/>
    </row>
    <row r="324" spans="2:44" ht="1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 s="46"/>
      <c r="W324"/>
      <c r="X324" s="46"/>
      <c r="Y324" s="21"/>
      <c r="AM324"/>
      <c r="AN324"/>
      <c r="AO324"/>
      <c r="AP324"/>
      <c r="AQ324"/>
      <c r="AR324"/>
    </row>
    <row r="325" spans="2:44" ht="1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 s="46"/>
      <c r="W325"/>
      <c r="X325" s="46"/>
      <c r="Y325" s="21"/>
      <c r="AM325"/>
      <c r="AN325"/>
      <c r="AO325"/>
      <c r="AP325"/>
      <c r="AQ325"/>
      <c r="AR325"/>
    </row>
    <row r="326" spans="2:44" ht="1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s="46"/>
      <c r="W326"/>
      <c r="X326" s="46"/>
      <c r="Y326" s="21"/>
      <c r="AM326"/>
      <c r="AN326"/>
      <c r="AO326"/>
      <c r="AP326"/>
      <c r="AQ326"/>
      <c r="AR326"/>
    </row>
    <row r="327" spans="2:44" ht="1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 s="46"/>
      <c r="W327"/>
      <c r="X327" s="46"/>
      <c r="Y327" s="21"/>
      <c r="AM327"/>
      <c r="AN327"/>
      <c r="AO327"/>
      <c r="AP327"/>
      <c r="AQ327"/>
      <c r="AR327"/>
    </row>
    <row r="328" spans="2:44" ht="1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 s="46"/>
      <c r="W328"/>
      <c r="X328" s="46"/>
      <c r="Y328" s="21"/>
      <c r="AM328"/>
      <c r="AN328"/>
      <c r="AO328"/>
      <c r="AP328"/>
      <c r="AQ328"/>
      <c r="AR328"/>
    </row>
    <row r="329" spans="2:44" ht="1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s="46"/>
      <c r="W329"/>
      <c r="X329" s="46"/>
      <c r="Y329" s="21"/>
      <c r="AM329"/>
      <c r="AN329"/>
      <c r="AO329"/>
      <c r="AP329"/>
      <c r="AQ329"/>
      <c r="AR329"/>
    </row>
    <row r="330" spans="2:44" ht="1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 s="46"/>
      <c r="W330"/>
      <c r="X330" s="46"/>
      <c r="Y330" s="21"/>
      <c r="AM330"/>
      <c r="AN330"/>
      <c r="AO330"/>
      <c r="AP330"/>
      <c r="AQ330"/>
      <c r="AR330"/>
    </row>
    <row r="331" spans="2:44" ht="1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 s="46"/>
      <c r="W331"/>
      <c r="X331" s="46"/>
      <c r="Y331" s="21"/>
      <c r="AM331"/>
      <c r="AN331"/>
      <c r="AO331"/>
      <c r="AP331"/>
      <c r="AQ331"/>
      <c r="AR331"/>
    </row>
    <row r="332" spans="2:44" ht="1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s="46"/>
      <c r="W332"/>
      <c r="X332" s="46"/>
      <c r="Y332" s="21"/>
      <c r="AM332"/>
      <c r="AN332"/>
      <c r="AO332"/>
      <c r="AP332"/>
      <c r="AQ332"/>
      <c r="AR332"/>
    </row>
    <row r="333" spans="2:44" ht="15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 s="46"/>
      <c r="W333"/>
      <c r="X333" s="46"/>
      <c r="Y333" s="21"/>
      <c r="AM333"/>
      <c r="AN333"/>
      <c r="AO333"/>
      <c r="AP333"/>
      <c r="AQ333"/>
      <c r="AR333"/>
    </row>
    <row r="334" spans="2:44" ht="15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 s="46"/>
      <c r="W334"/>
      <c r="X334" s="46"/>
      <c r="Y334" s="21"/>
      <c r="AM334"/>
      <c r="AN334"/>
      <c r="AO334"/>
      <c r="AP334"/>
      <c r="AQ334"/>
      <c r="AR334"/>
    </row>
    <row r="335" spans="2:44" ht="15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s="46"/>
      <c r="W335"/>
      <c r="X335" s="46"/>
      <c r="Y335" s="21"/>
      <c r="AM335"/>
      <c r="AN335"/>
      <c r="AO335"/>
      <c r="AP335"/>
      <c r="AQ335"/>
      <c r="AR335"/>
    </row>
    <row r="336" spans="2:44" ht="15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 s="46"/>
      <c r="W336"/>
      <c r="X336" s="46"/>
      <c r="Y336" s="21"/>
      <c r="AM336"/>
      <c r="AN336"/>
      <c r="AO336"/>
      <c r="AP336"/>
      <c r="AQ336"/>
      <c r="AR336"/>
    </row>
    <row r="337" spans="2:44" ht="15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 s="46"/>
      <c r="W337"/>
      <c r="X337" s="46"/>
      <c r="Y337" s="21"/>
      <c r="AM337"/>
      <c r="AN337"/>
      <c r="AO337"/>
      <c r="AP337"/>
      <c r="AQ337"/>
      <c r="AR337"/>
    </row>
    <row r="338" spans="2:44" ht="15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s="46"/>
      <c r="W338"/>
      <c r="X338" s="46"/>
      <c r="Y338" s="21"/>
      <c r="AM338"/>
      <c r="AN338"/>
      <c r="AO338"/>
      <c r="AP338"/>
      <c r="AQ338"/>
      <c r="AR338"/>
    </row>
    <row r="339" spans="2:44" ht="15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 s="46"/>
      <c r="W339"/>
      <c r="X339" s="46"/>
      <c r="Y339" s="21"/>
      <c r="AM339"/>
      <c r="AN339"/>
      <c r="AO339"/>
      <c r="AP339"/>
      <c r="AQ339"/>
      <c r="AR339"/>
    </row>
    <row r="340" spans="2:44" ht="15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s="46"/>
      <c r="W340"/>
      <c r="X340" s="46"/>
      <c r="Y340" s="21"/>
      <c r="AM340"/>
      <c r="AN340"/>
      <c r="AO340"/>
      <c r="AP340"/>
      <c r="AQ340"/>
      <c r="AR340"/>
    </row>
    <row r="341" spans="2:44" ht="15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 s="46"/>
      <c r="W341"/>
      <c r="X341" s="46"/>
      <c r="Y341" s="21"/>
      <c r="AM341"/>
      <c r="AN341"/>
      <c r="AO341"/>
      <c r="AP341"/>
      <c r="AQ341"/>
      <c r="AR341"/>
    </row>
    <row r="342" spans="2:44" ht="15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 s="46"/>
      <c r="W342"/>
      <c r="X342" s="46"/>
      <c r="Y342" s="21"/>
      <c r="AM342"/>
      <c r="AN342"/>
      <c r="AO342"/>
      <c r="AP342"/>
      <c r="AQ342"/>
      <c r="AR342"/>
    </row>
    <row r="343" spans="2:44" ht="15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 s="46"/>
      <c r="W343"/>
      <c r="X343" s="46"/>
      <c r="Y343" s="21"/>
      <c r="AM343"/>
      <c r="AN343"/>
      <c r="AO343"/>
      <c r="AP343"/>
      <c r="AQ343"/>
      <c r="AR343"/>
    </row>
    <row r="344" spans="2:44" ht="15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 s="46"/>
      <c r="W344"/>
      <c r="X344" s="46"/>
      <c r="Y344" s="21"/>
      <c r="AM344"/>
      <c r="AN344"/>
      <c r="AO344"/>
      <c r="AP344"/>
      <c r="AQ344"/>
      <c r="AR344"/>
    </row>
    <row r="345" spans="2:44" ht="15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 s="46"/>
      <c r="W345"/>
      <c r="X345" s="46"/>
      <c r="Y345" s="21"/>
      <c r="AM345"/>
      <c r="AN345"/>
      <c r="AO345"/>
      <c r="AP345"/>
      <c r="AQ345"/>
      <c r="AR345"/>
    </row>
    <row r="346" spans="2:44" ht="15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 s="46"/>
      <c r="W346"/>
      <c r="X346" s="46"/>
      <c r="Y346" s="21"/>
      <c r="AM346"/>
      <c r="AN346"/>
      <c r="AO346"/>
      <c r="AP346"/>
      <c r="AQ346"/>
      <c r="AR346"/>
    </row>
    <row r="347" spans="2:44" ht="15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 s="46"/>
      <c r="W347"/>
      <c r="X347" s="46"/>
      <c r="Y347" s="21"/>
      <c r="AM347"/>
      <c r="AN347"/>
      <c r="AO347"/>
      <c r="AP347"/>
      <c r="AQ347"/>
      <c r="AR347"/>
    </row>
    <row r="348" spans="2:44" ht="15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 s="46"/>
      <c r="W348"/>
      <c r="X348" s="46"/>
      <c r="Y348" s="21"/>
      <c r="AM348"/>
      <c r="AN348"/>
      <c r="AO348"/>
      <c r="AP348"/>
      <c r="AQ348"/>
      <c r="AR348"/>
    </row>
    <row r="349" spans="2:44" ht="15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s="46"/>
      <c r="W349"/>
      <c r="X349" s="46"/>
      <c r="Y349" s="21"/>
      <c r="AM349"/>
      <c r="AN349"/>
      <c r="AO349"/>
      <c r="AP349"/>
      <c r="AQ349"/>
      <c r="AR349"/>
    </row>
    <row r="350" spans="2:44" ht="15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 s="46"/>
      <c r="W350"/>
      <c r="X350" s="46"/>
      <c r="Y350" s="21"/>
      <c r="AM350"/>
      <c r="AN350"/>
      <c r="AO350"/>
      <c r="AP350"/>
      <c r="AQ350"/>
      <c r="AR350"/>
    </row>
    <row r="351" spans="2:44" ht="15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 s="46"/>
      <c r="W351"/>
      <c r="X351" s="46"/>
      <c r="Y351" s="21"/>
      <c r="AM351"/>
      <c r="AN351"/>
      <c r="AO351"/>
      <c r="AP351"/>
      <c r="AQ351"/>
      <c r="AR351"/>
    </row>
    <row r="352" spans="2:44" ht="15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 s="46"/>
      <c r="W352"/>
      <c r="X352" s="46"/>
      <c r="Y352" s="21"/>
      <c r="AM352"/>
      <c r="AN352"/>
      <c r="AO352"/>
      <c r="AP352"/>
      <c r="AQ352"/>
      <c r="AR352"/>
    </row>
    <row r="353" spans="2:44" ht="15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 s="46"/>
      <c r="W353"/>
      <c r="X353" s="46"/>
      <c r="Y353" s="21"/>
      <c r="AM353"/>
      <c r="AN353"/>
      <c r="AO353"/>
      <c r="AP353"/>
      <c r="AQ353"/>
      <c r="AR353"/>
    </row>
    <row r="354" spans="2:44" ht="15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 s="46"/>
      <c r="W354"/>
      <c r="X354" s="46"/>
      <c r="Y354" s="21"/>
      <c r="AM354"/>
      <c r="AN354"/>
      <c r="AO354"/>
      <c r="AP354"/>
      <c r="AQ354"/>
      <c r="AR354"/>
    </row>
    <row r="355" spans="2:44" ht="15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 s="46"/>
      <c r="W355"/>
      <c r="X355" s="46"/>
      <c r="Y355" s="21"/>
      <c r="AM355"/>
      <c r="AN355"/>
      <c r="AO355"/>
      <c r="AP355"/>
      <c r="AQ355"/>
      <c r="AR355"/>
    </row>
    <row r="356" spans="2:44" ht="15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 s="46"/>
      <c r="W356"/>
      <c r="X356" s="46"/>
      <c r="Y356" s="21"/>
      <c r="AM356"/>
      <c r="AN356"/>
      <c r="AO356"/>
      <c r="AP356"/>
      <c r="AQ356"/>
      <c r="AR356"/>
    </row>
    <row r="357" spans="2:44" ht="15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 s="46"/>
      <c r="W357"/>
      <c r="X357" s="46"/>
      <c r="Y357" s="21"/>
      <c r="AM357"/>
      <c r="AN357"/>
      <c r="AO357"/>
      <c r="AP357"/>
      <c r="AQ357"/>
      <c r="AR357"/>
    </row>
    <row r="358" spans="2:44" ht="15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 s="46"/>
      <c r="W358"/>
      <c r="X358" s="46"/>
      <c r="Y358" s="21"/>
      <c r="AM358"/>
      <c r="AN358"/>
      <c r="AO358"/>
      <c r="AP358"/>
      <c r="AQ358"/>
      <c r="AR358"/>
    </row>
    <row r="359" spans="2:44" ht="15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 s="46"/>
      <c r="W359"/>
      <c r="X359" s="46"/>
      <c r="Y359" s="21"/>
      <c r="AM359"/>
      <c r="AN359"/>
      <c r="AO359"/>
      <c r="AP359"/>
      <c r="AQ359"/>
      <c r="AR359"/>
    </row>
    <row r="360" spans="2:44" ht="15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 s="46"/>
      <c r="W360"/>
      <c r="X360" s="46"/>
      <c r="Y360" s="21"/>
      <c r="AM360"/>
      <c r="AN360"/>
      <c r="AO360"/>
      <c r="AP360"/>
      <c r="AQ360"/>
      <c r="AR360"/>
    </row>
    <row r="361" spans="2:44" ht="15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 s="46"/>
      <c r="W361"/>
      <c r="X361" s="46"/>
      <c r="Y361" s="21"/>
      <c r="AM361"/>
      <c r="AN361"/>
      <c r="AO361"/>
      <c r="AP361"/>
      <c r="AQ361"/>
      <c r="AR361"/>
    </row>
    <row r="362" spans="2:44" ht="15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 s="46"/>
      <c r="W362"/>
      <c r="X362" s="46"/>
      <c r="Y362" s="21"/>
      <c r="AM362"/>
      <c r="AN362"/>
      <c r="AO362"/>
      <c r="AP362"/>
      <c r="AQ362"/>
      <c r="AR362"/>
    </row>
    <row r="363" spans="2:44" ht="15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 s="46"/>
      <c r="W363"/>
      <c r="X363" s="46"/>
      <c r="Y363" s="21"/>
      <c r="AM363"/>
      <c r="AN363"/>
      <c r="AO363"/>
      <c r="AP363"/>
      <c r="AQ363"/>
      <c r="AR363"/>
    </row>
    <row r="364" spans="2:44" ht="15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 s="46"/>
      <c r="W364"/>
      <c r="X364" s="46"/>
      <c r="Y364" s="21"/>
      <c r="AM364"/>
      <c r="AN364"/>
      <c r="AO364"/>
      <c r="AP364"/>
      <c r="AQ364"/>
      <c r="AR364"/>
    </row>
    <row r="365" spans="2:44" ht="15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 s="46"/>
      <c r="W365"/>
      <c r="X365" s="46"/>
      <c r="Y365" s="21"/>
      <c r="AM365"/>
      <c r="AN365"/>
      <c r="AO365"/>
      <c r="AP365"/>
      <c r="AQ365"/>
      <c r="AR365"/>
    </row>
    <row r="366" spans="2:44" ht="15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 s="46"/>
      <c r="W366"/>
      <c r="X366" s="46"/>
      <c r="Y366" s="21"/>
      <c r="AM366"/>
      <c r="AN366"/>
      <c r="AO366"/>
      <c r="AP366"/>
      <c r="AQ366"/>
      <c r="AR366"/>
    </row>
    <row r="367" spans="2:44" ht="15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 s="46"/>
      <c r="W367"/>
      <c r="X367" s="46"/>
      <c r="Y367" s="21"/>
      <c r="AM367"/>
      <c r="AN367"/>
      <c r="AO367"/>
      <c r="AP367"/>
      <c r="AQ367"/>
      <c r="AR367"/>
    </row>
    <row r="368" spans="2:44" ht="15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 s="46"/>
      <c r="W368"/>
      <c r="X368" s="46"/>
      <c r="Y368" s="21"/>
      <c r="AM368"/>
      <c r="AN368"/>
      <c r="AO368"/>
      <c r="AP368"/>
      <c r="AQ368"/>
      <c r="AR368"/>
    </row>
    <row r="369" spans="2:44" ht="15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 s="46"/>
      <c r="W369"/>
      <c r="X369" s="46"/>
      <c r="Y369" s="21"/>
      <c r="AM369"/>
      <c r="AN369"/>
      <c r="AO369"/>
      <c r="AP369"/>
      <c r="AQ369"/>
      <c r="AR369"/>
    </row>
    <row r="370" spans="2:44" ht="1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 s="46"/>
      <c r="W370"/>
      <c r="X370" s="46"/>
      <c r="Y370" s="21"/>
      <c r="AM370"/>
      <c r="AN370"/>
      <c r="AO370"/>
      <c r="AP370"/>
      <c r="AQ370"/>
      <c r="AR370"/>
    </row>
    <row r="371" spans="2:44" ht="15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 s="46"/>
      <c r="W371"/>
      <c r="X371" s="46"/>
      <c r="Y371" s="21"/>
      <c r="AM371"/>
      <c r="AN371"/>
      <c r="AO371"/>
      <c r="AP371"/>
      <c r="AQ371"/>
      <c r="AR371"/>
    </row>
    <row r="372" spans="2:44" ht="15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 s="46"/>
      <c r="W372"/>
      <c r="X372" s="46"/>
      <c r="Y372" s="21"/>
      <c r="AM372"/>
      <c r="AN372"/>
      <c r="AO372"/>
      <c r="AP372"/>
      <c r="AQ372"/>
      <c r="AR372"/>
    </row>
    <row r="373" spans="2:44" ht="15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 s="46"/>
      <c r="W373"/>
      <c r="X373" s="46"/>
      <c r="Y373" s="21"/>
      <c r="AM373"/>
      <c r="AN373"/>
      <c r="AO373"/>
      <c r="AP373"/>
      <c r="AQ373"/>
      <c r="AR373"/>
    </row>
    <row r="374" spans="2:44" ht="15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 s="46"/>
      <c r="W374"/>
      <c r="X374" s="46"/>
      <c r="Y374" s="21"/>
      <c r="AM374"/>
      <c r="AN374"/>
      <c r="AO374"/>
      <c r="AP374"/>
      <c r="AQ374"/>
      <c r="AR374"/>
    </row>
    <row r="375" spans="2:44" ht="15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 s="46"/>
      <c r="W375"/>
      <c r="X375" s="46"/>
      <c r="Y375" s="21"/>
      <c r="AM375"/>
      <c r="AN375"/>
      <c r="AO375"/>
      <c r="AP375"/>
      <c r="AQ375"/>
      <c r="AR375"/>
    </row>
    <row r="376" spans="2:44" ht="15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 s="46"/>
      <c r="W376"/>
      <c r="X376" s="46"/>
      <c r="Y376" s="21"/>
      <c r="AM376"/>
      <c r="AN376"/>
      <c r="AO376"/>
      <c r="AP376"/>
      <c r="AQ376"/>
      <c r="AR376"/>
    </row>
    <row r="377" spans="2:44" ht="15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 s="46"/>
      <c r="W377"/>
      <c r="X377" s="46"/>
      <c r="Y377" s="21"/>
      <c r="AM377"/>
      <c r="AN377"/>
      <c r="AO377"/>
      <c r="AP377"/>
      <c r="AQ377"/>
      <c r="AR377"/>
    </row>
    <row r="378" spans="2:44" ht="15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 s="46"/>
      <c r="W378"/>
      <c r="X378" s="46"/>
      <c r="Y378" s="21"/>
      <c r="AM378"/>
      <c r="AN378"/>
      <c r="AO378"/>
      <c r="AP378"/>
      <c r="AQ378"/>
      <c r="AR378"/>
    </row>
    <row r="379" spans="2:44" ht="15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 s="46"/>
      <c r="W379"/>
      <c r="X379" s="46"/>
      <c r="Y379" s="21"/>
      <c r="AM379"/>
      <c r="AN379"/>
      <c r="AO379"/>
      <c r="AP379"/>
      <c r="AQ379"/>
      <c r="AR379"/>
    </row>
    <row r="380" spans="2:44" ht="15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 s="46"/>
      <c r="W380"/>
      <c r="X380" s="46"/>
      <c r="Y380" s="21"/>
      <c r="AM380"/>
      <c r="AN380"/>
      <c r="AO380"/>
      <c r="AP380"/>
      <c r="AQ380"/>
      <c r="AR380"/>
    </row>
    <row r="381" spans="2:44" ht="15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 s="46"/>
      <c r="W381"/>
      <c r="X381" s="46"/>
      <c r="Y381" s="21"/>
      <c r="AM381"/>
      <c r="AN381"/>
      <c r="AO381"/>
      <c r="AP381"/>
      <c r="AQ381"/>
      <c r="AR381"/>
    </row>
    <row r="382" spans="2:44" ht="15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 s="46"/>
      <c r="W382"/>
      <c r="X382" s="46"/>
      <c r="Y382" s="21"/>
      <c r="AM382"/>
      <c r="AN382"/>
      <c r="AO382"/>
      <c r="AP382"/>
      <c r="AQ382"/>
      <c r="AR382"/>
    </row>
    <row r="383" spans="2:44" ht="15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 s="46"/>
      <c r="W383"/>
      <c r="X383" s="46"/>
      <c r="Y383" s="21"/>
      <c r="AM383"/>
      <c r="AN383"/>
      <c r="AO383"/>
      <c r="AP383"/>
      <c r="AQ383"/>
      <c r="AR383"/>
    </row>
    <row r="384" spans="2:44" ht="15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 s="46"/>
      <c r="W384"/>
      <c r="X384" s="46"/>
      <c r="Y384" s="21"/>
      <c r="AM384"/>
      <c r="AN384"/>
      <c r="AO384"/>
      <c r="AP384"/>
      <c r="AQ384"/>
      <c r="AR384"/>
    </row>
    <row r="385" spans="2:44" ht="15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 s="46"/>
      <c r="W385"/>
      <c r="X385" s="46"/>
      <c r="Y385" s="21"/>
      <c r="AM385"/>
      <c r="AN385"/>
      <c r="AO385"/>
      <c r="AP385"/>
      <c r="AQ385"/>
      <c r="AR385"/>
    </row>
    <row r="386" spans="2:44" ht="15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 s="46"/>
      <c r="W386"/>
      <c r="X386" s="46"/>
      <c r="Y386" s="21"/>
      <c r="AM386"/>
      <c r="AN386"/>
      <c r="AO386"/>
      <c r="AP386"/>
      <c r="AQ386"/>
      <c r="AR386"/>
    </row>
    <row r="387" spans="2:44" ht="15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 s="46"/>
      <c r="W387"/>
      <c r="X387" s="46"/>
      <c r="Y387" s="21"/>
      <c r="AM387"/>
      <c r="AN387"/>
      <c r="AO387"/>
      <c r="AP387"/>
      <c r="AQ387"/>
      <c r="AR387"/>
    </row>
    <row r="388" spans="2:44" ht="15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 s="46"/>
      <c r="W388"/>
      <c r="X388" s="46"/>
      <c r="Y388" s="21"/>
      <c r="AM388"/>
      <c r="AN388"/>
      <c r="AO388"/>
      <c r="AP388"/>
      <c r="AQ388"/>
      <c r="AR388"/>
    </row>
    <row r="389" spans="2:44" ht="15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 s="46"/>
      <c r="W389"/>
      <c r="X389" s="46"/>
      <c r="Y389" s="21"/>
      <c r="AM389"/>
      <c r="AN389"/>
      <c r="AO389"/>
      <c r="AP389"/>
      <c r="AQ389"/>
      <c r="AR389"/>
    </row>
    <row r="390" spans="2:44" ht="15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s="46"/>
      <c r="W390"/>
      <c r="X390" s="46"/>
      <c r="Y390" s="21"/>
      <c r="AM390"/>
      <c r="AN390"/>
      <c r="AO390"/>
      <c r="AP390"/>
      <c r="AQ390"/>
      <c r="AR390"/>
    </row>
    <row r="391" spans="2:44" ht="15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s="46"/>
      <c r="W391"/>
      <c r="X391" s="46"/>
      <c r="Y391" s="21"/>
      <c r="AM391"/>
      <c r="AN391"/>
      <c r="AO391"/>
      <c r="AP391"/>
      <c r="AQ391"/>
      <c r="AR391"/>
    </row>
    <row r="392" spans="2:44" ht="15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 s="46"/>
      <c r="W392"/>
      <c r="X392" s="46"/>
      <c r="Y392" s="21"/>
      <c r="AM392"/>
      <c r="AN392"/>
      <c r="AO392"/>
      <c r="AP392"/>
      <c r="AQ392"/>
      <c r="AR392"/>
    </row>
    <row r="393" spans="2:44" ht="15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 s="46"/>
      <c r="W393"/>
      <c r="X393" s="46"/>
      <c r="Y393" s="21"/>
      <c r="AM393"/>
      <c r="AN393"/>
      <c r="AO393"/>
      <c r="AP393"/>
      <c r="AQ393"/>
      <c r="AR393"/>
    </row>
    <row r="394" spans="2:44" ht="15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 s="46"/>
      <c r="W394"/>
      <c r="X394" s="46"/>
      <c r="Y394" s="21"/>
      <c r="AM394"/>
      <c r="AN394"/>
      <c r="AO394"/>
      <c r="AP394"/>
      <c r="AQ394"/>
      <c r="AR394"/>
    </row>
    <row r="395" spans="2:44" ht="15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 s="46"/>
      <c r="W395"/>
      <c r="X395" s="46"/>
      <c r="Y395" s="21"/>
      <c r="AM395"/>
      <c r="AN395"/>
      <c r="AO395"/>
      <c r="AP395"/>
      <c r="AQ395"/>
      <c r="AR395"/>
    </row>
    <row r="396" spans="2:44" ht="15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 s="46"/>
      <c r="W396"/>
      <c r="X396" s="46"/>
      <c r="Y396" s="21"/>
      <c r="AM396"/>
      <c r="AN396"/>
      <c r="AO396"/>
      <c r="AP396"/>
      <c r="AQ396"/>
      <c r="AR396"/>
    </row>
    <row r="397" spans="2:44" ht="15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 s="46"/>
      <c r="W397"/>
      <c r="X397" s="46"/>
      <c r="Y397" s="21"/>
      <c r="AM397"/>
      <c r="AN397"/>
      <c r="AO397"/>
      <c r="AP397"/>
      <c r="AQ397"/>
      <c r="AR397"/>
    </row>
    <row r="398" spans="2:44" ht="15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 s="46"/>
      <c r="W398"/>
      <c r="X398" s="46"/>
      <c r="Y398" s="21"/>
      <c r="AM398"/>
      <c r="AN398"/>
      <c r="AO398"/>
      <c r="AP398"/>
      <c r="AQ398"/>
      <c r="AR398"/>
    </row>
    <row r="399" spans="2:44" ht="15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 s="46"/>
      <c r="W399"/>
      <c r="X399" s="46"/>
      <c r="Y399" s="21"/>
      <c r="AM399"/>
      <c r="AN399"/>
      <c r="AO399"/>
      <c r="AP399"/>
      <c r="AQ399"/>
      <c r="AR399"/>
    </row>
    <row r="400" spans="2:44" ht="15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 s="46"/>
      <c r="W400"/>
      <c r="X400" s="46"/>
      <c r="Y400" s="21"/>
      <c r="AM400"/>
      <c r="AN400"/>
      <c r="AO400"/>
      <c r="AP400"/>
      <c r="AQ400"/>
      <c r="AR400"/>
    </row>
    <row r="401" spans="2:44" ht="15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 s="46"/>
      <c r="W401"/>
      <c r="X401" s="46"/>
      <c r="Y401" s="21"/>
      <c r="AM401"/>
      <c r="AN401"/>
      <c r="AO401"/>
      <c r="AP401"/>
      <c r="AQ401"/>
      <c r="AR401"/>
    </row>
    <row r="402" spans="2:44" ht="15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 s="46"/>
      <c r="W402"/>
      <c r="X402" s="46"/>
      <c r="Y402" s="21"/>
      <c r="AM402"/>
      <c r="AN402"/>
      <c r="AO402"/>
      <c r="AP402"/>
      <c r="AQ402"/>
      <c r="AR402"/>
    </row>
    <row r="403" spans="2:44" ht="15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 s="46"/>
      <c r="W403"/>
      <c r="X403" s="46"/>
      <c r="Y403" s="21"/>
      <c r="AM403"/>
      <c r="AN403"/>
      <c r="AO403"/>
      <c r="AP403"/>
      <c r="AQ403"/>
      <c r="AR403"/>
    </row>
    <row r="404" spans="2:44" ht="15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 s="46"/>
      <c r="W404"/>
      <c r="X404" s="46"/>
      <c r="Y404" s="21"/>
      <c r="AM404"/>
      <c r="AN404"/>
      <c r="AO404"/>
      <c r="AP404"/>
      <c r="AQ404"/>
      <c r="AR404"/>
    </row>
    <row r="405" spans="2:44" ht="15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 s="46"/>
      <c r="W405"/>
      <c r="X405" s="46"/>
      <c r="Y405" s="21"/>
      <c r="AM405"/>
      <c r="AN405"/>
      <c r="AO405"/>
      <c r="AP405"/>
      <c r="AQ405"/>
      <c r="AR405"/>
    </row>
    <row r="406" spans="2:44" ht="15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 s="46"/>
      <c r="W406"/>
      <c r="X406" s="46"/>
      <c r="Y406" s="21"/>
      <c r="AM406"/>
      <c r="AN406"/>
      <c r="AO406"/>
      <c r="AP406"/>
      <c r="AQ406"/>
      <c r="AR406"/>
    </row>
    <row r="407" spans="2:44" ht="15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 s="46"/>
      <c r="W407"/>
      <c r="X407" s="46"/>
      <c r="Y407" s="21"/>
      <c r="AM407"/>
      <c r="AN407"/>
      <c r="AO407"/>
      <c r="AP407"/>
      <c r="AQ407"/>
      <c r="AR407"/>
    </row>
    <row r="408" spans="2:44" ht="15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 s="46"/>
      <c r="W408"/>
      <c r="X408" s="46"/>
      <c r="Y408" s="21"/>
      <c r="AM408"/>
      <c r="AN408"/>
      <c r="AO408"/>
      <c r="AP408"/>
      <c r="AQ408"/>
      <c r="AR408"/>
    </row>
    <row r="409" spans="2:44" ht="15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 s="46"/>
      <c r="W409"/>
      <c r="X409" s="46"/>
      <c r="Y409" s="21"/>
      <c r="AM409"/>
      <c r="AN409"/>
      <c r="AO409"/>
      <c r="AP409"/>
      <c r="AQ409"/>
      <c r="AR409"/>
    </row>
    <row r="410" spans="2:44" ht="15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 s="46"/>
      <c r="W410"/>
      <c r="X410" s="46"/>
      <c r="Y410" s="21"/>
      <c r="AM410"/>
      <c r="AN410"/>
      <c r="AO410"/>
      <c r="AP410"/>
      <c r="AQ410"/>
      <c r="AR410"/>
    </row>
    <row r="411" spans="2:44" ht="15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 s="46"/>
      <c r="W411"/>
      <c r="X411" s="46"/>
      <c r="Y411" s="21"/>
      <c r="AM411"/>
      <c r="AN411"/>
      <c r="AO411"/>
      <c r="AP411"/>
      <c r="AQ411"/>
      <c r="AR411"/>
    </row>
    <row r="412" spans="2:44" ht="15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s="46"/>
      <c r="W412"/>
      <c r="X412" s="46"/>
      <c r="Y412" s="21"/>
      <c r="AM412"/>
      <c r="AN412"/>
      <c r="AO412"/>
      <c r="AP412"/>
      <c r="AQ412"/>
      <c r="AR412"/>
    </row>
    <row r="413" spans="2:44" ht="15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 s="46"/>
      <c r="W413"/>
      <c r="X413" s="46"/>
      <c r="Y413" s="21"/>
      <c r="AM413"/>
      <c r="AN413"/>
      <c r="AO413"/>
      <c r="AP413"/>
      <c r="AQ413"/>
      <c r="AR413"/>
    </row>
    <row r="414" spans="2:44" ht="15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 s="46"/>
      <c r="W414"/>
      <c r="X414" s="46"/>
      <c r="Y414" s="21"/>
      <c r="AM414"/>
      <c r="AN414"/>
      <c r="AO414"/>
      <c r="AP414"/>
      <c r="AQ414"/>
      <c r="AR414"/>
    </row>
    <row r="415" spans="2:44" ht="15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 s="46"/>
      <c r="W415"/>
      <c r="X415" s="46"/>
      <c r="Y415" s="21"/>
      <c r="AM415"/>
      <c r="AN415"/>
      <c r="AO415"/>
      <c r="AP415"/>
      <c r="AQ415"/>
      <c r="AR415"/>
    </row>
    <row r="416" spans="2:44" ht="15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 s="46"/>
      <c r="W416"/>
      <c r="X416" s="46"/>
      <c r="Y416" s="21"/>
      <c r="AM416"/>
      <c r="AN416"/>
      <c r="AO416"/>
      <c r="AP416"/>
      <c r="AQ416"/>
      <c r="AR416"/>
    </row>
    <row r="417" spans="2:44" ht="15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 s="46"/>
      <c r="W417"/>
      <c r="X417" s="46"/>
      <c r="Y417" s="21"/>
      <c r="AM417"/>
      <c r="AN417"/>
      <c r="AO417"/>
      <c r="AP417"/>
      <c r="AQ417"/>
      <c r="AR417"/>
    </row>
    <row r="418" spans="2:44" ht="15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 s="46"/>
      <c r="W418"/>
      <c r="X418" s="46"/>
      <c r="Y418" s="21"/>
    </row>
    <row r="419" spans="2:44" ht="15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 s="46"/>
      <c r="W419"/>
      <c r="X419" s="46"/>
      <c r="Y419" s="21"/>
    </row>
    <row r="420" spans="2:44" ht="15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 s="46"/>
      <c r="W420"/>
      <c r="X420" s="46"/>
      <c r="Y420" s="21"/>
    </row>
    <row r="421" spans="2:44" ht="15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 s="46"/>
      <c r="W421"/>
      <c r="X421" s="46"/>
      <c r="Y421" s="21"/>
    </row>
    <row r="422" spans="2:44" ht="15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 s="46"/>
      <c r="W422"/>
      <c r="X422" s="46"/>
      <c r="Y422" s="21"/>
    </row>
    <row r="423" spans="2:44" ht="15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s="46"/>
      <c r="W423"/>
      <c r="X423" s="46"/>
      <c r="Y423" s="21"/>
    </row>
    <row r="424" spans="2:44" ht="15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 s="46"/>
      <c r="W424"/>
      <c r="X424" s="46"/>
      <c r="Y424" s="21"/>
    </row>
    <row r="425" spans="2:44" ht="15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 s="46"/>
      <c r="W425"/>
      <c r="X425" s="46"/>
      <c r="Y425" s="21"/>
    </row>
    <row r="426" spans="2:44" ht="15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 s="46"/>
      <c r="W426"/>
      <c r="X426" s="46"/>
      <c r="Y426" s="21"/>
    </row>
    <row r="427" spans="2:44" ht="15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 s="46"/>
      <c r="W427"/>
      <c r="X427" s="46"/>
      <c r="Y427" s="21"/>
    </row>
    <row r="428" spans="2:44" ht="15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 s="46"/>
      <c r="W428"/>
      <c r="X428" s="46"/>
      <c r="Y428" s="21"/>
    </row>
    <row r="429" spans="2:44" ht="15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 s="46"/>
      <c r="W429"/>
      <c r="X429" s="46"/>
      <c r="Y429" s="21"/>
    </row>
    <row r="430" spans="2:44" ht="15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 s="46"/>
      <c r="W430"/>
      <c r="X430" s="46"/>
      <c r="Y430" s="21"/>
    </row>
    <row r="431" spans="2:44" ht="15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 s="46"/>
      <c r="W431"/>
      <c r="X431" s="46"/>
      <c r="Y431" s="21"/>
    </row>
    <row r="432" spans="2:44" ht="15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 s="46"/>
      <c r="W432"/>
      <c r="X432" s="46"/>
      <c r="Y432" s="21"/>
    </row>
    <row r="433" spans="2:25" ht="15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 s="46"/>
      <c r="W433"/>
      <c r="X433" s="46"/>
      <c r="Y433" s="21"/>
    </row>
    <row r="434" spans="2:25" ht="15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 s="46"/>
      <c r="W434"/>
      <c r="X434" s="46"/>
      <c r="Y434" s="21"/>
    </row>
    <row r="435" spans="2:25" ht="15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s="46"/>
      <c r="W435"/>
      <c r="X435" s="46"/>
      <c r="Y435" s="21"/>
    </row>
    <row r="436" spans="2:25" ht="15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 s="46"/>
      <c r="W436"/>
      <c r="X436" s="46"/>
      <c r="Y436" s="21"/>
    </row>
    <row r="437" spans="2:25" ht="15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 s="46"/>
      <c r="W437"/>
      <c r="X437" s="46"/>
      <c r="Y437" s="21"/>
    </row>
    <row r="438" spans="2:25" ht="15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 s="46"/>
      <c r="W438"/>
      <c r="X438" s="46"/>
      <c r="Y438" s="21"/>
    </row>
    <row r="439" spans="2:25" ht="15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 s="46"/>
      <c r="W439"/>
      <c r="X439" s="46"/>
      <c r="Y439" s="21"/>
    </row>
    <row r="440" spans="2:25" ht="15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 s="46"/>
      <c r="W440"/>
      <c r="X440" s="46"/>
      <c r="Y440" s="21"/>
    </row>
    <row r="441" spans="2:25" ht="15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 s="46"/>
      <c r="W441"/>
      <c r="X441" s="46"/>
      <c r="Y441" s="21"/>
    </row>
    <row r="442" spans="2:25" ht="15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 s="46"/>
      <c r="W442"/>
      <c r="X442" s="46"/>
      <c r="Y442" s="21"/>
    </row>
    <row r="443" spans="2:25" ht="15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 s="46"/>
      <c r="W443"/>
      <c r="X443" s="46"/>
      <c r="Y443" s="21"/>
    </row>
    <row r="444" spans="2:25" ht="15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 s="46"/>
      <c r="W444"/>
      <c r="X444" s="46"/>
      <c r="Y444" s="21"/>
    </row>
    <row r="445" spans="2:25" ht="15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 s="46"/>
      <c r="W445"/>
      <c r="X445" s="46"/>
      <c r="Y445" s="21"/>
    </row>
    <row r="446" spans="2:25" ht="15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 s="46"/>
      <c r="W446"/>
      <c r="X446" s="46"/>
      <c r="Y446" s="21"/>
    </row>
    <row r="447" spans="2:25" ht="15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 s="46"/>
      <c r="W447"/>
      <c r="X447" s="46"/>
      <c r="Y447" s="21"/>
    </row>
    <row r="448" spans="2:25" ht="15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 s="46"/>
      <c r="W448"/>
      <c r="X448" s="46"/>
      <c r="Y448" s="21"/>
    </row>
    <row r="449" spans="2:25" ht="15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 s="46"/>
      <c r="W449"/>
      <c r="X449" s="46"/>
      <c r="Y449" s="21"/>
    </row>
    <row r="450" spans="2:25" ht="15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 s="46"/>
      <c r="W450"/>
      <c r="X450" s="46"/>
      <c r="Y450" s="21"/>
    </row>
    <row r="451" spans="2:25" ht="15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 s="46"/>
      <c r="W451"/>
      <c r="X451" s="46"/>
      <c r="Y451" s="21"/>
    </row>
    <row r="452" spans="2:25" ht="15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 s="46"/>
      <c r="W452"/>
      <c r="X452" s="46"/>
      <c r="Y452" s="21"/>
    </row>
    <row r="453" spans="2:25" ht="15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 s="46"/>
      <c r="W453"/>
      <c r="X453" s="46"/>
      <c r="Y453" s="21"/>
    </row>
    <row r="454" spans="2:25" ht="15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 s="46"/>
      <c r="W454"/>
      <c r="X454" s="46"/>
      <c r="Y454" s="21"/>
    </row>
    <row r="455" spans="2:25" ht="15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 s="46"/>
      <c r="W455"/>
      <c r="X455" s="46"/>
      <c r="Y455" s="21"/>
    </row>
    <row r="456" spans="2:25" ht="15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 s="46"/>
      <c r="W456"/>
      <c r="X456" s="46"/>
      <c r="Y456" s="21"/>
    </row>
    <row r="457" spans="2:25" ht="15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 s="46"/>
      <c r="W457"/>
      <c r="X457" s="46"/>
      <c r="Y457" s="21"/>
    </row>
    <row r="458" spans="2:25" ht="15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 s="46"/>
      <c r="W458"/>
      <c r="X458" s="46"/>
      <c r="Y458" s="21"/>
    </row>
    <row r="459" spans="2:25" ht="15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 s="46"/>
      <c r="W459"/>
      <c r="X459" s="46"/>
      <c r="Y459" s="21"/>
    </row>
    <row r="460" spans="2:25" ht="15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 s="46"/>
      <c r="W460"/>
      <c r="X460" s="46"/>
      <c r="Y460" s="21"/>
    </row>
    <row r="461" spans="2:25" ht="15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 s="46"/>
      <c r="W461"/>
      <c r="X461" s="46"/>
      <c r="Y461" s="21"/>
    </row>
    <row r="462" spans="2:25" ht="15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 s="46"/>
      <c r="W462"/>
      <c r="X462" s="46"/>
      <c r="Y462" s="21"/>
    </row>
    <row r="463" spans="2:25" ht="15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 s="46"/>
      <c r="W463"/>
      <c r="X463" s="46"/>
      <c r="Y463" s="21"/>
    </row>
    <row r="464" spans="2:25" ht="15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 s="46"/>
      <c r="W464"/>
      <c r="X464" s="46"/>
      <c r="Y464" s="21"/>
    </row>
    <row r="465" spans="2:25" ht="15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 s="46"/>
      <c r="W465"/>
      <c r="X465" s="46"/>
      <c r="Y465" s="21"/>
    </row>
    <row r="466" spans="2:25" ht="15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 s="46"/>
      <c r="W466"/>
      <c r="X466" s="46"/>
      <c r="Y466" s="21"/>
    </row>
    <row r="467" spans="2:25" ht="15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 s="46"/>
      <c r="W467"/>
      <c r="X467" s="46"/>
      <c r="Y467" s="21"/>
    </row>
    <row r="468" spans="2:25" ht="15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 s="46"/>
      <c r="W468"/>
      <c r="X468" s="46"/>
      <c r="Y468" s="21"/>
    </row>
    <row r="469" spans="2:25" ht="15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 s="46"/>
      <c r="W469"/>
      <c r="X469" s="46"/>
      <c r="Y469" s="21"/>
    </row>
    <row r="470" spans="2:25" ht="15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 s="46"/>
      <c r="W470"/>
      <c r="X470" s="46"/>
      <c r="Y470" s="21"/>
    </row>
    <row r="471" spans="2:25" ht="15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 s="46"/>
      <c r="W471"/>
      <c r="X471" s="46"/>
      <c r="Y471" s="21"/>
    </row>
    <row r="472" spans="2:25" ht="15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 s="46"/>
      <c r="W472"/>
      <c r="X472" s="46"/>
      <c r="Y472" s="21"/>
    </row>
    <row r="473" spans="2:25" ht="15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 s="46"/>
      <c r="W473"/>
      <c r="X473" s="46"/>
      <c r="Y473" s="21"/>
    </row>
    <row r="474" spans="2:25" ht="15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 s="46"/>
      <c r="W474"/>
      <c r="X474" s="46"/>
      <c r="Y474" s="21"/>
    </row>
    <row r="475" spans="2:25" ht="15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 s="46"/>
      <c r="W475"/>
      <c r="X475" s="46"/>
      <c r="Y475" s="21"/>
    </row>
    <row r="476" spans="2:25" ht="15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s="46"/>
      <c r="W476"/>
      <c r="X476" s="46"/>
      <c r="Y476" s="21"/>
    </row>
    <row r="477" spans="2:25" ht="15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 s="46"/>
      <c r="W477"/>
      <c r="X477" s="46"/>
      <c r="Y477" s="21"/>
    </row>
    <row r="478" spans="2:25" ht="15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 s="46"/>
      <c r="W478"/>
      <c r="X478" s="46"/>
      <c r="Y478" s="21"/>
    </row>
    <row r="479" spans="2:25" ht="15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 s="46"/>
      <c r="W479"/>
      <c r="X479" s="46"/>
      <c r="Y479" s="21"/>
    </row>
    <row r="480" spans="2:25" ht="15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 s="46"/>
      <c r="W480"/>
      <c r="X480" s="46"/>
      <c r="Y480" s="21"/>
    </row>
    <row r="481" spans="2:25" ht="15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 s="46"/>
      <c r="W481"/>
      <c r="X481" s="46"/>
      <c r="Y481" s="21"/>
    </row>
    <row r="482" spans="2:25" ht="15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s="46"/>
      <c r="W482"/>
      <c r="X482" s="46"/>
      <c r="Y482" s="21"/>
    </row>
    <row r="483" spans="2:25" ht="15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 s="46"/>
      <c r="W483"/>
      <c r="X483" s="46"/>
      <c r="Y483" s="21"/>
    </row>
    <row r="484" spans="2:25" ht="15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 s="46"/>
      <c r="W484"/>
      <c r="X484" s="46"/>
      <c r="Y484" s="21"/>
    </row>
    <row r="485" spans="2:25" ht="15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 s="46"/>
      <c r="W485"/>
      <c r="X485" s="46"/>
      <c r="Y485" s="21"/>
    </row>
    <row r="486" spans="2:25" ht="15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 s="46"/>
      <c r="W486"/>
      <c r="X486" s="46"/>
      <c r="Y486" s="21"/>
    </row>
    <row r="487" spans="2:25" ht="15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 s="46"/>
      <c r="W487"/>
      <c r="X487" s="46"/>
      <c r="Y487" s="21"/>
    </row>
    <row r="488" spans="2:25" ht="15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 s="46"/>
      <c r="W488"/>
      <c r="X488" s="46"/>
      <c r="Y488" s="21"/>
    </row>
    <row r="489" spans="2:25" ht="15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s="46"/>
      <c r="W489"/>
      <c r="X489" s="46"/>
      <c r="Y489" s="21"/>
    </row>
    <row r="490" spans="2:25" ht="15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 s="46"/>
      <c r="W490"/>
      <c r="X490" s="46"/>
      <c r="Y490" s="21"/>
    </row>
    <row r="491" spans="2:25" ht="15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 s="46"/>
      <c r="W491"/>
      <c r="X491" s="46"/>
      <c r="Y491" s="21"/>
    </row>
    <row r="492" spans="2:25" ht="15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 s="46"/>
      <c r="W492"/>
      <c r="X492" s="46"/>
      <c r="Y492" s="21"/>
    </row>
    <row r="493" spans="2:25" ht="15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 s="46"/>
      <c r="W493"/>
      <c r="X493" s="46"/>
      <c r="Y493" s="21"/>
    </row>
    <row r="494" spans="2:25" ht="15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 s="46"/>
      <c r="W494"/>
      <c r="X494" s="46"/>
      <c r="Y494" s="21"/>
    </row>
    <row r="495" spans="2:25" ht="15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 s="46"/>
      <c r="W495"/>
      <c r="X495" s="46"/>
      <c r="Y495" s="21"/>
    </row>
    <row r="496" spans="2:25" ht="15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 s="46"/>
      <c r="W496"/>
      <c r="X496" s="46"/>
      <c r="Y496" s="21"/>
    </row>
    <row r="497" spans="2:25" ht="15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 s="46"/>
      <c r="W497"/>
      <c r="X497" s="46"/>
      <c r="Y497" s="21"/>
    </row>
    <row r="498" spans="2:25" ht="15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 s="46"/>
      <c r="W498"/>
      <c r="X498" s="46"/>
      <c r="Y498" s="21"/>
    </row>
    <row r="499" spans="2:25" ht="15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 s="46"/>
      <c r="W499"/>
      <c r="X499" s="46"/>
      <c r="Y499" s="21"/>
    </row>
    <row r="500" spans="2:25" ht="15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 s="46"/>
      <c r="W500"/>
      <c r="X500" s="46"/>
      <c r="Y500" s="21"/>
    </row>
    <row r="501" spans="2:25" ht="15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s="46"/>
      <c r="W501"/>
      <c r="X501" s="46"/>
      <c r="Y501" s="21"/>
    </row>
    <row r="502" spans="2:25" ht="15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 s="46"/>
      <c r="W502"/>
      <c r="X502" s="46"/>
      <c r="Y502" s="21"/>
    </row>
    <row r="503" spans="2:25" ht="15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 s="46"/>
      <c r="W503"/>
      <c r="X503" s="46"/>
      <c r="Y503" s="21"/>
    </row>
    <row r="504" spans="2:25" ht="15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 s="46"/>
      <c r="W504"/>
      <c r="X504" s="46"/>
      <c r="Y504" s="21"/>
    </row>
  </sheetData>
  <conditionalFormatting sqref="E505:E1048576 J10:J51 H10:H51 J2:J8 H2:H8 V505:V1048576 AO52:AO55">
    <cfRule type="duplicateValues" dxfId="19" priority="45"/>
  </conditionalFormatting>
  <conditionalFormatting sqref="J10:J51 J2:J8 D505:D1048576 H2:H8 H10:H51">
    <cfRule type="duplicateValues" dxfId="18" priority="108"/>
  </conditionalFormatting>
  <conditionalFormatting sqref="H10:H51 H2:H8 D505:D1048576 J2:J8 J10:J51">
    <cfRule type="uniqueValues" dxfId="17" priority="119"/>
  </conditionalFormatting>
  <conditionalFormatting sqref="AI10:AM51 AT10:XFD51 AT2:XFD8 G2:H8 B505:E1048576 N505:N1048576 U505:Y1048576 P505:S1048576 H505:H1048576 A2:D8 J505:J1048576 AK3:AM8 E2:F6 E8:F8 J2:P8 F3:F8 A10:H51 AE283:AJ1048576 J10:P51 AI2:AJ8 AD35:AF36 AG10:AG51 AD38:AF51 Z289:AD1048576 A52:A1048576 X2:AG8 X10:AF33 X35:AC51 AK52:XFD55 AK56:AL417 AS56:XFD417 AK418:AS1048576 BP418:XFD1048576 AT56:BO1048576">
    <cfRule type="containsErrors" dxfId="16" priority="44">
      <formula>ISERROR(A2)</formula>
    </cfRule>
  </conditionalFormatting>
  <conditionalFormatting sqref="W505:W1048576 H10:H51 J10:J51 J2:J8 H2:H8 E505:E1048576 AO52:AO55">
    <cfRule type="duplicateValues" dxfId="15" priority="38"/>
  </conditionalFormatting>
  <conditionalFormatting sqref="G505:G1048576">
    <cfRule type="cellIs" dxfId="14" priority="26" operator="lessThanOrEqual">
      <formula>1.02</formula>
    </cfRule>
    <cfRule type="cellIs" dxfId="13" priority="28" operator="greaterThan">
      <formula>1.06</formula>
    </cfRule>
  </conditionalFormatting>
  <conditionalFormatting sqref="AH2:AH8 AH10:AH51 T505:T1048576">
    <cfRule type="cellIs" dxfId="12" priority="23" operator="greaterThan">
      <formula>1000000000</formula>
    </cfRule>
    <cfRule type="cellIs" dxfId="11" priority="25" operator="lessThan">
      <formula>500000000</formula>
    </cfRule>
  </conditionalFormatting>
  <conditionalFormatting sqref="AF38:AF51 R505:R1048576 AF35:AF36 AD2:AD8 AD35:AD36 AD38:AD51 AD10:AD33 P505:P1048576 AF1:AF33">
    <cfRule type="cellIs" dxfId="10" priority="22" operator="between">
      <formula>0</formula>
      <formula>0.1</formula>
    </cfRule>
  </conditionalFormatting>
  <conditionalFormatting sqref="AE35:AE36 AE2:AE8 AE38:AE51 AE10:AE33 Q505:Q1048576">
    <cfRule type="cellIs" dxfId="9" priority="18" operator="greaterThan">
      <formula>2</formula>
    </cfRule>
    <cfRule type="cellIs" dxfId="8" priority="20" operator="lessThanOrEqual">
      <formula>0.75</formula>
    </cfRule>
  </conditionalFormatting>
  <conditionalFormatting sqref="G505:G1048576">
    <cfRule type="cellIs" dxfId="7" priority="19" operator="greaterThan">
      <formula>1.1</formula>
    </cfRule>
  </conditionalFormatting>
  <conditionalFormatting sqref="C2:D8 N2:O8 C10:D51 N10:O51">
    <cfRule type="cellIs" dxfId="6" priority="12" operator="lessThan">
      <formula>0</formula>
    </cfRule>
    <cfRule type="cellIs" dxfId="5" priority="13" operator="greaterThan">
      <formula>0</formula>
    </cfRule>
  </conditionalFormatting>
  <conditionalFormatting sqref="I2:I8 I10:I51 I505:I1048576">
    <cfRule type="cellIs" dxfId="4" priority="9" operator="greaterThan">
      <formula>0.08</formula>
    </cfRule>
    <cfRule type="cellIs" dxfId="3" priority="10" operator="greaterThan">
      <formula>0.04</formula>
    </cfRule>
    <cfRule type="cellIs" dxfId="2" priority="11" operator="lessThan">
      <formula>0.02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P741"/>
  <sheetViews>
    <sheetView workbookViewId="0">
      <pane xSplit="23655" topLeftCell="AX1"/>
      <selection activeCell="BQ1" sqref="BQ1"/>
      <selection pane="topRight" activeCell="AX1" sqref="AX1"/>
    </sheetView>
  </sheetViews>
  <sheetFormatPr defaultRowHeight="15" x14ac:dyDescent="0.25"/>
  <cols>
    <col min="1" max="1" width="9.140625" style="1"/>
    <col min="2" max="2" width="11" style="1" bestFit="1" customWidth="1"/>
    <col min="3" max="3" width="9.42578125" style="1" bestFit="1" customWidth="1"/>
    <col min="4" max="5" width="11" style="1" bestFit="1" customWidth="1"/>
    <col min="6" max="6" width="10" style="1" bestFit="1" customWidth="1"/>
    <col min="7" max="7" width="9.85546875" style="1" bestFit="1" customWidth="1"/>
    <col min="8" max="8" width="6.140625" style="1" bestFit="1" customWidth="1"/>
    <col min="9" max="9" width="11" style="1" bestFit="1" customWidth="1"/>
    <col min="10" max="10" width="11.42578125" style="1" bestFit="1" customWidth="1"/>
    <col min="11" max="11" width="8.7109375" style="1" bestFit="1" customWidth="1"/>
    <col min="12" max="12" width="8.85546875" style="1" bestFit="1" customWidth="1"/>
    <col min="13" max="13" width="9.140625" style="1"/>
    <col min="14" max="14" width="11" style="1" customWidth="1"/>
    <col min="15" max="15" width="9.42578125" style="1" customWidth="1"/>
    <col min="16" max="17" width="11" style="1" customWidth="1"/>
    <col min="18" max="18" width="7.7109375" style="1" customWidth="1"/>
    <col min="19" max="19" width="9.85546875" style="1" customWidth="1"/>
    <col min="20" max="20" width="6.140625" style="1" customWidth="1"/>
    <col min="21" max="21" width="11" style="1" customWidth="1"/>
    <col min="22" max="22" width="11.42578125" style="1" customWidth="1"/>
    <col min="23" max="23" width="8.7109375" style="1" customWidth="1"/>
    <col min="24" max="24" width="8.85546875" style="1" customWidth="1"/>
    <col min="25" max="25" width="9.140625" style="1"/>
    <col min="26" max="26" width="11" style="1" customWidth="1"/>
    <col min="27" max="27" width="9.42578125" style="1" customWidth="1"/>
    <col min="28" max="28" width="10" style="1" customWidth="1"/>
    <col min="29" max="29" width="10.28515625" style="1" customWidth="1"/>
    <col min="30" max="30" width="7.7109375" style="1" customWidth="1"/>
    <col min="31" max="31" width="9.85546875" style="1" customWidth="1"/>
    <col min="32" max="32" width="6.140625" style="1" customWidth="1"/>
    <col min="33" max="33" width="11" style="1" customWidth="1"/>
    <col min="34" max="34" width="11.42578125" style="1" customWidth="1"/>
    <col min="35" max="35" width="8.7109375" style="1" customWidth="1"/>
    <col min="36" max="36" width="8.85546875" style="1" customWidth="1"/>
    <col min="37" max="37" width="9.140625" style="1"/>
    <col min="38" max="38" width="11" style="1" customWidth="1"/>
    <col min="39" max="39" width="9.42578125" style="1" customWidth="1"/>
    <col min="40" max="40" width="9.140625" style="1" customWidth="1"/>
    <col min="41" max="41" width="10.28515625" style="1" customWidth="1"/>
    <col min="42" max="42" width="8.5703125" style="16" customWidth="1"/>
    <col min="43" max="43" width="9.85546875" style="1" customWidth="1"/>
    <col min="44" max="44" width="6.140625" style="1" customWidth="1"/>
    <col min="45" max="45" width="11" style="1" customWidth="1"/>
    <col min="46" max="46" width="11.42578125" style="1" customWidth="1"/>
    <col min="47" max="47" width="8.7109375" style="1" customWidth="1"/>
    <col min="48" max="48" width="8.85546875" style="1" customWidth="1"/>
    <col min="49" max="49" width="9.140625" style="1"/>
    <col min="50" max="50" width="11" style="1" customWidth="1"/>
    <col min="51" max="51" width="9.42578125" style="1" customWidth="1"/>
    <col min="52" max="52" width="10" style="1" customWidth="1"/>
    <col min="53" max="53" width="10.28515625" style="1" customWidth="1"/>
    <col min="54" max="54" width="7.7109375" style="1" customWidth="1"/>
    <col min="55" max="55" width="9.85546875" style="1" customWidth="1"/>
    <col min="56" max="56" width="6.140625" style="1" customWidth="1"/>
    <col min="57" max="57" width="11" style="1" customWidth="1"/>
    <col min="58" max="58" width="11.42578125" style="1" customWidth="1"/>
    <col min="59" max="59" width="8.7109375" style="1" customWidth="1"/>
    <col min="60" max="60" width="8.85546875" style="1" customWidth="1"/>
    <col min="61" max="61" width="9.140625" style="1"/>
    <col min="62" max="62" width="11" style="1" customWidth="1"/>
    <col min="63" max="63" width="9.42578125" style="1" customWidth="1"/>
    <col min="64" max="64" width="10" style="1" customWidth="1"/>
    <col min="65" max="65" width="10.28515625" style="1" customWidth="1"/>
    <col min="66" max="66" width="8" style="1" customWidth="1"/>
    <col min="67" max="67" width="9.85546875" style="1" customWidth="1"/>
    <col min="68" max="68" width="6.140625" style="1" customWidth="1"/>
    <col min="69" max="69" width="11" style="1" customWidth="1"/>
    <col min="70" max="70" width="11.42578125" style="1" customWidth="1"/>
    <col min="71" max="71" width="8.7109375" style="1" customWidth="1"/>
    <col min="72" max="72" width="8.85546875" style="1" customWidth="1"/>
    <col min="73" max="73" width="9.140625" style="1"/>
    <col min="74" max="74" width="11" style="1" customWidth="1"/>
    <col min="75" max="75" width="9.28515625" style="1" customWidth="1"/>
    <col min="76" max="76" width="9" style="1" customWidth="1"/>
    <col min="77" max="77" width="10.140625" style="1" customWidth="1"/>
    <col min="78" max="78" width="7.5703125" style="1" customWidth="1"/>
    <col min="79" max="79" width="9.7109375" style="1" customWidth="1"/>
    <col min="80" max="80" width="6" style="1" customWidth="1"/>
    <col min="81" max="81" width="10.85546875" style="1" customWidth="1"/>
    <col min="82" max="82" width="11.28515625" style="1" customWidth="1"/>
    <col min="83" max="83" width="8.5703125" style="1" customWidth="1"/>
    <col min="84" max="84" width="8.7109375" style="1" customWidth="1"/>
    <col min="85" max="85" width="9.140625" style="1"/>
    <col min="86" max="86" width="11" style="1" bestFit="1" customWidth="1"/>
    <col min="87" max="87" width="9.28515625" style="1" bestFit="1" customWidth="1"/>
    <col min="88" max="90" width="11" style="1" bestFit="1" customWidth="1"/>
    <col min="91" max="91" width="9.7109375" style="1" bestFit="1" customWidth="1"/>
    <col min="92" max="92" width="6" style="1" bestFit="1" customWidth="1"/>
    <col min="93" max="93" width="10.85546875" style="1" customWidth="1"/>
    <col min="94" max="94" width="11.28515625" style="1" bestFit="1" customWidth="1"/>
    <col min="95" max="95" width="8.5703125" style="1" bestFit="1" customWidth="1"/>
    <col min="96" max="96" width="8.7109375" style="1" bestFit="1" customWidth="1"/>
    <col min="97" max="97" width="9.140625" style="1"/>
    <col min="98" max="98" width="11" style="1" customWidth="1"/>
    <col min="99" max="99" width="9.28515625" style="1" customWidth="1"/>
    <col min="100" max="100" width="9" style="1" customWidth="1"/>
    <col min="101" max="101" width="10.140625" style="1" customWidth="1"/>
    <col min="102" max="102" width="7.5703125" style="1" customWidth="1"/>
    <col min="103" max="103" width="9.7109375" style="1" customWidth="1"/>
    <col min="104" max="104" width="6" style="1" customWidth="1"/>
    <col min="105" max="105" width="10.85546875" style="1" customWidth="1"/>
    <col min="106" max="106" width="11.28515625" style="1" customWidth="1"/>
    <col min="107" max="107" width="8.5703125" style="1" customWidth="1"/>
    <col min="108" max="108" width="8.7109375" style="1" customWidth="1"/>
    <col min="109" max="109" width="9.140625" style="1"/>
    <col min="110" max="110" width="11" style="1" customWidth="1"/>
    <col min="111" max="111" width="9.28515625" style="1" customWidth="1"/>
    <col min="112" max="112" width="9" style="1" customWidth="1"/>
    <col min="113" max="113" width="10.140625" style="1" customWidth="1"/>
    <col min="114" max="114" width="7.5703125" style="1" customWidth="1"/>
    <col min="115" max="115" width="9.7109375" style="1" customWidth="1"/>
    <col min="116" max="116" width="6" style="1" customWidth="1"/>
    <col min="117" max="117" width="10.85546875" style="1" customWidth="1"/>
    <col min="118" max="118" width="11.28515625" style="1" customWidth="1"/>
    <col min="119" max="119" width="8.5703125" style="1" customWidth="1"/>
    <col min="120" max="120" width="8.7109375" style="1" customWidth="1"/>
    <col min="121" max="121" width="9.140625" style="1"/>
    <col min="122" max="122" width="11" style="1" customWidth="1"/>
    <col min="123" max="123" width="9.42578125" style="1" customWidth="1"/>
    <col min="124" max="124" width="9.140625" style="1" customWidth="1"/>
    <col min="125" max="125" width="10.28515625" style="1" customWidth="1"/>
    <col min="126" max="126" width="7.7109375" style="1" customWidth="1"/>
    <col min="127" max="127" width="9.85546875" style="1" customWidth="1"/>
    <col min="128" max="128" width="6.140625" style="1" customWidth="1"/>
    <col min="129" max="129" width="11" style="1" customWidth="1"/>
    <col min="130" max="130" width="11.42578125" style="1" customWidth="1"/>
    <col min="131" max="131" width="8.7109375" style="1" customWidth="1"/>
    <col min="132" max="132" width="8.85546875" style="1" customWidth="1"/>
    <col min="133" max="133" width="9.140625" style="1"/>
    <col min="134" max="134" width="11" style="1" customWidth="1"/>
    <col min="135" max="135" width="9.42578125" style="1" customWidth="1"/>
    <col min="136" max="136" width="9.140625" style="1" customWidth="1"/>
    <col min="137" max="137" width="10.28515625" style="1" customWidth="1"/>
    <col min="138" max="138" width="7.7109375" style="1" customWidth="1"/>
    <col min="139" max="139" width="9.85546875" style="1" customWidth="1"/>
    <col min="140" max="140" width="6.140625" style="1" customWidth="1"/>
    <col min="141" max="141" width="11" style="1" customWidth="1"/>
    <col min="142" max="142" width="11.42578125" style="1" customWidth="1"/>
    <col min="143" max="143" width="8.7109375" style="1" customWidth="1"/>
    <col min="144" max="144" width="8.85546875" style="1" customWidth="1"/>
    <col min="145" max="145" width="9.140625" style="1"/>
    <col min="146" max="146" width="11" style="1" customWidth="1"/>
    <col min="147" max="147" width="9.42578125" style="1" customWidth="1"/>
    <col min="148" max="148" width="9.140625" style="1" customWidth="1"/>
    <col min="149" max="149" width="10.28515625" style="1" customWidth="1"/>
    <col min="150" max="150" width="7.7109375" style="1" customWidth="1"/>
    <col min="151" max="151" width="9.85546875" style="1" customWidth="1"/>
    <col min="152" max="152" width="6.140625" style="1" customWidth="1"/>
    <col min="153" max="153" width="11" style="1" customWidth="1"/>
    <col min="154" max="154" width="11.42578125" style="1" customWidth="1"/>
    <col min="155" max="155" width="8.7109375" style="1" customWidth="1"/>
    <col min="156" max="156" width="8.85546875" style="1" customWidth="1"/>
    <col min="157" max="157" width="9.140625" style="1"/>
    <col min="158" max="158" width="11" style="1" customWidth="1"/>
    <col min="159" max="159" width="9.42578125" style="1" customWidth="1"/>
    <col min="160" max="160" width="9.140625" style="1" customWidth="1"/>
    <col min="161" max="161" width="10.28515625" style="1" customWidth="1"/>
    <col min="162" max="162" width="8" style="1" customWidth="1"/>
    <col min="163" max="163" width="9.85546875" style="1" customWidth="1"/>
    <col min="164" max="164" width="6.140625" style="1" customWidth="1"/>
    <col min="165" max="165" width="11" style="1" customWidth="1"/>
    <col min="166" max="166" width="11.42578125" style="1" customWidth="1"/>
    <col min="167" max="167" width="8.7109375" style="1" customWidth="1"/>
    <col min="168" max="168" width="8.85546875" style="1" customWidth="1"/>
    <col min="169" max="169" width="9.140625" style="1"/>
    <col min="170" max="170" width="11" style="1" customWidth="1"/>
    <col min="171" max="171" width="9.42578125" style="1" customWidth="1"/>
    <col min="172" max="172" width="9.140625" style="1" customWidth="1"/>
    <col min="173" max="173" width="10.28515625" style="1" customWidth="1"/>
    <col min="174" max="174" width="11" style="1" customWidth="1"/>
    <col min="175" max="175" width="9.85546875" style="1" customWidth="1"/>
    <col min="176" max="176" width="6.140625" style="1" customWidth="1"/>
    <col min="177" max="177" width="11" style="1" customWidth="1"/>
    <col min="178" max="178" width="11.42578125" style="1" customWidth="1"/>
    <col min="179" max="179" width="8.7109375" style="1" customWidth="1"/>
    <col min="180" max="180" width="8.85546875" style="1" customWidth="1"/>
    <col min="181" max="181" width="9.140625" style="1"/>
    <col min="182" max="182" width="11" style="1" customWidth="1"/>
    <col min="183" max="183" width="9.42578125" style="1" customWidth="1"/>
    <col min="184" max="184" width="9.140625" style="1" customWidth="1"/>
    <col min="185" max="185" width="10.28515625" style="1" customWidth="1"/>
    <col min="186" max="186" width="7.7109375" style="1" customWidth="1"/>
    <col min="187" max="187" width="9.85546875" style="1" customWidth="1"/>
    <col min="188" max="188" width="6.140625" style="1" customWidth="1"/>
    <col min="189" max="189" width="11" style="1" customWidth="1"/>
    <col min="190" max="190" width="11.42578125" style="1" customWidth="1"/>
    <col min="191" max="191" width="8.7109375" style="1" customWidth="1"/>
    <col min="192" max="192" width="8.85546875" style="1" customWidth="1"/>
    <col min="193" max="193" width="9.140625" style="1"/>
    <col min="194" max="194" width="11" style="1" customWidth="1"/>
    <col min="195" max="195" width="9.28515625" style="1" customWidth="1"/>
    <col min="196" max="196" width="9" style="1" customWidth="1"/>
    <col min="197" max="197" width="10.140625" style="1" customWidth="1"/>
    <col min="198" max="198" width="7.5703125" style="1" customWidth="1"/>
    <col min="199" max="199" width="9.7109375" style="1" customWidth="1"/>
    <col min="200" max="200" width="6" style="1" customWidth="1"/>
    <col min="201" max="201" width="10.85546875" style="1" customWidth="1"/>
    <col min="202" max="202" width="11.28515625" style="1" customWidth="1"/>
    <col min="203" max="203" width="8.5703125" style="1" customWidth="1"/>
    <col min="204" max="204" width="8.7109375" style="1" customWidth="1"/>
    <col min="205" max="205" width="9.140625" style="1"/>
    <col min="206" max="206" width="11" style="1" customWidth="1"/>
    <col min="207" max="207" width="9.42578125" style="1" customWidth="1"/>
    <col min="208" max="208" width="9.140625" style="1" customWidth="1"/>
    <col min="209" max="209" width="10.28515625" style="1" customWidth="1"/>
    <col min="210" max="210" width="7.7109375" style="1" customWidth="1"/>
    <col min="211" max="211" width="9.85546875" style="1" customWidth="1"/>
    <col min="212" max="212" width="6.140625" style="1" customWidth="1"/>
    <col min="213" max="213" width="11" style="1" customWidth="1"/>
    <col min="214" max="214" width="11.42578125" style="1" customWidth="1"/>
    <col min="215" max="215" width="8.7109375" style="1" customWidth="1"/>
    <col min="216" max="216" width="8.85546875" style="1" customWidth="1"/>
    <col min="217" max="217" width="9.140625" style="1"/>
    <col min="218" max="218" width="11" style="1" customWidth="1"/>
    <col min="219" max="219" width="9.42578125" style="1" customWidth="1"/>
    <col min="220" max="220" width="9.140625" style="1" customWidth="1"/>
    <col min="221" max="221" width="10.28515625" style="1" customWidth="1"/>
    <col min="222" max="222" width="7.7109375" style="1" customWidth="1"/>
    <col min="223" max="223" width="9.85546875" style="1" customWidth="1"/>
    <col min="224" max="224" width="6.140625" style="1" customWidth="1"/>
    <col min="225" max="225" width="11" style="1" customWidth="1"/>
    <col min="226" max="226" width="11.42578125" style="1" customWidth="1"/>
    <col min="227" max="227" width="8.7109375" style="1" customWidth="1"/>
    <col min="228" max="228" width="8.85546875" style="1" customWidth="1"/>
    <col min="229" max="229" width="9.140625" style="1"/>
    <col min="230" max="230" width="11" style="1" customWidth="1"/>
    <col min="231" max="231" width="9.42578125" style="1" customWidth="1"/>
    <col min="232" max="232" width="9.140625" style="1" customWidth="1"/>
    <col min="233" max="233" width="10.28515625" style="1" customWidth="1"/>
    <col min="234" max="234" width="7.7109375" style="1" customWidth="1"/>
    <col min="235" max="235" width="9.85546875" style="1" customWidth="1"/>
    <col min="236" max="236" width="6.140625" style="1" customWidth="1"/>
    <col min="237" max="237" width="11" style="1" customWidth="1"/>
    <col min="238" max="238" width="11.42578125" style="1" customWidth="1"/>
    <col min="239" max="239" width="8.7109375" style="1" customWidth="1"/>
    <col min="240" max="240" width="8.85546875" style="1" customWidth="1"/>
    <col min="241" max="241" width="9.140625" style="1"/>
    <col min="242" max="242" width="11" style="1" customWidth="1"/>
    <col min="243" max="243" width="9.42578125" style="1" customWidth="1"/>
    <col min="244" max="244" width="9.140625" style="1" customWidth="1"/>
    <col min="245" max="245" width="10.28515625" style="1" customWidth="1"/>
    <col min="246" max="246" width="10" style="1" customWidth="1"/>
    <col min="247" max="247" width="9.85546875" style="1" customWidth="1"/>
    <col min="248" max="248" width="6.140625" style="1" customWidth="1"/>
    <col min="249" max="249" width="11" style="1" customWidth="1"/>
    <col min="250" max="250" width="11.42578125" style="1" customWidth="1"/>
    <col min="251" max="251" width="8.7109375" style="1" customWidth="1"/>
    <col min="252" max="252" width="8.85546875" style="1" customWidth="1"/>
    <col min="253" max="253" width="9.140625" style="1"/>
    <col min="254" max="254" width="11" style="1" customWidth="1"/>
    <col min="255" max="255" width="9.42578125" style="1" customWidth="1"/>
    <col min="256" max="256" width="9.140625" style="1" customWidth="1"/>
    <col min="257" max="257" width="10.28515625" style="1" customWidth="1"/>
    <col min="258" max="258" width="7.7109375" style="1" customWidth="1"/>
    <col min="259" max="259" width="9.85546875" style="1" customWidth="1"/>
    <col min="260" max="260" width="6.140625" style="1" customWidth="1"/>
    <col min="261" max="261" width="11" style="1" customWidth="1"/>
    <col min="262" max="262" width="11.42578125" style="1" customWidth="1"/>
    <col min="263" max="263" width="8.7109375" style="1" customWidth="1"/>
    <col min="264" max="264" width="8.85546875" style="1" customWidth="1"/>
    <col min="265" max="265" width="8.7109375" style="1" customWidth="1"/>
    <col min="266" max="266" width="11" style="1" customWidth="1"/>
    <col min="267" max="267" width="9.42578125" style="1" customWidth="1"/>
    <col min="268" max="268" width="10" style="1" customWidth="1"/>
    <col min="269" max="269" width="10.28515625" style="1" customWidth="1"/>
    <col min="270" max="270" width="7.7109375" style="1" customWidth="1"/>
    <col min="271" max="271" width="9.85546875" style="1" customWidth="1"/>
    <col min="272" max="272" width="6.140625" style="1" customWidth="1"/>
    <col min="273" max="273" width="11" style="1" customWidth="1"/>
    <col min="274" max="274" width="11.42578125" style="1" customWidth="1"/>
    <col min="275" max="275" width="8.7109375" style="1" customWidth="1"/>
    <col min="276" max="276" width="8.85546875" style="1" customWidth="1"/>
    <col min="277" max="277" width="9.140625" style="1"/>
    <col min="278" max="278" width="11" style="1" customWidth="1"/>
    <col min="279" max="279" width="9.42578125" style="1" customWidth="1"/>
    <col min="280" max="280" width="9.140625" style="1" customWidth="1"/>
    <col min="281" max="281" width="10.28515625" style="1" customWidth="1"/>
    <col min="282" max="282" width="10" style="1" customWidth="1"/>
    <col min="283" max="283" width="9.85546875" style="1" customWidth="1"/>
    <col min="284" max="284" width="6.140625" style="1" customWidth="1"/>
    <col min="285" max="285" width="11" style="1" customWidth="1"/>
    <col min="286" max="286" width="11.42578125" style="1" customWidth="1"/>
    <col min="287" max="287" width="8.7109375" style="1" customWidth="1"/>
    <col min="288" max="288" width="8.85546875" style="1" customWidth="1"/>
    <col min="289" max="289" width="9.140625" style="1"/>
    <col min="290" max="290" width="11" style="1" customWidth="1"/>
    <col min="291" max="291" width="9.42578125" style="1" customWidth="1"/>
    <col min="292" max="292" width="9.140625" style="1" customWidth="1"/>
    <col min="293" max="293" width="10.28515625" style="1" customWidth="1"/>
    <col min="294" max="294" width="9" style="1" customWidth="1"/>
    <col min="295" max="295" width="9.85546875" style="1" customWidth="1"/>
    <col min="296" max="296" width="6.140625" style="1" customWidth="1"/>
    <col min="297" max="297" width="11" style="1" customWidth="1"/>
    <col min="298" max="298" width="11.42578125" style="1" customWidth="1"/>
    <col min="299" max="299" width="8.7109375" style="1" customWidth="1"/>
    <col min="300" max="300" width="8.85546875" style="1" customWidth="1"/>
    <col min="301" max="301" width="9.140625" style="1"/>
    <col min="302" max="302" width="11" style="1" customWidth="1"/>
    <col min="303" max="303" width="9.42578125" style="1" customWidth="1"/>
    <col min="304" max="304" width="9.140625" style="1" customWidth="1"/>
    <col min="305" max="305" width="10.28515625" style="1" customWidth="1"/>
    <col min="306" max="306" width="9" style="1" customWidth="1"/>
    <col min="307" max="307" width="9.85546875" style="1" customWidth="1"/>
    <col min="308" max="308" width="6.140625" style="1" customWidth="1"/>
    <col min="309" max="309" width="11" style="1" customWidth="1"/>
    <col min="310" max="310" width="11.42578125" style="1" customWidth="1"/>
    <col min="311" max="311" width="8.7109375" style="1" customWidth="1"/>
    <col min="312" max="312" width="8.85546875" style="1" customWidth="1"/>
    <col min="313" max="313" width="9.140625" style="1"/>
    <col min="314" max="314" width="11" style="1" customWidth="1"/>
    <col min="315" max="315" width="9.42578125" style="1" customWidth="1"/>
    <col min="316" max="316" width="9.140625" style="1" customWidth="1"/>
    <col min="317" max="317" width="10.28515625" style="1" customWidth="1"/>
    <col min="318" max="318" width="7.7109375" style="1" customWidth="1"/>
    <col min="319" max="319" width="9.85546875" style="1" customWidth="1"/>
    <col min="320" max="320" width="6.140625" style="1" customWidth="1"/>
    <col min="321" max="321" width="11" style="1" customWidth="1"/>
    <col min="322" max="322" width="11.42578125" style="1" customWidth="1"/>
    <col min="323" max="323" width="8.7109375" style="1" customWidth="1"/>
    <col min="324" max="324" width="8.85546875" style="1" customWidth="1"/>
    <col min="325" max="325" width="9.140625" style="1"/>
    <col min="326" max="326" width="11" style="1" customWidth="1"/>
    <col min="327" max="327" width="9.42578125" style="1" customWidth="1"/>
    <col min="328" max="328" width="9.140625" style="1" customWidth="1"/>
    <col min="329" max="329" width="10.28515625" style="1" customWidth="1"/>
    <col min="330" max="330" width="10" style="1" customWidth="1"/>
    <col min="331" max="331" width="9.85546875" style="1" customWidth="1"/>
    <col min="332" max="332" width="6.140625" style="1" customWidth="1"/>
    <col min="333" max="333" width="11" style="1" customWidth="1"/>
    <col min="334" max="334" width="11.42578125" style="1" customWidth="1"/>
    <col min="335" max="335" width="8.7109375" style="1" customWidth="1"/>
    <col min="336" max="336" width="8.85546875" style="1" customWidth="1"/>
    <col min="337" max="337" width="9.140625" style="1"/>
    <col min="338" max="338" width="11" style="1" customWidth="1"/>
    <col min="339" max="339" width="9.42578125" style="1" customWidth="1"/>
    <col min="340" max="340" width="9.140625" style="1" customWidth="1"/>
    <col min="341" max="341" width="10.28515625" style="1" customWidth="1"/>
    <col min="342" max="342" width="10" style="1" customWidth="1"/>
    <col min="343" max="343" width="9.85546875" style="1" customWidth="1"/>
    <col min="344" max="344" width="6.140625" style="1" customWidth="1"/>
    <col min="345" max="345" width="11" style="1" customWidth="1"/>
    <col min="346" max="346" width="11.42578125" style="1" customWidth="1"/>
    <col min="347" max="347" width="8.7109375" style="1" customWidth="1"/>
    <col min="348" max="348" width="8.85546875" style="1" customWidth="1"/>
    <col min="349" max="349" width="9.140625" style="1"/>
    <col min="350" max="350" width="11" style="1" customWidth="1"/>
    <col min="351" max="351" width="9.42578125" style="1" customWidth="1"/>
    <col min="352" max="352" width="9.140625" style="1" customWidth="1"/>
    <col min="353" max="353" width="10.28515625" style="1" customWidth="1"/>
    <col min="354" max="354" width="9" style="1" customWidth="1"/>
    <col min="355" max="355" width="9.85546875" style="1" customWidth="1"/>
    <col min="356" max="356" width="6.140625" style="1" customWidth="1"/>
    <col min="357" max="357" width="11" style="1" customWidth="1"/>
    <col min="358" max="358" width="11.42578125" style="1" customWidth="1"/>
    <col min="359" max="359" width="8.7109375" style="1" customWidth="1"/>
    <col min="360" max="360" width="8.85546875" style="1" customWidth="1"/>
    <col min="361" max="361" width="9.140625" style="1"/>
    <col min="362" max="362" width="11" style="1" customWidth="1"/>
    <col min="363" max="363" width="9.42578125" style="1" customWidth="1"/>
    <col min="364" max="364" width="10" style="1" customWidth="1"/>
    <col min="365" max="365" width="10.28515625" style="1" customWidth="1"/>
    <col min="366" max="366" width="7.7109375" style="1" customWidth="1"/>
    <col min="367" max="367" width="9.85546875" style="1" customWidth="1"/>
    <col min="368" max="368" width="6.140625" style="1" customWidth="1"/>
    <col min="369" max="369" width="11" style="1" customWidth="1"/>
    <col min="370" max="370" width="11.42578125" style="1" customWidth="1"/>
    <col min="371" max="371" width="8.7109375" style="1" customWidth="1"/>
    <col min="372" max="372" width="8.85546875" style="1" customWidth="1"/>
    <col min="373" max="373" width="9.140625" style="1"/>
    <col min="374" max="374" width="11" style="1" customWidth="1"/>
    <col min="375" max="375" width="9.42578125" style="1" customWidth="1"/>
    <col min="376" max="376" width="10" style="1" customWidth="1"/>
    <col min="377" max="377" width="10.28515625" style="1" customWidth="1"/>
    <col min="378" max="378" width="7.7109375" style="1" customWidth="1"/>
    <col min="379" max="379" width="9.85546875" style="1" customWidth="1"/>
    <col min="380" max="380" width="6.140625" style="1" customWidth="1"/>
    <col min="381" max="381" width="11" style="1" customWidth="1"/>
    <col min="382" max="382" width="11.42578125" style="1" customWidth="1"/>
    <col min="383" max="383" width="8.7109375" style="1" customWidth="1"/>
    <col min="384" max="384" width="8.85546875" style="1" customWidth="1"/>
    <col min="385" max="385" width="9.140625" style="1"/>
    <col min="386" max="386" width="11" style="1" customWidth="1"/>
    <col min="387" max="387" width="9.42578125" style="1" customWidth="1"/>
    <col min="388" max="388" width="9.140625" style="1" customWidth="1"/>
    <col min="389" max="389" width="10.28515625" style="1" customWidth="1"/>
    <col min="390" max="390" width="7.7109375" style="1" customWidth="1"/>
    <col min="391" max="391" width="9.85546875" style="1" customWidth="1"/>
    <col min="392" max="392" width="6.140625" style="1" customWidth="1"/>
    <col min="393" max="393" width="11" style="1" customWidth="1"/>
    <col min="394" max="394" width="11.42578125" style="1" customWidth="1"/>
    <col min="395" max="395" width="8.7109375" style="1" customWidth="1"/>
    <col min="396" max="396" width="8.85546875" style="1" customWidth="1"/>
    <col min="397" max="397" width="9.140625" style="1"/>
    <col min="398" max="398" width="11" style="1" customWidth="1"/>
    <col min="399" max="399" width="9.42578125" style="1" customWidth="1"/>
    <col min="400" max="400" width="9.140625" style="1" customWidth="1"/>
    <col min="401" max="401" width="10.28515625" style="1" customWidth="1"/>
    <col min="402" max="402" width="9" style="1" customWidth="1"/>
    <col min="403" max="403" width="9.85546875" style="1" customWidth="1"/>
    <col min="404" max="404" width="6.140625" style="1" customWidth="1"/>
    <col min="405" max="405" width="11" style="1" customWidth="1"/>
    <col min="406" max="406" width="11.42578125" style="1" customWidth="1"/>
    <col min="407" max="407" width="8.7109375" style="1" customWidth="1"/>
    <col min="408" max="408" width="8.85546875" style="1" customWidth="1"/>
    <col min="409" max="409" width="9.140625" style="1"/>
    <col min="410" max="410" width="11" style="1" customWidth="1"/>
    <col min="411" max="411" width="9.42578125" style="1" customWidth="1"/>
    <col min="412" max="412" width="9.140625" style="1" customWidth="1"/>
    <col min="413" max="413" width="10.28515625" style="1" customWidth="1"/>
    <col min="414" max="414" width="7.7109375" style="1" customWidth="1"/>
    <col min="415" max="415" width="9.85546875" style="1" customWidth="1"/>
    <col min="416" max="416" width="6.140625" style="1" customWidth="1"/>
    <col min="417" max="417" width="11" style="1" customWidth="1"/>
    <col min="418" max="418" width="11.42578125" style="1" customWidth="1"/>
    <col min="419" max="419" width="8.7109375" style="1" customWidth="1"/>
    <col min="420" max="420" width="8.85546875" style="1" customWidth="1"/>
    <col min="421" max="421" width="9.140625" style="1"/>
    <col min="422" max="422" width="11" style="1" customWidth="1"/>
    <col min="423" max="423" width="9.42578125" style="1" customWidth="1"/>
    <col min="424" max="424" width="10" style="1" customWidth="1"/>
    <col min="425" max="425" width="10.28515625" style="1" customWidth="1"/>
    <col min="426" max="426" width="7.7109375" style="1" customWidth="1"/>
    <col min="427" max="427" width="9.85546875" style="1" customWidth="1"/>
    <col min="428" max="428" width="6.140625" style="1" customWidth="1"/>
    <col min="429" max="429" width="11" style="1" customWidth="1"/>
    <col min="430" max="430" width="11.42578125" style="1" customWidth="1"/>
    <col min="431" max="431" width="8.7109375" style="1" customWidth="1"/>
    <col min="432" max="432" width="8.85546875" style="1" customWidth="1"/>
    <col min="433" max="433" width="9.140625" style="1"/>
    <col min="434" max="434" width="11" style="1" customWidth="1"/>
    <col min="435" max="435" width="9.42578125" style="1" customWidth="1"/>
    <col min="436" max="436" width="9.140625" style="1" customWidth="1"/>
    <col min="437" max="437" width="10.28515625" style="1" customWidth="1"/>
    <col min="438" max="438" width="10" style="1" customWidth="1"/>
    <col min="439" max="439" width="9.85546875" style="1" customWidth="1"/>
    <col min="440" max="440" width="6.140625" style="1" customWidth="1"/>
    <col min="441" max="441" width="11" style="1" customWidth="1"/>
    <col min="442" max="442" width="11.42578125" style="1" customWidth="1"/>
    <col min="443" max="443" width="8.7109375" style="1" customWidth="1"/>
    <col min="444" max="444" width="8.85546875" style="1" customWidth="1"/>
    <col min="445" max="445" width="9.140625" style="1"/>
    <col min="446" max="446" width="11" style="1" customWidth="1"/>
    <col min="447" max="447" width="9.42578125" style="1" customWidth="1"/>
    <col min="448" max="448" width="9.140625" style="1" customWidth="1"/>
    <col min="449" max="449" width="10.28515625" style="1" customWidth="1"/>
    <col min="450" max="450" width="7.7109375" style="1" customWidth="1"/>
    <col min="451" max="451" width="9.85546875" style="1" customWidth="1"/>
    <col min="452" max="452" width="6.140625" style="1" customWidth="1"/>
    <col min="453" max="453" width="11" style="1" customWidth="1"/>
    <col min="454" max="454" width="11.42578125" style="1" customWidth="1"/>
    <col min="455" max="455" width="8.7109375" style="1" customWidth="1"/>
    <col min="456" max="456" width="8.85546875" style="1" customWidth="1"/>
    <col min="457" max="457" width="9.140625" style="1"/>
    <col min="458" max="458" width="11" style="1" customWidth="1"/>
    <col min="459" max="459" width="9.42578125" style="1" customWidth="1"/>
    <col min="460" max="460" width="10" style="1" customWidth="1"/>
    <col min="461" max="461" width="10.28515625" style="1" customWidth="1"/>
    <col min="462" max="462" width="7.7109375" style="1" customWidth="1"/>
    <col min="463" max="463" width="9.85546875" style="1" customWidth="1"/>
    <col min="464" max="464" width="6.140625" style="1" customWidth="1"/>
    <col min="465" max="465" width="11" style="1" customWidth="1"/>
    <col min="466" max="466" width="11.42578125" style="1" customWidth="1"/>
    <col min="467" max="467" width="8.7109375" style="1" customWidth="1"/>
    <col min="468" max="468" width="8.85546875" style="1" customWidth="1"/>
    <col min="469" max="469" width="9.140625" style="1"/>
    <col min="470" max="470" width="11" style="1" customWidth="1"/>
    <col min="471" max="471" width="9.42578125" style="1" customWidth="1"/>
    <col min="472" max="472" width="9.140625" style="1" customWidth="1"/>
    <col min="473" max="473" width="10.28515625" style="1" customWidth="1"/>
    <col min="474" max="474" width="7.7109375" style="1" customWidth="1"/>
    <col min="475" max="475" width="9.85546875" style="1" customWidth="1"/>
    <col min="476" max="476" width="6.140625" style="1" customWidth="1"/>
    <col min="477" max="477" width="11" style="1" customWidth="1"/>
    <col min="478" max="478" width="11.42578125" style="1" customWidth="1"/>
    <col min="479" max="479" width="8.7109375" style="1" customWidth="1"/>
    <col min="480" max="480" width="8.85546875" style="1" customWidth="1"/>
    <col min="481" max="481" width="9.140625" style="1"/>
    <col min="482" max="482" width="11" style="1" customWidth="1"/>
    <col min="483" max="483" width="9.42578125" style="1" customWidth="1"/>
    <col min="484" max="484" width="9.140625" style="1" customWidth="1"/>
    <col min="485" max="485" width="10.28515625" style="1" customWidth="1"/>
    <col min="486" max="486" width="7.7109375" style="1" customWidth="1"/>
    <col min="487" max="487" width="9.85546875" style="1" customWidth="1"/>
    <col min="488" max="488" width="6.140625" style="1" customWidth="1"/>
    <col min="489" max="489" width="11" style="1" customWidth="1"/>
    <col min="490" max="490" width="11.42578125" style="1" customWidth="1"/>
    <col min="491" max="491" width="8.7109375" style="1" customWidth="1"/>
    <col min="492" max="492" width="8.85546875" style="1" customWidth="1"/>
    <col min="493" max="493" width="9.140625" style="1"/>
    <col min="494" max="494" width="11" style="1" customWidth="1"/>
    <col min="495" max="495" width="9.42578125" style="1" customWidth="1"/>
    <col min="496" max="496" width="9.140625" style="1" customWidth="1"/>
    <col min="497" max="497" width="10.28515625" style="1" customWidth="1"/>
    <col min="498" max="498" width="8" style="1" customWidth="1"/>
    <col min="499" max="499" width="9.85546875" style="1" customWidth="1"/>
    <col min="500" max="500" width="6.140625" style="1" customWidth="1"/>
    <col min="501" max="501" width="11" style="1" customWidth="1"/>
    <col min="502" max="502" width="11.42578125" style="1" customWidth="1"/>
    <col min="503" max="503" width="8.7109375" style="1" customWidth="1"/>
    <col min="504" max="504" width="8.85546875" style="1" customWidth="1"/>
    <col min="505" max="505" width="9.140625" style="1"/>
    <col min="506" max="506" width="11" style="1" customWidth="1"/>
    <col min="507" max="507" width="9.42578125" style="1" customWidth="1"/>
    <col min="508" max="508" width="9.140625" style="1" customWidth="1"/>
    <col min="509" max="509" width="10.28515625" style="1" customWidth="1"/>
    <col min="510" max="510" width="8" style="1" customWidth="1"/>
    <col min="511" max="511" width="9.85546875" style="1" customWidth="1"/>
    <col min="512" max="512" width="6.140625" style="1" customWidth="1"/>
    <col min="513" max="513" width="11" style="1" customWidth="1"/>
    <col min="514" max="514" width="11.42578125" style="1" customWidth="1"/>
    <col min="515" max="515" width="8.7109375" style="1" customWidth="1"/>
    <col min="516" max="516" width="8.85546875" style="1" customWidth="1"/>
    <col min="517" max="517" width="9.140625" style="1"/>
    <col min="518" max="518" width="11" style="1" customWidth="1"/>
    <col min="519" max="519" width="9.42578125" style="1" customWidth="1"/>
    <col min="520" max="520" width="9.140625" style="1" customWidth="1"/>
    <col min="521" max="521" width="10.28515625" style="1" customWidth="1"/>
    <col min="522" max="522" width="7.7109375" style="1" customWidth="1"/>
    <col min="523" max="523" width="9.85546875" style="1" customWidth="1"/>
    <col min="524" max="524" width="6.140625" style="1" customWidth="1"/>
    <col min="525" max="525" width="11" style="1" customWidth="1"/>
    <col min="526" max="526" width="11.42578125" style="1" customWidth="1"/>
    <col min="527" max="527" width="8.7109375" style="1" customWidth="1"/>
    <col min="528" max="528" width="8.85546875" style="1" customWidth="1"/>
    <col min="529" max="529" width="9.140625" style="1"/>
    <col min="530" max="530" width="11" style="1" customWidth="1"/>
    <col min="531" max="531" width="9.42578125" style="1" customWidth="1"/>
    <col min="532" max="532" width="9.140625" style="1" customWidth="1"/>
    <col min="533" max="533" width="10.28515625" style="1" customWidth="1"/>
    <col min="534" max="534" width="7.7109375" style="1" customWidth="1"/>
    <col min="535" max="535" width="9.85546875" style="1" customWidth="1"/>
    <col min="536" max="536" width="6.140625" style="1" customWidth="1"/>
    <col min="537" max="537" width="11" style="1" customWidth="1"/>
    <col min="538" max="538" width="11.42578125" style="1" customWidth="1"/>
    <col min="539" max="539" width="8.7109375" style="1" customWidth="1"/>
    <col min="540" max="540" width="8.85546875" style="1" customWidth="1"/>
    <col min="541" max="541" width="9.140625" style="1"/>
    <col min="542" max="542" width="11" style="1" customWidth="1"/>
    <col min="543" max="543" width="9.42578125" style="1" customWidth="1"/>
    <col min="544" max="544" width="9.140625" style="1" customWidth="1"/>
    <col min="545" max="545" width="10.28515625" style="1" customWidth="1"/>
    <col min="546" max="546" width="9" style="1" customWidth="1"/>
    <col min="547" max="547" width="9.85546875" style="1" customWidth="1"/>
    <col min="548" max="548" width="6.140625" style="1" customWidth="1"/>
    <col min="549" max="549" width="11" style="1" customWidth="1"/>
    <col min="550" max="550" width="11.42578125" style="1" customWidth="1"/>
    <col min="551" max="551" width="8.7109375" style="1" customWidth="1"/>
    <col min="552" max="552" width="8.85546875" style="1" customWidth="1"/>
    <col min="553" max="553" width="9.140625" style="1"/>
    <col min="554" max="554" width="11" style="1" customWidth="1"/>
    <col min="555" max="555" width="9.42578125" style="1" customWidth="1"/>
    <col min="556" max="556" width="9.140625" style="1" customWidth="1"/>
    <col min="557" max="557" width="10.28515625" style="1" customWidth="1"/>
    <col min="558" max="558" width="7.7109375" style="1" customWidth="1"/>
    <col min="559" max="559" width="9.85546875" style="1" customWidth="1"/>
    <col min="560" max="560" width="6.140625" style="1" customWidth="1"/>
    <col min="561" max="561" width="11" style="1" customWidth="1"/>
    <col min="562" max="562" width="11.42578125" style="1" customWidth="1"/>
    <col min="563" max="563" width="8.7109375" style="1" customWidth="1"/>
    <col min="564" max="564" width="8.85546875" style="1" customWidth="1"/>
    <col min="565" max="565" width="9.140625" style="1"/>
    <col min="566" max="566" width="11" style="1" customWidth="1"/>
    <col min="567" max="567" width="9.42578125" style="1" customWidth="1"/>
    <col min="568" max="568" width="9.140625" style="1" customWidth="1"/>
    <col min="569" max="569" width="10.28515625" style="1" customWidth="1"/>
    <col min="570" max="570" width="7.7109375" style="1" customWidth="1"/>
    <col min="571" max="571" width="9.85546875" style="1" customWidth="1"/>
    <col min="572" max="572" width="6.140625" style="1" customWidth="1"/>
    <col min="573" max="573" width="11" style="1" customWidth="1"/>
    <col min="574" max="574" width="11.42578125" style="1" customWidth="1"/>
    <col min="575" max="575" width="8.7109375" style="1" customWidth="1"/>
    <col min="576" max="576" width="8.85546875" style="1" customWidth="1"/>
    <col min="577" max="577" width="9.140625" style="1"/>
    <col min="578" max="578" width="11" style="1" customWidth="1"/>
    <col min="579" max="579" width="9.42578125" style="1" customWidth="1"/>
    <col min="580" max="580" width="9.140625" style="1" customWidth="1"/>
    <col min="581" max="581" width="10.28515625" style="1" customWidth="1"/>
    <col min="582" max="582" width="7.7109375" style="1" customWidth="1"/>
    <col min="583" max="583" width="9.85546875" style="1" customWidth="1"/>
    <col min="584" max="584" width="6.140625" style="1" customWidth="1"/>
    <col min="585" max="585" width="11" style="1" customWidth="1"/>
    <col min="586" max="586" width="11.42578125" style="1" customWidth="1"/>
    <col min="587" max="587" width="8.7109375" style="1" customWidth="1"/>
    <col min="588" max="588" width="8.85546875" style="1" customWidth="1"/>
    <col min="589" max="16384" width="9.140625" style="1"/>
  </cols>
  <sheetData>
    <row r="1" spans="1:588" x14ac:dyDescent="0.25">
      <c r="A1" s="1" t="s">
        <v>68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69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70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76</v>
      </c>
      <c r="AL1" s="1" t="s">
        <v>57</v>
      </c>
      <c r="AM1" s="1" t="s">
        <v>58</v>
      </c>
      <c r="AN1" s="1" t="s">
        <v>59</v>
      </c>
      <c r="AO1" s="1" t="s">
        <v>60</v>
      </c>
      <c r="AP1" s="16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77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78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79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83</v>
      </c>
      <c r="CH1" s="1" t="s">
        <v>57</v>
      </c>
      <c r="CI1" s="1" t="s">
        <v>58</v>
      </c>
      <c r="CJ1" s="1" t="s">
        <v>59</v>
      </c>
      <c r="CK1" s="1" t="s">
        <v>60</v>
      </c>
      <c r="CL1" s="1" t="s">
        <v>61</v>
      </c>
      <c r="CM1" s="1" t="s">
        <v>62</v>
      </c>
      <c r="CN1" s="1" t="s">
        <v>63</v>
      </c>
      <c r="CO1" s="1" t="s">
        <v>64</v>
      </c>
      <c r="CP1" s="1" t="s">
        <v>65</v>
      </c>
      <c r="CQ1" s="1" t="s">
        <v>66</v>
      </c>
      <c r="CR1" s="1" t="s">
        <v>67</v>
      </c>
      <c r="CS1" s="1" t="s">
        <v>84</v>
      </c>
      <c r="CT1" s="1" t="s">
        <v>57</v>
      </c>
      <c r="CU1" s="1" t="s">
        <v>58</v>
      </c>
      <c r="CV1" s="1" t="s">
        <v>59</v>
      </c>
      <c r="CW1" s="1" t="s">
        <v>60</v>
      </c>
      <c r="CX1" s="1" t="s">
        <v>61</v>
      </c>
      <c r="CY1" s="1" t="s">
        <v>62</v>
      </c>
      <c r="CZ1" s="1" t="s">
        <v>63</v>
      </c>
      <c r="DA1" s="1" t="s">
        <v>64</v>
      </c>
      <c r="DB1" s="1" t="s">
        <v>65</v>
      </c>
      <c r="DC1" s="1" t="s">
        <v>66</v>
      </c>
      <c r="DD1" s="1" t="s">
        <v>67</v>
      </c>
      <c r="DE1" s="1" t="s">
        <v>85</v>
      </c>
      <c r="DF1" s="1" t="s">
        <v>57</v>
      </c>
      <c r="DG1" s="1" t="s">
        <v>58</v>
      </c>
      <c r="DH1" s="1" t="s">
        <v>59</v>
      </c>
      <c r="DI1" s="1" t="s">
        <v>60</v>
      </c>
      <c r="DJ1" s="1" t="s">
        <v>61</v>
      </c>
      <c r="DK1" s="1" t="s">
        <v>62</v>
      </c>
      <c r="DL1" s="1" t="s">
        <v>63</v>
      </c>
      <c r="DM1" s="1" t="s">
        <v>64</v>
      </c>
      <c r="DN1" s="1" t="s">
        <v>65</v>
      </c>
      <c r="DO1" s="1" t="s">
        <v>66</v>
      </c>
      <c r="DP1" s="1" t="s">
        <v>67</v>
      </c>
      <c r="DQ1" s="1" t="s">
        <v>86</v>
      </c>
      <c r="DR1" s="1" t="s">
        <v>57</v>
      </c>
      <c r="DS1" s="1" t="s">
        <v>58</v>
      </c>
      <c r="DT1" s="1" t="s">
        <v>59</v>
      </c>
      <c r="DU1" s="1" t="s">
        <v>60</v>
      </c>
      <c r="DV1" s="1" t="s">
        <v>61</v>
      </c>
      <c r="DW1" s="1" t="s">
        <v>62</v>
      </c>
      <c r="DX1" s="1" t="s">
        <v>63</v>
      </c>
      <c r="DY1" s="1" t="s">
        <v>64</v>
      </c>
      <c r="DZ1" s="1" t="s">
        <v>65</v>
      </c>
      <c r="EA1" s="1" t="s">
        <v>66</v>
      </c>
      <c r="EB1" s="1" t="s">
        <v>67</v>
      </c>
      <c r="EC1" s="1" t="s">
        <v>87</v>
      </c>
      <c r="ED1" s="1" t="s">
        <v>57</v>
      </c>
      <c r="EE1" s="1" t="s">
        <v>58</v>
      </c>
      <c r="EF1" s="1" t="s">
        <v>59</v>
      </c>
      <c r="EG1" s="1" t="s">
        <v>60</v>
      </c>
      <c r="EH1" s="1" t="s">
        <v>61</v>
      </c>
      <c r="EI1" s="1" t="s">
        <v>62</v>
      </c>
      <c r="EJ1" s="1" t="s">
        <v>63</v>
      </c>
      <c r="EK1" s="1" t="s">
        <v>64</v>
      </c>
      <c r="EL1" s="1" t="s">
        <v>65</v>
      </c>
      <c r="EM1" s="1" t="s">
        <v>66</v>
      </c>
      <c r="EN1" s="1" t="s">
        <v>67</v>
      </c>
      <c r="EO1" s="1" t="s">
        <v>88</v>
      </c>
      <c r="EP1" s="1" t="s">
        <v>57</v>
      </c>
      <c r="EQ1" s="1" t="s">
        <v>58</v>
      </c>
      <c r="ER1" s="1" t="s">
        <v>59</v>
      </c>
      <c r="ES1" s="1" t="s">
        <v>60</v>
      </c>
      <c r="ET1" s="1" t="s">
        <v>61</v>
      </c>
      <c r="EU1" s="1" t="s">
        <v>62</v>
      </c>
      <c r="EV1" s="1" t="s">
        <v>63</v>
      </c>
      <c r="EW1" s="1" t="s">
        <v>64</v>
      </c>
      <c r="EX1" s="1" t="s">
        <v>65</v>
      </c>
      <c r="EY1" s="1" t="s">
        <v>66</v>
      </c>
      <c r="EZ1" s="1" t="s">
        <v>67</v>
      </c>
      <c r="FA1" s="1" t="s">
        <v>89</v>
      </c>
      <c r="FB1" s="1" t="s">
        <v>57</v>
      </c>
      <c r="FC1" s="1" t="s">
        <v>58</v>
      </c>
      <c r="FD1" s="1" t="s">
        <v>59</v>
      </c>
      <c r="FE1" s="1" t="s">
        <v>60</v>
      </c>
      <c r="FF1" s="1" t="s">
        <v>61</v>
      </c>
      <c r="FG1" s="1" t="s">
        <v>62</v>
      </c>
      <c r="FH1" s="1" t="s">
        <v>63</v>
      </c>
      <c r="FI1" s="1" t="s">
        <v>64</v>
      </c>
      <c r="FJ1" s="1" t="s">
        <v>65</v>
      </c>
      <c r="FK1" s="1" t="s">
        <v>66</v>
      </c>
      <c r="FL1" s="1" t="s">
        <v>67</v>
      </c>
      <c r="FM1" s="1" t="s">
        <v>90</v>
      </c>
      <c r="FN1" s="1" t="s">
        <v>57</v>
      </c>
      <c r="FO1" s="1" t="s">
        <v>58</v>
      </c>
      <c r="FP1" s="1" t="s">
        <v>59</v>
      </c>
      <c r="FQ1" s="1" t="s">
        <v>60</v>
      </c>
      <c r="FR1" s="1" t="s">
        <v>61</v>
      </c>
      <c r="FS1" s="1" t="s">
        <v>62</v>
      </c>
      <c r="FT1" s="1" t="s">
        <v>63</v>
      </c>
      <c r="FU1" s="1" t="s">
        <v>64</v>
      </c>
      <c r="FV1" s="1" t="s">
        <v>65</v>
      </c>
      <c r="FW1" s="1" t="s">
        <v>66</v>
      </c>
      <c r="FX1" s="1" t="s">
        <v>67</v>
      </c>
      <c r="FY1" s="1" t="s">
        <v>91</v>
      </c>
      <c r="FZ1" s="1" t="s">
        <v>57</v>
      </c>
      <c r="GA1" s="1" t="s">
        <v>58</v>
      </c>
      <c r="GB1" s="1" t="s">
        <v>59</v>
      </c>
      <c r="GC1" s="1" t="s">
        <v>60</v>
      </c>
      <c r="GD1" s="1" t="s">
        <v>61</v>
      </c>
      <c r="GE1" s="1" t="s">
        <v>62</v>
      </c>
      <c r="GF1" s="1" t="s">
        <v>63</v>
      </c>
      <c r="GG1" s="1" t="s">
        <v>64</v>
      </c>
      <c r="GH1" s="1" t="s">
        <v>65</v>
      </c>
      <c r="GI1" s="1" t="s">
        <v>66</v>
      </c>
      <c r="GJ1" s="1" t="s">
        <v>67</v>
      </c>
      <c r="GK1" s="1" t="s">
        <v>92</v>
      </c>
      <c r="GL1" s="1" t="s">
        <v>57</v>
      </c>
      <c r="GM1" s="1" t="s">
        <v>58</v>
      </c>
      <c r="GN1" s="1" t="s">
        <v>59</v>
      </c>
      <c r="GO1" s="1" t="s">
        <v>60</v>
      </c>
      <c r="GP1" s="1" t="s">
        <v>61</v>
      </c>
      <c r="GQ1" s="1" t="s">
        <v>62</v>
      </c>
      <c r="GR1" s="1" t="s">
        <v>63</v>
      </c>
      <c r="GS1" s="1" t="s">
        <v>64</v>
      </c>
      <c r="GT1" s="1" t="s">
        <v>65</v>
      </c>
      <c r="GU1" s="1" t="s">
        <v>66</v>
      </c>
      <c r="GV1" s="1" t="s">
        <v>67</v>
      </c>
      <c r="GW1" s="1" t="s">
        <v>93</v>
      </c>
      <c r="GX1" s="1" t="s">
        <v>57</v>
      </c>
      <c r="GY1" s="1" t="s">
        <v>58</v>
      </c>
      <c r="GZ1" s="1" t="s">
        <v>59</v>
      </c>
      <c r="HA1" s="1" t="s">
        <v>60</v>
      </c>
      <c r="HB1" s="1" t="s">
        <v>61</v>
      </c>
      <c r="HC1" s="1" t="s">
        <v>62</v>
      </c>
      <c r="HD1" s="1" t="s">
        <v>63</v>
      </c>
      <c r="HE1" s="1" t="s">
        <v>64</v>
      </c>
      <c r="HF1" s="1" t="s">
        <v>65</v>
      </c>
      <c r="HG1" s="1" t="s">
        <v>66</v>
      </c>
      <c r="HH1" s="1" t="s">
        <v>67</v>
      </c>
      <c r="HI1" s="1" t="s">
        <v>21</v>
      </c>
      <c r="HJ1" s="1" t="s">
        <v>57</v>
      </c>
      <c r="HK1" s="1" t="s">
        <v>58</v>
      </c>
      <c r="HL1" s="1" t="s">
        <v>59</v>
      </c>
      <c r="HM1" s="1" t="s">
        <v>60</v>
      </c>
      <c r="HN1" s="1" t="s">
        <v>61</v>
      </c>
      <c r="HO1" s="1" t="s">
        <v>62</v>
      </c>
      <c r="HP1" s="1" t="s">
        <v>63</v>
      </c>
      <c r="HQ1" s="1" t="s">
        <v>64</v>
      </c>
      <c r="HR1" s="1" t="s">
        <v>65</v>
      </c>
      <c r="HS1" s="1" t="s">
        <v>66</v>
      </c>
      <c r="HT1" s="1" t="s">
        <v>67</v>
      </c>
      <c r="HU1" s="1" t="s">
        <v>22</v>
      </c>
      <c r="HV1" s="1" t="s">
        <v>57</v>
      </c>
      <c r="HW1" s="1" t="s">
        <v>58</v>
      </c>
      <c r="HX1" s="1" t="s">
        <v>59</v>
      </c>
      <c r="HY1" s="1" t="s">
        <v>60</v>
      </c>
      <c r="HZ1" s="1" t="s">
        <v>61</v>
      </c>
      <c r="IA1" s="1" t="s">
        <v>62</v>
      </c>
      <c r="IB1" s="1" t="s">
        <v>63</v>
      </c>
      <c r="IC1" s="1" t="s">
        <v>64</v>
      </c>
      <c r="ID1" s="1" t="s">
        <v>65</v>
      </c>
      <c r="IE1" s="1" t="s">
        <v>66</v>
      </c>
      <c r="IF1" s="1" t="s">
        <v>67</v>
      </c>
      <c r="IG1" s="1" t="s">
        <v>23</v>
      </c>
      <c r="IH1" s="1" t="s">
        <v>57</v>
      </c>
      <c r="II1" s="1" t="s">
        <v>58</v>
      </c>
      <c r="IJ1" s="1" t="s">
        <v>59</v>
      </c>
      <c r="IK1" s="1" t="s">
        <v>60</v>
      </c>
      <c r="IL1" s="1" t="s">
        <v>61</v>
      </c>
      <c r="IM1" s="1" t="s">
        <v>62</v>
      </c>
      <c r="IN1" s="1" t="s">
        <v>63</v>
      </c>
      <c r="IO1" s="1" t="s">
        <v>64</v>
      </c>
      <c r="IP1" s="1" t="s">
        <v>65</v>
      </c>
      <c r="IQ1" s="1" t="s">
        <v>66</v>
      </c>
      <c r="IR1" s="1" t="s">
        <v>67</v>
      </c>
      <c r="IS1" s="1" t="s">
        <v>384</v>
      </c>
      <c r="IT1" s="1" t="s">
        <v>57</v>
      </c>
      <c r="IU1" s="1" t="s">
        <v>58</v>
      </c>
      <c r="IV1" s="1" t="s">
        <v>59</v>
      </c>
      <c r="IW1" s="1" t="s">
        <v>60</v>
      </c>
      <c r="IX1" s="1" t="s">
        <v>61</v>
      </c>
      <c r="IY1" s="1" t="s">
        <v>62</v>
      </c>
      <c r="IZ1" s="1" t="s">
        <v>63</v>
      </c>
      <c r="JA1" s="1" t="s">
        <v>64</v>
      </c>
      <c r="JB1" s="1" t="s">
        <v>65</v>
      </c>
      <c r="JC1" s="1" t="s">
        <v>66</v>
      </c>
      <c r="JD1" s="1" t="s">
        <v>67</v>
      </c>
      <c r="JE1" s="1" t="s">
        <v>385</v>
      </c>
      <c r="JF1" s="1" t="s">
        <v>57</v>
      </c>
      <c r="JG1" s="1" t="s">
        <v>58</v>
      </c>
      <c r="JH1" s="1" t="s">
        <v>59</v>
      </c>
      <c r="JI1" s="1" t="s">
        <v>60</v>
      </c>
      <c r="JJ1" s="1" t="s">
        <v>61</v>
      </c>
      <c r="JK1" s="1" t="s">
        <v>62</v>
      </c>
      <c r="JL1" s="1" t="s">
        <v>63</v>
      </c>
      <c r="JM1" s="1" t="s">
        <v>64</v>
      </c>
      <c r="JN1" s="1" t="s">
        <v>65</v>
      </c>
      <c r="JO1" s="1" t="s">
        <v>66</v>
      </c>
      <c r="JP1" s="1" t="s">
        <v>67</v>
      </c>
      <c r="JQ1" s="1" t="s">
        <v>386</v>
      </c>
      <c r="JR1" s="1" t="s">
        <v>57</v>
      </c>
      <c r="JS1" s="1" t="s">
        <v>58</v>
      </c>
      <c r="JT1" s="1" t="s">
        <v>59</v>
      </c>
      <c r="JU1" s="1" t="s">
        <v>60</v>
      </c>
      <c r="JV1" s="1" t="s">
        <v>61</v>
      </c>
      <c r="JW1" s="1" t="s">
        <v>62</v>
      </c>
      <c r="JX1" s="1" t="s">
        <v>63</v>
      </c>
      <c r="JY1" s="1" t="s">
        <v>64</v>
      </c>
      <c r="JZ1" s="1" t="s">
        <v>65</v>
      </c>
      <c r="KA1" s="1" t="s">
        <v>66</v>
      </c>
      <c r="KB1" s="1" t="s">
        <v>67</v>
      </c>
      <c r="KC1" s="1" t="s">
        <v>387</v>
      </c>
      <c r="KD1" s="1" t="s">
        <v>57</v>
      </c>
      <c r="KE1" s="1" t="s">
        <v>58</v>
      </c>
      <c r="KF1" s="1" t="s">
        <v>59</v>
      </c>
      <c r="KG1" s="1" t="s">
        <v>60</v>
      </c>
      <c r="KH1" s="1" t="s">
        <v>61</v>
      </c>
      <c r="KI1" s="1" t="s">
        <v>62</v>
      </c>
      <c r="KJ1" s="1" t="s">
        <v>63</v>
      </c>
      <c r="KK1" s="1" t="s">
        <v>64</v>
      </c>
      <c r="KL1" s="1" t="s">
        <v>65</v>
      </c>
      <c r="KM1" s="1" t="s">
        <v>66</v>
      </c>
      <c r="KN1" s="1" t="s">
        <v>67</v>
      </c>
      <c r="KO1" s="1" t="s">
        <v>388</v>
      </c>
      <c r="KP1" s="1" t="s">
        <v>57</v>
      </c>
      <c r="KQ1" s="1" t="s">
        <v>58</v>
      </c>
      <c r="KR1" s="1" t="s">
        <v>59</v>
      </c>
      <c r="KS1" s="1" t="s">
        <v>60</v>
      </c>
      <c r="KT1" s="1" t="s">
        <v>61</v>
      </c>
      <c r="KU1" s="1" t="s">
        <v>62</v>
      </c>
      <c r="KV1" s="1" t="s">
        <v>63</v>
      </c>
      <c r="KW1" s="1" t="s">
        <v>64</v>
      </c>
      <c r="KX1" s="1" t="s">
        <v>65</v>
      </c>
      <c r="KY1" s="1" t="s">
        <v>66</v>
      </c>
      <c r="KZ1" s="1" t="s">
        <v>67</v>
      </c>
      <c r="LA1" s="1" t="s">
        <v>389</v>
      </c>
      <c r="LB1" s="1" t="s">
        <v>57</v>
      </c>
      <c r="LC1" s="1" t="s">
        <v>58</v>
      </c>
      <c r="LD1" s="1" t="s">
        <v>59</v>
      </c>
      <c r="LE1" s="1" t="s">
        <v>60</v>
      </c>
      <c r="LF1" s="1" t="s">
        <v>61</v>
      </c>
      <c r="LG1" s="1" t="s">
        <v>62</v>
      </c>
      <c r="LH1" s="1" t="s">
        <v>63</v>
      </c>
      <c r="LI1" s="1" t="s">
        <v>64</v>
      </c>
      <c r="LJ1" s="1" t="s">
        <v>65</v>
      </c>
      <c r="LK1" s="1" t="s">
        <v>66</v>
      </c>
      <c r="LL1" s="1" t="s">
        <v>67</v>
      </c>
      <c r="LM1" s="1" t="s">
        <v>390</v>
      </c>
      <c r="LN1" s="1" t="s">
        <v>57</v>
      </c>
      <c r="LO1" s="1" t="s">
        <v>58</v>
      </c>
      <c r="LP1" s="1" t="s">
        <v>59</v>
      </c>
      <c r="LQ1" s="1" t="s">
        <v>60</v>
      </c>
      <c r="LR1" s="1" t="s">
        <v>61</v>
      </c>
      <c r="LS1" s="1" t="s">
        <v>62</v>
      </c>
      <c r="LT1" s="1" t="s">
        <v>63</v>
      </c>
      <c r="LU1" s="1" t="s">
        <v>64</v>
      </c>
      <c r="LV1" s="1" t="s">
        <v>65</v>
      </c>
      <c r="LW1" s="1" t="s">
        <v>66</v>
      </c>
      <c r="LX1" s="1" t="s">
        <v>67</v>
      </c>
      <c r="LY1" s="1" t="s">
        <v>391</v>
      </c>
      <c r="LZ1" s="1" t="s">
        <v>57</v>
      </c>
      <c r="MA1" s="1" t="s">
        <v>58</v>
      </c>
      <c r="MB1" s="1" t="s">
        <v>59</v>
      </c>
      <c r="MC1" s="1" t="s">
        <v>60</v>
      </c>
      <c r="MD1" s="1" t="s">
        <v>61</v>
      </c>
      <c r="ME1" s="1" t="s">
        <v>62</v>
      </c>
      <c r="MF1" s="1" t="s">
        <v>63</v>
      </c>
      <c r="MG1" s="1" t="s">
        <v>64</v>
      </c>
      <c r="MH1" s="1" t="s">
        <v>65</v>
      </c>
      <c r="MI1" s="1" t="s">
        <v>66</v>
      </c>
      <c r="MJ1" s="1" t="s">
        <v>67</v>
      </c>
      <c r="MK1" s="1" t="s">
        <v>392</v>
      </c>
      <c r="ML1" s="1" t="s">
        <v>57</v>
      </c>
      <c r="MM1" s="1" t="s">
        <v>58</v>
      </c>
      <c r="MN1" s="1" t="s">
        <v>59</v>
      </c>
      <c r="MO1" s="1" t="s">
        <v>60</v>
      </c>
      <c r="MP1" s="1" t="s">
        <v>61</v>
      </c>
      <c r="MQ1" s="1" t="s">
        <v>62</v>
      </c>
      <c r="MR1" s="1" t="s">
        <v>63</v>
      </c>
      <c r="MS1" s="1" t="s">
        <v>64</v>
      </c>
      <c r="MT1" s="1" t="s">
        <v>65</v>
      </c>
      <c r="MU1" s="1" t="s">
        <v>66</v>
      </c>
      <c r="MV1" s="1" t="s">
        <v>67</v>
      </c>
      <c r="MW1" s="2" t="s">
        <v>33</v>
      </c>
      <c r="MX1" s="1" t="s">
        <v>57</v>
      </c>
      <c r="MY1" s="1" t="s">
        <v>58</v>
      </c>
      <c r="MZ1" s="1" t="s">
        <v>59</v>
      </c>
      <c r="NA1" s="1" t="s">
        <v>60</v>
      </c>
      <c r="NB1" s="1" t="s">
        <v>61</v>
      </c>
      <c r="NC1" s="1" t="s">
        <v>62</v>
      </c>
      <c r="ND1" s="1" t="s">
        <v>63</v>
      </c>
      <c r="NE1" s="1" t="s">
        <v>64</v>
      </c>
      <c r="NF1" s="1" t="s">
        <v>65</v>
      </c>
      <c r="NG1" s="1" t="s">
        <v>66</v>
      </c>
      <c r="NH1" s="1" t="s">
        <v>67</v>
      </c>
      <c r="NI1" s="2" t="s">
        <v>34</v>
      </c>
      <c r="NJ1" s="1" t="s">
        <v>57</v>
      </c>
      <c r="NK1" s="1" t="s">
        <v>58</v>
      </c>
      <c r="NL1" s="1" t="s">
        <v>59</v>
      </c>
      <c r="NM1" s="1" t="s">
        <v>60</v>
      </c>
      <c r="NN1" s="1" t="s">
        <v>61</v>
      </c>
      <c r="NO1" s="1" t="s">
        <v>62</v>
      </c>
      <c r="NP1" s="1" t="s">
        <v>63</v>
      </c>
      <c r="NQ1" s="1" t="s">
        <v>64</v>
      </c>
      <c r="NR1" s="1" t="s">
        <v>65</v>
      </c>
      <c r="NS1" s="1" t="s">
        <v>66</v>
      </c>
      <c r="NT1" s="1" t="s">
        <v>67</v>
      </c>
      <c r="NU1" s="2" t="s">
        <v>35</v>
      </c>
      <c r="NV1" s="1" t="s">
        <v>57</v>
      </c>
      <c r="NW1" s="1" t="s">
        <v>58</v>
      </c>
      <c r="NX1" s="1" t="s">
        <v>59</v>
      </c>
      <c r="NY1" s="1" t="s">
        <v>60</v>
      </c>
      <c r="NZ1" s="1" t="s">
        <v>61</v>
      </c>
      <c r="OA1" s="1" t="s">
        <v>62</v>
      </c>
      <c r="OB1" s="1" t="s">
        <v>63</v>
      </c>
      <c r="OC1" s="1" t="s">
        <v>64</v>
      </c>
      <c r="OD1" s="1" t="s">
        <v>65</v>
      </c>
      <c r="OE1" s="1" t="s">
        <v>66</v>
      </c>
      <c r="OF1" s="1" t="s">
        <v>67</v>
      </c>
      <c r="OG1" s="2" t="s">
        <v>36</v>
      </c>
      <c r="OH1" s="1" t="s">
        <v>57</v>
      </c>
      <c r="OI1" s="1" t="s">
        <v>58</v>
      </c>
      <c r="OJ1" s="1" t="s">
        <v>59</v>
      </c>
      <c r="OK1" s="1" t="s">
        <v>60</v>
      </c>
      <c r="OL1" s="1" t="s">
        <v>61</v>
      </c>
      <c r="OM1" s="1" t="s">
        <v>62</v>
      </c>
      <c r="ON1" s="1" t="s">
        <v>63</v>
      </c>
      <c r="OO1" s="1" t="s">
        <v>64</v>
      </c>
      <c r="OP1" s="1" t="s">
        <v>65</v>
      </c>
      <c r="OQ1" s="1" t="s">
        <v>66</v>
      </c>
      <c r="OR1" s="1" t="s">
        <v>67</v>
      </c>
      <c r="OS1" s="2" t="s">
        <v>37</v>
      </c>
      <c r="OT1" s="1" t="s">
        <v>57</v>
      </c>
      <c r="OU1" s="1" t="s">
        <v>58</v>
      </c>
      <c r="OV1" s="1" t="s">
        <v>59</v>
      </c>
      <c r="OW1" s="1" t="s">
        <v>60</v>
      </c>
      <c r="OX1" s="1" t="s">
        <v>61</v>
      </c>
      <c r="OY1" s="1" t="s">
        <v>62</v>
      </c>
      <c r="OZ1" s="1" t="s">
        <v>63</v>
      </c>
      <c r="PA1" s="1" t="s">
        <v>64</v>
      </c>
      <c r="PB1" s="1" t="s">
        <v>65</v>
      </c>
      <c r="PC1" s="1" t="s">
        <v>66</v>
      </c>
      <c r="PD1" s="1" t="s">
        <v>67</v>
      </c>
      <c r="PE1" s="2" t="s">
        <v>38</v>
      </c>
      <c r="PF1" s="1" t="s">
        <v>57</v>
      </c>
      <c r="PG1" s="1" t="s">
        <v>58</v>
      </c>
      <c r="PH1" s="1" t="s">
        <v>59</v>
      </c>
      <c r="PI1" s="1" t="s">
        <v>60</v>
      </c>
      <c r="PJ1" s="1" t="s">
        <v>61</v>
      </c>
      <c r="PK1" s="1" t="s">
        <v>62</v>
      </c>
      <c r="PL1" s="1" t="s">
        <v>63</v>
      </c>
      <c r="PM1" s="1" t="s">
        <v>64</v>
      </c>
      <c r="PN1" s="1" t="s">
        <v>65</v>
      </c>
      <c r="PO1" s="1" t="s">
        <v>66</v>
      </c>
      <c r="PP1" s="1" t="s">
        <v>67</v>
      </c>
      <c r="PQ1" s="2" t="s">
        <v>2</v>
      </c>
      <c r="PR1" s="1" t="s">
        <v>57</v>
      </c>
      <c r="PS1" s="1" t="s">
        <v>58</v>
      </c>
      <c r="PT1" s="1" t="s">
        <v>59</v>
      </c>
      <c r="PU1" s="1" t="s">
        <v>60</v>
      </c>
      <c r="PV1" s="1" t="s">
        <v>61</v>
      </c>
      <c r="PW1" s="1" t="s">
        <v>62</v>
      </c>
      <c r="PX1" s="1" t="s">
        <v>63</v>
      </c>
      <c r="PY1" s="1" t="s">
        <v>64</v>
      </c>
      <c r="PZ1" s="1" t="s">
        <v>65</v>
      </c>
      <c r="QA1" s="1" t="s">
        <v>66</v>
      </c>
      <c r="QB1" s="1" t="s">
        <v>67</v>
      </c>
      <c r="QC1" s="2" t="s">
        <v>39</v>
      </c>
      <c r="QD1" s="1" t="s">
        <v>57</v>
      </c>
      <c r="QE1" s="1" t="s">
        <v>58</v>
      </c>
      <c r="QF1" s="1" t="s">
        <v>59</v>
      </c>
      <c r="QG1" s="1" t="s">
        <v>60</v>
      </c>
      <c r="QH1" s="1" t="s">
        <v>61</v>
      </c>
      <c r="QI1" s="1" t="s">
        <v>62</v>
      </c>
      <c r="QJ1" s="1" t="s">
        <v>63</v>
      </c>
      <c r="QK1" s="1" t="s">
        <v>64</v>
      </c>
      <c r="QL1" s="1" t="s">
        <v>65</v>
      </c>
      <c r="QM1" s="1" t="s">
        <v>66</v>
      </c>
      <c r="QN1" s="1" t="s">
        <v>67</v>
      </c>
      <c r="QO1" s="2" t="s">
        <v>40</v>
      </c>
      <c r="QP1" s="1" t="s">
        <v>57</v>
      </c>
      <c r="QQ1" s="1" t="s">
        <v>58</v>
      </c>
      <c r="QR1" s="1" t="s">
        <v>59</v>
      </c>
      <c r="QS1" s="1" t="s">
        <v>60</v>
      </c>
      <c r="QT1" s="1" t="s">
        <v>61</v>
      </c>
      <c r="QU1" s="1" t="s">
        <v>62</v>
      </c>
      <c r="QV1" s="1" t="s">
        <v>63</v>
      </c>
      <c r="QW1" s="1" t="s">
        <v>64</v>
      </c>
      <c r="QX1" s="1" t="s">
        <v>65</v>
      </c>
      <c r="QY1" s="1" t="s">
        <v>66</v>
      </c>
      <c r="QZ1" s="1" t="s">
        <v>67</v>
      </c>
      <c r="RA1" s="2" t="s">
        <v>41</v>
      </c>
      <c r="RB1" s="1" t="s">
        <v>57</v>
      </c>
      <c r="RC1" s="1" t="s">
        <v>58</v>
      </c>
      <c r="RD1" s="1" t="s">
        <v>59</v>
      </c>
      <c r="RE1" s="1" t="s">
        <v>60</v>
      </c>
      <c r="RF1" s="1" t="s">
        <v>61</v>
      </c>
      <c r="RG1" s="1" t="s">
        <v>62</v>
      </c>
      <c r="RH1" s="1" t="s">
        <v>63</v>
      </c>
      <c r="RI1" s="1" t="s">
        <v>64</v>
      </c>
      <c r="RJ1" s="1" t="s">
        <v>65</v>
      </c>
      <c r="RK1" s="1" t="s">
        <v>66</v>
      </c>
      <c r="RL1" s="1" t="s">
        <v>67</v>
      </c>
      <c r="RM1" s="2" t="s">
        <v>42</v>
      </c>
      <c r="RN1" s="1" t="s">
        <v>57</v>
      </c>
      <c r="RO1" s="1" t="s">
        <v>58</v>
      </c>
      <c r="RP1" s="1" t="s">
        <v>59</v>
      </c>
      <c r="RQ1" s="1" t="s">
        <v>60</v>
      </c>
      <c r="RR1" s="1" t="s">
        <v>61</v>
      </c>
      <c r="RS1" s="1" t="s">
        <v>62</v>
      </c>
      <c r="RT1" s="1" t="s">
        <v>63</v>
      </c>
      <c r="RU1" s="1" t="s">
        <v>64</v>
      </c>
      <c r="RV1" s="1" t="s">
        <v>65</v>
      </c>
      <c r="RW1" s="1" t="s">
        <v>66</v>
      </c>
      <c r="RX1" s="1" t="s">
        <v>67</v>
      </c>
      <c r="RY1" s="2" t="s">
        <v>43</v>
      </c>
      <c r="RZ1" s="1" t="s">
        <v>57</v>
      </c>
      <c r="SA1" s="1" t="s">
        <v>58</v>
      </c>
      <c r="SB1" s="1" t="s">
        <v>59</v>
      </c>
      <c r="SC1" s="1" t="s">
        <v>60</v>
      </c>
      <c r="SD1" s="1" t="s">
        <v>61</v>
      </c>
      <c r="SE1" s="1" t="s">
        <v>62</v>
      </c>
      <c r="SF1" s="1" t="s">
        <v>63</v>
      </c>
      <c r="SG1" s="1" t="s">
        <v>64</v>
      </c>
      <c r="SH1" s="1" t="s">
        <v>65</v>
      </c>
      <c r="SI1" s="1" t="s">
        <v>66</v>
      </c>
      <c r="SJ1" s="1" t="s">
        <v>67</v>
      </c>
      <c r="SK1" s="2" t="s">
        <v>44</v>
      </c>
      <c r="SL1" s="1" t="s">
        <v>57</v>
      </c>
      <c r="SM1" s="1" t="s">
        <v>58</v>
      </c>
      <c r="SN1" s="1" t="s">
        <v>59</v>
      </c>
      <c r="SO1" s="1" t="s">
        <v>60</v>
      </c>
      <c r="SP1" s="1" t="s">
        <v>61</v>
      </c>
      <c r="SQ1" s="1" t="s">
        <v>62</v>
      </c>
      <c r="SR1" s="1" t="s">
        <v>63</v>
      </c>
      <c r="SS1" s="1" t="s">
        <v>64</v>
      </c>
      <c r="ST1" s="1" t="s">
        <v>65</v>
      </c>
      <c r="SU1" s="1" t="s">
        <v>66</v>
      </c>
      <c r="SV1" s="1" t="s">
        <v>67</v>
      </c>
      <c r="SW1" s="2" t="s">
        <v>45</v>
      </c>
      <c r="SX1" s="1" t="s">
        <v>57</v>
      </c>
      <c r="SY1" s="1" t="s">
        <v>58</v>
      </c>
      <c r="SZ1" s="1" t="s">
        <v>59</v>
      </c>
      <c r="TA1" s="1" t="s">
        <v>60</v>
      </c>
      <c r="TB1" s="1" t="s">
        <v>61</v>
      </c>
      <c r="TC1" s="1" t="s">
        <v>62</v>
      </c>
      <c r="TD1" s="1" t="s">
        <v>63</v>
      </c>
      <c r="TE1" s="1" t="s">
        <v>64</v>
      </c>
      <c r="TF1" s="1" t="s">
        <v>65</v>
      </c>
      <c r="TG1" s="1" t="s">
        <v>66</v>
      </c>
      <c r="TH1" s="1" t="s">
        <v>67</v>
      </c>
      <c r="TI1" s="2" t="s">
        <v>46</v>
      </c>
      <c r="TJ1" s="1" t="s">
        <v>57</v>
      </c>
      <c r="TK1" s="1" t="s">
        <v>58</v>
      </c>
      <c r="TL1" s="1" t="s">
        <v>59</v>
      </c>
      <c r="TM1" s="1" t="s">
        <v>60</v>
      </c>
      <c r="TN1" s="1" t="s">
        <v>61</v>
      </c>
      <c r="TO1" s="1" t="s">
        <v>62</v>
      </c>
      <c r="TP1" s="1" t="s">
        <v>63</v>
      </c>
      <c r="TQ1" s="1" t="s">
        <v>64</v>
      </c>
      <c r="TR1" s="1" t="s">
        <v>65</v>
      </c>
      <c r="TS1" s="1" t="s">
        <v>66</v>
      </c>
      <c r="TT1" s="1" t="s">
        <v>67</v>
      </c>
      <c r="TU1" s="2" t="s">
        <v>47</v>
      </c>
      <c r="TV1" s="1" t="s">
        <v>57</v>
      </c>
      <c r="TW1" s="1" t="s">
        <v>58</v>
      </c>
      <c r="TX1" s="1" t="s">
        <v>59</v>
      </c>
      <c r="TY1" s="1" t="s">
        <v>60</v>
      </c>
      <c r="TZ1" s="1" t="s">
        <v>61</v>
      </c>
      <c r="UA1" s="1" t="s">
        <v>62</v>
      </c>
      <c r="UB1" s="1" t="s">
        <v>63</v>
      </c>
      <c r="UC1" s="1" t="s">
        <v>64</v>
      </c>
      <c r="UD1" s="1" t="s">
        <v>65</v>
      </c>
      <c r="UE1" s="1" t="s">
        <v>66</v>
      </c>
      <c r="UF1" s="1" t="s">
        <v>67</v>
      </c>
      <c r="UG1" s="2" t="s">
        <v>48</v>
      </c>
      <c r="UH1" s="1" t="s">
        <v>57</v>
      </c>
      <c r="UI1" s="1" t="s">
        <v>58</v>
      </c>
      <c r="UJ1" s="1" t="s">
        <v>59</v>
      </c>
      <c r="UK1" s="1" t="s">
        <v>60</v>
      </c>
      <c r="UL1" s="1" t="s">
        <v>61</v>
      </c>
      <c r="UM1" s="1" t="s">
        <v>62</v>
      </c>
      <c r="UN1" s="1" t="s">
        <v>63</v>
      </c>
      <c r="UO1" s="1" t="s">
        <v>64</v>
      </c>
      <c r="UP1" s="1" t="s">
        <v>65</v>
      </c>
      <c r="UQ1" s="1" t="s">
        <v>66</v>
      </c>
      <c r="UR1" s="1" t="s">
        <v>67</v>
      </c>
      <c r="US1" s="2" t="s">
        <v>49</v>
      </c>
      <c r="UT1" s="1" t="s">
        <v>57</v>
      </c>
      <c r="UU1" s="1" t="s">
        <v>58</v>
      </c>
      <c r="UV1" s="1" t="s">
        <v>59</v>
      </c>
      <c r="UW1" s="1" t="s">
        <v>60</v>
      </c>
      <c r="UX1" s="1" t="s">
        <v>61</v>
      </c>
      <c r="UY1" s="1" t="s">
        <v>62</v>
      </c>
      <c r="UZ1" s="1" t="s">
        <v>63</v>
      </c>
      <c r="VA1" s="1" t="s">
        <v>64</v>
      </c>
      <c r="VB1" s="1" t="s">
        <v>65</v>
      </c>
      <c r="VC1" s="1" t="s">
        <v>66</v>
      </c>
      <c r="VD1" s="1" t="s">
        <v>67</v>
      </c>
      <c r="VE1" s="2" t="s">
        <v>50</v>
      </c>
      <c r="VF1" s="1" t="s">
        <v>57</v>
      </c>
      <c r="VG1" s="1" t="s">
        <v>58</v>
      </c>
      <c r="VH1" s="1" t="s">
        <v>59</v>
      </c>
      <c r="VI1" s="1" t="s">
        <v>60</v>
      </c>
      <c r="VJ1" s="1" t="s">
        <v>61</v>
      </c>
      <c r="VK1" s="1" t="s">
        <v>62</v>
      </c>
      <c r="VL1" s="1" t="s">
        <v>63</v>
      </c>
      <c r="VM1" s="1" t="s">
        <v>64</v>
      </c>
      <c r="VN1" s="1" t="s">
        <v>65</v>
      </c>
      <c r="VO1" s="1" t="s">
        <v>66</v>
      </c>
      <c r="VP1" s="1" t="s">
        <v>67</v>
      </c>
    </row>
    <row r="2" spans="1:588" x14ac:dyDescent="0.25">
      <c r="B2" s="1">
        <v>2843277023</v>
      </c>
      <c r="C2" s="1">
        <v>34</v>
      </c>
      <c r="D2" s="1">
        <v>30000000</v>
      </c>
      <c r="E2" s="1">
        <v>15834806</v>
      </c>
      <c r="F2" s="1">
        <v>5.9</v>
      </c>
      <c r="G2" s="1">
        <v>1</v>
      </c>
      <c r="H2" s="1">
        <v>0</v>
      </c>
      <c r="I2" s="1">
        <v>90</v>
      </c>
      <c r="J2" s="1">
        <v>60001537</v>
      </c>
      <c r="K2" s="1">
        <v>32767</v>
      </c>
      <c r="L2" s="1">
        <v>2</v>
      </c>
      <c r="N2" s="1">
        <v>2849139817</v>
      </c>
      <c r="O2" s="1">
        <v>35</v>
      </c>
      <c r="P2" s="1">
        <v>8000000</v>
      </c>
      <c r="Q2" s="1">
        <v>4442169</v>
      </c>
      <c r="R2" s="1">
        <v>15.05</v>
      </c>
      <c r="S2" s="1">
        <v>1</v>
      </c>
      <c r="T2" s="1">
        <v>0</v>
      </c>
      <c r="U2" s="1">
        <v>30</v>
      </c>
      <c r="V2" s="1">
        <v>60001543</v>
      </c>
      <c r="W2" s="1">
        <v>32767</v>
      </c>
      <c r="X2" s="1">
        <v>2</v>
      </c>
      <c r="Z2" s="1">
        <v>2815291907</v>
      </c>
      <c r="AA2" s="1">
        <v>36</v>
      </c>
      <c r="AB2" s="1">
        <v>300000</v>
      </c>
      <c r="AC2" s="1">
        <v>147514</v>
      </c>
      <c r="AD2" s="16">
        <v>53.4</v>
      </c>
      <c r="AE2" s="1">
        <v>1</v>
      </c>
      <c r="AF2" s="1">
        <v>0</v>
      </c>
      <c r="AG2" s="1">
        <v>90</v>
      </c>
      <c r="AH2" s="1">
        <v>60004462</v>
      </c>
      <c r="AI2" s="1">
        <v>32767</v>
      </c>
      <c r="AJ2" s="1">
        <v>13</v>
      </c>
      <c r="AL2" s="1">
        <v>2755692246</v>
      </c>
      <c r="AM2" s="1">
        <v>37</v>
      </c>
      <c r="AN2" s="1">
        <v>10137</v>
      </c>
      <c r="AO2" s="1">
        <v>3988</v>
      </c>
      <c r="AP2" s="16">
        <v>400</v>
      </c>
      <c r="AQ2" s="1">
        <v>1</v>
      </c>
      <c r="AR2" s="1">
        <v>0</v>
      </c>
      <c r="AS2" s="1">
        <v>90</v>
      </c>
      <c r="AT2" s="1">
        <v>60004237</v>
      </c>
      <c r="AU2" s="1">
        <v>32767</v>
      </c>
      <c r="AV2" s="1">
        <v>9</v>
      </c>
      <c r="AX2" s="1">
        <v>2878223016</v>
      </c>
      <c r="AY2" s="1">
        <v>38</v>
      </c>
      <c r="AZ2" s="1">
        <v>21512</v>
      </c>
      <c r="BA2" s="1">
        <v>21512</v>
      </c>
      <c r="BB2" s="1">
        <v>820</v>
      </c>
      <c r="BC2" s="1">
        <v>1</v>
      </c>
      <c r="BD2" s="1">
        <v>0</v>
      </c>
      <c r="BE2" s="1">
        <v>90</v>
      </c>
      <c r="BF2" s="1">
        <v>60003244</v>
      </c>
      <c r="BG2" s="1">
        <v>32767</v>
      </c>
      <c r="BH2" s="1">
        <v>3</v>
      </c>
      <c r="BJ2" s="1">
        <v>2827133468</v>
      </c>
      <c r="BK2" s="1">
        <v>39</v>
      </c>
      <c r="BL2" s="1">
        <v>1500000</v>
      </c>
      <c r="BM2" s="1">
        <v>1500000</v>
      </c>
      <c r="BN2" s="1">
        <v>948.91</v>
      </c>
      <c r="BO2" s="1">
        <v>1</v>
      </c>
      <c r="BP2" s="1">
        <v>0</v>
      </c>
      <c r="BQ2" s="1">
        <v>90</v>
      </c>
      <c r="BR2" s="1">
        <v>60003760</v>
      </c>
      <c r="BS2" s="1">
        <v>32767</v>
      </c>
      <c r="BT2" s="1">
        <v>5</v>
      </c>
      <c r="BV2" s="1">
        <v>2409869091</v>
      </c>
      <c r="BW2" s="1">
        <v>40</v>
      </c>
      <c r="BX2" s="1">
        <v>660000</v>
      </c>
      <c r="BY2" s="1">
        <v>371482</v>
      </c>
      <c r="BZ2" s="1">
        <v>2660</v>
      </c>
      <c r="CA2" s="1">
        <v>1</v>
      </c>
      <c r="CB2" s="1">
        <v>0</v>
      </c>
      <c r="CC2" s="1">
        <v>90</v>
      </c>
      <c r="CD2" s="1">
        <v>60004066</v>
      </c>
      <c r="CE2" s="1">
        <v>32767</v>
      </c>
      <c r="CF2" s="1">
        <v>14</v>
      </c>
      <c r="CH2" s="1">
        <v>2348169644</v>
      </c>
      <c r="CI2" s="1">
        <v>29668</v>
      </c>
      <c r="CJ2" s="1">
        <v>3</v>
      </c>
      <c r="CK2" s="1">
        <v>3</v>
      </c>
      <c r="CL2" s="1">
        <v>750060000</v>
      </c>
      <c r="CM2" s="1">
        <v>1</v>
      </c>
      <c r="CN2" s="1">
        <v>0</v>
      </c>
      <c r="CO2" s="1">
        <v>90</v>
      </c>
      <c r="CP2" s="1">
        <v>60004462</v>
      </c>
      <c r="CQ2" s="1">
        <v>32767</v>
      </c>
      <c r="CR2" s="1">
        <v>2</v>
      </c>
      <c r="CT2" s="1">
        <v>2413947043</v>
      </c>
      <c r="CU2" s="1">
        <v>16649</v>
      </c>
      <c r="CV2" s="1">
        <v>53697</v>
      </c>
      <c r="CW2" s="1">
        <v>53697</v>
      </c>
      <c r="CX2" s="1">
        <v>113438.81</v>
      </c>
      <c r="CY2" s="1">
        <v>1</v>
      </c>
      <c r="CZ2" s="1">
        <v>0</v>
      </c>
      <c r="DA2" s="1">
        <v>90</v>
      </c>
      <c r="DB2" s="1">
        <v>60003760</v>
      </c>
      <c r="DC2" s="1">
        <v>32767</v>
      </c>
      <c r="DD2" s="1">
        <v>8</v>
      </c>
      <c r="DF2" s="1">
        <v>2413717408</v>
      </c>
      <c r="DG2" s="1">
        <v>17887</v>
      </c>
      <c r="DH2" s="1">
        <v>1298461</v>
      </c>
      <c r="DI2" s="1">
        <v>126321</v>
      </c>
      <c r="DJ2" s="1">
        <v>947.53</v>
      </c>
      <c r="DK2" s="1">
        <v>1</v>
      </c>
      <c r="DL2" s="1">
        <v>0</v>
      </c>
      <c r="DM2" s="1">
        <v>30</v>
      </c>
      <c r="DN2" s="1">
        <v>60003760</v>
      </c>
      <c r="DO2" s="1">
        <v>32767</v>
      </c>
      <c r="DP2" s="1">
        <v>0</v>
      </c>
      <c r="DR2" s="1">
        <v>2766450415</v>
      </c>
      <c r="DS2" s="1">
        <v>17888</v>
      </c>
      <c r="DT2" s="1">
        <v>4605</v>
      </c>
      <c r="DU2" s="1">
        <v>4605</v>
      </c>
      <c r="DV2" s="1">
        <v>425</v>
      </c>
      <c r="DW2" s="1">
        <v>1</v>
      </c>
      <c r="DX2" s="1">
        <v>0</v>
      </c>
      <c r="DY2" s="1">
        <v>90</v>
      </c>
      <c r="DZ2" s="1">
        <v>60004462</v>
      </c>
      <c r="EA2" s="1">
        <v>32767</v>
      </c>
      <c r="EB2" s="1">
        <v>10</v>
      </c>
      <c r="ED2" s="1">
        <v>2764377636</v>
      </c>
      <c r="EE2" s="1">
        <v>16273</v>
      </c>
      <c r="EF2" s="1">
        <v>119889</v>
      </c>
      <c r="EG2" s="1">
        <v>15241</v>
      </c>
      <c r="EH2" s="1">
        <v>392</v>
      </c>
      <c r="EI2" s="1">
        <v>1</v>
      </c>
      <c r="EJ2" s="1">
        <v>0</v>
      </c>
      <c r="EK2" s="1">
        <v>90</v>
      </c>
      <c r="EL2" s="1">
        <v>60004234</v>
      </c>
      <c r="EM2" s="1">
        <v>32767</v>
      </c>
      <c r="EN2" s="1">
        <v>7</v>
      </c>
      <c r="EP2" s="1">
        <v>2753723189</v>
      </c>
      <c r="EQ2" s="1">
        <v>17889</v>
      </c>
      <c r="ER2" s="1">
        <v>810000</v>
      </c>
      <c r="ES2" s="1">
        <v>810000</v>
      </c>
      <c r="ET2" s="1">
        <v>450</v>
      </c>
      <c r="EU2" s="1">
        <v>1</v>
      </c>
      <c r="EV2" s="1">
        <v>0</v>
      </c>
      <c r="EW2" s="1">
        <v>90</v>
      </c>
      <c r="EX2" s="1">
        <v>60003760</v>
      </c>
      <c r="EY2" s="1">
        <v>32767</v>
      </c>
      <c r="EZ2" s="1">
        <v>7</v>
      </c>
      <c r="FB2" s="1">
        <v>2755118843</v>
      </c>
      <c r="FC2" s="1">
        <v>30259</v>
      </c>
      <c r="FD2" s="1">
        <v>700</v>
      </c>
      <c r="FE2" s="1">
        <v>700</v>
      </c>
      <c r="FF2" s="1">
        <v>7500000</v>
      </c>
      <c r="FG2" s="1">
        <v>1</v>
      </c>
      <c r="FH2" s="1">
        <v>0</v>
      </c>
      <c r="FI2" s="1">
        <v>90</v>
      </c>
      <c r="FJ2" s="1">
        <v>60003760</v>
      </c>
      <c r="FK2" s="1">
        <v>32767</v>
      </c>
      <c r="FL2" s="1">
        <v>0</v>
      </c>
      <c r="FN2" s="1">
        <v>2788044624</v>
      </c>
      <c r="FO2" s="1">
        <v>25617</v>
      </c>
      <c r="FP2" s="1">
        <v>5</v>
      </c>
      <c r="FQ2" s="1">
        <v>5</v>
      </c>
      <c r="FR2" s="1">
        <v>5480000</v>
      </c>
      <c r="FS2" s="1">
        <v>1</v>
      </c>
      <c r="FT2" s="1">
        <v>0</v>
      </c>
      <c r="FU2" s="1">
        <v>90</v>
      </c>
      <c r="FV2" s="1">
        <v>60003760</v>
      </c>
      <c r="FW2" s="1">
        <v>32767</v>
      </c>
      <c r="FX2" s="1">
        <v>0</v>
      </c>
      <c r="FZ2" s="1">
        <v>2818454614</v>
      </c>
      <c r="GA2" s="1">
        <v>44</v>
      </c>
      <c r="GB2" s="1">
        <v>61583</v>
      </c>
      <c r="GC2" s="1">
        <v>40613</v>
      </c>
      <c r="GD2" s="1">
        <v>14334.99</v>
      </c>
      <c r="GE2" s="1">
        <v>1</v>
      </c>
      <c r="GF2" s="1">
        <v>0</v>
      </c>
      <c r="GG2" s="1">
        <v>90</v>
      </c>
      <c r="GH2" s="1">
        <v>60003760</v>
      </c>
      <c r="GI2" s="1">
        <v>32767</v>
      </c>
      <c r="GJ2" s="1">
        <v>4</v>
      </c>
      <c r="GL2" s="1">
        <v>2413955764</v>
      </c>
      <c r="GM2" s="1">
        <v>16681</v>
      </c>
      <c r="GN2" s="1">
        <v>157000</v>
      </c>
      <c r="GO2" s="1">
        <v>157000</v>
      </c>
      <c r="GP2" s="1">
        <v>6185</v>
      </c>
      <c r="GQ2" s="1">
        <v>1</v>
      </c>
      <c r="GR2" s="1">
        <v>0</v>
      </c>
      <c r="GS2" s="1">
        <v>30</v>
      </c>
      <c r="GT2" s="1">
        <v>60003760</v>
      </c>
      <c r="GU2" s="1">
        <v>32767</v>
      </c>
      <c r="GV2" s="1">
        <v>0</v>
      </c>
      <c r="GX2" s="1">
        <v>2819769969</v>
      </c>
      <c r="GY2" s="1">
        <v>16683</v>
      </c>
      <c r="GZ2" s="1">
        <v>200000</v>
      </c>
      <c r="HA2" s="1">
        <v>200000</v>
      </c>
      <c r="HB2" s="1">
        <v>17500</v>
      </c>
      <c r="HC2" s="1">
        <v>1</v>
      </c>
      <c r="HD2" s="1">
        <v>0</v>
      </c>
      <c r="HE2" s="1">
        <v>30</v>
      </c>
      <c r="HF2" s="1">
        <v>60003760</v>
      </c>
      <c r="HG2" s="1">
        <v>32767</v>
      </c>
      <c r="HH2" s="1">
        <v>0</v>
      </c>
      <c r="HJ2" s="1">
        <v>2764235398</v>
      </c>
      <c r="HK2" s="1">
        <v>11724</v>
      </c>
      <c r="HL2" s="1">
        <v>20</v>
      </c>
      <c r="HM2" s="1">
        <v>13</v>
      </c>
      <c r="HN2" s="1">
        <v>41499.949999999997</v>
      </c>
      <c r="HO2" s="1">
        <v>1</v>
      </c>
      <c r="HP2" s="1">
        <v>0</v>
      </c>
      <c r="HQ2" s="1">
        <v>90</v>
      </c>
      <c r="HR2" s="1">
        <v>60003079</v>
      </c>
      <c r="HS2" s="1">
        <v>32767</v>
      </c>
      <c r="HT2" s="1">
        <v>4</v>
      </c>
      <c r="HV2" s="1">
        <v>2827784598</v>
      </c>
      <c r="HW2" s="1">
        <v>16274</v>
      </c>
      <c r="HX2" s="1">
        <v>1532124</v>
      </c>
      <c r="HY2" s="1">
        <v>818124</v>
      </c>
      <c r="HZ2" s="1">
        <v>375</v>
      </c>
      <c r="IA2" s="1">
        <v>1</v>
      </c>
      <c r="IB2" s="1">
        <v>0</v>
      </c>
      <c r="IC2" s="1">
        <v>90</v>
      </c>
      <c r="ID2" s="1">
        <v>60003760</v>
      </c>
      <c r="IE2" s="1">
        <v>32767</v>
      </c>
      <c r="IF2" s="1">
        <v>2</v>
      </c>
      <c r="IH2" s="1">
        <v>2766337772</v>
      </c>
      <c r="II2" s="1">
        <v>10213</v>
      </c>
      <c r="IJ2" s="1">
        <v>23</v>
      </c>
      <c r="IK2" s="1">
        <v>23</v>
      </c>
      <c r="IL2" s="1">
        <v>132939999</v>
      </c>
      <c r="IM2" s="1">
        <v>1</v>
      </c>
      <c r="IN2" s="1">
        <v>0</v>
      </c>
      <c r="IO2" s="1">
        <v>90</v>
      </c>
      <c r="IP2" s="1">
        <v>60003760</v>
      </c>
      <c r="IQ2" s="1">
        <v>32767</v>
      </c>
      <c r="IR2" s="1">
        <v>0</v>
      </c>
      <c r="IT2" s="1">
        <v>2767595731</v>
      </c>
      <c r="IU2" s="1">
        <v>16679</v>
      </c>
      <c r="IV2" s="1">
        <v>5912</v>
      </c>
      <c r="IW2" s="1">
        <v>3712</v>
      </c>
      <c r="IX2" s="1">
        <v>1907.5</v>
      </c>
      <c r="IY2" s="1">
        <v>1</v>
      </c>
      <c r="IZ2" s="1">
        <v>0</v>
      </c>
      <c r="JA2" s="1">
        <v>90</v>
      </c>
      <c r="JB2" s="1">
        <v>60003244</v>
      </c>
      <c r="JC2" s="1">
        <v>32767</v>
      </c>
      <c r="JD2" s="1">
        <v>5</v>
      </c>
      <c r="JF2" s="1">
        <v>2775474260</v>
      </c>
      <c r="JG2" s="1">
        <v>16272</v>
      </c>
      <c r="JH2" s="1">
        <v>39150</v>
      </c>
      <c r="JI2" s="1">
        <v>39150</v>
      </c>
      <c r="JJ2" s="1">
        <v>89</v>
      </c>
      <c r="JK2" s="1">
        <v>1</v>
      </c>
      <c r="JL2" s="1">
        <v>0</v>
      </c>
      <c r="JM2" s="1">
        <v>90</v>
      </c>
      <c r="JN2" s="1">
        <v>60000283</v>
      </c>
      <c r="JO2" s="1">
        <v>32767</v>
      </c>
      <c r="JP2" s="1">
        <v>9</v>
      </c>
      <c r="JR2" s="1">
        <v>2802738866</v>
      </c>
      <c r="JS2" s="1">
        <v>10226</v>
      </c>
      <c r="JT2" s="1">
        <v>1</v>
      </c>
      <c r="JU2" s="1">
        <v>1</v>
      </c>
      <c r="JV2" s="1">
        <v>155000000</v>
      </c>
      <c r="JW2" s="1">
        <v>1</v>
      </c>
      <c r="JX2" s="1">
        <v>0</v>
      </c>
      <c r="JY2" s="1">
        <v>90</v>
      </c>
      <c r="JZ2" s="1">
        <v>60003760</v>
      </c>
      <c r="KA2" s="1">
        <v>32767</v>
      </c>
      <c r="KB2" s="1">
        <v>1</v>
      </c>
      <c r="KD2" s="1">
        <v>2782080577</v>
      </c>
      <c r="KE2" s="1">
        <v>25605</v>
      </c>
      <c r="KF2" s="1">
        <v>86</v>
      </c>
      <c r="KG2" s="1">
        <v>86</v>
      </c>
      <c r="KH2" s="1">
        <v>199000</v>
      </c>
      <c r="KI2" s="1">
        <v>1</v>
      </c>
      <c r="KJ2" s="1">
        <v>0</v>
      </c>
      <c r="KK2" s="1">
        <v>90</v>
      </c>
      <c r="KL2" s="1">
        <v>60001546</v>
      </c>
      <c r="KM2" s="1">
        <v>32767</v>
      </c>
      <c r="KN2" s="1">
        <v>8</v>
      </c>
      <c r="KP2" s="1">
        <v>2826904892</v>
      </c>
      <c r="KQ2" s="1">
        <v>25624</v>
      </c>
      <c r="KR2" s="1">
        <v>1</v>
      </c>
      <c r="KS2" s="1">
        <v>1</v>
      </c>
      <c r="KT2" s="1">
        <v>19760009.449999999</v>
      </c>
      <c r="KU2" s="1">
        <v>1</v>
      </c>
      <c r="KV2" s="1">
        <v>0</v>
      </c>
      <c r="KW2" s="1">
        <v>90</v>
      </c>
      <c r="KX2" s="1">
        <v>60003760</v>
      </c>
      <c r="KY2" s="1">
        <v>32767</v>
      </c>
      <c r="KZ2" s="1">
        <v>1</v>
      </c>
      <c r="LB2" s="1">
        <v>2773646634</v>
      </c>
      <c r="LC2" s="1">
        <v>9832</v>
      </c>
      <c r="LD2" s="1">
        <v>32862</v>
      </c>
      <c r="LE2" s="1">
        <v>32861</v>
      </c>
      <c r="LF2" s="1">
        <v>10900</v>
      </c>
      <c r="LG2" s="1">
        <v>1</v>
      </c>
      <c r="LH2" s="1">
        <v>0</v>
      </c>
      <c r="LI2" s="1">
        <v>90</v>
      </c>
      <c r="LJ2" s="1">
        <v>60001486</v>
      </c>
      <c r="LK2" s="1">
        <v>32767</v>
      </c>
      <c r="LL2" s="1">
        <v>2</v>
      </c>
      <c r="LN2" s="1">
        <v>2852326266</v>
      </c>
      <c r="LO2" s="1">
        <v>10209</v>
      </c>
      <c r="LP2" s="1">
        <v>2</v>
      </c>
      <c r="LQ2" s="1">
        <v>2</v>
      </c>
      <c r="LR2" s="1">
        <v>133500000</v>
      </c>
      <c r="LS2" s="1">
        <v>1</v>
      </c>
      <c r="LT2" s="1">
        <v>0</v>
      </c>
      <c r="LU2" s="1">
        <v>90</v>
      </c>
      <c r="LV2" s="1">
        <v>60003760</v>
      </c>
      <c r="LW2" s="1">
        <v>32767</v>
      </c>
      <c r="LX2" s="1">
        <v>1</v>
      </c>
      <c r="LZ2" s="1">
        <v>2806940178</v>
      </c>
      <c r="MA2" s="1">
        <v>10217</v>
      </c>
      <c r="MB2" s="1">
        <v>20</v>
      </c>
      <c r="MC2" s="1">
        <v>20</v>
      </c>
      <c r="MD2" s="1">
        <v>131441999.88</v>
      </c>
      <c r="ME2" s="1">
        <v>1</v>
      </c>
      <c r="MF2" s="1">
        <v>0</v>
      </c>
      <c r="MG2" s="1">
        <v>30</v>
      </c>
      <c r="MH2" s="1">
        <v>60003760</v>
      </c>
      <c r="MI2" s="1">
        <v>32767</v>
      </c>
      <c r="MJ2" s="1">
        <v>0</v>
      </c>
      <c r="ML2" s="1">
        <v>2823007505</v>
      </c>
      <c r="MM2" s="1">
        <v>25625</v>
      </c>
      <c r="MN2" s="1">
        <v>100</v>
      </c>
      <c r="MO2" s="1">
        <v>100</v>
      </c>
      <c r="MP2" s="1">
        <v>5599999</v>
      </c>
      <c r="MQ2" s="1">
        <v>1</v>
      </c>
      <c r="MR2" s="1">
        <v>0</v>
      </c>
      <c r="MS2" s="1">
        <v>90</v>
      </c>
      <c r="MT2" s="1">
        <v>60003760</v>
      </c>
      <c r="MU2" s="1">
        <v>32767</v>
      </c>
      <c r="MV2" s="1">
        <v>0</v>
      </c>
      <c r="MX2" s="1">
        <v>2827410303</v>
      </c>
      <c r="MY2" s="1">
        <v>16672</v>
      </c>
      <c r="MZ2" s="1">
        <v>55223</v>
      </c>
      <c r="NA2" s="1">
        <v>47223</v>
      </c>
      <c r="NB2" s="1">
        <v>152</v>
      </c>
      <c r="NC2" s="1">
        <v>1</v>
      </c>
      <c r="ND2" s="1">
        <v>0</v>
      </c>
      <c r="NE2" s="1">
        <v>90</v>
      </c>
      <c r="NF2" s="1">
        <v>60003760</v>
      </c>
      <c r="NG2" s="1">
        <v>32767</v>
      </c>
      <c r="NH2" s="1">
        <v>0</v>
      </c>
      <c r="NJ2" s="1">
        <v>2828060295</v>
      </c>
      <c r="NK2" s="1">
        <v>16673</v>
      </c>
      <c r="NL2" s="1">
        <v>2640000</v>
      </c>
      <c r="NM2" s="1">
        <v>2640000</v>
      </c>
      <c r="NN2" s="1">
        <v>118.25</v>
      </c>
      <c r="NO2" s="1">
        <v>1</v>
      </c>
      <c r="NP2" s="1">
        <v>0</v>
      </c>
      <c r="NQ2" s="1">
        <v>90</v>
      </c>
      <c r="NR2" s="1">
        <v>60003760</v>
      </c>
      <c r="NS2" s="1">
        <v>32767</v>
      </c>
      <c r="NT2" s="1">
        <v>6</v>
      </c>
      <c r="NV2" s="1">
        <v>2827431374</v>
      </c>
      <c r="NW2" s="1">
        <v>3689</v>
      </c>
      <c r="NX2" s="1">
        <v>160430</v>
      </c>
      <c r="NY2" s="1">
        <v>33358</v>
      </c>
      <c r="NZ2" s="1">
        <v>12895</v>
      </c>
      <c r="OA2" s="1">
        <v>1</v>
      </c>
      <c r="OB2" s="1">
        <v>0</v>
      </c>
      <c r="OC2" s="1">
        <v>90</v>
      </c>
      <c r="OD2" s="1">
        <v>60003760</v>
      </c>
      <c r="OE2" s="1">
        <v>32767</v>
      </c>
      <c r="OF2" s="1">
        <v>0</v>
      </c>
      <c r="OH2" s="1">
        <v>2782079319</v>
      </c>
      <c r="OI2" s="1">
        <v>25598</v>
      </c>
      <c r="OJ2" s="1">
        <v>225</v>
      </c>
      <c r="OK2" s="1">
        <v>183</v>
      </c>
      <c r="OL2" s="1">
        <v>169000</v>
      </c>
      <c r="OM2" s="1">
        <v>1</v>
      </c>
      <c r="ON2" s="1">
        <v>0</v>
      </c>
      <c r="OO2" s="1">
        <v>90</v>
      </c>
      <c r="OP2" s="1">
        <v>60001546</v>
      </c>
      <c r="OQ2" s="1">
        <v>32767</v>
      </c>
      <c r="OR2" s="1">
        <v>2</v>
      </c>
      <c r="OT2" s="1">
        <v>2782080001</v>
      </c>
      <c r="OU2" s="1">
        <v>25600</v>
      </c>
      <c r="OV2" s="1">
        <v>350</v>
      </c>
      <c r="OW2" s="1">
        <v>350</v>
      </c>
      <c r="OX2" s="1">
        <v>39000</v>
      </c>
      <c r="OY2" s="1">
        <v>1</v>
      </c>
      <c r="OZ2" s="1">
        <v>0</v>
      </c>
      <c r="PA2" s="1">
        <v>90</v>
      </c>
      <c r="PB2" s="1">
        <v>60001546</v>
      </c>
      <c r="PC2" s="1">
        <v>32767</v>
      </c>
      <c r="PD2" s="1">
        <v>2</v>
      </c>
      <c r="PF2" s="1">
        <v>2828261248</v>
      </c>
      <c r="PG2" s="1">
        <v>16670</v>
      </c>
      <c r="PH2" s="1">
        <v>4240000</v>
      </c>
      <c r="PI2" s="1">
        <v>866440</v>
      </c>
      <c r="PJ2" s="1">
        <v>132.63999999999999</v>
      </c>
      <c r="PK2" s="1">
        <v>1</v>
      </c>
      <c r="PL2" s="1">
        <v>0</v>
      </c>
      <c r="PM2" s="1">
        <v>90</v>
      </c>
      <c r="PN2" s="1">
        <v>60003760</v>
      </c>
      <c r="PO2" s="1">
        <v>32767</v>
      </c>
      <c r="PP2" s="1">
        <v>7</v>
      </c>
      <c r="PR2" s="1">
        <v>2848822430</v>
      </c>
      <c r="PS2" s="1">
        <v>10222</v>
      </c>
      <c r="PT2" s="1">
        <v>44</v>
      </c>
      <c r="PU2" s="1">
        <v>43</v>
      </c>
      <c r="PV2" s="1">
        <v>131744444.44</v>
      </c>
      <c r="PW2" s="1">
        <v>1</v>
      </c>
      <c r="PX2" s="1">
        <v>0</v>
      </c>
      <c r="PY2" s="1">
        <v>90</v>
      </c>
      <c r="PZ2" s="1">
        <v>60003760</v>
      </c>
      <c r="QA2" s="1">
        <v>32767</v>
      </c>
      <c r="QB2" s="1">
        <v>0</v>
      </c>
      <c r="QD2" s="1">
        <v>2793887755</v>
      </c>
      <c r="QE2" s="1">
        <v>9830</v>
      </c>
      <c r="QF2" s="1">
        <v>1122</v>
      </c>
      <c r="QG2" s="1">
        <v>1122</v>
      </c>
      <c r="QH2" s="1">
        <v>9000</v>
      </c>
      <c r="QI2" s="1">
        <v>1</v>
      </c>
      <c r="QJ2" s="1">
        <v>0</v>
      </c>
      <c r="QK2" s="1">
        <v>90</v>
      </c>
      <c r="QL2" s="1">
        <v>60003394</v>
      </c>
      <c r="QM2" s="1">
        <v>32767</v>
      </c>
      <c r="QN2" s="1">
        <v>5</v>
      </c>
      <c r="QP2" s="1">
        <v>2767595084</v>
      </c>
      <c r="QQ2" s="1">
        <v>16671</v>
      </c>
      <c r="QR2" s="1">
        <v>9653</v>
      </c>
      <c r="QS2" s="1">
        <v>4653</v>
      </c>
      <c r="QT2" s="1">
        <v>135</v>
      </c>
      <c r="QU2" s="1">
        <v>1</v>
      </c>
      <c r="QV2" s="1">
        <v>0</v>
      </c>
      <c r="QW2" s="1">
        <v>90</v>
      </c>
      <c r="QX2" s="1">
        <v>60003244</v>
      </c>
      <c r="QY2" s="1">
        <v>32767</v>
      </c>
      <c r="QZ2" s="1">
        <v>6</v>
      </c>
      <c r="RB2" s="1">
        <v>2819529956</v>
      </c>
      <c r="RC2" s="1">
        <v>16682</v>
      </c>
      <c r="RD2" s="1">
        <v>200000</v>
      </c>
      <c r="RE2" s="1">
        <v>200000</v>
      </c>
      <c r="RF2" s="1">
        <v>3700</v>
      </c>
      <c r="RG2" s="1">
        <v>1</v>
      </c>
      <c r="RH2" s="1">
        <v>0</v>
      </c>
      <c r="RI2" s="1">
        <v>90</v>
      </c>
      <c r="RJ2" s="1">
        <v>60003760</v>
      </c>
      <c r="RK2" s="1">
        <v>32767</v>
      </c>
      <c r="RL2" s="1">
        <v>8</v>
      </c>
      <c r="RN2" s="1">
        <v>2824509724</v>
      </c>
      <c r="RO2" s="1">
        <v>16678</v>
      </c>
      <c r="RP2" s="1">
        <v>113000</v>
      </c>
      <c r="RQ2" s="1">
        <v>113000</v>
      </c>
      <c r="RR2" s="1">
        <v>384.11</v>
      </c>
      <c r="RS2" s="1">
        <v>1</v>
      </c>
      <c r="RT2" s="1">
        <v>0</v>
      </c>
      <c r="RU2" s="1">
        <v>90</v>
      </c>
      <c r="RV2" s="1">
        <v>60003760</v>
      </c>
      <c r="RW2" s="1">
        <v>32767</v>
      </c>
      <c r="RX2" s="1">
        <v>6</v>
      </c>
      <c r="RZ2" s="1">
        <v>2855255065</v>
      </c>
      <c r="SA2" s="1">
        <v>30310</v>
      </c>
      <c r="SB2" s="1">
        <v>1277</v>
      </c>
      <c r="SC2" s="1">
        <v>1097</v>
      </c>
      <c r="SD2" s="1">
        <v>1329990</v>
      </c>
      <c r="SE2" s="1">
        <v>1</v>
      </c>
      <c r="SF2" s="1">
        <v>0</v>
      </c>
      <c r="SG2" s="1">
        <v>90</v>
      </c>
      <c r="SH2" s="1">
        <v>60014659</v>
      </c>
      <c r="SI2" s="1">
        <v>32767</v>
      </c>
      <c r="SJ2" s="1">
        <v>3</v>
      </c>
      <c r="SL2" s="1">
        <v>2764279839</v>
      </c>
      <c r="SM2" s="1">
        <v>30311</v>
      </c>
      <c r="SN2" s="1">
        <v>403</v>
      </c>
      <c r="SO2" s="1">
        <v>403</v>
      </c>
      <c r="SP2" s="1">
        <v>5450000</v>
      </c>
      <c r="SQ2" s="1">
        <v>1</v>
      </c>
      <c r="SR2" s="1">
        <v>0</v>
      </c>
      <c r="SS2" s="1">
        <v>90</v>
      </c>
      <c r="ST2" s="1">
        <v>60003760</v>
      </c>
      <c r="SU2" s="1">
        <v>32767</v>
      </c>
      <c r="SV2" s="1">
        <v>0</v>
      </c>
      <c r="SX2" s="1">
        <v>2805026329</v>
      </c>
      <c r="SY2" s="1">
        <v>25595</v>
      </c>
      <c r="SZ2" s="1">
        <v>10</v>
      </c>
      <c r="TA2" s="1">
        <v>10</v>
      </c>
      <c r="TB2" s="1">
        <v>98965.99</v>
      </c>
      <c r="TC2" s="1">
        <v>1</v>
      </c>
      <c r="TD2" s="1">
        <v>0</v>
      </c>
      <c r="TE2" s="1">
        <v>90</v>
      </c>
      <c r="TF2" s="1">
        <v>60001486</v>
      </c>
      <c r="TG2" s="1">
        <v>32767</v>
      </c>
      <c r="TH2" s="1">
        <v>8</v>
      </c>
      <c r="TJ2" s="1">
        <v>2818648584</v>
      </c>
      <c r="TK2" s="1">
        <v>25606</v>
      </c>
      <c r="TL2" s="1">
        <v>30000</v>
      </c>
      <c r="TM2" s="1">
        <v>26172</v>
      </c>
      <c r="TN2" s="1">
        <v>31920</v>
      </c>
      <c r="TO2" s="1">
        <v>1</v>
      </c>
      <c r="TP2" s="1">
        <v>0</v>
      </c>
      <c r="TQ2" s="1">
        <v>90</v>
      </c>
      <c r="TR2" s="1">
        <v>60003760</v>
      </c>
      <c r="TS2" s="1">
        <v>32767</v>
      </c>
      <c r="TT2" s="1">
        <v>0</v>
      </c>
      <c r="TV2" s="1">
        <v>2777730590</v>
      </c>
      <c r="TW2" s="1">
        <v>25622</v>
      </c>
      <c r="TX2" s="1">
        <v>102</v>
      </c>
      <c r="TY2" s="1">
        <v>102</v>
      </c>
      <c r="TZ2" s="1">
        <v>16999999.77</v>
      </c>
      <c r="UA2" s="1">
        <v>1</v>
      </c>
      <c r="UB2" s="1">
        <v>0</v>
      </c>
      <c r="UC2" s="1">
        <v>90</v>
      </c>
      <c r="UD2" s="1">
        <v>60003760</v>
      </c>
      <c r="UE2" s="1">
        <v>32767</v>
      </c>
      <c r="UF2" s="1">
        <v>0</v>
      </c>
      <c r="UH2" s="1">
        <v>2826322816</v>
      </c>
      <c r="UI2" s="1">
        <v>16680</v>
      </c>
      <c r="UJ2" s="1">
        <v>376600</v>
      </c>
      <c r="UK2" s="1">
        <v>376600</v>
      </c>
      <c r="UL2" s="1">
        <v>930</v>
      </c>
      <c r="UM2" s="1">
        <v>1</v>
      </c>
      <c r="UN2" s="1">
        <v>0</v>
      </c>
      <c r="UO2" s="1">
        <v>90</v>
      </c>
      <c r="UP2" s="1">
        <v>60003760</v>
      </c>
      <c r="UQ2" s="1">
        <v>32767</v>
      </c>
      <c r="UR2" s="1">
        <v>6</v>
      </c>
      <c r="UT2" s="1">
        <v>2818928764</v>
      </c>
      <c r="UU2" s="1">
        <v>17317</v>
      </c>
      <c r="UV2" s="1">
        <v>7000</v>
      </c>
      <c r="UW2" s="1">
        <v>7000</v>
      </c>
      <c r="UX2" s="1">
        <v>52999.98</v>
      </c>
      <c r="UY2" s="1">
        <v>1</v>
      </c>
      <c r="UZ2" s="1">
        <v>0</v>
      </c>
      <c r="VA2" s="1">
        <v>90</v>
      </c>
      <c r="VB2" s="1">
        <v>60003760</v>
      </c>
      <c r="VC2" s="1">
        <v>32767</v>
      </c>
      <c r="VD2" s="1">
        <v>0</v>
      </c>
      <c r="VF2" s="1">
        <v>2824490110</v>
      </c>
      <c r="VG2" s="1">
        <v>11725</v>
      </c>
      <c r="VH2" s="1">
        <v>4</v>
      </c>
      <c r="VI2" s="1">
        <v>4</v>
      </c>
      <c r="VJ2" s="1">
        <v>59679.78</v>
      </c>
      <c r="VK2" s="1">
        <v>1</v>
      </c>
      <c r="VL2" s="1">
        <v>0</v>
      </c>
      <c r="VM2" s="1">
        <v>90</v>
      </c>
      <c r="VN2" s="1">
        <v>60003760</v>
      </c>
      <c r="VO2" s="1">
        <v>32767</v>
      </c>
      <c r="VP2" s="1">
        <v>6</v>
      </c>
    </row>
    <row r="3" spans="1:588" x14ac:dyDescent="0.25">
      <c r="B3" s="1">
        <v>2868247989</v>
      </c>
      <c r="C3" s="1">
        <v>34</v>
      </c>
      <c r="D3" s="1">
        <v>643126</v>
      </c>
      <c r="E3" s="1">
        <v>826</v>
      </c>
      <c r="F3" s="1">
        <v>9.99</v>
      </c>
      <c r="G3" s="1">
        <v>1</v>
      </c>
      <c r="H3" s="1">
        <v>0</v>
      </c>
      <c r="I3" s="1">
        <v>90</v>
      </c>
      <c r="J3" s="1">
        <v>60005599</v>
      </c>
      <c r="K3" s="1">
        <v>32767</v>
      </c>
      <c r="L3" s="1">
        <v>2</v>
      </c>
      <c r="N3" s="1">
        <v>2871207421</v>
      </c>
      <c r="O3" s="1">
        <v>35</v>
      </c>
      <c r="P3" s="1">
        <v>818445</v>
      </c>
      <c r="Q3" s="1">
        <v>818445</v>
      </c>
      <c r="R3" s="1">
        <v>14.79</v>
      </c>
      <c r="S3" s="1">
        <v>1</v>
      </c>
      <c r="T3" s="1">
        <v>0</v>
      </c>
      <c r="U3" s="1">
        <v>30</v>
      </c>
      <c r="V3" s="1">
        <v>60005608</v>
      </c>
      <c r="W3" s="1">
        <v>32767</v>
      </c>
      <c r="X3" s="1">
        <v>2</v>
      </c>
      <c r="Z3" s="1">
        <v>2828783844</v>
      </c>
      <c r="AA3" s="1">
        <v>36</v>
      </c>
      <c r="AB3" s="1">
        <v>141956</v>
      </c>
      <c r="AC3" s="1">
        <v>10132</v>
      </c>
      <c r="AD3" s="16">
        <v>49.99</v>
      </c>
      <c r="AE3" s="1">
        <v>1</v>
      </c>
      <c r="AF3" s="1">
        <v>0</v>
      </c>
      <c r="AG3" s="1">
        <v>90</v>
      </c>
      <c r="AH3" s="1">
        <v>60005593</v>
      </c>
      <c r="AI3" s="1">
        <v>32767</v>
      </c>
      <c r="AJ3" s="1">
        <v>13</v>
      </c>
      <c r="AL3" s="1">
        <v>2859408465</v>
      </c>
      <c r="AM3" s="1">
        <v>37</v>
      </c>
      <c r="AN3" s="1">
        <v>2915</v>
      </c>
      <c r="AO3" s="1">
        <v>1065</v>
      </c>
      <c r="AP3" s="16">
        <v>199</v>
      </c>
      <c r="AQ3" s="1">
        <v>1</v>
      </c>
      <c r="AR3" s="1">
        <v>0</v>
      </c>
      <c r="AS3" s="1">
        <v>30</v>
      </c>
      <c r="AT3" s="1">
        <v>60004228</v>
      </c>
      <c r="AU3" s="1">
        <v>32767</v>
      </c>
      <c r="AV3" s="1">
        <v>9</v>
      </c>
      <c r="AX3" s="1">
        <v>2878223095</v>
      </c>
      <c r="AY3" s="1">
        <v>38</v>
      </c>
      <c r="AZ3" s="1">
        <v>45252</v>
      </c>
      <c r="BA3" s="1">
        <v>45252</v>
      </c>
      <c r="BB3" s="1">
        <v>820</v>
      </c>
      <c r="BC3" s="1">
        <v>1</v>
      </c>
      <c r="BD3" s="1">
        <v>0</v>
      </c>
      <c r="BE3" s="1">
        <v>90</v>
      </c>
      <c r="BF3" s="1">
        <v>60000292</v>
      </c>
      <c r="BG3" s="1">
        <v>32767</v>
      </c>
      <c r="BH3" s="1">
        <v>3</v>
      </c>
      <c r="BJ3" s="1">
        <v>2827136020</v>
      </c>
      <c r="BK3" s="1">
        <v>39</v>
      </c>
      <c r="BL3" s="1">
        <v>869000</v>
      </c>
      <c r="BM3" s="1">
        <v>869000</v>
      </c>
      <c r="BN3" s="1">
        <v>872.99</v>
      </c>
      <c r="BO3" s="1">
        <v>1</v>
      </c>
      <c r="BP3" s="1">
        <v>0</v>
      </c>
      <c r="BQ3" s="1">
        <v>90</v>
      </c>
      <c r="BR3" s="1">
        <v>60003760</v>
      </c>
      <c r="BS3" s="1">
        <v>32767</v>
      </c>
      <c r="BT3" s="1">
        <v>5</v>
      </c>
      <c r="BV3" s="1">
        <v>2397640142</v>
      </c>
      <c r="BW3" s="1">
        <v>40</v>
      </c>
      <c r="BX3" s="1">
        <v>189946</v>
      </c>
      <c r="BY3" s="1">
        <v>189846</v>
      </c>
      <c r="BZ3" s="1">
        <v>2800</v>
      </c>
      <c r="CA3" s="1">
        <v>1</v>
      </c>
      <c r="CB3" s="1">
        <v>0</v>
      </c>
      <c r="CC3" s="1">
        <v>30</v>
      </c>
      <c r="CD3" s="1">
        <v>60001807</v>
      </c>
      <c r="CE3" s="1">
        <v>32767</v>
      </c>
      <c r="CF3" s="1">
        <v>13</v>
      </c>
      <c r="CH3" s="1">
        <v>2350284781</v>
      </c>
      <c r="CI3" s="1">
        <v>29668</v>
      </c>
      <c r="CJ3" s="1">
        <v>6</v>
      </c>
      <c r="CK3" s="1">
        <v>2</v>
      </c>
      <c r="CL3" s="1">
        <v>525000000</v>
      </c>
      <c r="CM3" s="1">
        <v>1</v>
      </c>
      <c r="CN3" s="1">
        <v>0</v>
      </c>
      <c r="CO3" s="1">
        <v>90</v>
      </c>
      <c r="CP3" s="1">
        <v>60014659</v>
      </c>
      <c r="CQ3" s="1">
        <v>32767</v>
      </c>
      <c r="CR3" s="1">
        <v>3</v>
      </c>
      <c r="CT3" s="1">
        <v>2413212360</v>
      </c>
      <c r="CU3" s="1">
        <v>16649</v>
      </c>
      <c r="CV3" s="1">
        <v>400</v>
      </c>
      <c r="CW3" s="1">
        <v>400</v>
      </c>
      <c r="CX3" s="1">
        <v>110000</v>
      </c>
      <c r="CY3" s="1">
        <v>1</v>
      </c>
      <c r="CZ3" s="1">
        <v>0</v>
      </c>
      <c r="DA3" s="1">
        <v>90</v>
      </c>
      <c r="DB3" s="1">
        <v>60003760</v>
      </c>
      <c r="DC3" s="1">
        <v>32767</v>
      </c>
      <c r="DD3" s="1">
        <v>8</v>
      </c>
      <c r="DF3" s="1">
        <v>2413717812</v>
      </c>
      <c r="DG3" s="1">
        <v>17887</v>
      </c>
      <c r="DH3" s="1">
        <v>300000</v>
      </c>
      <c r="DI3" s="1">
        <v>300000</v>
      </c>
      <c r="DJ3" s="1">
        <v>1199.4100000000001</v>
      </c>
      <c r="DK3" s="1">
        <v>1</v>
      </c>
      <c r="DL3" s="1">
        <v>0</v>
      </c>
      <c r="DM3" s="1">
        <v>90</v>
      </c>
      <c r="DN3" s="1">
        <v>60003760</v>
      </c>
      <c r="DO3" s="1">
        <v>32767</v>
      </c>
      <c r="DP3" s="1">
        <v>0</v>
      </c>
      <c r="DR3" s="1">
        <v>2772174573</v>
      </c>
      <c r="DS3" s="1">
        <v>17888</v>
      </c>
      <c r="DT3" s="1">
        <v>40245</v>
      </c>
      <c r="DU3" s="1">
        <v>245</v>
      </c>
      <c r="DV3" s="1">
        <v>415</v>
      </c>
      <c r="DW3" s="1">
        <v>1</v>
      </c>
      <c r="DX3" s="1">
        <v>0</v>
      </c>
      <c r="DY3" s="1">
        <v>90</v>
      </c>
      <c r="DZ3" s="1">
        <v>60001546</v>
      </c>
      <c r="EA3" s="1">
        <v>32767</v>
      </c>
      <c r="EB3" s="1">
        <v>10</v>
      </c>
      <c r="ED3" s="1">
        <v>2876468608</v>
      </c>
      <c r="EE3" s="1">
        <v>16273</v>
      </c>
      <c r="EF3" s="1">
        <v>6650</v>
      </c>
      <c r="EG3" s="1">
        <v>6650</v>
      </c>
      <c r="EH3" s="1">
        <v>365.12</v>
      </c>
      <c r="EI3" s="1">
        <v>1</v>
      </c>
      <c r="EJ3" s="1">
        <v>0</v>
      </c>
      <c r="EK3" s="1">
        <v>3</v>
      </c>
      <c r="EL3" s="1">
        <v>60003394</v>
      </c>
      <c r="EM3" s="1">
        <v>32767</v>
      </c>
      <c r="EN3" s="1">
        <v>7</v>
      </c>
      <c r="EP3" s="1">
        <v>2754651297</v>
      </c>
      <c r="EQ3" s="1">
        <v>17889</v>
      </c>
      <c r="ER3" s="1">
        <v>2322114</v>
      </c>
      <c r="ES3" s="1">
        <v>2322114</v>
      </c>
      <c r="ET3" s="1">
        <v>434.73</v>
      </c>
      <c r="EU3" s="1">
        <v>1</v>
      </c>
      <c r="EV3" s="1">
        <v>0</v>
      </c>
      <c r="EW3" s="1">
        <v>90</v>
      </c>
      <c r="EX3" s="1">
        <v>60003760</v>
      </c>
      <c r="EY3" s="1">
        <v>32767</v>
      </c>
      <c r="EZ3" s="1">
        <v>7</v>
      </c>
      <c r="FB3" s="1">
        <v>2760630394</v>
      </c>
      <c r="FC3" s="1">
        <v>30259</v>
      </c>
      <c r="FD3" s="1">
        <v>70</v>
      </c>
      <c r="FE3" s="1">
        <v>70</v>
      </c>
      <c r="FF3" s="1">
        <v>7197499.8899999997</v>
      </c>
      <c r="FG3" s="1">
        <v>1</v>
      </c>
      <c r="FH3" s="1">
        <v>0</v>
      </c>
      <c r="FI3" s="1">
        <v>90</v>
      </c>
      <c r="FJ3" s="1">
        <v>60003760</v>
      </c>
      <c r="FK3" s="1">
        <v>32767</v>
      </c>
      <c r="FL3" s="1">
        <v>0</v>
      </c>
      <c r="FN3" s="1">
        <v>2788373390</v>
      </c>
      <c r="FO3" s="1">
        <v>25617</v>
      </c>
      <c r="FP3" s="1">
        <v>54</v>
      </c>
      <c r="FQ3" s="1">
        <v>54</v>
      </c>
      <c r="FR3" s="1">
        <v>5449999.96</v>
      </c>
      <c r="FS3" s="1">
        <v>1</v>
      </c>
      <c r="FT3" s="1">
        <v>0</v>
      </c>
      <c r="FU3" s="1">
        <v>90</v>
      </c>
      <c r="FV3" s="1">
        <v>60003760</v>
      </c>
      <c r="FW3" s="1">
        <v>32767</v>
      </c>
      <c r="FX3" s="1">
        <v>0</v>
      </c>
      <c r="FZ3" s="1">
        <v>2814408533</v>
      </c>
      <c r="GA3" s="1">
        <v>44</v>
      </c>
      <c r="GB3" s="1">
        <v>3840</v>
      </c>
      <c r="GC3" s="1">
        <v>3840</v>
      </c>
      <c r="GD3" s="1">
        <v>14600.69</v>
      </c>
      <c r="GE3" s="1">
        <v>1</v>
      </c>
      <c r="GF3" s="1">
        <v>0</v>
      </c>
      <c r="GG3" s="1">
        <v>90</v>
      </c>
      <c r="GH3" s="1">
        <v>60003760</v>
      </c>
      <c r="GI3" s="1">
        <v>32767</v>
      </c>
      <c r="GJ3" s="1">
        <v>4</v>
      </c>
      <c r="GL3" s="1">
        <v>2413956065</v>
      </c>
      <c r="GM3" s="1">
        <v>16681</v>
      </c>
      <c r="GN3" s="1">
        <v>200000</v>
      </c>
      <c r="GO3" s="1">
        <v>200000</v>
      </c>
      <c r="GP3" s="1">
        <v>6333</v>
      </c>
      <c r="GQ3" s="1">
        <v>1</v>
      </c>
      <c r="GR3" s="1">
        <v>0</v>
      </c>
      <c r="GS3" s="1">
        <v>30</v>
      </c>
      <c r="GT3" s="1">
        <v>60003760</v>
      </c>
      <c r="GU3" s="1">
        <v>32767</v>
      </c>
      <c r="GV3" s="1">
        <v>0</v>
      </c>
      <c r="GX3" s="1">
        <v>2819770419</v>
      </c>
      <c r="GY3" s="1">
        <v>16683</v>
      </c>
      <c r="GZ3" s="1">
        <v>200000</v>
      </c>
      <c r="HA3" s="1">
        <v>119544</v>
      </c>
      <c r="HB3" s="1">
        <v>17351.89</v>
      </c>
      <c r="HC3" s="1">
        <v>1</v>
      </c>
      <c r="HD3" s="1">
        <v>0</v>
      </c>
      <c r="HE3" s="1">
        <v>90</v>
      </c>
      <c r="HF3" s="1">
        <v>60003760</v>
      </c>
      <c r="HG3" s="1">
        <v>32767</v>
      </c>
      <c r="HH3" s="1">
        <v>0</v>
      </c>
      <c r="HJ3" s="1">
        <v>2827689175</v>
      </c>
      <c r="HK3" s="1">
        <v>11724</v>
      </c>
      <c r="HL3" s="1">
        <v>57</v>
      </c>
      <c r="HM3" s="1">
        <v>57</v>
      </c>
      <c r="HN3" s="1">
        <v>41996</v>
      </c>
      <c r="HO3" s="1">
        <v>1</v>
      </c>
      <c r="HP3" s="1">
        <v>0</v>
      </c>
      <c r="HQ3" s="1">
        <v>90</v>
      </c>
      <c r="HR3" s="1">
        <v>60003760</v>
      </c>
      <c r="HS3" s="1">
        <v>32767</v>
      </c>
      <c r="HT3" s="1">
        <v>0</v>
      </c>
      <c r="HV3" s="1">
        <v>2827784768</v>
      </c>
      <c r="HW3" s="1">
        <v>16274</v>
      </c>
      <c r="HX3" s="1">
        <v>1672888</v>
      </c>
      <c r="HY3" s="1">
        <v>1672888</v>
      </c>
      <c r="HZ3" s="1">
        <v>376</v>
      </c>
      <c r="IA3" s="1">
        <v>1</v>
      </c>
      <c r="IB3" s="1">
        <v>0</v>
      </c>
      <c r="IC3" s="1">
        <v>90</v>
      </c>
      <c r="ID3" s="1">
        <v>60003760</v>
      </c>
      <c r="IE3" s="1">
        <v>32767</v>
      </c>
      <c r="IF3" s="1">
        <v>2</v>
      </c>
      <c r="IH3" s="1">
        <v>2806939632</v>
      </c>
      <c r="II3" s="1">
        <v>10213</v>
      </c>
      <c r="IJ3" s="1">
        <v>20</v>
      </c>
      <c r="IK3" s="1">
        <v>20</v>
      </c>
      <c r="IL3" s="1">
        <v>130999883.02</v>
      </c>
      <c r="IM3" s="1">
        <v>1</v>
      </c>
      <c r="IN3" s="1">
        <v>0</v>
      </c>
      <c r="IO3" s="1">
        <v>30</v>
      </c>
      <c r="IP3" s="1">
        <v>60003760</v>
      </c>
      <c r="IQ3" s="1">
        <v>32767</v>
      </c>
      <c r="IR3" s="1">
        <v>0</v>
      </c>
      <c r="IT3" s="1">
        <v>2828273580</v>
      </c>
      <c r="IU3" s="1">
        <v>16679</v>
      </c>
      <c r="IV3" s="1">
        <v>462446</v>
      </c>
      <c r="IW3" s="1">
        <v>462446</v>
      </c>
      <c r="IX3" s="1">
        <v>2014.99</v>
      </c>
      <c r="IY3" s="1">
        <v>1</v>
      </c>
      <c r="IZ3" s="1">
        <v>0</v>
      </c>
      <c r="JA3" s="1">
        <v>90</v>
      </c>
      <c r="JB3" s="1">
        <v>60003760</v>
      </c>
      <c r="JC3" s="1">
        <v>32767</v>
      </c>
      <c r="JD3" s="1">
        <v>0</v>
      </c>
      <c r="JF3" s="1">
        <v>2854219071</v>
      </c>
      <c r="JG3" s="1">
        <v>16272</v>
      </c>
      <c r="JH3" s="1">
        <v>460448</v>
      </c>
      <c r="JI3" s="1">
        <v>460448</v>
      </c>
      <c r="JJ3" s="1">
        <v>80</v>
      </c>
      <c r="JK3" s="1">
        <v>1</v>
      </c>
      <c r="JL3" s="1">
        <v>0</v>
      </c>
      <c r="JM3" s="1">
        <v>90</v>
      </c>
      <c r="JN3" s="1">
        <v>60003394</v>
      </c>
      <c r="JO3" s="1">
        <v>32767</v>
      </c>
      <c r="JP3" s="1">
        <v>7</v>
      </c>
      <c r="JR3" s="1">
        <v>2858095674</v>
      </c>
      <c r="JS3" s="1">
        <v>10226</v>
      </c>
      <c r="JT3" s="1">
        <v>44</v>
      </c>
      <c r="JU3" s="1">
        <v>43</v>
      </c>
      <c r="JV3" s="1">
        <v>124994444.44</v>
      </c>
      <c r="JW3" s="1">
        <v>1</v>
      </c>
      <c r="JX3" s="1">
        <v>0</v>
      </c>
      <c r="JY3" s="1">
        <v>90</v>
      </c>
      <c r="JZ3" s="1">
        <v>60003760</v>
      </c>
      <c r="KA3" s="1">
        <v>32767</v>
      </c>
      <c r="KB3" s="1">
        <v>1</v>
      </c>
      <c r="KD3" s="1">
        <v>2814922855</v>
      </c>
      <c r="KE3" s="1">
        <v>25605</v>
      </c>
      <c r="KF3" s="1">
        <v>57</v>
      </c>
      <c r="KG3" s="1">
        <v>57</v>
      </c>
      <c r="KH3" s="1">
        <v>117000</v>
      </c>
      <c r="KI3" s="1">
        <v>1</v>
      </c>
      <c r="KJ3" s="1">
        <v>0</v>
      </c>
      <c r="KK3" s="1">
        <v>90</v>
      </c>
      <c r="KL3" s="1">
        <v>60003067</v>
      </c>
      <c r="KM3" s="1">
        <v>32767</v>
      </c>
      <c r="KN3" s="1">
        <v>8</v>
      </c>
      <c r="KP3" s="1">
        <v>2819243356</v>
      </c>
      <c r="KQ3" s="1">
        <v>25624</v>
      </c>
      <c r="KR3" s="1">
        <v>1</v>
      </c>
      <c r="KS3" s="1">
        <v>1</v>
      </c>
      <c r="KT3" s="1">
        <v>19999992.98</v>
      </c>
      <c r="KU3" s="1">
        <v>1</v>
      </c>
      <c r="KV3" s="1">
        <v>0</v>
      </c>
      <c r="KW3" s="1">
        <v>90</v>
      </c>
      <c r="KX3" s="1">
        <v>60003760</v>
      </c>
      <c r="KY3" s="1">
        <v>32767</v>
      </c>
      <c r="KZ3" s="1">
        <v>1</v>
      </c>
      <c r="LB3" s="1">
        <v>2792152670</v>
      </c>
      <c r="LC3" s="1">
        <v>9832</v>
      </c>
      <c r="LD3" s="1">
        <v>1810</v>
      </c>
      <c r="LE3" s="1">
        <v>1810</v>
      </c>
      <c r="LF3" s="1">
        <v>11000.25</v>
      </c>
      <c r="LG3" s="1">
        <v>1</v>
      </c>
      <c r="LH3" s="1">
        <v>0</v>
      </c>
      <c r="LI3" s="1">
        <v>90</v>
      </c>
      <c r="LJ3" s="1">
        <v>60004231</v>
      </c>
      <c r="LK3" s="1">
        <v>32767</v>
      </c>
      <c r="LL3" s="1">
        <v>4</v>
      </c>
      <c r="LN3" s="1">
        <v>2850741630</v>
      </c>
      <c r="LO3" s="1">
        <v>10209</v>
      </c>
      <c r="LP3" s="1">
        <v>44</v>
      </c>
      <c r="LQ3" s="1">
        <v>44</v>
      </c>
      <c r="LR3" s="1">
        <v>127744444.44</v>
      </c>
      <c r="LS3" s="1">
        <v>1</v>
      </c>
      <c r="LT3" s="1">
        <v>0</v>
      </c>
      <c r="LU3" s="1">
        <v>90</v>
      </c>
      <c r="LV3" s="1">
        <v>60003760</v>
      </c>
      <c r="LW3" s="1">
        <v>32767</v>
      </c>
      <c r="LX3" s="1">
        <v>1</v>
      </c>
      <c r="LZ3" s="1">
        <v>2853033534</v>
      </c>
      <c r="MA3" s="1">
        <v>10217</v>
      </c>
      <c r="MB3" s="1">
        <v>23</v>
      </c>
      <c r="MC3" s="1">
        <v>14</v>
      </c>
      <c r="MD3" s="1">
        <v>123979999.81999999</v>
      </c>
      <c r="ME3" s="1">
        <v>1</v>
      </c>
      <c r="MF3" s="1">
        <v>0</v>
      </c>
      <c r="MG3" s="1">
        <v>90</v>
      </c>
      <c r="MH3" s="1">
        <v>60003760</v>
      </c>
      <c r="MI3" s="1">
        <v>32767</v>
      </c>
      <c r="MJ3" s="1">
        <v>0</v>
      </c>
      <c r="ML3" s="1">
        <v>2756875347</v>
      </c>
      <c r="MM3" s="1">
        <v>25625</v>
      </c>
      <c r="MN3" s="1">
        <v>45</v>
      </c>
      <c r="MO3" s="1">
        <v>25</v>
      </c>
      <c r="MP3" s="1">
        <v>5951004.75</v>
      </c>
      <c r="MQ3" s="1">
        <v>1</v>
      </c>
      <c r="MR3" s="1">
        <v>0</v>
      </c>
      <c r="MS3" s="1">
        <v>90</v>
      </c>
      <c r="MT3" s="1">
        <v>60003760</v>
      </c>
      <c r="MU3" s="1">
        <v>32767</v>
      </c>
      <c r="MV3" s="1">
        <v>0</v>
      </c>
      <c r="MX3" s="1">
        <v>2827616856</v>
      </c>
      <c r="MY3" s="1">
        <v>16672</v>
      </c>
      <c r="MZ3" s="1">
        <v>3618000</v>
      </c>
      <c r="NA3" s="1">
        <v>2223000</v>
      </c>
      <c r="NB3" s="1">
        <v>155.97</v>
      </c>
      <c r="NC3" s="1">
        <v>1</v>
      </c>
      <c r="ND3" s="1">
        <v>0</v>
      </c>
      <c r="NE3" s="1">
        <v>90</v>
      </c>
      <c r="NF3" s="1">
        <v>60003760</v>
      </c>
      <c r="NG3" s="1">
        <v>32767</v>
      </c>
      <c r="NH3" s="1">
        <v>0</v>
      </c>
      <c r="NJ3" s="1">
        <v>2829203068</v>
      </c>
      <c r="NK3" s="1">
        <v>16673</v>
      </c>
      <c r="NL3" s="1">
        <v>2000000</v>
      </c>
      <c r="NM3" s="1">
        <v>2000000</v>
      </c>
      <c r="NN3" s="1">
        <v>121.65</v>
      </c>
      <c r="NO3" s="1">
        <v>1</v>
      </c>
      <c r="NP3" s="1">
        <v>0</v>
      </c>
      <c r="NQ3" s="1">
        <v>90</v>
      </c>
      <c r="NR3" s="1">
        <v>60003760</v>
      </c>
      <c r="NS3" s="1">
        <v>32767</v>
      </c>
      <c r="NT3" s="1">
        <v>6</v>
      </c>
      <c r="NV3" s="1">
        <v>2826531969</v>
      </c>
      <c r="NW3" s="1">
        <v>3689</v>
      </c>
      <c r="NX3" s="1">
        <v>5785</v>
      </c>
      <c r="NY3" s="1">
        <v>5785</v>
      </c>
      <c r="NZ3" s="1">
        <v>12961.22</v>
      </c>
      <c r="OA3" s="1">
        <v>1</v>
      </c>
      <c r="OB3" s="1">
        <v>0</v>
      </c>
      <c r="OC3" s="1">
        <v>90</v>
      </c>
      <c r="OD3" s="1">
        <v>60003760</v>
      </c>
      <c r="OE3" s="1">
        <v>32767</v>
      </c>
      <c r="OF3" s="1">
        <v>0</v>
      </c>
      <c r="OH3" s="1">
        <v>2804854566</v>
      </c>
      <c r="OI3" s="1">
        <v>25598</v>
      </c>
      <c r="OJ3" s="1">
        <v>123</v>
      </c>
      <c r="OK3" s="1">
        <v>123</v>
      </c>
      <c r="OL3" s="1">
        <v>199999.99</v>
      </c>
      <c r="OM3" s="1">
        <v>1</v>
      </c>
      <c r="ON3" s="1">
        <v>0</v>
      </c>
      <c r="OO3" s="1">
        <v>90</v>
      </c>
      <c r="OP3" s="1">
        <v>60001486</v>
      </c>
      <c r="OQ3" s="1">
        <v>32767</v>
      </c>
      <c r="OR3" s="1">
        <v>2</v>
      </c>
      <c r="OT3" s="1">
        <v>2805022911</v>
      </c>
      <c r="OU3" s="1">
        <v>25600</v>
      </c>
      <c r="OV3" s="1">
        <v>62</v>
      </c>
      <c r="OW3" s="1">
        <v>62</v>
      </c>
      <c r="OX3" s="1">
        <v>38500</v>
      </c>
      <c r="OY3" s="1">
        <v>1</v>
      </c>
      <c r="OZ3" s="1">
        <v>0</v>
      </c>
      <c r="PA3" s="1">
        <v>90</v>
      </c>
      <c r="PB3" s="1">
        <v>60001486</v>
      </c>
      <c r="PC3" s="1">
        <v>32767</v>
      </c>
      <c r="PD3" s="1">
        <v>2</v>
      </c>
      <c r="PF3" s="1">
        <v>2829200026</v>
      </c>
      <c r="PG3" s="1">
        <v>16670</v>
      </c>
      <c r="PH3" s="1">
        <v>10500</v>
      </c>
      <c r="PI3" s="1">
        <v>10500</v>
      </c>
      <c r="PJ3" s="1">
        <v>141.35</v>
      </c>
      <c r="PK3" s="1">
        <v>1</v>
      </c>
      <c r="PL3" s="1">
        <v>0</v>
      </c>
      <c r="PM3" s="1">
        <v>90</v>
      </c>
      <c r="PN3" s="1">
        <v>60003760</v>
      </c>
      <c r="PO3" s="1">
        <v>32767</v>
      </c>
      <c r="PP3" s="1">
        <v>7</v>
      </c>
      <c r="PR3" s="1">
        <v>2848771915</v>
      </c>
      <c r="PS3" s="1">
        <v>10222</v>
      </c>
      <c r="PT3" s="1">
        <v>21</v>
      </c>
      <c r="PU3" s="1">
        <v>20</v>
      </c>
      <c r="PV3" s="1">
        <v>137899990</v>
      </c>
      <c r="PW3" s="1">
        <v>1</v>
      </c>
      <c r="PX3" s="1">
        <v>0</v>
      </c>
      <c r="PY3" s="1">
        <v>90</v>
      </c>
      <c r="PZ3" s="1">
        <v>60003760</v>
      </c>
      <c r="QA3" s="1">
        <v>32767</v>
      </c>
      <c r="QB3" s="1">
        <v>0</v>
      </c>
      <c r="QD3" s="1">
        <v>2826998699</v>
      </c>
      <c r="QE3" s="1">
        <v>9830</v>
      </c>
      <c r="QF3" s="1">
        <v>77654</v>
      </c>
      <c r="QG3" s="1">
        <v>77654</v>
      </c>
      <c r="QH3" s="1">
        <v>8498</v>
      </c>
      <c r="QI3" s="1">
        <v>1</v>
      </c>
      <c r="QJ3" s="1">
        <v>0</v>
      </c>
      <c r="QK3" s="1">
        <v>90</v>
      </c>
      <c r="QL3" s="1">
        <v>60003760</v>
      </c>
      <c r="QM3" s="1">
        <v>32767</v>
      </c>
      <c r="QN3" s="1">
        <v>0</v>
      </c>
      <c r="QP3" s="1">
        <v>2828722408</v>
      </c>
      <c r="QQ3" s="1">
        <v>16671</v>
      </c>
      <c r="QR3" s="1">
        <v>7454215</v>
      </c>
      <c r="QS3" s="1">
        <v>7454215</v>
      </c>
      <c r="QT3" s="1">
        <v>130</v>
      </c>
      <c r="QU3" s="1">
        <v>1</v>
      </c>
      <c r="QV3" s="1">
        <v>0</v>
      </c>
      <c r="QW3" s="1">
        <v>90</v>
      </c>
      <c r="QX3" s="1">
        <v>60003760</v>
      </c>
      <c r="QY3" s="1">
        <v>32767</v>
      </c>
      <c r="QZ3" s="1">
        <v>7</v>
      </c>
      <c r="RB3" s="1">
        <v>2767092249</v>
      </c>
      <c r="RC3" s="1">
        <v>16682</v>
      </c>
      <c r="RD3" s="1">
        <v>7</v>
      </c>
      <c r="RE3" s="1">
        <v>7</v>
      </c>
      <c r="RF3" s="1">
        <v>3577.33</v>
      </c>
      <c r="RG3" s="1">
        <v>1</v>
      </c>
      <c r="RH3" s="1">
        <v>0</v>
      </c>
      <c r="RI3" s="1">
        <v>90</v>
      </c>
      <c r="RJ3" s="1">
        <v>60003760</v>
      </c>
      <c r="RK3" s="1">
        <v>32767</v>
      </c>
      <c r="RL3" s="1">
        <v>8</v>
      </c>
      <c r="RN3" s="1">
        <v>2763082115</v>
      </c>
      <c r="RO3" s="1">
        <v>16678</v>
      </c>
      <c r="RP3" s="1">
        <v>1448000</v>
      </c>
      <c r="RQ3" s="1">
        <v>1448000</v>
      </c>
      <c r="RR3" s="1">
        <v>384.11</v>
      </c>
      <c r="RS3" s="1">
        <v>1</v>
      </c>
      <c r="RT3" s="1">
        <v>0</v>
      </c>
      <c r="RU3" s="1">
        <v>90</v>
      </c>
      <c r="RV3" s="1">
        <v>60003760</v>
      </c>
      <c r="RW3" s="1">
        <v>32767</v>
      </c>
      <c r="RX3" s="1">
        <v>6</v>
      </c>
      <c r="RZ3" s="1">
        <v>2756339776</v>
      </c>
      <c r="SA3" s="1">
        <v>30310</v>
      </c>
      <c r="SB3" s="1">
        <v>242</v>
      </c>
      <c r="SC3" s="1">
        <v>242</v>
      </c>
      <c r="SD3" s="1">
        <v>1700000</v>
      </c>
      <c r="SE3" s="1">
        <v>1</v>
      </c>
      <c r="SF3" s="1">
        <v>0</v>
      </c>
      <c r="SG3" s="1">
        <v>90</v>
      </c>
      <c r="SH3" s="1">
        <v>60003760</v>
      </c>
      <c r="SI3" s="1">
        <v>32767</v>
      </c>
      <c r="SJ3" s="1">
        <v>0</v>
      </c>
      <c r="SL3" s="1">
        <v>2772802841</v>
      </c>
      <c r="SM3" s="1">
        <v>30311</v>
      </c>
      <c r="SN3" s="1">
        <v>158</v>
      </c>
      <c r="SO3" s="1">
        <v>158</v>
      </c>
      <c r="SP3" s="1">
        <v>4195000</v>
      </c>
      <c r="SQ3" s="1">
        <v>1</v>
      </c>
      <c r="SR3" s="1">
        <v>0</v>
      </c>
      <c r="SS3" s="1">
        <v>90</v>
      </c>
      <c r="ST3" s="1">
        <v>60003760</v>
      </c>
      <c r="SU3" s="1">
        <v>32767</v>
      </c>
      <c r="SV3" s="1">
        <v>0</v>
      </c>
      <c r="SX3" s="1">
        <v>2806206468</v>
      </c>
      <c r="SY3" s="1">
        <v>25595</v>
      </c>
      <c r="SZ3" s="1">
        <v>32</v>
      </c>
      <c r="TA3" s="1">
        <v>32</v>
      </c>
      <c r="TB3" s="1">
        <v>94000</v>
      </c>
      <c r="TC3" s="1">
        <v>1</v>
      </c>
      <c r="TD3" s="1">
        <v>0</v>
      </c>
      <c r="TE3" s="1">
        <v>90</v>
      </c>
      <c r="TF3" s="1">
        <v>60001483</v>
      </c>
      <c r="TG3" s="1">
        <v>32767</v>
      </c>
      <c r="TH3" s="1">
        <v>8</v>
      </c>
      <c r="TJ3" s="1">
        <v>2756360612</v>
      </c>
      <c r="TK3" s="1">
        <v>25606</v>
      </c>
      <c r="TL3" s="1">
        <v>10</v>
      </c>
      <c r="TM3" s="1">
        <v>10</v>
      </c>
      <c r="TN3" s="1">
        <v>144999</v>
      </c>
      <c r="TO3" s="1">
        <v>1</v>
      </c>
      <c r="TP3" s="1">
        <v>0</v>
      </c>
      <c r="TQ3" s="1">
        <v>90</v>
      </c>
      <c r="TR3" s="1">
        <v>60003760</v>
      </c>
      <c r="TS3" s="1">
        <v>32767</v>
      </c>
      <c r="TT3" s="1">
        <v>0</v>
      </c>
      <c r="TV3" s="1">
        <v>2778930527</v>
      </c>
      <c r="TW3" s="1">
        <v>25622</v>
      </c>
      <c r="TX3" s="1">
        <v>1</v>
      </c>
      <c r="TY3" s="1">
        <v>1</v>
      </c>
      <c r="TZ3" s="1">
        <v>25839999.16</v>
      </c>
      <c r="UA3" s="1">
        <v>1</v>
      </c>
      <c r="UB3" s="1">
        <v>0</v>
      </c>
      <c r="UC3" s="1">
        <v>90</v>
      </c>
      <c r="UD3" s="1">
        <v>60003760</v>
      </c>
      <c r="UE3" s="1">
        <v>32767</v>
      </c>
      <c r="UF3" s="1">
        <v>0</v>
      </c>
      <c r="UH3" s="1">
        <v>2816003378</v>
      </c>
      <c r="UI3" s="1">
        <v>16680</v>
      </c>
      <c r="UJ3" s="1">
        <v>200000</v>
      </c>
      <c r="UK3" s="1">
        <v>200000</v>
      </c>
      <c r="UL3" s="1">
        <v>840</v>
      </c>
      <c r="UM3" s="1">
        <v>1</v>
      </c>
      <c r="UN3" s="1">
        <v>0</v>
      </c>
      <c r="UO3" s="1">
        <v>90</v>
      </c>
      <c r="UP3" s="1">
        <v>60003760</v>
      </c>
      <c r="UQ3" s="1">
        <v>32767</v>
      </c>
      <c r="UR3" s="1">
        <v>6</v>
      </c>
      <c r="UT3" s="1">
        <v>2819146939</v>
      </c>
      <c r="UU3" s="1">
        <v>17317</v>
      </c>
      <c r="UV3" s="1">
        <v>5000</v>
      </c>
      <c r="UW3" s="1">
        <v>5000</v>
      </c>
      <c r="UX3" s="1">
        <v>36487.949999999997</v>
      </c>
      <c r="UY3" s="1">
        <v>1</v>
      </c>
      <c r="UZ3" s="1">
        <v>0</v>
      </c>
      <c r="VA3" s="1">
        <v>90</v>
      </c>
      <c r="VB3" s="1">
        <v>60003760</v>
      </c>
      <c r="VC3" s="1">
        <v>32767</v>
      </c>
      <c r="VD3" s="1">
        <v>0</v>
      </c>
      <c r="VF3" s="1">
        <v>2824655652</v>
      </c>
      <c r="VG3" s="1">
        <v>11725</v>
      </c>
      <c r="VH3" s="1">
        <v>50000</v>
      </c>
      <c r="VI3" s="1">
        <v>35962</v>
      </c>
      <c r="VJ3" s="1">
        <v>59679.74</v>
      </c>
      <c r="VK3" s="1">
        <v>1</v>
      </c>
      <c r="VL3" s="1">
        <v>0</v>
      </c>
      <c r="VM3" s="1">
        <v>90</v>
      </c>
      <c r="VN3" s="1">
        <v>60003760</v>
      </c>
      <c r="VO3" s="1">
        <v>32767</v>
      </c>
      <c r="VP3" s="1">
        <v>6</v>
      </c>
    </row>
    <row r="4" spans="1:588" x14ac:dyDescent="0.25">
      <c r="B4" s="1">
        <v>2858416762</v>
      </c>
      <c r="C4" s="1">
        <v>34</v>
      </c>
      <c r="D4" s="1">
        <v>10144899</v>
      </c>
      <c r="E4" s="1">
        <v>10144899</v>
      </c>
      <c r="F4" s="1">
        <v>6</v>
      </c>
      <c r="G4" s="1">
        <v>1</v>
      </c>
      <c r="H4" s="1">
        <v>0</v>
      </c>
      <c r="I4" s="1">
        <v>90</v>
      </c>
      <c r="J4" s="1">
        <v>60003061</v>
      </c>
      <c r="K4" s="1">
        <v>32767</v>
      </c>
      <c r="L4" s="1">
        <v>3</v>
      </c>
      <c r="N4" s="1">
        <v>2874514218</v>
      </c>
      <c r="O4" s="1">
        <v>35</v>
      </c>
      <c r="P4" s="1">
        <v>4602305</v>
      </c>
      <c r="Q4" s="1">
        <v>4602305</v>
      </c>
      <c r="R4" s="1">
        <v>14.82</v>
      </c>
      <c r="S4" s="1">
        <v>1</v>
      </c>
      <c r="T4" s="1">
        <v>0</v>
      </c>
      <c r="U4" s="1">
        <v>90</v>
      </c>
      <c r="V4" s="1">
        <v>60001543</v>
      </c>
      <c r="W4" s="1">
        <v>32767</v>
      </c>
      <c r="X4" s="1">
        <v>2</v>
      </c>
      <c r="Z4" s="1">
        <v>2849143288</v>
      </c>
      <c r="AA4" s="1">
        <v>36</v>
      </c>
      <c r="AB4" s="1">
        <v>7000000</v>
      </c>
      <c r="AC4" s="1">
        <v>5778949</v>
      </c>
      <c r="AD4" s="16">
        <v>48.7</v>
      </c>
      <c r="AE4" s="1">
        <v>1</v>
      </c>
      <c r="AF4" s="1">
        <v>0</v>
      </c>
      <c r="AG4" s="1">
        <v>30</v>
      </c>
      <c r="AH4" s="1">
        <v>60001543</v>
      </c>
      <c r="AI4" s="1">
        <v>32767</v>
      </c>
      <c r="AJ4" s="1">
        <v>13</v>
      </c>
      <c r="AL4" s="1">
        <v>2860061836</v>
      </c>
      <c r="AM4" s="1">
        <v>37</v>
      </c>
      <c r="AN4" s="1">
        <v>107022</v>
      </c>
      <c r="AO4" s="1">
        <v>101046</v>
      </c>
      <c r="AP4" s="16">
        <v>200</v>
      </c>
      <c r="AQ4" s="1">
        <v>1</v>
      </c>
      <c r="AR4" s="1">
        <v>0</v>
      </c>
      <c r="AS4" s="1">
        <v>90</v>
      </c>
      <c r="AT4" s="1">
        <v>60004237</v>
      </c>
      <c r="AU4" s="1">
        <v>32767</v>
      </c>
      <c r="AV4" s="1">
        <v>9</v>
      </c>
      <c r="AX4" s="1">
        <v>2841907303</v>
      </c>
      <c r="AY4" s="1">
        <v>38</v>
      </c>
      <c r="AZ4" s="1">
        <v>284</v>
      </c>
      <c r="BA4" s="1">
        <v>4</v>
      </c>
      <c r="BB4" s="1">
        <v>830</v>
      </c>
      <c r="BC4" s="1">
        <v>1</v>
      </c>
      <c r="BD4" s="1">
        <v>0</v>
      </c>
      <c r="BE4" s="1">
        <v>90</v>
      </c>
      <c r="BF4" s="1">
        <v>60004231</v>
      </c>
      <c r="BG4" s="1">
        <v>32767</v>
      </c>
      <c r="BH4" s="1">
        <v>4</v>
      </c>
      <c r="BJ4" s="1">
        <v>2827137994</v>
      </c>
      <c r="BK4" s="1">
        <v>39</v>
      </c>
      <c r="BL4" s="1">
        <v>1477000</v>
      </c>
      <c r="BM4" s="1">
        <v>1477000</v>
      </c>
      <c r="BN4" s="1">
        <v>948.91</v>
      </c>
      <c r="BO4" s="1">
        <v>1</v>
      </c>
      <c r="BP4" s="1">
        <v>0</v>
      </c>
      <c r="BQ4" s="1">
        <v>90</v>
      </c>
      <c r="BR4" s="1">
        <v>60003760</v>
      </c>
      <c r="BS4" s="1">
        <v>32767</v>
      </c>
      <c r="BT4" s="1">
        <v>5</v>
      </c>
      <c r="BV4" s="1">
        <v>2414029922</v>
      </c>
      <c r="BW4" s="1">
        <v>40</v>
      </c>
      <c r="BX4" s="1">
        <v>6050</v>
      </c>
      <c r="BY4" s="1">
        <v>6050</v>
      </c>
      <c r="BZ4" s="1">
        <v>3000.98</v>
      </c>
      <c r="CA4" s="1">
        <v>1</v>
      </c>
      <c r="CB4" s="1">
        <v>0</v>
      </c>
      <c r="CC4" s="1">
        <v>90</v>
      </c>
      <c r="CD4" s="1">
        <v>60003760</v>
      </c>
      <c r="CE4" s="1">
        <v>32767</v>
      </c>
      <c r="CF4" s="1">
        <v>13</v>
      </c>
      <c r="CH4" s="1">
        <v>2413512064</v>
      </c>
      <c r="CI4" s="1">
        <v>29668</v>
      </c>
      <c r="CJ4" s="1">
        <v>2</v>
      </c>
      <c r="CK4" s="1">
        <v>2</v>
      </c>
      <c r="CL4" s="1">
        <v>495000000</v>
      </c>
      <c r="CM4" s="1">
        <v>1</v>
      </c>
      <c r="CN4" s="1">
        <v>0</v>
      </c>
      <c r="CO4" s="1">
        <v>90</v>
      </c>
      <c r="CP4" s="1">
        <v>60003760</v>
      </c>
      <c r="CQ4" s="1">
        <v>32767</v>
      </c>
      <c r="CR4" s="1">
        <v>0</v>
      </c>
      <c r="CT4" s="1">
        <v>2414340257</v>
      </c>
      <c r="CU4" s="1">
        <v>16649</v>
      </c>
      <c r="CV4" s="1">
        <v>116951</v>
      </c>
      <c r="CW4" s="1">
        <v>116951</v>
      </c>
      <c r="CX4" s="1">
        <v>107696.06</v>
      </c>
      <c r="CY4" s="1">
        <v>1</v>
      </c>
      <c r="CZ4" s="1">
        <v>0</v>
      </c>
      <c r="DA4" s="1">
        <v>90</v>
      </c>
      <c r="DB4" s="1">
        <v>60003760</v>
      </c>
      <c r="DC4" s="1">
        <v>32767</v>
      </c>
      <c r="DD4" s="1">
        <v>8</v>
      </c>
      <c r="DF4" s="1">
        <v>2413731764</v>
      </c>
      <c r="DG4" s="1">
        <v>17887</v>
      </c>
      <c r="DH4" s="1">
        <v>1</v>
      </c>
      <c r="DI4" s="1">
        <v>1</v>
      </c>
      <c r="DJ4" s="1">
        <v>1199.4100000000001</v>
      </c>
      <c r="DK4" s="1">
        <v>1</v>
      </c>
      <c r="DL4" s="1">
        <v>0</v>
      </c>
      <c r="DM4" s="1">
        <v>90</v>
      </c>
      <c r="DN4" s="1">
        <v>60003760</v>
      </c>
      <c r="DO4" s="1">
        <v>32767</v>
      </c>
      <c r="DP4" s="1">
        <v>0</v>
      </c>
      <c r="DR4" s="1">
        <v>2772174644</v>
      </c>
      <c r="DS4" s="1">
        <v>17888</v>
      </c>
      <c r="DT4" s="1">
        <v>8996</v>
      </c>
      <c r="DU4" s="1">
        <v>8996</v>
      </c>
      <c r="DV4" s="1">
        <v>415</v>
      </c>
      <c r="DW4" s="1">
        <v>1</v>
      </c>
      <c r="DX4" s="1">
        <v>0</v>
      </c>
      <c r="DY4" s="1">
        <v>90</v>
      </c>
      <c r="DZ4" s="1">
        <v>60001483</v>
      </c>
      <c r="EA4" s="1">
        <v>32767</v>
      </c>
      <c r="EB4" s="1">
        <v>10</v>
      </c>
      <c r="ED4" s="1">
        <v>2877820237</v>
      </c>
      <c r="EE4" s="1">
        <v>16273</v>
      </c>
      <c r="EF4" s="1">
        <v>3847</v>
      </c>
      <c r="EG4" s="1">
        <v>2847</v>
      </c>
      <c r="EH4" s="1">
        <v>361.1</v>
      </c>
      <c r="EI4" s="1">
        <v>1</v>
      </c>
      <c r="EJ4" s="1">
        <v>0</v>
      </c>
      <c r="EK4" s="1">
        <v>3</v>
      </c>
      <c r="EL4" s="1">
        <v>60003394</v>
      </c>
      <c r="EM4" s="1">
        <v>32767</v>
      </c>
      <c r="EN4" s="1">
        <v>7</v>
      </c>
      <c r="EP4" s="1">
        <v>2766193630</v>
      </c>
      <c r="EQ4" s="1">
        <v>17889</v>
      </c>
      <c r="ER4" s="1">
        <v>10000000</v>
      </c>
      <c r="ES4" s="1">
        <v>10000000</v>
      </c>
      <c r="ET4" s="1">
        <v>570</v>
      </c>
      <c r="EU4" s="1">
        <v>1</v>
      </c>
      <c r="EV4" s="1">
        <v>0</v>
      </c>
      <c r="EW4" s="1">
        <v>90</v>
      </c>
      <c r="EX4" s="1">
        <v>60003760</v>
      </c>
      <c r="EY4" s="1">
        <v>32767</v>
      </c>
      <c r="EZ4" s="1">
        <v>7</v>
      </c>
      <c r="FB4" s="1">
        <v>2871530731</v>
      </c>
      <c r="FC4" s="1">
        <v>30259</v>
      </c>
      <c r="FD4" s="1">
        <v>5</v>
      </c>
      <c r="FE4" s="1">
        <v>5</v>
      </c>
      <c r="FF4" s="1">
        <v>6807561.9000000004</v>
      </c>
      <c r="FG4" s="1">
        <v>1</v>
      </c>
      <c r="FH4" s="1">
        <v>0</v>
      </c>
      <c r="FI4" s="1">
        <v>90</v>
      </c>
      <c r="FJ4" s="1">
        <v>60003760</v>
      </c>
      <c r="FK4" s="1">
        <v>32767</v>
      </c>
      <c r="FL4" s="1">
        <v>0</v>
      </c>
      <c r="FN4" s="1">
        <v>2789498117</v>
      </c>
      <c r="FO4" s="1">
        <v>25617</v>
      </c>
      <c r="FP4" s="1">
        <v>1</v>
      </c>
      <c r="FQ4" s="1">
        <v>1</v>
      </c>
      <c r="FR4" s="1">
        <v>5471571.1200000001</v>
      </c>
      <c r="FS4" s="1">
        <v>1</v>
      </c>
      <c r="FT4" s="1">
        <v>0</v>
      </c>
      <c r="FU4" s="1">
        <v>90</v>
      </c>
      <c r="FV4" s="1">
        <v>60003760</v>
      </c>
      <c r="FW4" s="1">
        <v>32767</v>
      </c>
      <c r="FX4" s="1">
        <v>0</v>
      </c>
      <c r="FZ4" s="1">
        <v>2814120251</v>
      </c>
      <c r="GA4" s="1">
        <v>44</v>
      </c>
      <c r="GB4" s="1">
        <v>11090</v>
      </c>
      <c r="GC4" s="1">
        <v>11090</v>
      </c>
      <c r="GD4" s="1">
        <v>19988.98</v>
      </c>
      <c r="GE4" s="1">
        <v>1</v>
      </c>
      <c r="GF4" s="1">
        <v>0</v>
      </c>
      <c r="GG4" s="1">
        <v>90</v>
      </c>
      <c r="GH4" s="1">
        <v>60003760</v>
      </c>
      <c r="GI4" s="1">
        <v>32767</v>
      </c>
      <c r="GJ4" s="1">
        <v>4</v>
      </c>
      <c r="GL4" s="1">
        <v>2413956447</v>
      </c>
      <c r="GM4" s="1">
        <v>16681</v>
      </c>
      <c r="GN4" s="1">
        <v>300000</v>
      </c>
      <c r="GO4" s="1">
        <v>300000</v>
      </c>
      <c r="GP4" s="1">
        <v>6200</v>
      </c>
      <c r="GQ4" s="1">
        <v>1</v>
      </c>
      <c r="GR4" s="1">
        <v>0</v>
      </c>
      <c r="GS4" s="1">
        <v>30</v>
      </c>
      <c r="GT4" s="1">
        <v>60003760</v>
      </c>
      <c r="GU4" s="1">
        <v>32767</v>
      </c>
      <c r="GV4" s="1">
        <v>0</v>
      </c>
      <c r="GX4" s="1">
        <v>2819956815</v>
      </c>
      <c r="GY4" s="1">
        <v>16683</v>
      </c>
      <c r="GZ4" s="1">
        <v>100000</v>
      </c>
      <c r="HA4" s="1">
        <v>100000</v>
      </c>
      <c r="HB4" s="1">
        <v>17450</v>
      </c>
      <c r="HC4" s="1">
        <v>1</v>
      </c>
      <c r="HD4" s="1">
        <v>0</v>
      </c>
      <c r="HE4" s="1">
        <v>90</v>
      </c>
      <c r="HF4" s="1">
        <v>60003760</v>
      </c>
      <c r="HG4" s="1">
        <v>32767</v>
      </c>
      <c r="HH4" s="1">
        <v>0</v>
      </c>
      <c r="HJ4" s="1">
        <v>2826610606</v>
      </c>
      <c r="HK4" s="1">
        <v>11724</v>
      </c>
      <c r="HL4" s="1">
        <v>16</v>
      </c>
      <c r="HM4" s="1">
        <v>16</v>
      </c>
      <c r="HN4" s="1">
        <v>41998</v>
      </c>
      <c r="HO4" s="1">
        <v>1</v>
      </c>
      <c r="HP4" s="1">
        <v>0</v>
      </c>
      <c r="HQ4" s="1">
        <v>90</v>
      </c>
      <c r="HR4" s="1">
        <v>60003760</v>
      </c>
      <c r="HS4" s="1">
        <v>32767</v>
      </c>
      <c r="HT4" s="1">
        <v>0</v>
      </c>
      <c r="HV4" s="1">
        <v>2817961301</v>
      </c>
      <c r="HW4" s="1">
        <v>16274</v>
      </c>
      <c r="HX4" s="1">
        <v>1503888</v>
      </c>
      <c r="HY4" s="1">
        <v>1503888</v>
      </c>
      <c r="HZ4" s="1">
        <v>378</v>
      </c>
      <c r="IA4" s="1">
        <v>1</v>
      </c>
      <c r="IB4" s="1">
        <v>0</v>
      </c>
      <c r="IC4" s="1">
        <v>90</v>
      </c>
      <c r="ID4" s="1">
        <v>60003760</v>
      </c>
      <c r="IE4" s="1">
        <v>32767</v>
      </c>
      <c r="IF4" s="1">
        <v>2</v>
      </c>
      <c r="IH4" s="1">
        <v>2805774502</v>
      </c>
      <c r="II4" s="1">
        <v>10213</v>
      </c>
      <c r="IJ4" s="1">
        <v>26</v>
      </c>
      <c r="IK4" s="1">
        <v>18</v>
      </c>
      <c r="IL4" s="1">
        <v>130998002.56</v>
      </c>
      <c r="IM4" s="1">
        <v>1</v>
      </c>
      <c r="IN4" s="1">
        <v>0</v>
      </c>
      <c r="IO4" s="1">
        <v>90</v>
      </c>
      <c r="IP4" s="1">
        <v>60003760</v>
      </c>
      <c r="IQ4" s="1">
        <v>32767</v>
      </c>
      <c r="IR4" s="1">
        <v>0</v>
      </c>
      <c r="IT4" s="1">
        <v>2815229585</v>
      </c>
      <c r="IU4" s="1">
        <v>16679</v>
      </c>
      <c r="IV4" s="1">
        <v>3000000</v>
      </c>
      <c r="IW4" s="1">
        <v>3000000</v>
      </c>
      <c r="IX4" s="1">
        <v>1971.98</v>
      </c>
      <c r="IY4" s="1">
        <v>1</v>
      </c>
      <c r="IZ4" s="1">
        <v>0</v>
      </c>
      <c r="JA4" s="1">
        <v>90</v>
      </c>
      <c r="JB4" s="1">
        <v>60003760</v>
      </c>
      <c r="JC4" s="1">
        <v>32767</v>
      </c>
      <c r="JD4" s="1">
        <v>0</v>
      </c>
      <c r="JF4" s="1">
        <v>2854219288</v>
      </c>
      <c r="JG4" s="1">
        <v>16272</v>
      </c>
      <c r="JH4" s="1">
        <v>117550</v>
      </c>
      <c r="JI4" s="1">
        <v>33201</v>
      </c>
      <c r="JJ4" s="1">
        <v>80</v>
      </c>
      <c r="JK4" s="1">
        <v>1</v>
      </c>
      <c r="JL4" s="1">
        <v>0</v>
      </c>
      <c r="JM4" s="1">
        <v>90</v>
      </c>
      <c r="JN4" s="1">
        <v>60004234</v>
      </c>
      <c r="JO4" s="1">
        <v>32767</v>
      </c>
      <c r="JP4" s="1">
        <v>7</v>
      </c>
      <c r="JR4" s="1">
        <v>2856120997</v>
      </c>
      <c r="JS4" s="1">
        <v>10226</v>
      </c>
      <c r="JT4" s="1">
        <v>13</v>
      </c>
      <c r="JU4" s="1">
        <v>4</v>
      </c>
      <c r="JV4" s="1">
        <v>124994443.34</v>
      </c>
      <c r="JW4" s="1">
        <v>1</v>
      </c>
      <c r="JX4" s="1">
        <v>0</v>
      </c>
      <c r="JY4" s="1">
        <v>90</v>
      </c>
      <c r="JZ4" s="1">
        <v>60003760</v>
      </c>
      <c r="KA4" s="1">
        <v>32767</v>
      </c>
      <c r="KB4" s="1">
        <v>1</v>
      </c>
      <c r="KD4" s="1">
        <v>2866098006</v>
      </c>
      <c r="KE4" s="1">
        <v>25605</v>
      </c>
      <c r="KF4" s="1">
        <v>4</v>
      </c>
      <c r="KG4" s="1">
        <v>4</v>
      </c>
      <c r="KH4" s="1">
        <v>150000</v>
      </c>
      <c r="KI4" s="1">
        <v>1</v>
      </c>
      <c r="KJ4" s="1">
        <v>0</v>
      </c>
      <c r="KK4" s="1">
        <v>30</v>
      </c>
      <c r="KL4" s="1">
        <v>60004228</v>
      </c>
      <c r="KM4" s="1">
        <v>32767</v>
      </c>
      <c r="KN4" s="1">
        <v>8</v>
      </c>
      <c r="KP4" s="1">
        <v>2818173441</v>
      </c>
      <c r="KQ4" s="1">
        <v>25624</v>
      </c>
      <c r="KR4" s="1">
        <v>295</v>
      </c>
      <c r="KS4" s="1">
        <v>295</v>
      </c>
      <c r="KT4" s="1">
        <v>20044000</v>
      </c>
      <c r="KU4" s="1">
        <v>1</v>
      </c>
      <c r="KV4" s="1">
        <v>0</v>
      </c>
      <c r="KW4" s="1">
        <v>90</v>
      </c>
      <c r="KX4" s="1">
        <v>60003760</v>
      </c>
      <c r="KY4" s="1">
        <v>32767</v>
      </c>
      <c r="KZ4" s="1">
        <v>1</v>
      </c>
      <c r="LB4" s="1">
        <v>2752049048</v>
      </c>
      <c r="LC4" s="1">
        <v>9832</v>
      </c>
      <c r="LD4" s="1">
        <v>4570</v>
      </c>
      <c r="LE4" s="1">
        <v>4070</v>
      </c>
      <c r="LF4" s="1">
        <v>11000.25</v>
      </c>
      <c r="LG4" s="1">
        <v>1</v>
      </c>
      <c r="LH4" s="1">
        <v>0</v>
      </c>
      <c r="LI4" s="1">
        <v>90</v>
      </c>
      <c r="LJ4" s="1">
        <v>60003079</v>
      </c>
      <c r="LK4" s="1">
        <v>32767</v>
      </c>
      <c r="LL4" s="1">
        <v>4</v>
      </c>
      <c r="LN4" s="1">
        <v>2847509426</v>
      </c>
      <c r="LO4" s="1">
        <v>10209</v>
      </c>
      <c r="LP4" s="1">
        <v>1</v>
      </c>
      <c r="LQ4" s="1">
        <v>1</v>
      </c>
      <c r="LR4" s="1">
        <v>148999999.56</v>
      </c>
      <c r="LS4" s="1">
        <v>1</v>
      </c>
      <c r="LT4" s="1">
        <v>0</v>
      </c>
      <c r="LU4" s="1">
        <v>90</v>
      </c>
      <c r="LV4" s="1">
        <v>60003760</v>
      </c>
      <c r="LW4" s="1">
        <v>32767</v>
      </c>
      <c r="LX4" s="1">
        <v>1</v>
      </c>
      <c r="LZ4" s="1">
        <v>2850324686</v>
      </c>
      <c r="MA4" s="1">
        <v>10217</v>
      </c>
      <c r="MB4" s="1">
        <v>44</v>
      </c>
      <c r="MC4" s="1">
        <v>42</v>
      </c>
      <c r="MD4" s="1">
        <v>124444444.44</v>
      </c>
      <c r="ME4" s="1">
        <v>1</v>
      </c>
      <c r="MF4" s="1">
        <v>0</v>
      </c>
      <c r="MG4" s="1">
        <v>90</v>
      </c>
      <c r="MH4" s="1">
        <v>60003760</v>
      </c>
      <c r="MI4" s="1">
        <v>32767</v>
      </c>
      <c r="MJ4" s="1">
        <v>0</v>
      </c>
      <c r="ML4" s="1">
        <v>2757481439</v>
      </c>
      <c r="MM4" s="1">
        <v>25625</v>
      </c>
      <c r="MN4" s="1">
        <v>46</v>
      </c>
      <c r="MO4" s="1">
        <v>46</v>
      </c>
      <c r="MP4" s="1">
        <v>5938999.9299999997</v>
      </c>
      <c r="MQ4" s="1">
        <v>1</v>
      </c>
      <c r="MR4" s="1">
        <v>0</v>
      </c>
      <c r="MS4" s="1">
        <v>90</v>
      </c>
      <c r="MT4" s="1">
        <v>60003760</v>
      </c>
      <c r="MU4" s="1">
        <v>32767</v>
      </c>
      <c r="MV4" s="1">
        <v>0</v>
      </c>
      <c r="MX4" s="1">
        <v>2829382782</v>
      </c>
      <c r="MY4" s="1">
        <v>16672</v>
      </c>
      <c r="MZ4" s="1">
        <v>3276480</v>
      </c>
      <c r="NA4" s="1">
        <v>1276480</v>
      </c>
      <c r="NB4" s="1">
        <v>137.9</v>
      </c>
      <c r="NC4" s="1">
        <v>1</v>
      </c>
      <c r="ND4" s="1">
        <v>0</v>
      </c>
      <c r="NE4" s="1">
        <v>90</v>
      </c>
      <c r="NF4" s="1">
        <v>60003760</v>
      </c>
      <c r="NG4" s="1">
        <v>32767</v>
      </c>
      <c r="NH4" s="1">
        <v>0</v>
      </c>
      <c r="NJ4" s="1">
        <v>2818194299</v>
      </c>
      <c r="NK4" s="1">
        <v>16673</v>
      </c>
      <c r="NL4" s="1">
        <v>4500000</v>
      </c>
      <c r="NM4" s="1">
        <v>4500000</v>
      </c>
      <c r="NN4" s="1">
        <v>124.38</v>
      </c>
      <c r="NO4" s="1">
        <v>1</v>
      </c>
      <c r="NP4" s="1">
        <v>0</v>
      </c>
      <c r="NQ4" s="1">
        <v>90</v>
      </c>
      <c r="NR4" s="1">
        <v>60003760</v>
      </c>
      <c r="NS4" s="1">
        <v>32767</v>
      </c>
      <c r="NT4" s="1">
        <v>6</v>
      </c>
      <c r="NV4" s="1">
        <v>2826320094</v>
      </c>
      <c r="NW4" s="1">
        <v>3689</v>
      </c>
      <c r="NX4" s="1">
        <v>6265</v>
      </c>
      <c r="NY4" s="1">
        <v>6265</v>
      </c>
      <c r="NZ4" s="1">
        <v>12900</v>
      </c>
      <c r="OA4" s="1">
        <v>1</v>
      </c>
      <c r="OB4" s="1">
        <v>0</v>
      </c>
      <c r="OC4" s="1">
        <v>90</v>
      </c>
      <c r="OD4" s="1">
        <v>60003760</v>
      </c>
      <c r="OE4" s="1">
        <v>32767</v>
      </c>
      <c r="OF4" s="1">
        <v>0</v>
      </c>
      <c r="OH4" s="1">
        <v>2817924472</v>
      </c>
      <c r="OI4" s="1">
        <v>25598</v>
      </c>
      <c r="OJ4" s="1">
        <v>103</v>
      </c>
      <c r="OK4" s="1">
        <v>103</v>
      </c>
      <c r="OL4" s="1">
        <v>170000</v>
      </c>
      <c r="OM4" s="1">
        <v>1</v>
      </c>
      <c r="ON4" s="1">
        <v>0</v>
      </c>
      <c r="OO4" s="1">
        <v>90</v>
      </c>
      <c r="OP4" s="1">
        <v>60001480</v>
      </c>
      <c r="OQ4" s="1">
        <v>32767</v>
      </c>
      <c r="OR4" s="1">
        <v>3</v>
      </c>
      <c r="OT4" s="1">
        <v>2877752675</v>
      </c>
      <c r="OU4" s="1">
        <v>25600</v>
      </c>
      <c r="OV4" s="1">
        <v>16</v>
      </c>
      <c r="OW4" s="1">
        <v>16</v>
      </c>
      <c r="OX4" s="1">
        <v>28500</v>
      </c>
      <c r="OY4" s="1">
        <v>1</v>
      </c>
      <c r="OZ4" s="1">
        <v>0</v>
      </c>
      <c r="PA4" s="1">
        <v>30</v>
      </c>
      <c r="PB4" s="1">
        <v>60004462</v>
      </c>
      <c r="PC4" s="1">
        <v>32767</v>
      </c>
      <c r="PD4" s="1">
        <v>2</v>
      </c>
      <c r="PF4" s="1">
        <v>2817645030</v>
      </c>
      <c r="PG4" s="1">
        <v>16670</v>
      </c>
      <c r="PH4" s="1">
        <v>10480000</v>
      </c>
      <c r="PI4" s="1">
        <v>10480000</v>
      </c>
      <c r="PJ4" s="1">
        <v>180</v>
      </c>
      <c r="PK4" s="1">
        <v>1</v>
      </c>
      <c r="PL4" s="1">
        <v>0</v>
      </c>
      <c r="PM4" s="1">
        <v>90</v>
      </c>
      <c r="PN4" s="1">
        <v>60003760</v>
      </c>
      <c r="PO4" s="1">
        <v>32767</v>
      </c>
      <c r="PP4" s="1">
        <v>7</v>
      </c>
      <c r="PR4" s="1">
        <v>2857852835</v>
      </c>
      <c r="PS4" s="1">
        <v>10222</v>
      </c>
      <c r="PT4" s="1">
        <v>23</v>
      </c>
      <c r="PU4" s="1">
        <v>17</v>
      </c>
      <c r="PV4" s="1">
        <v>120799999.09999999</v>
      </c>
      <c r="PW4" s="1">
        <v>1</v>
      </c>
      <c r="PX4" s="1">
        <v>0</v>
      </c>
      <c r="PY4" s="1">
        <v>90</v>
      </c>
      <c r="PZ4" s="1">
        <v>60003760</v>
      </c>
      <c r="QA4" s="1">
        <v>32767</v>
      </c>
      <c r="QB4" s="1">
        <v>0</v>
      </c>
      <c r="QD4" s="1">
        <v>2828527411</v>
      </c>
      <c r="QE4" s="1">
        <v>9830</v>
      </c>
      <c r="QF4" s="1">
        <v>35092</v>
      </c>
      <c r="QG4" s="1">
        <v>4064</v>
      </c>
      <c r="QH4" s="1">
        <v>8239.8700000000008</v>
      </c>
      <c r="QI4" s="1">
        <v>1</v>
      </c>
      <c r="QJ4" s="1">
        <v>0</v>
      </c>
      <c r="QK4" s="1">
        <v>90</v>
      </c>
      <c r="QL4" s="1">
        <v>60003760</v>
      </c>
      <c r="QM4" s="1">
        <v>32767</v>
      </c>
      <c r="QN4" s="1">
        <v>0</v>
      </c>
      <c r="QP4" s="1">
        <v>2829332854</v>
      </c>
      <c r="QQ4" s="1">
        <v>16671</v>
      </c>
      <c r="QR4" s="1">
        <v>1000000</v>
      </c>
      <c r="QS4" s="1">
        <v>1000000</v>
      </c>
      <c r="QT4" s="1">
        <v>129.51</v>
      </c>
      <c r="QU4" s="1">
        <v>1</v>
      </c>
      <c r="QV4" s="1">
        <v>0</v>
      </c>
      <c r="QW4" s="1">
        <v>90</v>
      </c>
      <c r="QX4" s="1">
        <v>60003760</v>
      </c>
      <c r="QY4" s="1">
        <v>32767</v>
      </c>
      <c r="QZ4" s="1">
        <v>7</v>
      </c>
      <c r="RB4" s="1">
        <v>2768685018</v>
      </c>
      <c r="RC4" s="1">
        <v>16682</v>
      </c>
      <c r="RD4" s="1">
        <v>272250</v>
      </c>
      <c r="RE4" s="1">
        <v>234887</v>
      </c>
      <c r="RF4" s="1">
        <v>3571.97</v>
      </c>
      <c r="RG4" s="1">
        <v>1</v>
      </c>
      <c r="RH4" s="1">
        <v>0</v>
      </c>
      <c r="RI4" s="1">
        <v>90</v>
      </c>
      <c r="RJ4" s="1">
        <v>60003760</v>
      </c>
      <c r="RK4" s="1">
        <v>32767</v>
      </c>
      <c r="RL4" s="1">
        <v>8</v>
      </c>
      <c r="RN4" s="1">
        <v>2783140237</v>
      </c>
      <c r="RO4" s="1">
        <v>16678</v>
      </c>
      <c r="RP4" s="1">
        <v>1591400</v>
      </c>
      <c r="RQ4" s="1">
        <v>1591400</v>
      </c>
      <c r="RR4" s="1">
        <v>384.11</v>
      </c>
      <c r="RS4" s="1">
        <v>1</v>
      </c>
      <c r="RT4" s="1">
        <v>0</v>
      </c>
      <c r="RU4" s="1">
        <v>90</v>
      </c>
      <c r="RV4" s="1">
        <v>60003760</v>
      </c>
      <c r="RW4" s="1">
        <v>32767</v>
      </c>
      <c r="RX4" s="1">
        <v>6</v>
      </c>
      <c r="RZ4" s="1">
        <v>2755038829</v>
      </c>
      <c r="SA4" s="1">
        <v>30310</v>
      </c>
      <c r="SB4" s="1">
        <v>58</v>
      </c>
      <c r="SC4" s="1">
        <v>58</v>
      </c>
      <c r="SD4" s="1">
        <v>1700000</v>
      </c>
      <c r="SE4" s="1">
        <v>1</v>
      </c>
      <c r="SF4" s="1">
        <v>0</v>
      </c>
      <c r="SG4" s="1">
        <v>90</v>
      </c>
      <c r="SH4" s="1">
        <v>60003760</v>
      </c>
      <c r="SI4" s="1">
        <v>32767</v>
      </c>
      <c r="SJ4" s="1">
        <v>0</v>
      </c>
      <c r="SL4" s="1">
        <v>2771192589</v>
      </c>
      <c r="SM4" s="1">
        <v>30311</v>
      </c>
      <c r="SN4" s="1">
        <v>200</v>
      </c>
      <c r="SO4" s="1">
        <v>200</v>
      </c>
      <c r="SP4" s="1">
        <v>4800000</v>
      </c>
      <c r="SQ4" s="1">
        <v>1</v>
      </c>
      <c r="SR4" s="1">
        <v>0</v>
      </c>
      <c r="SS4" s="1">
        <v>90</v>
      </c>
      <c r="ST4" s="1">
        <v>60003760</v>
      </c>
      <c r="SU4" s="1">
        <v>32767</v>
      </c>
      <c r="SV4" s="1">
        <v>0</v>
      </c>
      <c r="SX4" s="1">
        <v>2745943108</v>
      </c>
      <c r="SY4" s="1">
        <v>25595</v>
      </c>
      <c r="SZ4" s="1">
        <v>2</v>
      </c>
      <c r="TA4" s="1">
        <v>2</v>
      </c>
      <c r="TB4" s="1">
        <v>112000</v>
      </c>
      <c r="TC4" s="1">
        <v>1</v>
      </c>
      <c r="TD4" s="1">
        <v>0</v>
      </c>
      <c r="TE4" s="1">
        <v>90</v>
      </c>
      <c r="TF4" s="1">
        <v>60001483</v>
      </c>
      <c r="TG4" s="1">
        <v>32767</v>
      </c>
      <c r="TH4" s="1">
        <v>8</v>
      </c>
      <c r="TJ4" s="1">
        <v>2756789329</v>
      </c>
      <c r="TK4" s="1">
        <v>25606</v>
      </c>
      <c r="TL4" s="1">
        <v>96</v>
      </c>
      <c r="TM4" s="1">
        <v>96</v>
      </c>
      <c r="TN4" s="1">
        <v>34938.949999999997</v>
      </c>
      <c r="TO4" s="1">
        <v>1</v>
      </c>
      <c r="TP4" s="1">
        <v>0</v>
      </c>
      <c r="TQ4" s="1">
        <v>90</v>
      </c>
      <c r="TR4" s="1">
        <v>60003760</v>
      </c>
      <c r="TS4" s="1">
        <v>32767</v>
      </c>
      <c r="TT4" s="1">
        <v>0</v>
      </c>
      <c r="TV4" s="1">
        <v>2809851464</v>
      </c>
      <c r="TW4" s="1">
        <v>25622</v>
      </c>
      <c r="TX4" s="1">
        <v>3</v>
      </c>
      <c r="TY4" s="1">
        <v>3</v>
      </c>
      <c r="TZ4" s="1">
        <v>16149999.84</v>
      </c>
      <c r="UA4" s="1">
        <v>1</v>
      </c>
      <c r="UB4" s="1">
        <v>0</v>
      </c>
      <c r="UC4" s="1">
        <v>30</v>
      </c>
      <c r="UD4" s="1">
        <v>60003760</v>
      </c>
      <c r="UE4" s="1">
        <v>32767</v>
      </c>
      <c r="UF4" s="1">
        <v>0</v>
      </c>
      <c r="UH4" s="1">
        <v>2824509824</v>
      </c>
      <c r="UI4" s="1">
        <v>16680</v>
      </c>
      <c r="UJ4" s="1">
        <v>1738000</v>
      </c>
      <c r="UK4" s="1">
        <v>1738000</v>
      </c>
      <c r="UL4" s="1">
        <v>850</v>
      </c>
      <c r="UM4" s="1">
        <v>1</v>
      </c>
      <c r="UN4" s="1">
        <v>0</v>
      </c>
      <c r="UO4" s="1">
        <v>90</v>
      </c>
      <c r="UP4" s="1">
        <v>60003760</v>
      </c>
      <c r="UQ4" s="1">
        <v>32767</v>
      </c>
      <c r="UR4" s="1">
        <v>6</v>
      </c>
      <c r="UT4" s="1">
        <v>2824735058</v>
      </c>
      <c r="UU4" s="1">
        <v>17317</v>
      </c>
      <c r="UV4" s="1">
        <v>246076</v>
      </c>
      <c r="UW4" s="1">
        <v>218542</v>
      </c>
      <c r="UX4" s="1">
        <v>30944.31</v>
      </c>
      <c r="UY4" s="1">
        <v>1</v>
      </c>
      <c r="UZ4" s="1">
        <v>0</v>
      </c>
      <c r="VA4" s="1">
        <v>90</v>
      </c>
      <c r="VB4" s="1">
        <v>60003760</v>
      </c>
      <c r="VC4" s="1">
        <v>32767</v>
      </c>
      <c r="VD4" s="1">
        <v>0</v>
      </c>
      <c r="VF4" s="1">
        <v>2863252012</v>
      </c>
      <c r="VG4" s="1">
        <v>11725</v>
      </c>
      <c r="VH4" s="1">
        <v>15000</v>
      </c>
      <c r="VI4" s="1">
        <v>15000</v>
      </c>
      <c r="VJ4" s="1">
        <v>55989</v>
      </c>
      <c r="VK4" s="1">
        <v>1</v>
      </c>
      <c r="VL4" s="1">
        <v>0</v>
      </c>
      <c r="VM4" s="1">
        <v>30</v>
      </c>
      <c r="VN4" s="1">
        <v>60003760</v>
      </c>
      <c r="VO4" s="1">
        <v>32767</v>
      </c>
      <c r="VP4" s="1">
        <v>6</v>
      </c>
    </row>
    <row r="5" spans="1:588" x14ac:dyDescent="0.25">
      <c r="B5" s="1">
        <v>2855589285</v>
      </c>
      <c r="C5" s="1">
        <v>34</v>
      </c>
      <c r="D5" s="1">
        <v>8531824</v>
      </c>
      <c r="E5" s="1">
        <v>8531824</v>
      </c>
      <c r="F5" s="1">
        <v>6</v>
      </c>
      <c r="G5" s="1">
        <v>1</v>
      </c>
      <c r="H5" s="1">
        <v>0</v>
      </c>
      <c r="I5" s="1">
        <v>90</v>
      </c>
      <c r="J5" s="1">
        <v>60003061</v>
      </c>
      <c r="K5" s="1">
        <v>32767</v>
      </c>
      <c r="L5" s="1">
        <v>3</v>
      </c>
      <c r="N5" s="1">
        <v>2875849591</v>
      </c>
      <c r="O5" s="1">
        <v>35</v>
      </c>
      <c r="P5" s="1">
        <v>1692354</v>
      </c>
      <c r="Q5" s="1">
        <v>1531754</v>
      </c>
      <c r="R5" s="1">
        <v>14.78</v>
      </c>
      <c r="S5" s="1">
        <v>1</v>
      </c>
      <c r="T5" s="1">
        <v>0</v>
      </c>
      <c r="U5" s="1">
        <v>90</v>
      </c>
      <c r="V5" s="1">
        <v>60001543</v>
      </c>
      <c r="W5" s="1">
        <v>32767</v>
      </c>
      <c r="X5" s="1">
        <v>2</v>
      </c>
      <c r="Z5" s="1">
        <v>2873068945</v>
      </c>
      <c r="AA5" s="1">
        <v>36</v>
      </c>
      <c r="AB5" s="1">
        <v>593331</v>
      </c>
      <c r="AC5" s="1">
        <v>516831</v>
      </c>
      <c r="AD5" s="16">
        <v>47.96</v>
      </c>
      <c r="AE5" s="1">
        <v>1</v>
      </c>
      <c r="AF5" s="1">
        <v>0</v>
      </c>
      <c r="AG5" s="1">
        <v>30</v>
      </c>
      <c r="AH5" s="1">
        <v>60005608</v>
      </c>
      <c r="AI5" s="1">
        <v>32767</v>
      </c>
      <c r="AJ5" s="1">
        <v>13</v>
      </c>
      <c r="AL5" s="1">
        <v>2872184990</v>
      </c>
      <c r="AM5" s="1">
        <v>37</v>
      </c>
      <c r="AN5" s="1">
        <v>84382</v>
      </c>
      <c r="AO5" s="1">
        <v>82116</v>
      </c>
      <c r="AP5" s="16">
        <v>200</v>
      </c>
      <c r="AQ5" s="1">
        <v>1</v>
      </c>
      <c r="AR5" s="1">
        <v>0</v>
      </c>
      <c r="AS5" s="1">
        <v>90</v>
      </c>
      <c r="AT5" s="1">
        <v>60005449</v>
      </c>
      <c r="AU5" s="1">
        <v>32767</v>
      </c>
      <c r="AV5" s="1">
        <v>8</v>
      </c>
      <c r="AX5" s="1">
        <v>2878222723</v>
      </c>
      <c r="AY5" s="1">
        <v>38</v>
      </c>
      <c r="AZ5" s="1">
        <v>34559</v>
      </c>
      <c r="BA5" s="1">
        <v>34559</v>
      </c>
      <c r="BB5" s="1">
        <v>820</v>
      </c>
      <c r="BC5" s="1">
        <v>1</v>
      </c>
      <c r="BD5" s="1">
        <v>0</v>
      </c>
      <c r="BE5" s="1">
        <v>90</v>
      </c>
      <c r="BF5" s="1">
        <v>60003730</v>
      </c>
      <c r="BG5" s="1">
        <v>32767</v>
      </c>
      <c r="BH5" s="1">
        <v>7</v>
      </c>
      <c r="BJ5" s="1">
        <v>2826581830</v>
      </c>
      <c r="BK5" s="1">
        <v>39</v>
      </c>
      <c r="BL5" s="1">
        <v>930000</v>
      </c>
      <c r="BM5" s="1">
        <v>930000</v>
      </c>
      <c r="BN5" s="1">
        <v>899.93</v>
      </c>
      <c r="BO5" s="1">
        <v>1</v>
      </c>
      <c r="BP5" s="1">
        <v>0</v>
      </c>
      <c r="BQ5" s="1">
        <v>90</v>
      </c>
      <c r="BR5" s="1">
        <v>60003760</v>
      </c>
      <c r="BS5" s="1">
        <v>32767</v>
      </c>
      <c r="BT5" s="1">
        <v>5</v>
      </c>
      <c r="BV5" s="1">
        <v>2413264153</v>
      </c>
      <c r="BW5" s="1">
        <v>40</v>
      </c>
      <c r="BX5" s="1">
        <v>638977</v>
      </c>
      <c r="BY5" s="1">
        <v>638977</v>
      </c>
      <c r="BZ5" s="1">
        <v>2700</v>
      </c>
      <c r="CA5" s="1">
        <v>1</v>
      </c>
      <c r="CB5" s="1">
        <v>0</v>
      </c>
      <c r="CC5" s="1">
        <v>30</v>
      </c>
      <c r="CD5" s="1">
        <v>60003760</v>
      </c>
      <c r="CE5" s="1">
        <v>32767</v>
      </c>
      <c r="CF5" s="1">
        <v>13</v>
      </c>
      <c r="CH5" s="1">
        <v>2413854309</v>
      </c>
      <c r="CI5" s="1">
        <v>29668</v>
      </c>
      <c r="CJ5" s="1">
        <v>1</v>
      </c>
      <c r="CK5" s="1">
        <v>1</v>
      </c>
      <c r="CL5" s="1">
        <v>520000000</v>
      </c>
      <c r="CM5" s="1">
        <v>1</v>
      </c>
      <c r="CN5" s="1">
        <v>0</v>
      </c>
      <c r="CO5" s="1">
        <v>1</v>
      </c>
      <c r="CP5" s="1">
        <v>60003760</v>
      </c>
      <c r="CQ5" s="1">
        <v>32767</v>
      </c>
      <c r="CR5" s="1">
        <v>0</v>
      </c>
      <c r="CT5" s="1">
        <v>2414353158</v>
      </c>
      <c r="CU5" s="1">
        <v>16649</v>
      </c>
      <c r="CV5" s="1">
        <v>50000</v>
      </c>
      <c r="CW5" s="1">
        <v>50000</v>
      </c>
      <c r="CX5" s="1">
        <v>107796.09</v>
      </c>
      <c r="CY5" s="1">
        <v>1</v>
      </c>
      <c r="CZ5" s="1">
        <v>0</v>
      </c>
      <c r="DA5" s="1">
        <v>90</v>
      </c>
      <c r="DB5" s="1">
        <v>60003760</v>
      </c>
      <c r="DC5" s="1">
        <v>32767</v>
      </c>
      <c r="DD5" s="1">
        <v>8</v>
      </c>
      <c r="DF5" s="1">
        <v>2413428567</v>
      </c>
      <c r="DG5" s="1">
        <v>17887</v>
      </c>
      <c r="DH5" s="1">
        <v>677920</v>
      </c>
      <c r="DI5" s="1">
        <v>85073</v>
      </c>
      <c r="DJ5" s="1">
        <v>948.19</v>
      </c>
      <c r="DK5" s="1">
        <v>1</v>
      </c>
      <c r="DL5" s="1">
        <v>0</v>
      </c>
      <c r="DM5" s="1">
        <v>90</v>
      </c>
      <c r="DN5" s="1">
        <v>60003760</v>
      </c>
      <c r="DO5" s="1">
        <v>32767</v>
      </c>
      <c r="DP5" s="1">
        <v>0</v>
      </c>
      <c r="DR5" s="1">
        <v>2772178333</v>
      </c>
      <c r="DS5" s="1">
        <v>17888</v>
      </c>
      <c r="DT5" s="1">
        <v>748</v>
      </c>
      <c r="DU5" s="1">
        <v>748</v>
      </c>
      <c r="DV5" s="1">
        <v>415</v>
      </c>
      <c r="DW5" s="1">
        <v>1</v>
      </c>
      <c r="DX5" s="1">
        <v>0</v>
      </c>
      <c r="DY5" s="1">
        <v>90</v>
      </c>
      <c r="DZ5" s="1">
        <v>60001486</v>
      </c>
      <c r="EA5" s="1">
        <v>32767</v>
      </c>
      <c r="EB5" s="1">
        <v>10</v>
      </c>
      <c r="ED5" s="1">
        <v>2825948742</v>
      </c>
      <c r="EE5" s="1">
        <v>16273</v>
      </c>
      <c r="EF5" s="1">
        <v>26725</v>
      </c>
      <c r="EG5" s="1">
        <v>26725</v>
      </c>
      <c r="EH5" s="1">
        <v>480</v>
      </c>
      <c r="EI5" s="1">
        <v>1</v>
      </c>
      <c r="EJ5" s="1">
        <v>0</v>
      </c>
      <c r="EK5" s="1">
        <v>90</v>
      </c>
      <c r="EL5" s="1">
        <v>60003760</v>
      </c>
      <c r="EM5" s="1">
        <v>32767</v>
      </c>
      <c r="EN5" s="1">
        <v>6</v>
      </c>
      <c r="EP5" s="1">
        <v>2773164253</v>
      </c>
      <c r="EQ5" s="1">
        <v>17889</v>
      </c>
      <c r="ER5" s="1">
        <v>2332126</v>
      </c>
      <c r="ES5" s="1">
        <v>1932126</v>
      </c>
      <c r="ET5" s="1">
        <v>408.78</v>
      </c>
      <c r="EU5" s="1">
        <v>1</v>
      </c>
      <c r="EV5" s="1">
        <v>0</v>
      </c>
      <c r="EW5" s="1">
        <v>90</v>
      </c>
      <c r="EX5" s="1">
        <v>60003760</v>
      </c>
      <c r="EY5" s="1">
        <v>32767</v>
      </c>
      <c r="EZ5" s="1">
        <v>7</v>
      </c>
      <c r="FB5" s="1">
        <v>2871498109</v>
      </c>
      <c r="FC5" s="1">
        <v>30259</v>
      </c>
      <c r="FD5" s="1">
        <v>301</v>
      </c>
      <c r="FE5" s="1">
        <v>301</v>
      </c>
      <c r="FF5" s="1">
        <v>6987499.9900000002</v>
      </c>
      <c r="FG5" s="1">
        <v>1</v>
      </c>
      <c r="FH5" s="1">
        <v>0</v>
      </c>
      <c r="FI5" s="1">
        <v>30</v>
      </c>
      <c r="FJ5" s="1">
        <v>60003760</v>
      </c>
      <c r="FK5" s="1">
        <v>32767</v>
      </c>
      <c r="FL5" s="1">
        <v>0</v>
      </c>
      <c r="FN5" s="1">
        <v>2786311382</v>
      </c>
      <c r="FO5" s="1">
        <v>25617</v>
      </c>
      <c r="FP5" s="1">
        <v>11</v>
      </c>
      <c r="FQ5" s="1">
        <v>11</v>
      </c>
      <c r="FR5" s="1">
        <v>5798831.9900000002</v>
      </c>
      <c r="FS5" s="1">
        <v>1</v>
      </c>
      <c r="FT5" s="1">
        <v>0</v>
      </c>
      <c r="FU5" s="1">
        <v>90</v>
      </c>
      <c r="FV5" s="1">
        <v>60003760</v>
      </c>
      <c r="FW5" s="1">
        <v>32767</v>
      </c>
      <c r="FX5" s="1">
        <v>0</v>
      </c>
      <c r="FZ5" s="1">
        <v>2804496830</v>
      </c>
      <c r="GA5" s="1">
        <v>44</v>
      </c>
      <c r="GB5" s="1">
        <v>111351</v>
      </c>
      <c r="GC5" s="1">
        <v>111351</v>
      </c>
      <c r="GD5" s="1">
        <v>14633</v>
      </c>
      <c r="GE5" s="1">
        <v>1</v>
      </c>
      <c r="GF5" s="1">
        <v>0</v>
      </c>
      <c r="GG5" s="1">
        <v>90</v>
      </c>
      <c r="GH5" s="1">
        <v>60003760</v>
      </c>
      <c r="GI5" s="1">
        <v>32767</v>
      </c>
      <c r="GJ5" s="1">
        <v>4</v>
      </c>
      <c r="GL5" s="1">
        <v>2413969245</v>
      </c>
      <c r="GM5" s="1">
        <v>16681</v>
      </c>
      <c r="GN5" s="1">
        <v>11034</v>
      </c>
      <c r="GO5" s="1">
        <v>11034</v>
      </c>
      <c r="GP5" s="1">
        <v>6500</v>
      </c>
      <c r="GQ5" s="1">
        <v>1</v>
      </c>
      <c r="GR5" s="1">
        <v>0</v>
      </c>
      <c r="GS5" s="1">
        <v>90</v>
      </c>
      <c r="GT5" s="1">
        <v>60003760</v>
      </c>
      <c r="GU5" s="1">
        <v>32767</v>
      </c>
      <c r="GV5" s="1">
        <v>0</v>
      </c>
      <c r="GX5" s="1">
        <v>2837964087</v>
      </c>
      <c r="GY5" s="1">
        <v>16683</v>
      </c>
      <c r="GZ5" s="1">
        <v>492000</v>
      </c>
      <c r="HA5" s="1">
        <v>214195</v>
      </c>
      <c r="HB5" s="1">
        <v>9999.99</v>
      </c>
      <c r="HC5" s="1">
        <v>1</v>
      </c>
      <c r="HD5" s="1">
        <v>0</v>
      </c>
      <c r="HE5" s="1">
        <v>90</v>
      </c>
      <c r="HF5" s="1">
        <v>60003760</v>
      </c>
      <c r="HG5" s="1">
        <v>32767</v>
      </c>
      <c r="HH5" s="1">
        <v>0</v>
      </c>
      <c r="HJ5" s="1">
        <v>2819835778</v>
      </c>
      <c r="HK5" s="1">
        <v>11724</v>
      </c>
      <c r="HL5" s="1">
        <v>200000</v>
      </c>
      <c r="HM5" s="1">
        <v>200000</v>
      </c>
      <c r="HN5" s="1">
        <v>41395</v>
      </c>
      <c r="HO5" s="1">
        <v>1</v>
      </c>
      <c r="HP5" s="1">
        <v>0</v>
      </c>
      <c r="HQ5" s="1">
        <v>90</v>
      </c>
      <c r="HR5" s="1">
        <v>60003760</v>
      </c>
      <c r="HS5" s="1">
        <v>32767</v>
      </c>
      <c r="HT5" s="1">
        <v>0</v>
      </c>
      <c r="HV5" s="1">
        <v>2817961369</v>
      </c>
      <c r="HW5" s="1">
        <v>16274</v>
      </c>
      <c r="HX5" s="1">
        <v>1539012</v>
      </c>
      <c r="HY5" s="1">
        <v>1539012</v>
      </c>
      <c r="HZ5" s="1">
        <v>378</v>
      </c>
      <c r="IA5" s="1">
        <v>1</v>
      </c>
      <c r="IB5" s="1">
        <v>0</v>
      </c>
      <c r="IC5" s="1">
        <v>90</v>
      </c>
      <c r="ID5" s="1">
        <v>60003760</v>
      </c>
      <c r="IE5" s="1">
        <v>32767</v>
      </c>
      <c r="IF5" s="1">
        <v>2</v>
      </c>
      <c r="IH5" s="1">
        <v>2850325866</v>
      </c>
      <c r="II5" s="1">
        <v>10213</v>
      </c>
      <c r="IJ5" s="1">
        <v>44</v>
      </c>
      <c r="IK5" s="1">
        <v>44</v>
      </c>
      <c r="IL5" s="1">
        <v>124644444.44</v>
      </c>
      <c r="IM5" s="1">
        <v>1</v>
      </c>
      <c r="IN5" s="1">
        <v>0</v>
      </c>
      <c r="IO5" s="1">
        <v>90</v>
      </c>
      <c r="IP5" s="1">
        <v>60003760</v>
      </c>
      <c r="IQ5" s="1">
        <v>32767</v>
      </c>
      <c r="IR5" s="1">
        <v>0</v>
      </c>
      <c r="IT5" s="1">
        <v>2815249026</v>
      </c>
      <c r="IU5" s="1">
        <v>16679</v>
      </c>
      <c r="IV5" s="1">
        <v>3000000</v>
      </c>
      <c r="IW5" s="1">
        <v>3000000</v>
      </c>
      <c r="IX5" s="1">
        <v>2100</v>
      </c>
      <c r="IY5" s="1">
        <v>1</v>
      </c>
      <c r="IZ5" s="1">
        <v>0</v>
      </c>
      <c r="JA5" s="1">
        <v>90</v>
      </c>
      <c r="JB5" s="1">
        <v>60003760</v>
      </c>
      <c r="JC5" s="1">
        <v>32767</v>
      </c>
      <c r="JD5" s="1">
        <v>0</v>
      </c>
      <c r="JF5" s="1">
        <v>2877821871</v>
      </c>
      <c r="JG5" s="1">
        <v>16272</v>
      </c>
      <c r="JH5" s="1">
        <v>20994</v>
      </c>
      <c r="JI5" s="1">
        <v>20994</v>
      </c>
      <c r="JJ5" s="1">
        <v>75.569999999999993</v>
      </c>
      <c r="JK5" s="1">
        <v>1</v>
      </c>
      <c r="JL5" s="1">
        <v>0</v>
      </c>
      <c r="JM5" s="1">
        <v>3</v>
      </c>
      <c r="JN5" s="1">
        <v>60003394</v>
      </c>
      <c r="JO5" s="1">
        <v>32767</v>
      </c>
      <c r="JP5" s="1">
        <v>7</v>
      </c>
      <c r="JR5" s="1">
        <v>2854255507</v>
      </c>
      <c r="JS5" s="1">
        <v>10226</v>
      </c>
      <c r="JT5" s="1">
        <v>1</v>
      </c>
      <c r="JU5" s="1">
        <v>1</v>
      </c>
      <c r="JV5" s="1">
        <v>154999999.56</v>
      </c>
      <c r="JW5" s="1">
        <v>1</v>
      </c>
      <c r="JX5" s="1">
        <v>0</v>
      </c>
      <c r="JY5" s="1">
        <v>90</v>
      </c>
      <c r="JZ5" s="1">
        <v>60003760</v>
      </c>
      <c r="KA5" s="1">
        <v>32767</v>
      </c>
      <c r="KB5" s="1">
        <v>1</v>
      </c>
      <c r="KD5" s="1">
        <v>2876134315</v>
      </c>
      <c r="KE5" s="1">
        <v>25605</v>
      </c>
      <c r="KF5" s="1">
        <v>1</v>
      </c>
      <c r="KG5" s="1">
        <v>1</v>
      </c>
      <c r="KH5" s="1">
        <v>107000</v>
      </c>
      <c r="KI5" s="1">
        <v>1</v>
      </c>
      <c r="KJ5" s="1">
        <v>0</v>
      </c>
      <c r="KK5" s="1">
        <v>14</v>
      </c>
      <c r="KL5" s="1">
        <v>60004243</v>
      </c>
      <c r="KM5" s="1">
        <v>32767</v>
      </c>
      <c r="KN5" s="1">
        <v>7</v>
      </c>
      <c r="KP5" s="1">
        <v>2818174253</v>
      </c>
      <c r="KQ5" s="1">
        <v>25624</v>
      </c>
      <c r="KR5" s="1">
        <v>130</v>
      </c>
      <c r="KS5" s="1">
        <v>124</v>
      </c>
      <c r="KT5" s="1">
        <v>19999999</v>
      </c>
      <c r="KU5" s="1">
        <v>1</v>
      </c>
      <c r="KV5" s="1">
        <v>0</v>
      </c>
      <c r="KW5" s="1">
        <v>90</v>
      </c>
      <c r="KX5" s="1">
        <v>60003760</v>
      </c>
      <c r="KY5" s="1">
        <v>32767</v>
      </c>
      <c r="KZ5" s="1">
        <v>1</v>
      </c>
      <c r="LB5" s="1">
        <v>2818338685</v>
      </c>
      <c r="LC5" s="1">
        <v>9832</v>
      </c>
      <c r="LD5" s="1">
        <v>80113</v>
      </c>
      <c r="LE5" s="1">
        <v>80113</v>
      </c>
      <c r="LF5" s="1">
        <v>10000</v>
      </c>
      <c r="LG5" s="1">
        <v>1</v>
      </c>
      <c r="LH5" s="1">
        <v>0</v>
      </c>
      <c r="LI5" s="1">
        <v>90</v>
      </c>
      <c r="LJ5" s="1">
        <v>60003760</v>
      </c>
      <c r="LK5" s="1">
        <v>32767</v>
      </c>
      <c r="LL5" s="1">
        <v>0</v>
      </c>
      <c r="LN5" s="1">
        <v>2856229362</v>
      </c>
      <c r="LO5" s="1">
        <v>10209</v>
      </c>
      <c r="LP5" s="1">
        <v>2</v>
      </c>
      <c r="LQ5" s="1">
        <v>1</v>
      </c>
      <c r="LR5" s="1">
        <v>127900000</v>
      </c>
      <c r="LS5" s="1">
        <v>1</v>
      </c>
      <c r="LT5" s="1">
        <v>0</v>
      </c>
      <c r="LU5" s="1">
        <v>90</v>
      </c>
      <c r="LV5" s="1">
        <v>60003760</v>
      </c>
      <c r="LW5" s="1">
        <v>32767</v>
      </c>
      <c r="LX5" s="1">
        <v>1</v>
      </c>
      <c r="LZ5" s="1">
        <v>2857670572</v>
      </c>
      <c r="MA5" s="1">
        <v>10217</v>
      </c>
      <c r="MB5" s="1">
        <v>21</v>
      </c>
      <c r="MC5" s="1">
        <v>12</v>
      </c>
      <c r="MD5" s="1">
        <v>130812999.3</v>
      </c>
      <c r="ME5" s="1">
        <v>1</v>
      </c>
      <c r="MF5" s="1">
        <v>0</v>
      </c>
      <c r="MG5" s="1">
        <v>90</v>
      </c>
      <c r="MH5" s="1">
        <v>60003760</v>
      </c>
      <c r="MI5" s="1">
        <v>32767</v>
      </c>
      <c r="MJ5" s="1">
        <v>0</v>
      </c>
      <c r="ML5" s="1">
        <v>2762774453</v>
      </c>
      <c r="MM5" s="1">
        <v>25625</v>
      </c>
      <c r="MN5" s="1">
        <v>297</v>
      </c>
      <c r="MO5" s="1">
        <v>77</v>
      </c>
      <c r="MP5" s="1">
        <v>5498999</v>
      </c>
      <c r="MQ5" s="1">
        <v>1</v>
      </c>
      <c r="MR5" s="1">
        <v>0</v>
      </c>
      <c r="MS5" s="1">
        <v>90</v>
      </c>
      <c r="MT5" s="1">
        <v>60003760</v>
      </c>
      <c r="MU5" s="1">
        <v>32767</v>
      </c>
      <c r="MV5" s="1">
        <v>0</v>
      </c>
      <c r="MX5" s="1">
        <v>2817553440</v>
      </c>
      <c r="MY5" s="1">
        <v>16672</v>
      </c>
      <c r="MZ5" s="1">
        <v>467020</v>
      </c>
      <c r="NA5" s="1">
        <v>467020</v>
      </c>
      <c r="NB5" s="1">
        <v>168.97</v>
      </c>
      <c r="NC5" s="1">
        <v>1</v>
      </c>
      <c r="ND5" s="1">
        <v>0</v>
      </c>
      <c r="NE5" s="1">
        <v>90</v>
      </c>
      <c r="NF5" s="1">
        <v>60003760</v>
      </c>
      <c r="NG5" s="1">
        <v>32767</v>
      </c>
      <c r="NH5" s="1">
        <v>0</v>
      </c>
      <c r="NJ5" s="1">
        <v>2814298496</v>
      </c>
      <c r="NK5" s="1">
        <v>16673</v>
      </c>
      <c r="NL5" s="1">
        <v>5450000</v>
      </c>
      <c r="NM5" s="1">
        <v>616312</v>
      </c>
      <c r="NN5" s="1">
        <v>123.88</v>
      </c>
      <c r="NO5" s="1">
        <v>1</v>
      </c>
      <c r="NP5" s="1">
        <v>0</v>
      </c>
      <c r="NQ5" s="1">
        <v>90</v>
      </c>
      <c r="NR5" s="1">
        <v>60003760</v>
      </c>
      <c r="NS5" s="1">
        <v>32767</v>
      </c>
      <c r="NT5" s="1">
        <v>6</v>
      </c>
      <c r="NV5" s="1">
        <v>2826914670</v>
      </c>
      <c r="NW5" s="1">
        <v>3689</v>
      </c>
      <c r="NX5" s="1">
        <v>337024</v>
      </c>
      <c r="NY5" s="1">
        <v>320854</v>
      </c>
      <c r="NZ5" s="1">
        <v>12894.98</v>
      </c>
      <c r="OA5" s="1">
        <v>1</v>
      </c>
      <c r="OB5" s="1">
        <v>0</v>
      </c>
      <c r="OC5" s="1">
        <v>90</v>
      </c>
      <c r="OD5" s="1">
        <v>60003760</v>
      </c>
      <c r="OE5" s="1">
        <v>32767</v>
      </c>
      <c r="OF5" s="1">
        <v>0</v>
      </c>
      <c r="OH5" s="1">
        <v>2808747217</v>
      </c>
      <c r="OI5" s="1">
        <v>25598</v>
      </c>
      <c r="OJ5" s="1">
        <v>59</v>
      </c>
      <c r="OK5" s="1">
        <v>59</v>
      </c>
      <c r="OL5" s="1">
        <v>170000</v>
      </c>
      <c r="OM5" s="1">
        <v>1</v>
      </c>
      <c r="ON5" s="1">
        <v>0</v>
      </c>
      <c r="OO5" s="1">
        <v>90</v>
      </c>
      <c r="OP5" s="1">
        <v>60001480</v>
      </c>
      <c r="OQ5" s="1">
        <v>32767</v>
      </c>
      <c r="OR5" s="1">
        <v>3</v>
      </c>
      <c r="OT5" s="1">
        <v>2835030617</v>
      </c>
      <c r="OU5" s="1">
        <v>25600</v>
      </c>
      <c r="OV5" s="1">
        <v>52</v>
      </c>
      <c r="OW5" s="1">
        <v>52</v>
      </c>
      <c r="OX5" s="1">
        <v>31000</v>
      </c>
      <c r="OY5" s="1">
        <v>1</v>
      </c>
      <c r="OZ5" s="1">
        <v>0</v>
      </c>
      <c r="PA5" s="1">
        <v>90</v>
      </c>
      <c r="PB5" s="1">
        <v>60003244</v>
      </c>
      <c r="PC5" s="1">
        <v>32767</v>
      </c>
      <c r="PD5" s="1">
        <v>5</v>
      </c>
      <c r="PF5" s="1">
        <v>2816146330</v>
      </c>
      <c r="PG5" s="1">
        <v>16670</v>
      </c>
      <c r="PH5" s="1">
        <v>35325000</v>
      </c>
      <c r="PI5" s="1">
        <v>35325000</v>
      </c>
      <c r="PJ5" s="1">
        <v>135</v>
      </c>
      <c r="PK5" s="1">
        <v>1</v>
      </c>
      <c r="PL5" s="1">
        <v>0</v>
      </c>
      <c r="PM5" s="1">
        <v>90</v>
      </c>
      <c r="PN5" s="1">
        <v>60003760</v>
      </c>
      <c r="PO5" s="1">
        <v>32767</v>
      </c>
      <c r="PP5" s="1">
        <v>7</v>
      </c>
      <c r="PR5" s="1">
        <v>2858074544</v>
      </c>
      <c r="PS5" s="1">
        <v>10222</v>
      </c>
      <c r="PT5" s="1">
        <v>3</v>
      </c>
      <c r="PU5" s="1">
        <v>2</v>
      </c>
      <c r="PV5" s="1">
        <v>123996998</v>
      </c>
      <c r="PW5" s="1">
        <v>1</v>
      </c>
      <c r="PX5" s="1">
        <v>0</v>
      </c>
      <c r="PY5" s="1">
        <v>90</v>
      </c>
      <c r="PZ5" s="1">
        <v>60003760</v>
      </c>
      <c r="QA5" s="1">
        <v>32767</v>
      </c>
      <c r="QB5" s="1">
        <v>0</v>
      </c>
      <c r="QD5" s="1">
        <v>2829283538</v>
      </c>
      <c r="QE5" s="1">
        <v>9830</v>
      </c>
      <c r="QF5" s="1">
        <v>50000</v>
      </c>
      <c r="QG5" s="1">
        <v>25816</v>
      </c>
      <c r="QH5" s="1">
        <v>8148.96</v>
      </c>
      <c r="QI5" s="1">
        <v>1</v>
      </c>
      <c r="QJ5" s="1">
        <v>0</v>
      </c>
      <c r="QK5" s="1">
        <v>90</v>
      </c>
      <c r="QL5" s="1">
        <v>60003760</v>
      </c>
      <c r="QM5" s="1">
        <v>32767</v>
      </c>
      <c r="QN5" s="1">
        <v>0</v>
      </c>
      <c r="QP5" s="1">
        <v>2767115933</v>
      </c>
      <c r="QQ5" s="1">
        <v>16671</v>
      </c>
      <c r="QR5" s="1">
        <v>10000000</v>
      </c>
      <c r="QS5" s="1">
        <v>10000000</v>
      </c>
      <c r="QT5" s="1">
        <v>135.97999999999999</v>
      </c>
      <c r="QU5" s="1">
        <v>1</v>
      </c>
      <c r="QV5" s="1">
        <v>0</v>
      </c>
      <c r="QW5" s="1">
        <v>90</v>
      </c>
      <c r="QX5" s="1">
        <v>60003760</v>
      </c>
      <c r="QY5" s="1">
        <v>32767</v>
      </c>
      <c r="QZ5" s="1">
        <v>7</v>
      </c>
      <c r="RB5" s="1">
        <v>2772385261</v>
      </c>
      <c r="RC5" s="1">
        <v>16682</v>
      </c>
      <c r="RD5" s="1">
        <v>62522</v>
      </c>
      <c r="RE5" s="1">
        <v>37682</v>
      </c>
      <c r="RF5" s="1">
        <v>3566.98</v>
      </c>
      <c r="RG5" s="1">
        <v>1</v>
      </c>
      <c r="RH5" s="1">
        <v>0</v>
      </c>
      <c r="RI5" s="1">
        <v>90</v>
      </c>
      <c r="RJ5" s="1">
        <v>60003760</v>
      </c>
      <c r="RK5" s="1">
        <v>32767</v>
      </c>
      <c r="RL5" s="1">
        <v>8</v>
      </c>
      <c r="RN5" s="1">
        <v>2831374693</v>
      </c>
      <c r="RO5" s="1">
        <v>16678</v>
      </c>
      <c r="RP5" s="1">
        <v>2589600</v>
      </c>
      <c r="RQ5" s="1">
        <v>2589600</v>
      </c>
      <c r="RR5" s="1">
        <v>384.11</v>
      </c>
      <c r="RS5" s="1">
        <v>1</v>
      </c>
      <c r="RT5" s="1">
        <v>0</v>
      </c>
      <c r="RU5" s="1">
        <v>90</v>
      </c>
      <c r="RV5" s="1">
        <v>60003760</v>
      </c>
      <c r="RW5" s="1">
        <v>32767</v>
      </c>
      <c r="RX5" s="1">
        <v>6</v>
      </c>
      <c r="RZ5" s="1">
        <v>2769747207</v>
      </c>
      <c r="SA5" s="1">
        <v>30310</v>
      </c>
      <c r="SB5" s="1">
        <v>682</v>
      </c>
      <c r="SC5" s="1">
        <v>376</v>
      </c>
      <c r="SD5" s="1">
        <v>1339997.3700000001</v>
      </c>
      <c r="SE5" s="1">
        <v>1</v>
      </c>
      <c r="SF5" s="1">
        <v>0</v>
      </c>
      <c r="SG5" s="1">
        <v>30</v>
      </c>
      <c r="SH5" s="1">
        <v>60003760</v>
      </c>
      <c r="SI5" s="1">
        <v>32767</v>
      </c>
      <c r="SJ5" s="1">
        <v>0</v>
      </c>
      <c r="SL5" s="1">
        <v>2778369477</v>
      </c>
      <c r="SM5" s="1">
        <v>30311</v>
      </c>
      <c r="SN5" s="1">
        <v>776</v>
      </c>
      <c r="SO5" s="1">
        <v>21</v>
      </c>
      <c r="SP5" s="1">
        <v>4199999</v>
      </c>
      <c r="SQ5" s="1">
        <v>1</v>
      </c>
      <c r="SR5" s="1">
        <v>0</v>
      </c>
      <c r="SS5" s="1">
        <v>90</v>
      </c>
      <c r="ST5" s="1">
        <v>60003760</v>
      </c>
      <c r="SU5" s="1">
        <v>32767</v>
      </c>
      <c r="SV5" s="1">
        <v>0</v>
      </c>
      <c r="SX5" s="1">
        <v>2788430251</v>
      </c>
      <c r="SY5" s="1">
        <v>25595</v>
      </c>
      <c r="SZ5" s="1">
        <v>5</v>
      </c>
      <c r="TA5" s="1">
        <v>5</v>
      </c>
      <c r="TB5" s="1">
        <v>99000</v>
      </c>
      <c r="TC5" s="1">
        <v>1</v>
      </c>
      <c r="TD5" s="1">
        <v>0</v>
      </c>
      <c r="TE5" s="1">
        <v>90</v>
      </c>
      <c r="TF5" s="1">
        <v>60004228</v>
      </c>
      <c r="TG5" s="1">
        <v>32767</v>
      </c>
      <c r="TH5" s="1">
        <v>8</v>
      </c>
      <c r="TJ5" s="1">
        <v>2757969731</v>
      </c>
      <c r="TK5" s="1">
        <v>25606</v>
      </c>
      <c r="TL5" s="1">
        <v>182</v>
      </c>
      <c r="TM5" s="1">
        <v>182</v>
      </c>
      <c r="TN5" s="1">
        <v>35000</v>
      </c>
      <c r="TO5" s="1">
        <v>1</v>
      </c>
      <c r="TP5" s="1">
        <v>0</v>
      </c>
      <c r="TQ5" s="1">
        <v>90</v>
      </c>
      <c r="TR5" s="1">
        <v>60003760</v>
      </c>
      <c r="TS5" s="1">
        <v>32767</v>
      </c>
      <c r="TT5" s="1">
        <v>0</v>
      </c>
      <c r="TV5" s="1">
        <v>2809713674</v>
      </c>
      <c r="TW5" s="1">
        <v>25622</v>
      </c>
      <c r="TX5" s="1">
        <v>5</v>
      </c>
      <c r="TY5" s="1">
        <v>3</v>
      </c>
      <c r="TZ5" s="1">
        <v>16890000</v>
      </c>
      <c r="UA5" s="1">
        <v>1</v>
      </c>
      <c r="UB5" s="1">
        <v>0</v>
      </c>
      <c r="UC5" s="1">
        <v>90</v>
      </c>
      <c r="UD5" s="1">
        <v>60003760</v>
      </c>
      <c r="UE5" s="1">
        <v>32767</v>
      </c>
      <c r="UF5" s="1">
        <v>0</v>
      </c>
      <c r="UH5" s="1">
        <v>2768658996</v>
      </c>
      <c r="UI5" s="1">
        <v>16680</v>
      </c>
      <c r="UJ5" s="1">
        <v>10630248</v>
      </c>
      <c r="UK5" s="1">
        <v>10630248</v>
      </c>
      <c r="UL5" s="1">
        <v>850</v>
      </c>
      <c r="UM5" s="1">
        <v>1</v>
      </c>
      <c r="UN5" s="1">
        <v>0</v>
      </c>
      <c r="UO5" s="1">
        <v>90</v>
      </c>
      <c r="UP5" s="1">
        <v>60003760</v>
      </c>
      <c r="UQ5" s="1">
        <v>32767</v>
      </c>
      <c r="UR5" s="1">
        <v>6</v>
      </c>
      <c r="UT5" s="1">
        <v>2814246276</v>
      </c>
      <c r="UU5" s="1">
        <v>17317</v>
      </c>
      <c r="UV5" s="1">
        <v>5000</v>
      </c>
      <c r="UW5" s="1">
        <v>5000</v>
      </c>
      <c r="UX5" s="1">
        <v>31994.89</v>
      </c>
      <c r="UY5" s="1">
        <v>1</v>
      </c>
      <c r="UZ5" s="1">
        <v>0</v>
      </c>
      <c r="VA5" s="1">
        <v>90</v>
      </c>
      <c r="VB5" s="1">
        <v>60003760</v>
      </c>
      <c r="VC5" s="1">
        <v>32767</v>
      </c>
      <c r="VD5" s="1">
        <v>0</v>
      </c>
      <c r="VF5" s="1">
        <v>2861290246</v>
      </c>
      <c r="VG5" s="1">
        <v>11725</v>
      </c>
      <c r="VH5" s="1">
        <v>296</v>
      </c>
      <c r="VI5" s="1">
        <v>296</v>
      </c>
      <c r="VJ5" s="1">
        <v>59675</v>
      </c>
      <c r="VK5" s="1">
        <v>1</v>
      </c>
      <c r="VL5" s="1">
        <v>0</v>
      </c>
      <c r="VM5" s="1">
        <v>90</v>
      </c>
      <c r="VN5" s="1">
        <v>60003760</v>
      </c>
      <c r="VO5" s="1">
        <v>32767</v>
      </c>
      <c r="VP5" s="1">
        <v>6</v>
      </c>
    </row>
    <row r="6" spans="1:588" x14ac:dyDescent="0.25">
      <c r="B6" s="1">
        <v>2853897799</v>
      </c>
      <c r="C6" s="1">
        <v>34</v>
      </c>
      <c r="D6" s="1">
        <v>6181860</v>
      </c>
      <c r="E6" s="1">
        <v>6181860</v>
      </c>
      <c r="F6" s="1">
        <v>6</v>
      </c>
      <c r="G6" s="1">
        <v>1</v>
      </c>
      <c r="H6" s="1">
        <v>0</v>
      </c>
      <c r="I6" s="1">
        <v>90</v>
      </c>
      <c r="J6" s="1">
        <v>60003061</v>
      </c>
      <c r="K6" s="1">
        <v>32767</v>
      </c>
      <c r="L6" s="1">
        <v>3</v>
      </c>
      <c r="N6" s="1">
        <v>2877229706</v>
      </c>
      <c r="O6" s="1">
        <v>35</v>
      </c>
      <c r="P6" s="1">
        <v>316091</v>
      </c>
      <c r="Q6" s="1">
        <v>264746</v>
      </c>
      <c r="R6" s="1">
        <v>14.77</v>
      </c>
      <c r="S6" s="1">
        <v>1</v>
      </c>
      <c r="T6" s="1">
        <v>0</v>
      </c>
      <c r="U6" s="1">
        <v>1</v>
      </c>
      <c r="V6" s="1">
        <v>60003067</v>
      </c>
      <c r="W6" s="1">
        <v>32767</v>
      </c>
      <c r="X6" s="1">
        <v>2</v>
      </c>
      <c r="Z6" s="1">
        <v>2873089193</v>
      </c>
      <c r="AA6" s="1">
        <v>36</v>
      </c>
      <c r="AB6" s="1">
        <v>1106136</v>
      </c>
      <c r="AC6" s="1">
        <v>106135</v>
      </c>
      <c r="AD6" s="16">
        <v>48</v>
      </c>
      <c r="AE6" s="1">
        <v>1</v>
      </c>
      <c r="AF6" s="1">
        <v>0</v>
      </c>
      <c r="AG6" s="1">
        <v>7</v>
      </c>
      <c r="AH6" s="1">
        <v>60004462</v>
      </c>
      <c r="AI6" s="1">
        <v>32767</v>
      </c>
      <c r="AJ6" s="1">
        <v>13</v>
      </c>
      <c r="AL6" s="1">
        <v>2877173039</v>
      </c>
      <c r="AM6" s="1">
        <v>37</v>
      </c>
      <c r="AN6" s="1">
        <v>37</v>
      </c>
      <c r="AO6" s="1">
        <v>37</v>
      </c>
      <c r="AP6" s="16">
        <v>170.01</v>
      </c>
      <c r="AQ6" s="1">
        <v>1</v>
      </c>
      <c r="AR6" s="1">
        <v>0</v>
      </c>
      <c r="AS6" s="1">
        <v>7</v>
      </c>
      <c r="AT6" s="1">
        <v>60004072</v>
      </c>
      <c r="AU6" s="1">
        <v>32767</v>
      </c>
      <c r="AV6" s="1">
        <v>13</v>
      </c>
      <c r="AX6" s="1">
        <v>2878222954</v>
      </c>
      <c r="AY6" s="1">
        <v>38</v>
      </c>
      <c r="AZ6" s="1">
        <v>12420</v>
      </c>
      <c r="BA6" s="1">
        <v>12420</v>
      </c>
      <c r="BB6" s="1">
        <v>820</v>
      </c>
      <c r="BC6" s="1">
        <v>1</v>
      </c>
      <c r="BD6" s="1">
        <v>0</v>
      </c>
      <c r="BE6" s="1">
        <v>90</v>
      </c>
      <c r="BF6" s="1">
        <v>60003007</v>
      </c>
      <c r="BG6" s="1">
        <v>32767</v>
      </c>
      <c r="BH6" s="1">
        <v>10</v>
      </c>
      <c r="BJ6" s="1">
        <v>2826582804</v>
      </c>
      <c r="BK6" s="1">
        <v>39</v>
      </c>
      <c r="BL6" s="1">
        <v>970000</v>
      </c>
      <c r="BM6" s="1">
        <v>970000</v>
      </c>
      <c r="BN6" s="1">
        <v>879.99</v>
      </c>
      <c r="BO6" s="1">
        <v>1</v>
      </c>
      <c r="BP6" s="1">
        <v>0</v>
      </c>
      <c r="BQ6" s="1">
        <v>90</v>
      </c>
      <c r="BR6" s="1">
        <v>60003760</v>
      </c>
      <c r="BS6" s="1">
        <v>32767</v>
      </c>
      <c r="BT6" s="1">
        <v>5</v>
      </c>
      <c r="BV6" s="1">
        <v>2412385450</v>
      </c>
      <c r="BW6" s="1">
        <v>40</v>
      </c>
      <c r="BX6" s="1">
        <v>29239</v>
      </c>
      <c r="BY6" s="1">
        <v>29239</v>
      </c>
      <c r="BZ6" s="1">
        <v>2748.97</v>
      </c>
      <c r="CA6" s="1">
        <v>1</v>
      </c>
      <c r="CB6" s="1">
        <v>0</v>
      </c>
      <c r="CC6" s="1">
        <v>90</v>
      </c>
      <c r="CD6" s="1">
        <v>60003760</v>
      </c>
      <c r="CE6" s="1">
        <v>32767</v>
      </c>
      <c r="CF6" s="1">
        <v>13</v>
      </c>
      <c r="CH6" s="1">
        <v>2414098418</v>
      </c>
      <c r="CI6" s="1">
        <v>29668</v>
      </c>
      <c r="CJ6" s="1">
        <v>1</v>
      </c>
      <c r="CK6" s="1">
        <v>1</v>
      </c>
      <c r="CL6" s="1">
        <v>498000000</v>
      </c>
      <c r="CM6" s="1">
        <v>1</v>
      </c>
      <c r="CN6" s="1">
        <v>0</v>
      </c>
      <c r="CO6" s="1">
        <v>7</v>
      </c>
      <c r="CP6" s="1">
        <v>60003760</v>
      </c>
      <c r="CQ6" s="1">
        <v>32767</v>
      </c>
      <c r="CR6" s="1">
        <v>0</v>
      </c>
      <c r="CT6" s="1">
        <v>2414353357</v>
      </c>
      <c r="CU6" s="1">
        <v>16649</v>
      </c>
      <c r="CV6" s="1">
        <v>50000</v>
      </c>
      <c r="CW6" s="1">
        <v>50000</v>
      </c>
      <c r="CX6" s="1">
        <v>107796.09</v>
      </c>
      <c r="CY6" s="1">
        <v>1</v>
      </c>
      <c r="CZ6" s="1">
        <v>0</v>
      </c>
      <c r="DA6" s="1">
        <v>90</v>
      </c>
      <c r="DB6" s="1">
        <v>60003760</v>
      </c>
      <c r="DC6" s="1">
        <v>32767</v>
      </c>
      <c r="DD6" s="1">
        <v>8</v>
      </c>
      <c r="DF6" s="1">
        <v>2413516214</v>
      </c>
      <c r="DG6" s="1">
        <v>17887</v>
      </c>
      <c r="DH6" s="1">
        <v>800000</v>
      </c>
      <c r="DI6" s="1">
        <v>800000</v>
      </c>
      <c r="DJ6" s="1">
        <v>1025.3499999999999</v>
      </c>
      <c r="DK6" s="1">
        <v>1</v>
      </c>
      <c r="DL6" s="1">
        <v>0</v>
      </c>
      <c r="DM6" s="1">
        <v>90</v>
      </c>
      <c r="DN6" s="1">
        <v>60003760</v>
      </c>
      <c r="DO6" s="1">
        <v>32767</v>
      </c>
      <c r="DP6" s="1">
        <v>0</v>
      </c>
      <c r="DR6" s="1">
        <v>2816887173</v>
      </c>
      <c r="DS6" s="1">
        <v>17888</v>
      </c>
      <c r="DT6" s="1">
        <v>290997</v>
      </c>
      <c r="DU6" s="1">
        <v>290997</v>
      </c>
      <c r="DV6" s="1">
        <v>376</v>
      </c>
      <c r="DW6" s="1">
        <v>1</v>
      </c>
      <c r="DX6" s="1">
        <v>0</v>
      </c>
      <c r="DY6" s="1">
        <v>90</v>
      </c>
      <c r="DZ6" s="1">
        <v>60001480</v>
      </c>
      <c r="EA6" s="1">
        <v>32767</v>
      </c>
      <c r="EB6" s="1">
        <v>11</v>
      </c>
      <c r="ED6" s="1">
        <v>2755489258</v>
      </c>
      <c r="EE6" s="1">
        <v>16273</v>
      </c>
      <c r="EF6" s="1">
        <v>301475</v>
      </c>
      <c r="EG6" s="1">
        <v>4725</v>
      </c>
      <c r="EH6" s="1">
        <v>418.57</v>
      </c>
      <c r="EI6" s="1">
        <v>1</v>
      </c>
      <c r="EJ6" s="1">
        <v>0</v>
      </c>
      <c r="EK6" s="1">
        <v>90</v>
      </c>
      <c r="EL6" s="1">
        <v>60003760</v>
      </c>
      <c r="EM6" s="1">
        <v>32767</v>
      </c>
      <c r="EN6" s="1">
        <v>6</v>
      </c>
      <c r="EP6" s="1">
        <v>2773782786</v>
      </c>
      <c r="EQ6" s="1">
        <v>17889</v>
      </c>
      <c r="ER6" s="1">
        <v>1000000</v>
      </c>
      <c r="ES6" s="1">
        <v>1000000</v>
      </c>
      <c r="ET6" s="1">
        <v>420</v>
      </c>
      <c r="EU6" s="1">
        <v>1</v>
      </c>
      <c r="EV6" s="1">
        <v>0</v>
      </c>
      <c r="EW6" s="1">
        <v>90</v>
      </c>
      <c r="EX6" s="1">
        <v>60003760</v>
      </c>
      <c r="EY6" s="1">
        <v>32767</v>
      </c>
      <c r="EZ6" s="1">
        <v>7</v>
      </c>
      <c r="FB6" s="1">
        <v>2871516048</v>
      </c>
      <c r="FC6" s="1">
        <v>30259</v>
      </c>
      <c r="FD6" s="1">
        <v>91</v>
      </c>
      <c r="FE6" s="1">
        <v>91</v>
      </c>
      <c r="FF6" s="1">
        <v>6989885.79</v>
      </c>
      <c r="FG6" s="1">
        <v>1</v>
      </c>
      <c r="FH6" s="1">
        <v>0</v>
      </c>
      <c r="FI6" s="1">
        <v>90</v>
      </c>
      <c r="FJ6" s="1">
        <v>60003760</v>
      </c>
      <c r="FK6" s="1">
        <v>32767</v>
      </c>
      <c r="FL6" s="1">
        <v>0</v>
      </c>
      <c r="FN6" s="1">
        <v>2783855559</v>
      </c>
      <c r="FO6" s="1">
        <v>25617</v>
      </c>
      <c r="FP6" s="1">
        <v>352</v>
      </c>
      <c r="FQ6" s="1">
        <v>352</v>
      </c>
      <c r="FR6" s="1">
        <v>5999999.9800000004</v>
      </c>
      <c r="FS6" s="1">
        <v>1</v>
      </c>
      <c r="FT6" s="1">
        <v>0</v>
      </c>
      <c r="FU6" s="1">
        <v>90</v>
      </c>
      <c r="FV6" s="1">
        <v>60003760</v>
      </c>
      <c r="FW6" s="1">
        <v>32767</v>
      </c>
      <c r="FX6" s="1">
        <v>0</v>
      </c>
      <c r="FZ6" s="1">
        <v>2804770737</v>
      </c>
      <c r="GA6" s="1">
        <v>44</v>
      </c>
      <c r="GB6" s="1">
        <v>7480</v>
      </c>
      <c r="GC6" s="1">
        <v>7480</v>
      </c>
      <c r="GD6" s="1">
        <v>14611.03</v>
      </c>
      <c r="GE6" s="1">
        <v>1</v>
      </c>
      <c r="GF6" s="1">
        <v>0</v>
      </c>
      <c r="GG6" s="1">
        <v>90</v>
      </c>
      <c r="GH6" s="1">
        <v>60003760</v>
      </c>
      <c r="GI6" s="1">
        <v>32767</v>
      </c>
      <c r="GJ6" s="1">
        <v>4</v>
      </c>
      <c r="GL6" s="1">
        <v>2413056604</v>
      </c>
      <c r="GM6" s="1">
        <v>16681</v>
      </c>
      <c r="GN6" s="1">
        <v>67700</v>
      </c>
      <c r="GO6" s="1">
        <v>67700</v>
      </c>
      <c r="GP6" s="1">
        <v>6199.05</v>
      </c>
      <c r="GQ6" s="1">
        <v>1</v>
      </c>
      <c r="GR6" s="1">
        <v>0</v>
      </c>
      <c r="GS6" s="1">
        <v>90</v>
      </c>
      <c r="GT6" s="1">
        <v>60003760</v>
      </c>
      <c r="GU6" s="1">
        <v>32767</v>
      </c>
      <c r="GV6" s="1">
        <v>0</v>
      </c>
      <c r="GX6" s="1">
        <v>2837447797</v>
      </c>
      <c r="GY6" s="1">
        <v>16683</v>
      </c>
      <c r="GZ6" s="1">
        <v>25000</v>
      </c>
      <c r="HA6" s="1">
        <v>25000</v>
      </c>
      <c r="HB6" s="1">
        <v>11156.74</v>
      </c>
      <c r="HC6" s="1">
        <v>1</v>
      </c>
      <c r="HD6" s="1">
        <v>0</v>
      </c>
      <c r="HE6" s="1">
        <v>30</v>
      </c>
      <c r="HF6" s="1">
        <v>60003760</v>
      </c>
      <c r="HG6" s="1">
        <v>32767</v>
      </c>
      <c r="HH6" s="1">
        <v>0</v>
      </c>
      <c r="HJ6" s="1">
        <v>2824489775</v>
      </c>
      <c r="HK6" s="1">
        <v>11724</v>
      </c>
      <c r="HL6" s="1">
        <v>2</v>
      </c>
      <c r="HM6" s="1">
        <v>2</v>
      </c>
      <c r="HN6" s="1">
        <v>41998.98</v>
      </c>
      <c r="HO6" s="1">
        <v>1</v>
      </c>
      <c r="HP6" s="1">
        <v>0</v>
      </c>
      <c r="HQ6" s="1">
        <v>90</v>
      </c>
      <c r="HR6" s="1">
        <v>60003760</v>
      </c>
      <c r="HS6" s="1">
        <v>32767</v>
      </c>
      <c r="HT6" s="1">
        <v>0</v>
      </c>
      <c r="HV6" s="1">
        <v>2814451911</v>
      </c>
      <c r="HW6" s="1">
        <v>16274</v>
      </c>
      <c r="HX6" s="1">
        <v>200000</v>
      </c>
      <c r="HY6" s="1">
        <v>100000</v>
      </c>
      <c r="HZ6" s="1">
        <v>376.34</v>
      </c>
      <c r="IA6" s="1">
        <v>1</v>
      </c>
      <c r="IB6" s="1">
        <v>0</v>
      </c>
      <c r="IC6" s="1">
        <v>90</v>
      </c>
      <c r="ID6" s="1">
        <v>60003760</v>
      </c>
      <c r="IE6" s="1">
        <v>32767</v>
      </c>
      <c r="IF6" s="1">
        <v>2</v>
      </c>
      <c r="IH6" s="1">
        <v>2854809501</v>
      </c>
      <c r="II6" s="1">
        <v>10213</v>
      </c>
      <c r="IJ6" s="1">
        <v>69</v>
      </c>
      <c r="IK6" s="1">
        <v>17</v>
      </c>
      <c r="IL6" s="1">
        <v>124799977</v>
      </c>
      <c r="IM6" s="1">
        <v>1</v>
      </c>
      <c r="IN6" s="1">
        <v>0</v>
      </c>
      <c r="IO6" s="1">
        <v>90</v>
      </c>
      <c r="IP6" s="1">
        <v>60003760</v>
      </c>
      <c r="IQ6" s="1">
        <v>32767</v>
      </c>
      <c r="IR6" s="1">
        <v>0</v>
      </c>
      <c r="IT6" s="1">
        <v>2815615864</v>
      </c>
      <c r="IU6" s="1">
        <v>16679</v>
      </c>
      <c r="IV6" s="1">
        <v>3118638</v>
      </c>
      <c r="IW6" s="1">
        <v>3118638</v>
      </c>
      <c r="IX6" s="1">
        <v>1971</v>
      </c>
      <c r="IY6" s="1">
        <v>1</v>
      </c>
      <c r="IZ6" s="1">
        <v>0</v>
      </c>
      <c r="JA6" s="1">
        <v>90</v>
      </c>
      <c r="JB6" s="1">
        <v>60003760</v>
      </c>
      <c r="JC6" s="1">
        <v>32767</v>
      </c>
      <c r="JD6" s="1">
        <v>0</v>
      </c>
      <c r="JF6" s="1">
        <v>2854218730</v>
      </c>
      <c r="JG6" s="1">
        <v>16272</v>
      </c>
      <c r="JH6" s="1">
        <v>823597</v>
      </c>
      <c r="JI6" s="1">
        <v>823597</v>
      </c>
      <c r="JJ6" s="1">
        <v>80</v>
      </c>
      <c r="JK6" s="1">
        <v>1</v>
      </c>
      <c r="JL6" s="1">
        <v>0</v>
      </c>
      <c r="JM6" s="1">
        <v>90</v>
      </c>
      <c r="JN6" s="1">
        <v>60004243</v>
      </c>
      <c r="JO6" s="1">
        <v>32767</v>
      </c>
      <c r="JP6" s="1">
        <v>7</v>
      </c>
      <c r="JR6" s="1">
        <v>2860890706</v>
      </c>
      <c r="JS6" s="1">
        <v>10226</v>
      </c>
      <c r="JT6" s="1">
        <v>2</v>
      </c>
      <c r="JU6" s="1">
        <v>2</v>
      </c>
      <c r="JV6" s="1">
        <v>124999996</v>
      </c>
      <c r="JW6" s="1">
        <v>1</v>
      </c>
      <c r="JX6" s="1">
        <v>0</v>
      </c>
      <c r="JY6" s="1">
        <v>90</v>
      </c>
      <c r="JZ6" s="1">
        <v>60003760</v>
      </c>
      <c r="KA6" s="1">
        <v>32767</v>
      </c>
      <c r="KB6" s="1">
        <v>1</v>
      </c>
      <c r="KD6" s="1">
        <v>2876424669</v>
      </c>
      <c r="KE6" s="1">
        <v>25605</v>
      </c>
      <c r="KF6" s="1">
        <v>4</v>
      </c>
      <c r="KG6" s="1">
        <v>4</v>
      </c>
      <c r="KH6" s="1">
        <v>110615.08</v>
      </c>
      <c r="KI6" s="1">
        <v>1</v>
      </c>
      <c r="KJ6" s="1">
        <v>0</v>
      </c>
      <c r="KK6" s="1">
        <v>90</v>
      </c>
      <c r="KL6" s="1">
        <v>60000448</v>
      </c>
      <c r="KM6" s="1">
        <v>32767</v>
      </c>
      <c r="KN6" s="1">
        <v>8</v>
      </c>
      <c r="KP6" s="1">
        <v>2817920416</v>
      </c>
      <c r="KQ6" s="1">
        <v>25624</v>
      </c>
      <c r="KR6" s="1">
        <v>2</v>
      </c>
      <c r="KS6" s="1">
        <v>2</v>
      </c>
      <c r="KT6" s="1">
        <v>20038999.879999999</v>
      </c>
      <c r="KU6" s="1">
        <v>1</v>
      </c>
      <c r="KV6" s="1">
        <v>0</v>
      </c>
      <c r="KW6" s="1">
        <v>90</v>
      </c>
      <c r="KX6" s="1">
        <v>60003760</v>
      </c>
      <c r="KY6" s="1">
        <v>32767</v>
      </c>
      <c r="KZ6" s="1">
        <v>1</v>
      </c>
      <c r="LB6" s="1">
        <v>2817668800</v>
      </c>
      <c r="LC6" s="1">
        <v>9832</v>
      </c>
      <c r="LD6" s="1">
        <v>34663</v>
      </c>
      <c r="LE6" s="1">
        <v>34663</v>
      </c>
      <c r="LF6" s="1">
        <v>10000</v>
      </c>
      <c r="LG6" s="1">
        <v>1</v>
      </c>
      <c r="LH6" s="1">
        <v>0</v>
      </c>
      <c r="LI6" s="1">
        <v>90</v>
      </c>
      <c r="LJ6" s="1">
        <v>60003760</v>
      </c>
      <c r="LK6" s="1">
        <v>32767</v>
      </c>
      <c r="LL6" s="1">
        <v>0</v>
      </c>
      <c r="LN6" s="1">
        <v>2857030649</v>
      </c>
      <c r="LO6" s="1">
        <v>10209</v>
      </c>
      <c r="LP6" s="1">
        <v>12</v>
      </c>
      <c r="LQ6" s="1">
        <v>5</v>
      </c>
      <c r="LR6" s="1">
        <v>122299878</v>
      </c>
      <c r="LS6" s="1">
        <v>1</v>
      </c>
      <c r="LT6" s="1">
        <v>0</v>
      </c>
      <c r="LU6" s="1">
        <v>14</v>
      </c>
      <c r="LV6" s="1">
        <v>60003760</v>
      </c>
      <c r="LW6" s="1">
        <v>32767</v>
      </c>
      <c r="LX6" s="1">
        <v>1</v>
      </c>
      <c r="LZ6" s="1">
        <v>2857851114</v>
      </c>
      <c r="MA6" s="1">
        <v>10217</v>
      </c>
      <c r="MB6" s="1">
        <v>25</v>
      </c>
      <c r="MC6" s="1">
        <v>23</v>
      </c>
      <c r="MD6" s="1">
        <v>124959998.91</v>
      </c>
      <c r="ME6" s="1">
        <v>1</v>
      </c>
      <c r="MF6" s="1">
        <v>0</v>
      </c>
      <c r="MG6" s="1">
        <v>90</v>
      </c>
      <c r="MH6" s="1">
        <v>60003760</v>
      </c>
      <c r="MI6" s="1">
        <v>32767</v>
      </c>
      <c r="MJ6" s="1">
        <v>0</v>
      </c>
      <c r="ML6" s="1">
        <v>2761139457</v>
      </c>
      <c r="MM6" s="1">
        <v>25625</v>
      </c>
      <c r="MN6" s="1">
        <v>13</v>
      </c>
      <c r="MO6" s="1">
        <v>13</v>
      </c>
      <c r="MP6" s="1">
        <v>5503307.0999999996</v>
      </c>
      <c r="MQ6" s="1">
        <v>1</v>
      </c>
      <c r="MR6" s="1">
        <v>0</v>
      </c>
      <c r="MS6" s="1">
        <v>90</v>
      </c>
      <c r="MT6" s="1">
        <v>60003760</v>
      </c>
      <c r="MU6" s="1">
        <v>32767</v>
      </c>
      <c r="MV6" s="1">
        <v>0</v>
      </c>
      <c r="MX6" s="1">
        <v>2817641466</v>
      </c>
      <c r="MY6" s="1">
        <v>16672</v>
      </c>
      <c r="MZ6" s="1">
        <v>3460000</v>
      </c>
      <c r="NA6" s="1">
        <v>3460000</v>
      </c>
      <c r="NB6" s="1">
        <v>188.5</v>
      </c>
      <c r="NC6" s="1">
        <v>1</v>
      </c>
      <c r="ND6" s="1">
        <v>0</v>
      </c>
      <c r="NE6" s="1">
        <v>90</v>
      </c>
      <c r="NF6" s="1">
        <v>60003760</v>
      </c>
      <c r="NG6" s="1">
        <v>32767</v>
      </c>
      <c r="NH6" s="1">
        <v>0</v>
      </c>
      <c r="NJ6" s="1">
        <v>2816773532</v>
      </c>
      <c r="NK6" s="1">
        <v>16673</v>
      </c>
      <c r="NL6" s="1">
        <v>1300000</v>
      </c>
      <c r="NM6" s="1">
        <v>1300000</v>
      </c>
      <c r="NN6" s="1">
        <v>122.2</v>
      </c>
      <c r="NO6" s="1">
        <v>1</v>
      </c>
      <c r="NP6" s="1">
        <v>0</v>
      </c>
      <c r="NQ6" s="1">
        <v>90</v>
      </c>
      <c r="NR6" s="1">
        <v>60003760</v>
      </c>
      <c r="NS6" s="1">
        <v>32767</v>
      </c>
      <c r="NT6" s="1">
        <v>6</v>
      </c>
      <c r="NV6" s="1">
        <v>2829074392</v>
      </c>
      <c r="NW6" s="1">
        <v>3689</v>
      </c>
      <c r="NX6" s="1">
        <v>2717</v>
      </c>
      <c r="NY6" s="1">
        <v>2717</v>
      </c>
      <c r="NZ6" s="1">
        <v>12750</v>
      </c>
      <c r="OA6" s="1">
        <v>1</v>
      </c>
      <c r="OB6" s="1">
        <v>0</v>
      </c>
      <c r="OC6" s="1">
        <v>90</v>
      </c>
      <c r="OD6" s="1">
        <v>60003760</v>
      </c>
      <c r="OE6" s="1">
        <v>32767</v>
      </c>
      <c r="OF6" s="1">
        <v>0</v>
      </c>
      <c r="OH6" s="1">
        <v>2877562035</v>
      </c>
      <c r="OI6" s="1">
        <v>25598</v>
      </c>
      <c r="OJ6" s="1">
        <v>7</v>
      </c>
      <c r="OK6" s="1">
        <v>7</v>
      </c>
      <c r="OL6" s="1">
        <v>135115.01</v>
      </c>
      <c r="OM6" s="1">
        <v>1</v>
      </c>
      <c r="ON6" s="1">
        <v>0</v>
      </c>
      <c r="OO6" s="1">
        <v>1</v>
      </c>
      <c r="OP6" s="1">
        <v>60001480</v>
      </c>
      <c r="OQ6" s="1">
        <v>32767</v>
      </c>
      <c r="OR6" s="1">
        <v>3</v>
      </c>
      <c r="OT6" s="1">
        <v>2819494635</v>
      </c>
      <c r="OU6" s="1">
        <v>25600</v>
      </c>
      <c r="OV6" s="1">
        <v>201</v>
      </c>
      <c r="OW6" s="1">
        <v>128</v>
      </c>
      <c r="OX6" s="1">
        <v>31400</v>
      </c>
      <c r="OY6" s="1">
        <v>1</v>
      </c>
      <c r="OZ6" s="1">
        <v>0</v>
      </c>
      <c r="PA6" s="1">
        <v>90</v>
      </c>
      <c r="PB6" s="1">
        <v>60005455</v>
      </c>
      <c r="PC6" s="1">
        <v>32767</v>
      </c>
      <c r="PD6" s="1">
        <v>5</v>
      </c>
      <c r="PF6" s="1">
        <v>2825315934</v>
      </c>
      <c r="PG6" s="1">
        <v>16670</v>
      </c>
      <c r="PH6" s="1">
        <v>5000000</v>
      </c>
      <c r="PI6" s="1">
        <v>5000000</v>
      </c>
      <c r="PJ6" s="1">
        <v>134</v>
      </c>
      <c r="PK6" s="1">
        <v>1</v>
      </c>
      <c r="PL6" s="1">
        <v>0</v>
      </c>
      <c r="PM6" s="1">
        <v>90</v>
      </c>
      <c r="PN6" s="1">
        <v>60003760</v>
      </c>
      <c r="PO6" s="1">
        <v>32767</v>
      </c>
      <c r="PP6" s="1">
        <v>7</v>
      </c>
      <c r="PR6" s="1">
        <v>2855773781</v>
      </c>
      <c r="PS6" s="1">
        <v>10222</v>
      </c>
      <c r="PT6" s="1">
        <v>9</v>
      </c>
      <c r="PU6" s="1">
        <v>9</v>
      </c>
      <c r="PV6" s="1">
        <v>131398999.11</v>
      </c>
      <c r="PW6" s="1">
        <v>1</v>
      </c>
      <c r="PX6" s="1">
        <v>0</v>
      </c>
      <c r="PY6" s="1">
        <v>90</v>
      </c>
      <c r="PZ6" s="1">
        <v>60003760</v>
      </c>
      <c r="QA6" s="1">
        <v>32767</v>
      </c>
      <c r="QB6" s="1">
        <v>0</v>
      </c>
      <c r="QD6" s="1">
        <v>2815772229</v>
      </c>
      <c r="QE6" s="1">
        <v>9830</v>
      </c>
      <c r="QF6" s="1">
        <v>39525</v>
      </c>
      <c r="QG6" s="1">
        <v>39525</v>
      </c>
      <c r="QH6" s="1">
        <v>8250</v>
      </c>
      <c r="QI6" s="1">
        <v>1</v>
      </c>
      <c r="QJ6" s="1">
        <v>0</v>
      </c>
      <c r="QK6" s="1">
        <v>90</v>
      </c>
      <c r="QL6" s="1">
        <v>60003760</v>
      </c>
      <c r="QM6" s="1">
        <v>32767</v>
      </c>
      <c r="QN6" s="1">
        <v>0</v>
      </c>
      <c r="QP6" s="1">
        <v>2775733586</v>
      </c>
      <c r="QQ6" s="1">
        <v>16671</v>
      </c>
      <c r="QR6" s="1">
        <v>5376000</v>
      </c>
      <c r="QS6" s="1">
        <v>5376000</v>
      </c>
      <c r="QT6" s="1">
        <v>148</v>
      </c>
      <c r="QU6" s="1">
        <v>1</v>
      </c>
      <c r="QV6" s="1">
        <v>0</v>
      </c>
      <c r="QW6" s="1">
        <v>90</v>
      </c>
      <c r="QX6" s="1">
        <v>60003760</v>
      </c>
      <c r="QY6" s="1">
        <v>32767</v>
      </c>
      <c r="QZ6" s="1">
        <v>7</v>
      </c>
      <c r="RB6" s="1">
        <v>2772617179</v>
      </c>
      <c r="RC6" s="1">
        <v>16682</v>
      </c>
      <c r="RD6" s="1">
        <v>2500001</v>
      </c>
      <c r="RE6" s="1">
        <v>2250169</v>
      </c>
      <c r="RF6" s="1">
        <v>3502.74</v>
      </c>
      <c r="RG6" s="1">
        <v>1</v>
      </c>
      <c r="RH6" s="1">
        <v>0</v>
      </c>
      <c r="RI6" s="1">
        <v>90</v>
      </c>
      <c r="RJ6" s="1">
        <v>60003760</v>
      </c>
      <c r="RK6" s="1">
        <v>32767</v>
      </c>
      <c r="RL6" s="1">
        <v>8</v>
      </c>
      <c r="RN6" s="1">
        <v>2856123726</v>
      </c>
      <c r="RO6" s="1">
        <v>16678</v>
      </c>
      <c r="RP6" s="1">
        <v>5000000</v>
      </c>
      <c r="RQ6" s="1">
        <v>5000000</v>
      </c>
      <c r="RR6" s="1">
        <v>319</v>
      </c>
      <c r="RS6" s="1">
        <v>1</v>
      </c>
      <c r="RT6" s="1">
        <v>0</v>
      </c>
      <c r="RU6" s="1">
        <v>90</v>
      </c>
      <c r="RV6" s="1">
        <v>60003760</v>
      </c>
      <c r="RW6" s="1">
        <v>32767</v>
      </c>
      <c r="RX6" s="1">
        <v>6</v>
      </c>
      <c r="RZ6" s="1">
        <v>2783009319</v>
      </c>
      <c r="SA6" s="1">
        <v>30310</v>
      </c>
      <c r="SB6" s="1">
        <v>300</v>
      </c>
      <c r="SC6" s="1">
        <v>300</v>
      </c>
      <c r="SD6" s="1">
        <v>1450000</v>
      </c>
      <c r="SE6" s="1">
        <v>1</v>
      </c>
      <c r="SF6" s="1">
        <v>0</v>
      </c>
      <c r="SG6" s="1">
        <v>90</v>
      </c>
      <c r="SH6" s="1">
        <v>60003760</v>
      </c>
      <c r="SI6" s="1">
        <v>32767</v>
      </c>
      <c r="SJ6" s="1">
        <v>0</v>
      </c>
      <c r="SL6" s="1">
        <v>2778736884</v>
      </c>
      <c r="SM6" s="1">
        <v>30311</v>
      </c>
      <c r="SN6" s="1">
        <v>48</v>
      </c>
      <c r="SO6" s="1">
        <v>48</v>
      </c>
      <c r="SP6" s="1">
        <v>4199998.8899999997</v>
      </c>
      <c r="SQ6" s="1">
        <v>1</v>
      </c>
      <c r="SR6" s="1">
        <v>0</v>
      </c>
      <c r="SS6" s="1">
        <v>90</v>
      </c>
      <c r="ST6" s="1">
        <v>60003760</v>
      </c>
      <c r="SU6" s="1">
        <v>32767</v>
      </c>
      <c r="SV6" s="1">
        <v>0</v>
      </c>
      <c r="SX6" s="1">
        <v>2866097062</v>
      </c>
      <c r="SY6" s="1">
        <v>25595</v>
      </c>
      <c r="SZ6" s="1">
        <v>5</v>
      </c>
      <c r="TA6" s="1">
        <v>5</v>
      </c>
      <c r="TB6" s="1">
        <v>95000</v>
      </c>
      <c r="TC6" s="1">
        <v>1</v>
      </c>
      <c r="TD6" s="1">
        <v>0</v>
      </c>
      <c r="TE6" s="1">
        <v>30</v>
      </c>
      <c r="TF6" s="1">
        <v>60004228</v>
      </c>
      <c r="TG6" s="1">
        <v>32767</v>
      </c>
      <c r="TH6" s="1">
        <v>8</v>
      </c>
      <c r="TJ6" s="1">
        <v>2758878384</v>
      </c>
      <c r="TK6" s="1">
        <v>25606</v>
      </c>
      <c r="TL6" s="1">
        <v>90386</v>
      </c>
      <c r="TM6" s="1">
        <v>90386</v>
      </c>
      <c r="TN6" s="1">
        <v>39105</v>
      </c>
      <c r="TO6" s="1">
        <v>1</v>
      </c>
      <c r="TP6" s="1">
        <v>0</v>
      </c>
      <c r="TQ6" s="1">
        <v>90</v>
      </c>
      <c r="TR6" s="1">
        <v>60003760</v>
      </c>
      <c r="TS6" s="1">
        <v>32767</v>
      </c>
      <c r="TT6" s="1">
        <v>0</v>
      </c>
      <c r="TV6" s="1">
        <v>2783851798</v>
      </c>
      <c r="TW6" s="1">
        <v>25622</v>
      </c>
      <c r="TX6" s="1">
        <v>10</v>
      </c>
      <c r="TY6" s="1">
        <v>10</v>
      </c>
      <c r="TZ6" s="1">
        <v>16899999.98</v>
      </c>
      <c r="UA6" s="1">
        <v>1</v>
      </c>
      <c r="UB6" s="1">
        <v>0</v>
      </c>
      <c r="UC6" s="1">
        <v>90</v>
      </c>
      <c r="UD6" s="1">
        <v>60003760</v>
      </c>
      <c r="UE6" s="1">
        <v>32767</v>
      </c>
      <c r="UF6" s="1">
        <v>0</v>
      </c>
      <c r="UH6" s="1">
        <v>2812005241</v>
      </c>
      <c r="UI6" s="1">
        <v>16680</v>
      </c>
      <c r="UJ6" s="1">
        <v>17400</v>
      </c>
      <c r="UK6" s="1">
        <v>17400</v>
      </c>
      <c r="UL6" s="1">
        <v>779.98</v>
      </c>
      <c r="UM6" s="1">
        <v>1</v>
      </c>
      <c r="UN6" s="1">
        <v>0</v>
      </c>
      <c r="UO6" s="1">
        <v>90</v>
      </c>
      <c r="UP6" s="1">
        <v>60003760</v>
      </c>
      <c r="UQ6" s="1">
        <v>32767</v>
      </c>
      <c r="UR6" s="1">
        <v>6</v>
      </c>
      <c r="UT6" s="1">
        <v>2810454372</v>
      </c>
      <c r="UU6" s="1">
        <v>17317</v>
      </c>
      <c r="UV6" s="1">
        <v>24996</v>
      </c>
      <c r="UW6" s="1">
        <v>3036</v>
      </c>
      <c r="UX6" s="1">
        <v>31993.93</v>
      </c>
      <c r="UY6" s="1">
        <v>1</v>
      </c>
      <c r="UZ6" s="1">
        <v>0</v>
      </c>
      <c r="VA6" s="1">
        <v>90</v>
      </c>
      <c r="VB6" s="1">
        <v>60003760</v>
      </c>
      <c r="VC6" s="1">
        <v>32767</v>
      </c>
      <c r="VD6" s="1">
        <v>0</v>
      </c>
      <c r="VF6" s="1">
        <v>2862231536</v>
      </c>
      <c r="VG6" s="1">
        <v>11725</v>
      </c>
      <c r="VH6" s="1">
        <v>100000</v>
      </c>
      <c r="VI6" s="1">
        <v>100000</v>
      </c>
      <c r="VJ6" s="1">
        <v>58999.99</v>
      </c>
      <c r="VK6" s="1">
        <v>1</v>
      </c>
      <c r="VL6" s="1">
        <v>0</v>
      </c>
      <c r="VM6" s="1">
        <v>90</v>
      </c>
      <c r="VN6" s="1">
        <v>60003760</v>
      </c>
      <c r="VO6" s="1">
        <v>32767</v>
      </c>
      <c r="VP6" s="1">
        <v>6</v>
      </c>
    </row>
    <row r="7" spans="1:588" x14ac:dyDescent="0.25">
      <c r="B7" s="1">
        <v>2852442086</v>
      </c>
      <c r="C7" s="1">
        <v>34</v>
      </c>
      <c r="D7" s="1">
        <v>13875741</v>
      </c>
      <c r="E7" s="1">
        <v>13875741</v>
      </c>
      <c r="F7" s="1">
        <v>6</v>
      </c>
      <c r="G7" s="1">
        <v>1</v>
      </c>
      <c r="H7" s="1">
        <v>0</v>
      </c>
      <c r="I7" s="1">
        <v>30</v>
      </c>
      <c r="J7" s="1">
        <v>60003061</v>
      </c>
      <c r="K7" s="1">
        <v>32767</v>
      </c>
      <c r="L7" s="1">
        <v>3</v>
      </c>
      <c r="N7" s="1">
        <v>2858416342</v>
      </c>
      <c r="O7" s="1">
        <v>35</v>
      </c>
      <c r="P7" s="1">
        <v>2384463</v>
      </c>
      <c r="Q7" s="1">
        <v>2384463</v>
      </c>
      <c r="R7" s="1">
        <v>16</v>
      </c>
      <c r="S7" s="1">
        <v>1</v>
      </c>
      <c r="T7" s="1">
        <v>0</v>
      </c>
      <c r="U7" s="1">
        <v>90</v>
      </c>
      <c r="V7" s="1">
        <v>60003061</v>
      </c>
      <c r="W7" s="1">
        <v>32767</v>
      </c>
      <c r="X7" s="1">
        <v>3</v>
      </c>
      <c r="Z7" s="1">
        <v>2874513038</v>
      </c>
      <c r="AA7" s="1">
        <v>36</v>
      </c>
      <c r="AB7" s="1">
        <v>2756656</v>
      </c>
      <c r="AC7" s="1">
        <v>663014</v>
      </c>
      <c r="AD7" s="16">
        <v>48.07</v>
      </c>
      <c r="AE7" s="1">
        <v>1</v>
      </c>
      <c r="AF7" s="1">
        <v>0</v>
      </c>
      <c r="AG7" s="1">
        <v>90</v>
      </c>
      <c r="AH7" s="1">
        <v>60001543</v>
      </c>
      <c r="AI7" s="1">
        <v>32767</v>
      </c>
      <c r="AJ7" s="1">
        <v>13</v>
      </c>
      <c r="AL7" s="1">
        <v>2857661860</v>
      </c>
      <c r="AM7" s="1">
        <v>37</v>
      </c>
      <c r="AN7" s="1">
        <v>28408</v>
      </c>
      <c r="AO7" s="1">
        <v>5698</v>
      </c>
      <c r="AP7" s="16">
        <v>199</v>
      </c>
      <c r="AQ7" s="1">
        <v>1</v>
      </c>
      <c r="AR7" s="1">
        <v>0</v>
      </c>
      <c r="AS7" s="1">
        <v>90</v>
      </c>
      <c r="AT7" s="1">
        <v>60014659</v>
      </c>
      <c r="AU7" s="1">
        <v>32767</v>
      </c>
      <c r="AV7" s="1">
        <v>11</v>
      </c>
      <c r="AX7" s="1">
        <v>2857665861</v>
      </c>
      <c r="AY7" s="1">
        <v>38</v>
      </c>
      <c r="AZ7" s="1">
        <v>8315</v>
      </c>
      <c r="BA7" s="1">
        <v>8263</v>
      </c>
      <c r="BB7" s="1">
        <v>1299</v>
      </c>
      <c r="BC7" s="1">
        <v>1</v>
      </c>
      <c r="BD7" s="1">
        <v>0</v>
      </c>
      <c r="BE7" s="1">
        <v>90</v>
      </c>
      <c r="BF7" s="1">
        <v>60014659</v>
      </c>
      <c r="BG7" s="1">
        <v>32767</v>
      </c>
      <c r="BH7" s="1">
        <v>4</v>
      </c>
      <c r="BJ7" s="1">
        <v>2828106826</v>
      </c>
      <c r="BK7" s="1">
        <v>39</v>
      </c>
      <c r="BL7" s="1">
        <v>990000</v>
      </c>
      <c r="BM7" s="1">
        <v>990000</v>
      </c>
      <c r="BN7" s="1">
        <v>899.92</v>
      </c>
      <c r="BO7" s="1">
        <v>1</v>
      </c>
      <c r="BP7" s="1">
        <v>0</v>
      </c>
      <c r="BQ7" s="1">
        <v>90</v>
      </c>
      <c r="BR7" s="1">
        <v>60003760</v>
      </c>
      <c r="BS7" s="1">
        <v>32767</v>
      </c>
      <c r="BT7" s="1">
        <v>5</v>
      </c>
      <c r="BV7" s="1">
        <v>2399565208</v>
      </c>
      <c r="BW7" s="1">
        <v>40</v>
      </c>
      <c r="BX7" s="1">
        <v>1000000</v>
      </c>
      <c r="BY7" s="1">
        <v>858624</v>
      </c>
      <c r="BZ7" s="1">
        <v>2820</v>
      </c>
      <c r="CA7" s="1">
        <v>1</v>
      </c>
      <c r="CB7" s="1">
        <v>0</v>
      </c>
      <c r="CC7" s="1">
        <v>90</v>
      </c>
      <c r="CD7" s="1">
        <v>60003760</v>
      </c>
      <c r="CE7" s="1">
        <v>32767</v>
      </c>
      <c r="CF7" s="1">
        <v>13</v>
      </c>
      <c r="CH7" s="1">
        <v>2413109300</v>
      </c>
      <c r="CI7" s="1">
        <v>29668</v>
      </c>
      <c r="CJ7" s="1">
        <v>1</v>
      </c>
      <c r="CK7" s="1">
        <v>1</v>
      </c>
      <c r="CL7" s="1">
        <v>510000000</v>
      </c>
      <c r="CM7" s="1">
        <v>1</v>
      </c>
      <c r="CN7" s="1">
        <v>0</v>
      </c>
      <c r="CO7" s="1">
        <v>90</v>
      </c>
      <c r="CP7" s="1">
        <v>60003760</v>
      </c>
      <c r="CQ7" s="1">
        <v>32767</v>
      </c>
      <c r="CR7" s="1">
        <v>0</v>
      </c>
      <c r="CT7" s="1">
        <v>2414353532</v>
      </c>
      <c r="CU7" s="1">
        <v>16649</v>
      </c>
      <c r="CV7" s="1">
        <v>50000</v>
      </c>
      <c r="CW7" s="1">
        <v>50000</v>
      </c>
      <c r="CX7" s="1">
        <v>107796.09</v>
      </c>
      <c r="CY7" s="1">
        <v>1</v>
      </c>
      <c r="CZ7" s="1">
        <v>0</v>
      </c>
      <c r="DA7" s="1">
        <v>90</v>
      </c>
      <c r="DB7" s="1">
        <v>60003760</v>
      </c>
      <c r="DC7" s="1">
        <v>32767</v>
      </c>
      <c r="DD7" s="1">
        <v>8</v>
      </c>
      <c r="DF7" s="1">
        <v>2413901401</v>
      </c>
      <c r="DG7" s="1">
        <v>17887</v>
      </c>
      <c r="DH7" s="1">
        <v>2307689</v>
      </c>
      <c r="DI7" s="1">
        <v>2307689</v>
      </c>
      <c r="DJ7" s="1">
        <v>1007.39</v>
      </c>
      <c r="DK7" s="1">
        <v>1</v>
      </c>
      <c r="DL7" s="1">
        <v>0</v>
      </c>
      <c r="DM7" s="1">
        <v>90</v>
      </c>
      <c r="DN7" s="1">
        <v>60003760</v>
      </c>
      <c r="DO7" s="1">
        <v>32767</v>
      </c>
      <c r="DP7" s="1">
        <v>0</v>
      </c>
      <c r="DR7" s="1">
        <v>2774747394</v>
      </c>
      <c r="DS7" s="1">
        <v>17888</v>
      </c>
      <c r="DT7" s="1">
        <v>39401</v>
      </c>
      <c r="DU7" s="1">
        <v>39401</v>
      </c>
      <c r="DV7" s="1">
        <v>410</v>
      </c>
      <c r="DW7" s="1">
        <v>1</v>
      </c>
      <c r="DX7" s="1">
        <v>0</v>
      </c>
      <c r="DY7" s="1">
        <v>90</v>
      </c>
      <c r="DZ7" s="1">
        <v>60003061</v>
      </c>
      <c r="EA7" s="1">
        <v>32767</v>
      </c>
      <c r="EB7" s="1">
        <v>11</v>
      </c>
      <c r="ED7" s="1">
        <v>2755662078</v>
      </c>
      <c r="EE7" s="1">
        <v>16273</v>
      </c>
      <c r="EF7" s="1">
        <v>1380644</v>
      </c>
      <c r="EG7" s="1">
        <v>1380644</v>
      </c>
      <c r="EH7" s="1">
        <v>418.39</v>
      </c>
      <c r="EI7" s="1">
        <v>1</v>
      </c>
      <c r="EJ7" s="1">
        <v>0</v>
      </c>
      <c r="EK7" s="1">
        <v>90</v>
      </c>
      <c r="EL7" s="1">
        <v>60003760</v>
      </c>
      <c r="EM7" s="1">
        <v>32767</v>
      </c>
      <c r="EN7" s="1">
        <v>6</v>
      </c>
      <c r="EP7" s="1">
        <v>2771538817</v>
      </c>
      <c r="EQ7" s="1">
        <v>17889</v>
      </c>
      <c r="ER7" s="1">
        <v>115126</v>
      </c>
      <c r="ES7" s="1">
        <v>115126</v>
      </c>
      <c r="ET7" s="1">
        <v>434.74</v>
      </c>
      <c r="EU7" s="1">
        <v>1</v>
      </c>
      <c r="EV7" s="1">
        <v>0</v>
      </c>
      <c r="EW7" s="1">
        <v>90</v>
      </c>
      <c r="EX7" s="1">
        <v>60003760</v>
      </c>
      <c r="EY7" s="1">
        <v>32767</v>
      </c>
      <c r="EZ7" s="1">
        <v>7</v>
      </c>
      <c r="FB7" s="1">
        <v>2871651623</v>
      </c>
      <c r="FC7" s="1">
        <v>30259</v>
      </c>
      <c r="FD7" s="1">
        <v>5000</v>
      </c>
      <c r="FE7" s="1">
        <v>5000</v>
      </c>
      <c r="FF7" s="1">
        <v>6987500</v>
      </c>
      <c r="FG7" s="1">
        <v>1</v>
      </c>
      <c r="FH7" s="1">
        <v>0</v>
      </c>
      <c r="FI7" s="1">
        <v>90</v>
      </c>
      <c r="FJ7" s="1">
        <v>60003760</v>
      </c>
      <c r="FK7" s="1">
        <v>32767</v>
      </c>
      <c r="FL7" s="1">
        <v>0</v>
      </c>
      <c r="FN7" s="1">
        <v>2784063600</v>
      </c>
      <c r="FO7" s="1">
        <v>25617</v>
      </c>
      <c r="FP7" s="1">
        <v>1</v>
      </c>
      <c r="FQ7" s="1">
        <v>1</v>
      </c>
      <c r="FR7" s="1">
        <v>5900000</v>
      </c>
      <c r="FS7" s="1">
        <v>1</v>
      </c>
      <c r="FT7" s="1">
        <v>0</v>
      </c>
      <c r="FU7" s="1">
        <v>90</v>
      </c>
      <c r="FV7" s="1">
        <v>60003760</v>
      </c>
      <c r="FW7" s="1">
        <v>32767</v>
      </c>
      <c r="FX7" s="1">
        <v>0</v>
      </c>
      <c r="FZ7" s="1">
        <v>2802576834</v>
      </c>
      <c r="GA7" s="1">
        <v>44</v>
      </c>
      <c r="GB7" s="1">
        <v>1470</v>
      </c>
      <c r="GC7" s="1">
        <v>1470</v>
      </c>
      <c r="GD7" s="1">
        <v>14898.9</v>
      </c>
      <c r="GE7" s="1">
        <v>1</v>
      </c>
      <c r="GF7" s="1">
        <v>0</v>
      </c>
      <c r="GG7" s="1">
        <v>90</v>
      </c>
      <c r="GH7" s="1">
        <v>60003760</v>
      </c>
      <c r="GI7" s="1">
        <v>32767</v>
      </c>
      <c r="GJ7" s="1">
        <v>4</v>
      </c>
      <c r="GL7" s="1">
        <v>2413141132</v>
      </c>
      <c r="GM7" s="1">
        <v>16681</v>
      </c>
      <c r="GN7" s="1">
        <v>288000</v>
      </c>
      <c r="GO7" s="1">
        <v>288000</v>
      </c>
      <c r="GP7" s="1">
        <v>6198.89</v>
      </c>
      <c r="GQ7" s="1">
        <v>1</v>
      </c>
      <c r="GR7" s="1">
        <v>0</v>
      </c>
      <c r="GS7" s="1">
        <v>90</v>
      </c>
      <c r="GT7" s="1">
        <v>60003760</v>
      </c>
      <c r="GU7" s="1">
        <v>32767</v>
      </c>
      <c r="GV7" s="1">
        <v>0</v>
      </c>
      <c r="GX7" s="1">
        <v>2837599473</v>
      </c>
      <c r="GY7" s="1">
        <v>16683</v>
      </c>
      <c r="GZ7" s="1">
        <v>50000</v>
      </c>
      <c r="HA7" s="1">
        <v>50000</v>
      </c>
      <c r="HB7" s="1">
        <v>12248.19</v>
      </c>
      <c r="HC7" s="1">
        <v>1</v>
      </c>
      <c r="HD7" s="1">
        <v>0</v>
      </c>
      <c r="HE7" s="1">
        <v>30</v>
      </c>
      <c r="HF7" s="1">
        <v>60003760</v>
      </c>
      <c r="HG7" s="1">
        <v>32767</v>
      </c>
      <c r="HH7" s="1">
        <v>0</v>
      </c>
      <c r="HJ7" s="1">
        <v>2756665442</v>
      </c>
      <c r="HK7" s="1">
        <v>11724</v>
      </c>
      <c r="HL7" s="1">
        <v>15671</v>
      </c>
      <c r="HM7" s="1">
        <v>15670</v>
      </c>
      <c r="HN7" s="1">
        <v>45000</v>
      </c>
      <c r="HO7" s="1">
        <v>1</v>
      </c>
      <c r="HP7" s="1">
        <v>0</v>
      </c>
      <c r="HQ7" s="1">
        <v>90</v>
      </c>
      <c r="HR7" s="1">
        <v>60003760</v>
      </c>
      <c r="HS7" s="1">
        <v>32767</v>
      </c>
      <c r="HT7" s="1">
        <v>0</v>
      </c>
      <c r="HV7" s="1">
        <v>2760974968</v>
      </c>
      <c r="HW7" s="1">
        <v>16274</v>
      </c>
      <c r="HX7" s="1">
        <v>1000000</v>
      </c>
      <c r="HY7" s="1">
        <v>1000000</v>
      </c>
      <c r="HZ7" s="1">
        <v>395</v>
      </c>
      <c r="IA7" s="1">
        <v>1</v>
      </c>
      <c r="IB7" s="1">
        <v>0</v>
      </c>
      <c r="IC7" s="1">
        <v>90</v>
      </c>
      <c r="ID7" s="1">
        <v>60003760</v>
      </c>
      <c r="IE7" s="1">
        <v>32767</v>
      </c>
      <c r="IF7" s="1">
        <v>2</v>
      </c>
      <c r="IH7" s="1">
        <v>2853607714</v>
      </c>
      <c r="II7" s="1">
        <v>10213</v>
      </c>
      <c r="IJ7" s="1">
        <v>10</v>
      </c>
      <c r="IK7" s="1">
        <v>10</v>
      </c>
      <c r="IL7" s="1">
        <v>132940000</v>
      </c>
      <c r="IM7" s="1">
        <v>1</v>
      </c>
      <c r="IN7" s="1">
        <v>0</v>
      </c>
      <c r="IO7" s="1">
        <v>30</v>
      </c>
      <c r="IP7" s="1">
        <v>60003760</v>
      </c>
      <c r="IQ7" s="1">
        <v>32767</v>
      </c>
      <c r="IR7" s="1">
        <v>0</v>
      </c>
      <c r="IT7" s="1">
        <v>2821897832</v>
      </c>
      <c r="IU7" s="1">
        <v>16679</v>
      </c>
      <c r="IV7" s="1">
        <v>246000</v>
      </c>
      <c r="IW7" s="1">
        <v>246000</v>
      </c>
      <c r="IX7" s="1">
        <v>2010.99</v>
      </c>
      <c r="IY7" s="1">
        <v>1</v>
      </c>
      <c r="IZ7" s="1">
        <v>0</v>
      </c>
      <c r="JA7" s="1">
        <v>90</v>
      </c>
      <c r="JB7" s="1">
        <v>60003760</v>
      </c>
      <c r="JC7" s="1">
        <v>32767</v>
      </c>
      <c r="JD7" s="1">
        <v>0</v>
      </c>
      <c r="JF7" s="1">
        <v>2779433028</v>
      </c>
      <c r="JG7" s="1">
        <v>16272</v>
      </c>
      <c r="JH7" s="1">
        <v>141740</v>
      </c>
      <c r="JI7" s="1">
        <v>141740</v>
      </c>
      <c r="JJ7" s="1">
        <v>83</v>
      </c>
      <c r="JK7" s="1">
        <v>1</v>
      </c>
      <c r="JL7" s="1">
        <v>0</v>
      </c>
      <c r="JM7" s="1">
        <v>90</v>
      </c>
      <c r="JN7" s="1">
        <v>60006433</v>
      </c>
      <c r="JO7" s="1">
        <v>32767</v>
      </c>
      <c r="JP7" s="1">
        <v>9</v>
      </c>
      <c r="JR7" s="1">
        <v>2859285341</v>
      </c>
      <c r="JS7" s="1">
        <v>10226</v>
      </c>
      <c r="JT7" s="1">
        <v>8</v>
      </c>
      <c r="JU7" s="1">
        <v>8</v>
      </c>
      <c r="JV7" s="1">
        <v>124994444.11</v>
      </c>
      <c r="JW7" s="1">
        <v>1</v>
      </c>
      <c r="JX7" s="1">
        <v>0</v>
      </c>
      <c r="JY7" s="1">
        <v>90</v>
      </c>
      <c r="JZ7" s="1">
        <v>60003760</v>
      </c>
      <c r="KA7" s="1">
        <v>32767</v>
      </c>
      <c r="KB7" s="1">
        <v>1</v>
      </c>
      <c r="KD7" s="1">
        <v>2819940829</v>
      </c>
      <c r="KE7" s="1">
        <v>25605</v>
      </c>
      <c r="KF7" s="1">
        <v>1396</v>
      </c>
      <c r="KG7" s="1">
        <v>1396</v>
      </c>
      <c r="KH7" s="1">
        <v>134499.99</v>
      </c>
      <c r="KI7" s="1">
        <v>1</v>
      </c>
      <c r="KJ7" s="1">
        <v>0</v>
      </c>
      <c r="KK7" s="1">
        <v>90</v>
      </c>
      <c r="KL7" s="1">
        <v>60003760</v>
      </c>
      <c r="KM7" s="1">
        <v>32767</v>
      </c>
      <c r="KN7" s="1">
        <v>6</v>
      </c>
      <c r="KP7" s="1">
        <v>2817832427</v>
      </c>
      <c r="KQ7" s="1">
        <v>25624</v>
      </c>
      <c r="KR7" s="1">
        <v>1</v>
      </c>
      <c r="KS7" s="1">
        <v>1</v>
      </c>
      <c r="KT7" s="1">
        <v>20038776.390000001</v>
      </c>
      <c r="KU7" s="1">
        <v>1</v>
      </c>
      <c r="KV7" s="1">
        <v>0</v>
      </c>
      <c r="KW7" s="1">
        <v>90</v>
      </c>
      <c r="KX7" s="1">
        <v>60003760</v>
      </c>
      <c r="KY7" s="1">
        <v>32767</v>
      </c>
      <c r="KZ7" s="1">
        <v>1</v>
      </c>
      <c r="LB7" s="1">
        <v>2814554144</v>
      </c>
      <c r="LC7" s="1">
        <v>9832</v>
      </c>
      <c r="LD7" s="1">
        <v>58647</v>
      </c>
      <c r="LE7" s="1">
        <v>58647</v>
      </c>
      <c r="LF7" s="1">
        <v>9709</v>
      </c>
      <c r="LG7" s="1">
        <v>1</v>
      </c>
      <c r="LH7" s="1">
        <v>0</v>
      </c>
      <c r="LI7" s="1">
        <v>90</v>
      </c>
      <c r="LJ7" s="1">
        <v>60003760</v>
      </c>
      <c r="LK7" s="1">
        <v>32767</v>
      </c>
      <c r="LL7" s="1">
        <v>0</v>
      </c>
      <c r="LN7" s="1">
        <v>2857370489</v>
      </c>
      <c r="LO7" s="1">
        <v>10209</v>
      </c>
      <c r="LP7" s="1">
        <v>1</v>
      </c>
      <c r="LQ7" s="1">
        <v>1</v>
      </c>
      <c r="LR7" s="1">
        <v>124000000</v>
      </c>
      <c r="LS7" s="1">
        <v>1</v>
      </c>
      <c r="LT7" s="1">
        <v>0</v>
      </c>
      <c r="LU7" s="1">
        <v>90</v>
      </c>
      <c r="LV7" s="1">
        <v>60003760</v>
      </c>
      <c r="LW7" s="1">
        <v>32767</v>
      </c>
      <c r="LX7" s="1">
        <v>1</v>
      </c>
      <c r="LZ7" s="1">
        <v>2853608392</v>
      </c>
      <c r="MA7" s="1">
        <v>10217</v>
      </c>
      <c r="MB7" s="1">
        <v>5</v>
      </c>
      <c r="MC7" s="1">
        <v>5</v>
      </c>
      <c r="MD7" s="1">
        <v>131420000</v>
      </c>
      <c r="ME7" s="1">
        <v>1</v>
      </c>
      <c r="MF7" s="1">
        <v>0</v>
      </c>
      <c r="MG7" s="1">
        <v>30</v>
      </c>
      <c r="MH7" s="1">
        <v>60003760</v>
      </c>
      <c r="MI7" s="1">
        <v>32767</v>
      </c>
      <c r="MJ7" s="1">
        <v>0</v>
      </c>
      <c r="ML7" s="1">
        <v>2811185495</v>
      </c>
      <c r="MM7" s="1">
        <v>25625</v>
      </c>
      <c r="MN7" s="1">
        <v>40</v>
      </c>
      <c r="MO7" s="1">
        <v>40</v>
      </c>
      <c r="MP7" s="1">
        <v>5048996.66</v>
      </c>
      <c r="MQ7" s="1">
        <v>1</v>
      </c>
      <c r="MR7" s="1">
        <v>0</v>
      </c>
      <c r="MS7" s="1">
        <v>90</v>
      </c>
      <c r="MT7" s="1">
        <v>60003760</v>
      </c>
      <c r="MU7" s="1">
        <v>32767</v>
      </c>
      <c r="MV7" s="1">
        <v>0</v>
      </c>
      <c r="MX7" s="1">
        <v>2815201753</v>
      </c>
      <c r="MY7" s="1">
        <v>16672</v>
      </c>
      <c r="MZ7" s="1">
        <v>1210000</v>
      </c>
      <c r="NA7" s="1">
        <v>1210000</v>
      </c>
      <c r="NB7" s="1">
        <v>172</v>
      </c>
      <c r="NC7" s="1">
        <v>1</v>
      </c>
      <c r="ND7" s="1">
        <v>0</v>
      </c>
      <c r="NE7" s="1">
        <v>90</v>
      </c>
      <c r="NF7" s="1">
        <v>60003760</v>
      </c>
      <c r="NG7" s="1">
        <v>32767</v>
      </c>
      <c r="NH7" s="1">
        <v>0</v>
      </c>
      <c r="NJ7" s="1">
        <v>2823090633</v>
      </c>
      <c r="NK7" s="1">
        <v>16673</v>
      </c>
      <c r="NL7" s="1">
        <v>19670000</v>
      </c>
      <c r="NM7" s="1">
        <v>18520120</v>
      </c>
      <c r="NN7" s="1">
        <v>120.52</v>
      </c>
      <c r="NO7" s="1">
        <v>1</v>
      </c>
      <c r="NP7" s="1">
        <v>0</v>
      </c>
      <c r="NQ7" s="1">
        <v>90</v>
      </c>
      <c r="NR7" s="1">
        <v>60003760</v>
      </c>
      <c r="NS7" s="1">
        <v>32767</v>
      </c>
      <c r="NT7" s="1">
        <v>6</v>
      </c>
      <c r="NV7" s="1">
        <v>2827956599</v>
      </c>
      <c r="NW7" s="1">
        <v>3689</v>
      </c>
      <c r="NX7" s="1">
        <v>1266</v>
      </c>
      <c r="NY7" s="1">
        <v>1266</v>
      </c>
      <c r="NZ7" s="1">
        <v>12798.98</v>
      </c>
      <c r="OA7" s="1">
        <v>1</v>
      </c>
      <c r="OB7" s="1">
        <v>0</v>
      </c>
      <c r="OC7" s="1">
        <v>90</v>
      </c>
      <c r="OD7" s="1">
        <v>60003760</v>
      </c>
      <c r="OE7" s="1">
        <v>32767</v>
      </c>
      <c r="OF7" s="1">
        <v>0</v>
      </c>
      <c r="OH7" s="1">
        <v>2849460647</v>
      </c>
      <c r="OI7" s="1">
        <v>25598</v>
      </c>
      <c r="OJ7" s="1">
        <v>50</v>
      </c>
      <c r="OK7" s="1">
        <v>50</v>
      </c>
      <c r="OL7" s="1">
        <v>140000</v>
      </c>
      <c r="OM7" s="1">
        <v>1</v>
      </c>
      <c r="ON7" s="1">
        <v>0</v>
      </c>
      <c r="OO7" s="1">
        <v>30</v>
      </c>
      <c r="OP7" s="1">
        <v>60005605</v>
      </c>
      <c r="OQ7" s="1">
        <v>32767</v>
      </c>
      <c r="OR7" s="1">
        <v>3</v>
      </c>
      <c r="OT7" s="1">
        <v>2859402212</v>
      </c>
      <c r="OU7" s="1">
        <v>25600</v>
      </c>
      <c r="OV7" s="1">
        <v>42</v>
      </c>
      <c r="OW7" s="1">
        <v>42</v>
      </c>
      <c r="OX7" s="1">
        <v>30900</v>
      </c>
      <c r="OY7" s="1">
        <v>1</v>
      </c>
      <c r="OZ7" s="1">
        <v>0</v>
      </c>
      <c r="PA7" s="1">
        <v>30</v>
      </c>
      <c r="PB7" s="1">
        <v>60004228</v>
      </c>
      <c r="PC7" s="1">
        <v>32767</v>
      </c>
      <c r="PD7" s="1">
        <v>3</v>
      </c>
      <c r="PF7" s="1">
        <v>2825316135</v>
      </c>
      <c r="PG7" s="1">
        <v>16670</v>
      </c>
      <c r="PH7" s="1">
        <v>10325000</v>
      </c>
      <c r="PI7" s="1">
        <v>10325000</v>
      </c>
      <c r="PJ7" s="1">
        <v>135</v>
      </c>
      <c r="PK7" s="1">
        <v>1</v>
      </c>
      <c r="PL7" s="1">
        <v>0</v>
      </c>
      <c r="PM7" s="1">
        <v>90</v>
      </c>
      <c r="PN7" s="1">
        <v>60003760</v>
      </c>
      <c r="PO7" s="1">
        <v>32767</v>
      </c>
      <c r="PP7" s="1">
        <v>7</v>
      </c>
      <c r="PR7" s="1">
        <v>2853607088</v>
      </c>
      <c r="PS7" s="1">
        <v>10222</v>
      </c>
      <c r="PT7" s="1">
        <v>12</v>
      </c>
      <c r="PU7" s="1">
        <v>11</v>
      </c>
      <c r="PV7" s="1">
        <v>137900000</v>
      </c>
      <c r="PW7" s="1">
        <v>1</v>
      </c>
      <c r="PX7" s="1">
        <v>0</v>
      </c>
      <c r="PY7" s="1">
        <v>30</v>
      </c>
      <c r="PZ7" s="1">
        <v>60003760</v>
      </c>
      <c r="QA7" s="1">
        <v>32767</v>
      </c>
      <c r="QB7" s="1">
        <v>0</v>
      </c>
      <c r="QD7" s="1">
        <v>2811498591</v>
      </c>
      <c r="QE7" s="1">
        <v>9830</v>
      </c>
      <c r="QF7" s="1">
        <v>33270</v>
      </c>
      <c r="QG7" s="1">
        <v>33270</v>
      </c>
      <c r="QH7" s="1">
        <v>8500</v>
      </c>
      <c r="QI7" s="1">
        <v>1</v>
      </c>
      <c r="QJ7" s="1">
        <v>0</v>
      </c>
      <c r="QK7" s="1">
        <v>90</v>
      </c>
      <c r="QL7" s="1">
        <v>60003760</v>
      </c>
      <c r="QM7" s="1">
        <v>32767</v>
      </c>
      <c r="QN7" s="1">
        <v>0</v>
      </c>
      <c r="QP7" s="1">
        <v>2836503914</v>
      </c>
      <c r="QQ7" s="1">
        <v>16671</v>
      </c>
      <c r="QR7" s="1">
        <v>474696</v>
      </c>
      <c r="QS7" s="1">
        <v>474696</v>
      </c>
      <c r="QT7" s="1">
        <v>123.48</v>
      </c>
      <c r="QU7" s="1">
        <v>1</v>
      </c>
      <c r="QV7" s="1">
        <v>0</v>
      </c>
      <c r="QW7" s="1">
        <v>90</v>
      </c>
      <c r="QX7" s="1">
        <v>60003760</v>
      </c>
      <c r="QY7" s="1">
        <v>32767</v>
      </c>
      <c r="QZ7" s="1">
        <v>7</v>
      </c>
      <c r="RB7" s="1">
        <v>2777427304</v>
      </c>
      <c r="RC7" s="1">
        <v>16682</v>
      </c>
      <c r="RD7" s="1">
        <v>660000</v>
      </c>
      <c r="RE7" s="1">
        <v>217</v>
      </c>
      <c r="RF7" s="1">
        <v>3503.08</v>
      </c>
      <c r="RG7" s="1">
        <v>1</v>
      </c>
      <c r="RH7" s="1">
        <v>0</v>
      </c>
      <c r="RI7" s="1">
        <v>90</v>
      </c>
      <c r="RJ7" s="1">
        <v>60003760</v>
      </c>
      <c r="RK7" s="1">
        <v>32767</v>
      </c>
      <c r="RL7" s="1">
        <v>8</v>
      </c>
      <c r="RN7" s="1">
        <v>2855759057</v>
      </c>
      <c r="RO7" s="1">
        <v>16678</v>
      </c>
      <c r="RP7" s="1">
        <v>436000</v>
      </c>
      <c r="RQ7" s="1">
        <v>436000</v>
      </c>
      <c r="RR7" s="1">
        <v>320</v>
      </c>
      <c r="RS7" s="1">
        <v>1</v>
      </c>
      <c r="RT7" s="1">
        <v>0</v>
      </c>
      <c r="RU7" s="1">
        <v>90</v>
      </c>
      <c r="RV7" s="1">
        <v>60003760</v>
      </c>
      <c r="RW7" s="1">
        <v>32767</v>
      </c>
      <c r="RX7" s="1">
        <v>6</v>
      </c>
      <c r="RZ7" s="1">
        <v>2782547328</v>
      </c>
      <c r="SA7" s="1">
        <v>30310</v>
      </c>
      <c r="SB7" s="1">
        <v>980</v>
      </c>
      <c r="SC7" s="1">
        <v>980</v>
      </c>
      <c r="SD7" s="1">
        <v>1427997</v>
      </c>
      <c r="SE7" s="1">
        <v>1</v>
      </c>
      <c r="SF7" s="1">
        <v>0</v>
      </c>
      <c r="SG7" s="1">
        <v>90</v>
      </c>
      <c r="SH7" s="1">
        <v>60003760</v>
      </c>
      <c r="SI7" s="1">
        <v>32767</v>
      </c>
      <c r="SJ7" s="1">
        <v>0</v>
      </c>
      <c r="SL7" s="1">
        <v>2781700753</v>
      </c>
      <c r="SM7" s="1">
        <v>30311</v>
      </c>
      <c r="SN7" s="1">
        <v>188</v>
      </c>
      <c r="SO7" s="1">
        <v>188</v>
      </c>
      <c r="SP7" s="1">
        <v>4150050.4</v>
      </c>
      <c r="SQ7" s="1">
        <v>1</v>
      </c>
      <c r="SR7" s="1">
        <v>0</v>
      </c>
      <c r="SS7" s="1">
        <v>90</v>
      </c>
      <c r="ST7" s="1">
        <v>60003760</v>
      </c>
      <c r="SU7" s="1">
        <v>32767</v>
      </c>
      <c r="SV7" s="1">
        <v>0</v>
      </c>
      <c r="SX7" s="1">
        <v>2874588985</v>
      </c>
      <c r="SY7" s="1">
        <v>25595</v>
      </c>
      <c r="SZ7" s="1">
        <v>46</v>
      </c>
      <c r="TA7" s="1">
        <v>46</v>
      </c>
      <c r="TB7" s="1">
        <v>77426</v>
      </c>
      <c r="TC7" s="1">
        <v>1</v>
      </c>
      <c r="TD7" s="1">
        <v>0</v>
      </c>
      <c r="TE7" s="1">
        <v>30</v>
      </c>
      <c r="TF7" s="1">
        <v>60000448</v>
      </c>
      <c r="TG7" s="1">
        <v>32767</v>
      </c>
      <c r="TH7" s="1">
        <v>8</v>
      </c>
      <c r="TJ7" s="1">
        <v>2758772659</v>
      </c>
      <c r="TK7" s="1">
        <v>25606</v>
      </c>
      <c r="TL7" s="1">
        <v>2500</v>
      </c>
      <c r="TM7" s="1">
        <v>1103</v>
      </c>
      <c r="TN7" s="1">
        <v>32999</v>
      </c>
      <c r="TO7" s="1">
        <v>1</v>
      </c>
      <c r="TP7" s="1">
        <v>0</v>
      </c>
      <c r="TQ7" s="1">
        <v>90</v>
      </c>
      <c r="TR7" s="1">
        <v>60003760</v>
      </c>
      <c r="TS7" s="1">
        <v>32767</v>
      </c>
      <c r="TT7" s="1">
        <v>0</v>
      </c>
      <c r="TV7" s="1">
        <v>2784977733</v>
      </c>
      <c r="TW7" s="1">
        <v>25622</v>
      </c>
      <c r="TX7" s="1">
        <v>272</v>
      </c>
      <c r="TY7" s="1">
        <v>272</v>
      </c>
      <c r="TZ7" s="1">
        <v>16889747.84</v>
      </c>
      <c r="UA7" s="1">
        <v>1</v>
      </c>
      <c r="UB7" s="1">
        <v>0</v>
      </c>
      <c r="UC7" s="1">
        <v>90</v>
      </c>
      <c r="UD7" s="1">
        <v>60003760</v>
      </c>
      <c r="UE7" s="1">
        <v>32767</v>
      </c>
      <c r="UF7" s="1">
        <v>0</v>
      </c>
      <c r="UH7" s="1">
        <v>2813243491</v>
      </c>
      <c r="UI7" s="1">
        <v>16680</v>
      </c>
      <c r="UJ7" s="1">
        <v>200000</v>
      </c>
      <c r="UK7" s="1">
        <v>198920</v>
      </c>
      <c r="UL7" s="1">
        <v>774.96</v>
      </c>
      <c r="UM7" s="1">
        <v>1</v>
      </c>
      <c r="UN7" s="1">
        <v>0</v>
      </c>
      <c r="UO7" s="1">
        <v>90</v>
      </c>
      <c r="UP7" s="1">
        <v>60003760</v>
      </c>
      <c r="UQ7" s="1">
        <v>32767</v>
      </c>
      <c r="UR7" s="1">
        <v>6</v>
      </c>
      <c r="UT7" s="1">
        <v>2808370655</v>
      </c>
      <c r="UU7" s="1">
        <v>17317</v>
      </c>
      <c r="UV7" s="1">
        <v>16</v>
      </c>
      <c r="UW7" s="1">
        <v>16</v>
      </c>
      <c r="UX7" s="1">
        <v>35998.75</v>
      </c>
      <c r="UY7" s="1">
        <v>1</v>
      </c>
      <c r="UZ7" s="1">
        <v>0</v>
      </c>
      <c r="VA7" s="1">
        <v>90</v>
      </c>
      <c r="VB7" s="1">
        <v>60003760</v>
      </c>
      <c r="VC7" s="1">
        <v>32767</v>
      </c>
      <c r="VD7" s="1">
        <v>0</v>
      </c>
      <c r="VF7" s="1">
        <v>2862274851</v>
      </c>
      <c r="VG7" s="1">
        <v>11725</v>
      </c>
      <c r="VH7" s="1">
        <v>1675</v>
      </c>
      <c r="VI7" s="1">
        <v>1675</v>
      </c>
      <c r="VJ7" s="1">
        <v>58998</v>
      </c>
      <c r="VK7" s="1">
        <v>1</v>
      </c>
      <c r="VL7" s="1">
        <v>0</v>
      </c>
      <c r="VM7" s="1">
        <v>90</v>
      </c>
      <c r="VN7" s="1">
        <v>60003760</v>
      </c>
      <c r="VO7" s="1">
        <v>32767</v>
      </c>
      <c r="VP7" s="1">
        <v>6</v>
      </c>
    </row>
    <row r="8" spans="1:588" x14ac:dyDescent="0.25">
      <c r="B8" s="1">
        <v>2851473840</v>
      </c>
      <c r="C8" s="1">
        <v>34</v>
      </c>
      <c r="D8" s="1">
        <v>6480282</v>
      </c>
      <c r="E8" s="1">
        <v>6480282</v>
      </c>
      <c r="F8" s="1">
        <v>6</v>
      </c>
      <c r="G8" s="1">
        <v>1</v>
      </c>
      <c r="H8" s="1">
        <v>0</v>
      </c>
      <c r="I8" s="1">
        <v>30</v>
      </c>
      <c r="J8" s="1">
        <v>60003061</v>
      </c>
      <c r="K8" s="1">
        <v>32767</v>
      </c>
      <c r="L8" s="1">
        <v>3</v>
      </c>
      <c r="N8" s="1">
        <v>2855589636</v>
      </c>
      <c r="O8" s="1">
        <v>35</v>
      </c>
      <c r="P8" s="1">
        <v>2063288</v>
      </c>
      <c r="Q8" s="1">
        <v>2063288</v>
      </c>
      <c r="R8" s="1">
        <v>16</v>
      </c>
      <c r="S8" s="1">
        <v>1</v>
      </c>
      <c r="T8" s="1">
        <v>0</v>
      </c>
      <c r="U8" s="1">
        <v>90</v>
      </c>
      <c r="V8" s="1">
        <v>60003061</v>
      </c>
      <c r="W8" s="1">
        <v>32767</v>
      </c>
      <c r="X8" s="1">
        <v>3</v>
      </c>
      <c r="Z8" s="1">
        <v>2877228178</v>
      </c>
      <c r="AA8" s="1">
        <v>36</v>
      </c>
      <c r="AB8" s="1">
        <v>185689</v>
      </c>
      <c r="AC8" s="1">
        <v>63679</v>
      </c>
      <c r="AD8" s="16">
        <v>47.87</v>
      </c>
      <c r="AE8" s="1">
        <v>1</v>
      </c>
      <c r="AF8" s="1">
        <v>0</v>
      </c>
      <c r="AG8" s="1">
        <v>1</v>
      </c>
      <c r="AH8" s="1">
        <v>60003067</v>
      </c>
      <c r="AI8" s="1">
        <v>32767</v>
      </c>
      <c r="AJ8" s="1">
        <v>13</v>
      </c>
      <c r="AL8" s="1">
        <v>2872192204</v>
      </c>
      <c r="AM8" s="1">
        <v>37</v>
      </c>
      <c r="AN8" s="1">
        <v>50000</v>
      </c>
      <c r="AO8" s="1">
        <v>50000</v>
      </c>
      <c r="AP8" s="16">
        <v>198</v>
      </c>
      <c r="AQ8" s="1">
        <v>1</v>
      </c>
      <c r="AR8" s="1">
        <v>0</v>
      </c>
      <c r="AS8" s="1">
        <v>90</v>
      </c>
      <c r="AT8" s="1">
        <v>60014659</v>
      </c>
      <c r="AU8" s="1">
        <v>32767</v>
      </c>
      <c r="AV8" s="1">
        <v>11</v>
      </c>
      <c r="AX8" s="1">
        <v>2818939915</v>
      </c>
      <c r="AY8" s="1">
        <v>38</v>
      </c>
      <c r="AZ8" s="1">
        <v>3254663</v>
      </c>
      <c r="BA8" s="1">
        <v>3254663</v>
      </c>
      <c r="BB8" s="1">
        <v>843.99</v>
      </c>
      <c r="BC8" s="1">
        <v>1</v>
      </c>
      <c r="BD8" s="1">
        <v>0</v>
      </c>
      <c r="BE8" s="1">
        <v>90</v>
      </c>
      <c r="BF8" s="1">
        <v>60003760</v>
      </c>
      <c r="BG8" s="1">
        <v>32767</v>
      </c>
      <c r="BH8" s="1">
        <v>5</v>
      </c>
      <c r="BJ8" s="1">
        <v>2829188402</v>
      </c>
      <c r="BK8" s="1">
        <v>39</v>
      </c>
      <c r="BL8" s="1">
        <v>400000</v>
      </c>
      <c r="BM8" s="1">
        <v>400000</v>
      </c>
      <c r="BN8" s="1">
        <v>943</v>
      </c>
      <c r="BO8" s="1">
        <v>1</v>
      </c>
      <c r="BP8" s="1">
        <v>0</v>
      </c>
      <c r="BQ8" s="1">
        <v>90</v>
      </c>
      <c r="BR8" s="1">
        <v>60003760</v>
      </c>
      <c r="BS8" s="1">
        <v>32767</v>
      </c>
      <c r="BT8" s="1">
        <v>5</v>
      </c>
      <c r="BV8" s="1">
        <v>2396606919</v>
      </c>
      <c r="BW8" s="1">
        <v>40</v>
      </c>
      <c r="BX8" s="1">
        <v>916728</v>
      </c>
      <c r="BY8" s="1">
        <v>916728</v>
      </c>
      <c r="BZ8" s="1">
        <v>2827.78</v>
      </c>
      <c r="CA8" s="1">
        <v>1</v>
      </c>
      <c r="CB8" s="1">
        <v>0</v>
      </c>
      <c r="CC8" s="1">
        <v>90</v>
      </c>
      <c r="CD8" s="1">
        <v>60003760</v>
      </c>
      <c r="CE8" s="1">
        <v>32767</v>
      </c>
      <c r="CF8" s="1">
        <v>13</v>
      </c>
      <c r="CH8" s="1">
        <v>2412970262</v>
      </c>
      <c r="CI8" s="1">
        <v>29668</v>
      </c>
      <c r="CJ8" s="1">
        <v>7</v>
      </c>
      <c r="CK8" s="1">
        <v>7</v>
      </c>
      <c r="CL8" s="1">
        <v>505000000</v>
      </c>
      <c r="CM8" s="1">
        <v>1</v>
      </c>
      <c r="CN8" s="1">
        <v>0</v>
      </c>
      <c r="CO8" s="1">
        <v>90</v>
      </c>
      <c r="CP8" s="1">
        <v>60003760</v>
      </c>
      <c r="CQ8" s="1">
        <v>32767</v>
      </c>
      <c r="CR8" s="1">
        <v>0</v>
      </c>
      <c r="CT8" s="1">
        <v>2414353625</v>
      </c>
      <c r="CU8" s="1">
        <v>16649</v>
      </c>
      <c r="CV8" s="1">
        <v>50000</v>
      </c>
      <c r="CW8" s="1">
        <v>50000</v>
      </c>
      <c r="CX8" s="1">
        <v>107796.09</v>
      </c>
      <c r="CY8" s="1">
        <v>1</v>
      </c>
      <c r="CZ8" s="1">
        <v>0</v>
      </c>
      <c r="DA8" s="1">
        <v>90</v>
      </c>
      <c r="DB8" s="1">
        <v>60003760</v>
      </c>
      <c r="DC8" s="1">
        <v>32767</v>
      </c>
      <c r="DD8" s="1">
        <v>8</v>
      </c>
      <c r="DF8" s="1">
        <v>2413758013</v>
      </c>
      <c r="DG8" s="1">
        <v>17887</v>
      </c>
      <c r="DH8" s="1">
        <v>469511</v>
      </c>
      <c r="DI8" s="1">
        <v>85396</v>
      </c>
      <c r="DJ8" s="1">
        <v>947.58</v>
      </c>
      <c r="DK8" s="1">
        <v>1</v>
      </c>
      <c r="DL8" s="1">
        <v>0</v>
      </c>
      <c r="DM8" s="1">
        <v>90</v>
      </c>
      <c r="DN8" s="1">
        <v>60003760</v>
      </c>
      <c r="DO8" s="1">
        <v>32767</v>
      </c>
      <c r="DP8" s="1">
        <v>0</v>
      </c>
      <c r="DR8" s="1">
        <v>2772468692</v>
      </c>
      <c r="DS8" s="1">
        <v>17888</v>
      </c>
      <c r="DT8" s="1">
        <v>14977</v>
      </c>
      <c r="DU8" s="1">
        <v>14977</v>
      </c>
      <c r="DV8" s="1">
        <v>415</v>
      </c>
      <c r="DW8" s="1">
        <v>1</v>
      </c>
      <c r="DX8" s="1">
        <v>0</v>
      </c>
      <c r="DY8" s="1">
        <v>90</v>
      </c>
      <c r="DZ8" s="1">
        <v>60001480</v>
      </c>
      <c r="EA8" s="1">
        <v>32767</v>
      </c>
      <c r="EB8" s="1">
        <v>11</v>
      </c>
      <c r="ED8" s="1">
        <v>2755874282</v>
      </c>
      <c r="EE8" s="1">
        <v>16273</v>
      </c>
      <c r="EF8" s="1">
        <v>300000</v>
      </c>
      <c r="EG8" s="1">
        <v>300000</v>
      </c>
      <c r="EH8" s="1">
        <v>417.63</v>
      </c>
      <c r="EI8" s="1">
        <v>1</v>
      </c>
      <c r="EJ8" s="1">
        <v>0</v>
      </c>
      <c r="EK8" s="1">
        <v>90</v>
      </c>
      <c r="EL8" s="1">
        <v>60003760</v>
      </c>
      <c r="EM8" s="1">
        <v>32767</v>
      </c>
      <c r="EN8" s="1">
        <v>6</v>
      </c>
      <c r="EP8" s="1">
        <v>2778156729</v>
      </c>
      <c r="EQ8" s="1">
        <v>17889</v>
      </c>
      <c r="ER8" s="1">
        <v>2135669</v>
      </c>
      <c r="ES8" s="1">
        <v>1485849</v>
      </c>
      <c r="ET8" s="1">
        <v>404.97</v>
      </c>
      <c r="EU8" s="1">
        <v>1</v>
      </c>
      <c r="EV8" s="1">
        <v>0</v>
      </c>
      <c r="EW8" s="1">
        <v>90</v>
      </c>
      <c r="EX8" s="1">
        <v>60003760</v>
      </c>
      <c r="EY8" s="1">
        <v>32767</v>
      </c>
      <c r="EZ8" s="1">
        <v>7</v>
      </c>
      <c r="FB8" s="1">
        <v>2871653134</v>
      </c>
      <c r="FC8" s="1">
        <v>30259</v>
      </c>
      <c r="FD8" s="1">
        <v>442</v>
      </c>
      <c r="FE8" s="1">
        <v>442</v>
      </c>
      <c r="FF8" s="1">
        <v>6183862.5</v>
      </c>
      <c r="FG8" s="1">
        <v>1</v>
      </c>
      <c r="FH8" s="1">
        <v>0</v>
      </c>
      <c r="FI8" s="1">
        <v>90</v>
      </c>
      <c r="FJ8" s="1">
        <v>60003760</v>
      </c>
      <c r="FK8" s="1">
        <v>32767</v>
      </c>
      <c r="FL8" s="1">
        <v>0</v>
      </c>
      <c r="FN8" s="1">
        <v>2791404975</v>
      </c>
      <c r="FO8" s="1">
        <v>25617</v>
      </c>
      <c r="FP8" s="1">
        <v>201</v>
      </c>
      <c r="FQ8" s="1">
        <v>201</v>
      </c>
      <c r="FR8" s="1">
        <v>5599992.5</v>
      </c>
      <c r="FS8" s="1">
        <v>1</v>
      </c>
      <c r="FT8" s="1">
        <v>0</v>
      </c>
      <c r="FU8" s="1">
        <v>90</v>
      </c>
      <c r="FV8" s="1">
        <v>60003760</v>
      </c>
      <c r="FW8" s="1">
        <v>32767</v>
      </c>
      <c r="FX8" s="1">
        <v>0</v>
      </c>
      <c r="FZ8" s="1">
        <v>2802262701</v>
      </c>
      <c r="GA8" s="1">
        <v>44</v>
      </c>
      <c r="GB8" s="1">
        <v>25900</v>
      </c>
      <c r="GC8" s="1">
        <v>21892</v>
      </c>
      <c r="GD8" s="1">
        <v>14994.96</v>
      </c>
      <c r="GE8" s="1">
        <v>1</v>
      </c>
      <c r="GF8" s="1">
        <v>0</v>
      </c>
      <c r="GG8" s="1">
        <v>90</v>
      </c>
      <c r="GH8" s="1">
        <v>60003760</v>
      </c>
      <c r="GI8" s="1">
        <v>32767</v>
      </c>
      <c r="GJ8" s="1">
        <v>4</v>
      </c>
      <c r="GL8" s="1">
        <v>2412238411</v>
      </c>
      <c r="GM8" s="1">
        <v>16681</v>
      </c>
      <c r="GN8" s="1">
        <v>500000</v>
      </c>
      <c r="GO8" s="1">
        <v>498000</v>
      </c>
      <c r="GP8" s="1">
        <v>6377.84</v>
      </c>
      <c r="GQ8" s="1">
        <v>1</v>
      </c>
      <c r="GR8" s="1">
        <v>0</v>
      </c>
      <c r="GS8" s="1">
        <v>90</v>
      </c>
      <c r="GT8" s="1">
        <v>60003760</v>
      </c>
      <c r="GU8" s="1">
        <v>32767</v>
      </c>
      <c r="GV8" s="1">
        <v>0</v>
      </c>
      <c r="GX8" s="1">
        <v>2840971717</v>
      </c>
      <c r="GY8" s="1">
        <v>16683</v>
      </c>
      <c r="GZ8" s="1">
        <v>8135</v>
      </c>
      <c r="HA8" s="1">
        <v>8135</v>
      </c>
      <c r="HB8" s="1">
        <v>9299</v>
      </c>
      <c r="HC8" s="1">
        <v>1</v>
      </c>
      <c r="HD8" s="1">
        <v>0</v>
      </c>
      <c r="HE8" s="1">
        <v>30</v>
      </c>
      <c r="HF8" s="1">
        <v>60003760</v>
      </c>
      <c r="HG8" s="1">
        <v>32767</v>
      </c>
      <c r="HH8" s="1">
        <v>0</v>
      </c>
      <c r="HJ8" s="1">
        <v>2756930763</v>
      </c>
      <c r="HK8" s="1">
        <v>11724</v>
      </c>
      <c r="HL8" s="1">
        <v>43168</v>
      </c>
      <c r="HM8" s="1">
        <v>43168</v>
      </c>
      <c r="HN8" s="1">
        <v>42995</v>
      </c>
      <c r="HO8" s="1">
        <v>1</v>
      </c>
      <c r="HP8" s="1">
        <v>0</v>
      </c>
      <c r="HQ8" s="1">
        <v>90</v>
      </c>
      <c r="HR8" s="1">
        <v>60003760</v>
      </c>
      <c r="HS8" s="1">
        <v>32767</v>
      </c>
      <c r="HT8" s="1">
        <v>0</v>
      </c>
      <c r="HV8" s="1">
        <v>2759373487</v>
      </c>
      <c r="HW8" s="1">
        <v>16274</v>
      </c>
      <c r="HX8" s="1">
        <v>10000000</v>
      </c>
      <c r="HY8" s="1">
        <v>10000000</v>
      </c>
      <c r="HZ8" s="1">
        <v>488</v>
      </c>
      <c r="IA8" s="1">
        <v>1</v>
      </c>
      <c r="IB8" s="1">
        <v>0</v>
      </c>
      <c r="IC8" s="1">
        <v>90</v>
      </c>
      <c r="ID8" s="1">
        <v>60003760</v>
      </c>
      <c r="IE8" s="1">
        <v>32767</v>
      </c>
      <c r="IF8" s="1">
        <v>2</v>
      </c>
      <c r="IH8" s="1">
        <v>2853482777</v>
      </c>
      <c r="II8" s="1">
        <v>10213</v>
      </c>
      <c r="IJ8" s="1">
        <v>69</v>
      </c>
      <c r="IK8" s="1">
        <v>69</v>
      </c>
      <c r="IL8" s="1">
        <v>132980002.01000001</v>
      </c>
      <c r="IM8" s="1">
        <v>1</v>
      </c>
      <c r="IN8" s="1">
        <v>0</v>
      </c>
      <c r="IO8" s="1">
        <v>90</v>
      </c>
      <c r="IP8" s="1">
        <v>60003760</v>
      </c>
      <c r="IQ8" s="1">
        <v>32767</v>
      </c>
      <c r="IR8" s="1">
        <v>0</v>
      </c>
      <c r="IT8" s="1">
        <v>2824677151</v>
      </c>
      <c r="IU8" s="1">
        <v>16679</v>
      </c>
      <c r="IV8" s="1">
        <v>500000</v>
      </c>
      <c r="IW8" s="1">
        <v>500000</v>
      </c>
      <c r="IX8" s="1">
        <v>1850</v>
      </c>
      <c r="IY8" s="1">
        <v>1</v>
      </c>
      <c r="IZ8" s="1">
        <v>0</v>
      </c>
      <c r="JA8" s="1">
        <v>90</v>
      </c>
      <c r="JB8" s="1">
        <v>60003760</v>
      </c>
      <c r="JC8" s="1">
        <v>32767</v>
      </c>
      <c r="JD8" s="1">
        <v>0</v>
      </c>
      <c r="JF8" s="1">
        <v>2772063133</v>
      </c>
      <c r="JG8" s="1">
        <v>16272</v>
      </c>
      <c r="JH8" s="1">
        <v>861932</v>
      </c>
      <c r="JI8" s="1">
        <v>861932</v>
      </c>
      <c r="JJ8" s="1">
        <v>100</v>
      </c>
      <c r="JK8" s="1">
        <v>1</v>
      </c>
      <c r="JL8" s="1">
        <v>0</v>
      </c>
      <c r="JM8" s="1">
        <v>90</v>
      </c>
      <c r="JN8" s="1">
        <v>60006430</v>
      </c>
      <c r="JO8" s="1">
        <v>32767</v>
      </c>
      <c r="JP8" s="1">
        <v>9</v>
      </c>
      <c r="JR8" s="1">
        <v>2859246316</v>
      </c>
      <c r="JS8" s="1">
        <v>10226</v>
      </c>
      <c r="JT8" s="1">
        <v>4</v>
      </c>
      <c r="JU8" s="1">
        <v>4</v>
      </c>
      <c r="JV8" s="1">
        <v>127999995</v>
      </c>
      <c r="JW8" s="1">
        <v>1</v>
      </c>
      <c r="JX8" s="1">
        <v>0</v>
      </c>
      <c r="JY8" s="1">
        <v>90</v>
      </c>
      <c r="JZ8" s="1">
        <v>60003760</v>
      </c>
      <c r="KA8" s="1">
        <v>32767</v>
      </c>
      <c r="KB8" s="1">
        <v>1</v>
      </c>
      <c r="KD8" s="1">
        <v>2817673901</v>
      </c>
      <c r="KE8" s="1">
        <v>25605</v>
      </c>
      <c r="KF8" s="1">
        <v>3002</v>
      </c>
      <c r="KG8" s="1">
        <v>1335</v>
      </c>
      <c r="KH8" s="1">
        <v>126899.43</v>
      </c>
      <c r="KI8" s="1">
        <v>1</v>
      </c>
      <c r="KJ8" s="1">
        <v>0</v>
      </c>
      <c r="KK8" s="1">
        <v>90</v>
      </c>
      <c r="KL8" s="1">
        <v>60003760</v>
      </c>
      <c r="KM8" s="1">
        <v>32767</v>
      </c>
      <c r="KN8" s="1">
        <v>6</v>
      </c>
      <c r="KP8" s="1">
        <v>2817653189</v>
      </c>
      <c r="KQ8" s="1">
        <v>25624</v>
      </c>
      <c r="KR8" s="1">
        <v>86</v>
      </c>
      <c r="KS8" s="1">
        <v>86</v>
      </c>
      <c r="KT8" s="1">
        <v>20038999.989999998</v>
      </c>
      <c r="KU8" s="1">
        <v>1</v>
      </c>
      <c r="KV8" s="1">
        <v>0</v>
      </c>
      <c r="KW8" s="1">
        <v>90</v>
      </c>
      <c r="KX8" s="1">
        <v>60003760</v>
      </c>
      <c r="KY8" s="1">
        <v>32767</v>
      </c>
      <c r="KZ8" s="1">
        <v>1</v>
      </c>
      <c r="LB8" s="1">
        <v>2816756268</v>
      </c>
      <c r="LC8" s="1">
        <v>9832</v>
      </c>
      <c r="LD8" s="1">
        <v>1735</v>
      </c>
      <c r="LE8" s="1">
        <v>1735</v>
      </c>
      <c r="LF8" s="1">
        <v>10000</v>
      </c>
      <c r="LG8" s="1">
        <v>1</v>
      </c>
      <c r="LH8" s="1">
        <v>0</v>
      </c>
      <c r="LI8" s="1">
        <v>90</v>
      </c>
      <c r="LJ8" s="1">
        <v>60003760</v>
      </c>
      <c r="LK8" s="1">
        <v>32767</v>
      </c>
      <c r="LL8" s="1">
        <v>0</v>
      </c>
      <c r="LN8" s="1">
        <v>2857224217</v>
      </c>
      <c r="LO8" s="1">
        <v>10209</v>
      </c>
      <c r="LP8" s="1">
        <v>2</v>
      </c>
      <c r="LQ8" s="1">
        <v>2</v>
      </c>
      <c r="LR8" s="1">
        <v>123999995.34</v>
      </c>
      <c r="LS8" s="1">
        <v>1</v>
      </c>
      <c r="LT8" s="1">
        <v>0</v>
      </c>
      <c r="LU8" s="1">
        <v>90</v>
      </c>
      <c r="LV8" s="1">
        <v>60003760</v>
      </c>
      <c r="LW8" s="1">
        <v>32767</v>
      </c>
      <c r="LX8" s="1">
        <v>1</v>
      </c>
      <c r="LZ8" s="1">
        <v>2862146912</v>
      </c>
      <c r="MA8" s="1">
        <v>10217</v>
      </c>
      <c r="MB8" s="1">
        <v>1</v>
      </c>
      <c r="MC8" s="1">
        <v>1</v>
      </c>
      <c r="MD8" s="1">
        <v>130000000</v>
      </c>
      <c r="ME8" s="1">
        <v>1</v>
      </c>
      <c r="MF8" s="1">
        <v>0</v>
      </c>
      <c r="MG8" s="1">
        <v>90</v>
      </c>
      <c r="MH8" s="1">
        <v>60003760</v>
      </c>
      <c r="MI8" s="1">
        <v>32767</v>
      </c>
      <c r="MJ8" s="1">
        <v>0</v>
      </c>
      <c r="ML8" s="1">
        <v>2785862634</v>
      </c>
      <c r="MM8" s="1">
        <v>25625</v>
      </c>
      <c r="MN8" s="1">
        <v>1</v>
      </c>
      <c r="MO8" s="1">
        <v>1</v>
      </c>
      <c r="MP8" s="1">
        <v>5144002.0199999996</v>
      </c>
      <c r="MQ8" s="1">
        <v>1</v>
      </c>
      <c r="MR8" s="1">
        <v>0</v>
      </c>
      <c r="MS8" s="1">
        <v>90</v>
      </c>
      <c r="MT8" s="1">
        <v>60003760</v>
      </c>
      <c r="MU8" s="1">
        <v>32767</v>
      </c>
      <c r="MV8" s="1">
        <v>0</v>
      </c>
      <c r="MX8" s="1">
        <v>2826187815</v>
      </c>
      <c r="MY8" s="1">
        <v>16672</v>
      </c>
      <c r="MZ8" s="1">
        <v>3960000</v>
      </c>
      <c r="NA8" s="1">
        <v>3960000</v>
      </c>
      <c r="NB8" s="1">
        <v>180</v>
      </c>
      <c r="NC8" s="1">
        <v>1</v>
      </c>
      <c r="ND8" s="1">
        <v>0</v>
      </c>
      <c r="NE8" s="1">
        <v>90</v>
      </c>
      <c r="NF8" s="1">
        <v>60003760</v>
      </c>
      <c r="NG8" s="1">
        <v>32767</v>
      </c>
      <c r="NH8" s="1">
        <v>0</v>
      </c>
      <c r="NJ8" s="1">
        <v>2821896537</v>
      </c>
      <c r="NK8" s="1">
        <v>16673</v>
      </c>
      <c r="NL8" s="1">
        <v>6260000</v>
      </c>
      <c r="NM8" s="1">
        <v>6260000</v>
      </c>
      <c r="NN8" s="1">
        <v>127.55</v>
      </c>
      <c r="NO8" s="1">
        <v>1</v>
      </c>
      <c r="NP8" s="1">
        <v>0</v>
      </c>
      <c r="NQ8" s="1">
        <v>90</v>
      </c>
      <c r="NR8" s="1">
        <v>60003760</v>
      </c>
      <c r="NS8" s="1">
        <v>32767</v>
      </c>
      <c r="NT8" s="1">
        <v>6</v>
      </c>
      <c r="NV8" s="1">
        <v>2823391669</v>
      </c>
      <c r="NW8" s="1">
        <v>3689</v>
      </c>
      <c r="NX8" s="1">
        <v>78242</v>
      </c>
      <c r="NY8" s="1">
        <v>34118</v>
      </c>
      <c r="NZ8" s="1">
        <v>12965.95</v>
      </c>
      <c r="OA8" s="1">
        <v>1</v>
      </c>
      <c r="OB8" s="1">
        <v>0</v>
      </c>
      <c r="OC8" s="1">
        <v>90</v>
      </c>
      <c r="OD8" s="1">
        <v>60003760</v>
      </c>
      <c r="OE8" s="1">
        <v>32767</v>
      </c>
      <c r="OF8" s="1">
        <v>0</v>
      </c>
      <c r="OH8" s="1">
        <v>2820659697</v>
      </c>
      <c r="OI8" s="1">
        <v>25598</v>
      </c>
      <c r="OJ8" s="1">
        <v>10</v>
      </c>
      <c r="OK8" s="1">
        <v>10</v>
      </c>
      <c r="OL8" s="1">
        <v>153000</v>
      </c>
      <c r="OM8" s="1">
        <v>1</v>
      </c>
      <c r="ON8" s="1">
        <v>0</v>
      </c>
      <c r="OO8" s="1">
        <v>90</v>
      </c>
      <c r="OP8" s="1">
        <v>60004234</v>
      </c>
      <c r="OQ8" s="1">
        <v>32767</v>
      </c>
      <c r="OR8" s="1">
        <v>5</v>
      </c>
      <c r="OT8" s="1">
        <v>2835036146</v>
      </c>
      <c r="OU8" s="1">
        <v>25600</v>
      </c>
      <c r="OV8" s="1">
        <v>185</v>
      </c>
      <c r="OW8" s="1">
        <v>185</v>
      </c>
      <c r="OX8" s="1">
        <v>31000</v>
      </c>
      <c r="OY8" s="1">
        <v>1</v>
      </c>
      <c r="OZ8" s="1">
        <v>0</v>
      </c>
      <c r="PA8" s="1">
        <v>90</v>
      </c>
      <c r="PB8" s="1">
        <v>60004228</v>
      </c>
      <c r="PC8" s="1">
        <v>32767</v>
      </c>
      <c r="PD8" s="1">
        <v>3</v>
      </c>
      <c r="PF8" s="1">
        <v>2752549780</v>
      </c>
      <c r="PG8" s="1">
        <v>16670</v>
      </c>
      <c r="PH8" s="1">
        <v>3000000</v>
      </c>
      <c r="PI8" s="1">
        <v>1578919</v>
      </c>
      <c r="PJ8" s="1">
        <v>137.37</v>
      </c>
      <c r="PK8" s="1">
        <v>1</v>
      </c>
      <c r="PL8" s="1">
        <v>0</v>
      </c>
      <c r="PM8" s="1">
        <v>90</v>
      </c>
      <c r="PN8" s="1">
        <v>60003760</v>
      </c>
      <c r="PO8" s="1">
        <v>32767</v>
      </c>
      <c r="PP8" s="1">
        <v>7</v>
      </c>
      <c r="PR8" s="1">
        <v>2853574513</v>
      </c>
      <c r="PS8" s="1">
        <v>10222</v>
      </c>
      <c r="PT8" s="1">
        <v>20</v>
      </c>
      <c r="PU8" s="1">
        <v>20</v>
      </c>
      <c r="PV8" s="1">
        <v>137899998.97</v>
      </c>
      <c r="PW8" s="1">
        <v>1</v>
      </c>
      <c r="PX8" s="1">
        <v>0</v>
      </c>
      <c r="PY8" s="1">
        <v>30</v>
      </c>
      <c r="PZ8" s="1">
        <v>60003760</v>
      </c>
      <c r="QA8" s="1">
        <v>32767</v>
      </c>
      <c r="QB8" s="1">
        <v>0</v>
      </c>
      <c r="QD8" s="1">
        <v>2808699791</v>
      </c>
      <c r="QE8" s="1">
        <v>9830</v>
      </c>
      <c r="QF8" s="1">
        <v>7585</v>
      </c>
      <c r="QG8" s="1">
        <v>7585</v>
      </c>
      <c r="QH8" s="1">
        <v>8500</v>
      </c>
      <c r="QI8" s="1">
        <v>1</v>
      </c>
      <c r="QJ8" s="1">
        <v>0</v>
      </c>
      <c r="QK8" s="1">
        <v>90</v>
      </c>
      <c r="QL8" s="1">
        <v>60003760</v>
      </c>
      <c r="QM8" s="1">
        <v>32767</v>
      </c>
      <c r="QN8" s="1">
        <v>0</v>
      </c>
      <c r="QP8" s="1">
        <v>2835094939</v>
      </c>
      <c r="QQ8" s="1">
        <v>16671</v>
      </c>
      <c r="QR8" s="1">
        <v>7000000</v>
      </c>
      <c r="QS8" s="1">
        <v>7000000</v>
      </c>
      <c r="QT8" s="1">
        <v>124.53</v>
      </c>
      <c r="QU8" s="1">
        <v>1</v>
      </c>
      <c r="QV8" s="1">
        <v>0</v>
      </c>
      <c r="QW8" s="1">
        <v>90</v>
      </c>
      <c r="QX8" s="1">
        <v>60003760</v>
      </c>
      <c r="QY8" s="1">
        <v>32767</v>
      </c>
      <c r="QZ8" s="1">
        <v>7</v>
      </c>
      <c r="RB8" s="1">
        <v>2776773778</v>
      </c>
      <c r="RC8" s="1">
        <v>16682</v>
      </c>
      <c r="RD8" s="1">
        <v>980</v>
      </c>
      <c r="RE8" s="1">
        <v>980</v>
      </c>
      <c r="RF8" s="1">
        <v>3513</v>
      </c>
      <c r="RG8" s="1">
        <v>1</v>
      </c>
      <c r="RH8" s="1">
        <v>0</v>
      </c>
      <c r="RI8" s="1">
        <v>90</v>
      </c>
      <c r="RJ8" s="1">
        <v>60003760</v>
      </c>
      <c r="RK8" s="1">
        <v>32767</v>
      </c>
      <c r="RL8" s="1">
        <v>8</v>
      </c>
      <c r="RN8" s="1">
        <v>2854888149</v>
      </c>
      <c r="RO8" s="1">
        <v>16678</v>
      </c>
      <c r="RP8" s="1">
        <v>2468026</v>
      </c>
      <c r="RQ8" s="1">
        <v>713818</v>
      </c>
      <c r="RR8" s="1">
        <v>349.96</v>
      </c>
      <c r="RS8" s="1">
        <v>1</v>
      </c>
      <c r="RT8" s="1">
        <v>0</v>
      </c>
      <c r="RU8" s="1">
        <v>90</v>
      </c>
      <c r="RV8" s="1">
        <v>60003760</v>
      </c>
      <c r="RW8" s="1">
        <v>32767</v>
      </c>
      <c r="RX8" s="1">
        <v>6</v>
      </c>
      <c r="RZ8" s="1">
        <v>2834442337</v>
      </c>
      <c r="SA8" s="1">
        <v>30310</v>
      </c>
      <c r="SB8" s="1">
        <v>1144</v>
      </c>
      <c r="SC8" s="1">
        <v>1144</v>
      </c>
      <c r="SD8" s="1">
        <v>1339997.74</v>
      </c>
      <c r="SE8" s="1">
        <v>1</v>
      </c>
      <c r="SF8" s="1">
        <v>0</v>
      </c>
      <c r="SG8" s="1">
        <v>90</v>
      </c>
      <c r="SH8" s="1">
        <v>60003760</v>
      </c>
      <c r="SI8" s="1">
        <v>32767</v>
      </c>
      <c r="SJ8" s="1">
        <v>0</v>
      </c>
      <c r="SL8" s="1">
        <v>2781419599</v>
      </c>
      <c r="SM8" s="1">
        <v>30311</v>
      </c>
      <c r="SN8" s="1">
        <v>38</v>
      </c>
      <c r="SO8" s="1">
        <v>38</v>
      </c>
      <c r="SP8" s="1">
        <v>3710000</v>
      </c>
      <c r="SQ8" s="1">
        <v>1</v>
      </c>
      <c r="SR8" s="1">
        <v>0</v>
      </c>
      <c r="SS8" s="1">
        <v>90</v>
      </c>
      <c r="ST8" s="1">
        <v>60003760</v>
      </c>
      <c r="SU8" s="1">
        <v>32767</v>
      </c>
      <c r="SV8" s="1">
        <v>0</v>
      </c>
      <c r="SX8" s="1">
        <v>2806203786</v>
      </c>
      <c r="SY8" s="1">
        <v>25595</v>
      </c>
      <c r="SZ8" s="1">
        <v>49</v>
      </c>
      <c r="TA8" s="1">
        <v>49</v>
      </c>
      <c r="TB8" s="1">
        <v>95000</v>
      </c>
      <c r="TC8" s="1">
        <v>1</v>
      </c>
      <c r="TD8" s="1">
        <v>0</v>
      </c>
      <c r="TE8" s="1">
        <v>90</v>
      </c>
      <c r="TF8" s="1">
        <v>60003763</v>
      </c>
      <c r="TG8" s="1">
        <v>32767</v>
      </c>
      <c r="TH8" s="1">
        <v>7</v>
      </c>
      <c r="TJ8" s="1">
        <v>2777424533</v>
      </c>
      <c r="TK8" s="1">
        <v>25606</v>
      </c>
      <c r="TL8" s="1">
        <v>296</v>
      </c>
      <c r="TM8" s="1">
        <v>296</v>
      </c>
      <c r="TN8" s="1">
        <v>72229.97</v>
      </c>
      <c r="TO8" s="1">
        <v>1</v>
      </c>
      <c r="TP8" s="1">
        <v>0</v>
      </c>
      <c r="TQ8" s="1">
        <v>90</v>
      </c>
      <c r="TR8" s="1">
        <v>60003760</v>
      </c>
      <c r="TS8" s="1">
        <v>32767</v>
      </c>
      <c r="TT8" s="1">
        <v>0</v>
      </c>
      <c r="TV8" s="1">
        <v>2842248171</v>
      </c>
      <c r="TW8" s="1">
        <v>25622</v>
      </c>
      <c r="TX8" s="1">
        <v>1</v>
      </c>
      <c r="TY8" s="1">
        <v>1</v>
      </c>
      <c r="TZ8" s="1">
        <v>16249998.880000001</v>
      </c>
      <c r="UA8" s="1">
        <v>1</v>
      </c>
      <c r="UB8" s="1">
        <v>0</v>
      </c>
      <c r="UC8" s="1">
        <v>90</v>
      </c>
      <c r="UD8" s="1">
        <v>60003760</v>
      </c>
      <c r="UE8" s="1">
        <v>32767</v>
      </c>
      <c r="UF8" s="1">
        <v>0</v>
      </c>
      <c r="UH8" s="1">
        <v>2807279361</v>
      </c>
      <c r="UI8" s="1">
        <v>16680</v>
      </c>
      <c r="UJ8" s="1">
        <v>1432200</v>
      </c>
      <c r="UK8" s="1">
        <v>1410246</v>
      </c>
      <c r="UL8" s="1">
        <v>803.05</v>
      </c>
      <c r="UM8" s="1">
        <v>1</v>
      </c>
      <c r="UN8" s="1">
        <v>0</v>
      </c>
      <c r="UO8" s="1">
        <v>90</v>
      </c>
      <c r="UP8" s="1">
        <v>60003760</v>
      </c>
      <c r="UQ8" s="1">
        <v>32767</v>
      </c>
      <c r="UR8" s="1">
        <v>6</v>
      </c>
      <c r="UT8" s="1">
        <v>2792166529</v>
      </c>
      <c r="UU8" s="1">
        <v>17317</v>
      </c>
      <c r="UV8" s="1">
        <v>2850</v>
      </c>
      <c r="UW8" s="1">
        <v>2850</v>
      </c>
      <c r="UX8" s="1">
        <v>49000.02</v>
      </c>
      <c r="UY8" s="1">
        <v>1</v>
      </c>
      <c r="UZ8" s="1">
        <v>0</v>
      </c>
      <c r="VA8" s="1">
        <v>90</v>
      </c>
      <c r="VB8" s="1">
        <v>60003760</v>
      </c>
      <c r="VC8" s="1">
        <v>32767</v>
      </c>
      <c r="VD8" s="1">
        <v>0</v>
      </c>
      <c r="VF8" s="1">
        <v>2864773398</v>
      </c>
      <c r="VG8" s="1">
        <v>11725</v>
      </c>
      <c r="VH8" s="1">
        <v>10000</v>
      </c>
      <c r="VI8" s="1">
        <v>10000</v>
      </c>
      <c r="VJ8" s="1">
        <v>56990</v>
      </c>
      <c r="VK8" s="1">
        <v>1</v>
      </c>
      <c r="VL8" s="1">
        <v>0</v>
      </c>
      <c r="VM8" s="1">
        <v>30</v>
      </c>
      <c r="VN8" s="1">
        <v>60003760</v>
      </c>
      <c r="VO8" s="1">
        <v>32767</v>
      </c>
      <c r="VP8" s="1">
        <v>6</v>
      </c>
    </row>
    <row r="9" spans="1:588" x14ac:dyDescent="0.25">
      <c r="B9" s="1">
        <v>2847029606</v>
      </c>
      <c r="C9" s="1">
        <v>34</v>
      </c>
      <c r="D9" s="1">
        <v>4186054</v>
      </c>
      <c r="E9" s="1">
        <v>4186054</v>
      </c>
      <c r="F9" s="1">
        <v>6</v>
      </c>
      <c r="G9" s="1">
        <v>1</v>
      </c>
      <c r="H9" s="1">
        <v>0</v>
      </c>
      <c r="I9" s="1">
        <v>30</v>
      </c>
      <c r="J9" s="1">
        <v>60003061</v>
      </c>
      <c r="K9" s="1">
        <v>32767</v>
      </c>
      <c r="L9" s="1">
        <v>3</v>
      </c>
      <c r="N9" s="1">
        <v>2853898164</v>
      </c>
      <c r="O9" s="1">
        <v>35</v>
      </c>
      <c r="P9" s="1">
        <v>925873</v>
      </c>
      <c r="Q9" s="1">
        <v>925873</v>
      </c>
      <c r="R9" s="1">
        <v>16</v>
      </c>
      <c r="S9" s="1">
        <v>1</v>
      </c>
      <c r="T9" s="1">
        <v>0</v>
      </c>
      <c r="U9" s="1">
        <v>90</v>
      </c>
      <c r="V9" s="1">
        <v>60003061</v>
      </c>
      <c r="W9" s="1">
        <v>32767</v>
      </c>
      <c r="X9" s="1">
        <v>3</v>
      </c>
      <c r="Z9" s="1">
        <v>2845653704</v>
      </c>
      <c r="AA9" s="1">
        <v>36</v>
      </c>
      <c r="AB9" s="1">
        <v>1137171</v>
      </c>
      <c r="AC9" s="1">
        <v>1137171</v>
      </c>
      <c r="AD9" s="16">
        <v>51</v>
      </c>
      <c r="AE9" s="1">
        <v>1</v>
      </c>
      <c r="AF9" s="1">
        <v>0</v>
      </c>
      <c r="AG9" s="1">
        <v>30</v>
      </c>
      <c r="AH9" s="1">
        <v>60003061</v>
      </c>
      <c r="AI9" s="1">
        <v>32767</v>
      </c>
      <c r="AJ9" s="1">
        <v>14</v>
      </c>
      <c r="AL9" s="1">
        <v>2827067123</v>
      </c>
      <c r="AM9" s="1">
        <v>37</v>
      </c>
      <c r="AN9" s="1">
        <v>7487401</v>
      </c>
      <c r="AO9" s="1">
        <v>3558164</v>
      </c>
      <c r="AP9" s="16">
        <v>151.69999999999999</v>
      </c>
      <c r="AQ9" s="1">
        <v>1</v>
      </c>
      <c r="AR9" s="1">
        <v>0</v>
      </c>
      <c r="AS9" s="1">
        <v>90</v>
      </c>
      <c r="AT9" s="1">
        <v>60003760</v>
      </c>
      <c r="AU9" s="1">
        <v>32767</v>
      </c>
      <c r="AV9" s="1">
        <v>9</v>
      </c>
      <c r="AX9" s="1">
        <v>2815592574</v>
      </c>
      <c r="AY9" s="1">
        <v>38</v>
      </c>
      <c r="AZ9" s="1">
        <v>1357567</v>
      </c>
      <c r="BA9" s="1">
        <v>1100104</v>
      </c>
      <c r="BB9" s="1">
        <v>830</v>
      </c>
      <c r="BC9" s="1">
        <v>1</v>
      </c>
      <c r="BD9" s="1">
        <v>0</v>
      </c>
      <c r="BE9" s="1">
        <v>90</v>
      </c>
      <c r="BF9" s="1">
        <v>60003760</v>
      </c>
      <c r="BG9" s="1">
        <v>32767</v>
      </c>
      <c r="BH9" s="1">
        <v>5</v>
      </c>
      <c r="BJ9" s="1">
        <v>2819569055</v>
      </c>
      <c r="BK9" s="1">
        <v>39</v>
      </c>
      <c r="BL9" s="1">
        <v>1171</v>
      </c>
      <c r="BM9" s="1">
        <v>1171</v>
      </c>
      <c r="BN9" s="1">
        <v>864.71</v>
      </c>
      <c r="BO9" s="1">
        <v>1</v>
      </c>
      <c r="BP9" s="1">
        <v>0</v>
      </c>
      <c r="BQ9" s="1">
        <v>90</v>
      </c>
      <c r="BR9" s="1">
        <v>60003760</v>
      </c>
      <c r="BS9" s="1">
        <v>32767</v>
      </c>
      <c r="BT9" s="1">
        <v>5</v>
      </c>
      <c r="BV9" s="1">
        <v>2396584705</v>
      </c>
      <c r="BW9" s="1">
        <v>40</v>
      </c>
      <c r="BX9" s="1">
        <v>25265</v>
      </c>
      <c r="BY9" s="1">
        <v>5426</v>
      </c>
      <c r="BZ9" s="1">
        <v>2827.84</v>
      </c>
      <c r="CA9" s="1">
        <v>1</v>
      </c>
      <c r="CB9" s="1">
        <v>0</v>
      </c>
      <c r="CC9" s="1">
        <v>90</v>
      </c>
      <c r="CD9" s="1">
        <v>60003760</v>
      </c>
      <c r="CE9" s="1">
        <v>32767</v>
      </c>
      <c r="CF9" s="1">
        <v>13</v>
      </c>
      <c r="CH9" s="1">
        <v>2412085730</v>
      </c>
      <c r="CI9" s="1">
        <v>29668</v>
      </c>
      <c r="CJ9" s="1">
        <v>66</v>
      </c>
      <c r="CK9" s="1">
        <v>66</v>
      </c>
      <c r="CL9" s="1">
        <v>495000000</v>
      </c>
      <c r="CM9" s="1">
        <v>1</v>
      </c>
      <c r="CN9" s="1">
        <v>0</v>
      </c>
      <c r="CO9" s="1">
        <v>90</v>
      </c>
      <c r="CP9" s="1">
        <v>60003760</v>
      </c>
      <c r="CQ9" s="1">
        <v>32767</v>
      </c>
      <c r="CR9" s="1">
        <v>0</v>
      </c>
      <c r="CT9" s="1">
        <v>2414353780</v>
      </c>
      <c r="CU9" s="1">
        <v>16649</v>
      </c>
      <c r="CV9" s="1">
        <v>50000</v>
      </c>
      <c r="CW9" s="1">
        <v>50000</v>
      </c>
      <c r="CX9" s="1">
        <v>107796.09</v>
      </c>
      <c r="CY9" s="1">
        <v>1</v>
      </c>
      <c r="CZ9" s="1">
        <v>0</v>
      </c>
      <c r="DA9" s="1">
        <v>90</v>
      </c>
      <c r="DB9" s="1">
        <v>60003760</v>
      </c>
      <c r="DC9" s="1">
        <v>32767</v>
      </c>
      <c r="DD9" s="1">
        <v>8</v>
      </c>
      <c r="DF9" s="1">
        <v>2414047777</v>
      </c>
      <c r="DG9" s="1">
        <v>17887</v>
      </c>
      <c r="DH9" s="1">
        <v>1392311</v>
      </c>
      <c r="DI9" s="1">
        <v>1392311</v>
      </c>
      <c r="DJ9" s="1">
        <v>1000.75</v>
      </c>
      <c r="DK9" s="1">
        <v>1</v>
      </c>
      <c r="DL9" s="1">
        <v>0</v>
      </c>
      <c r="DM9" s="1">
        <v>90</v>
      </c>
      <c r="DN9" s="1">
        <v>60003760</v>
      </c>
      <c r="DO9" s="1">
        <v>32767</v>
      </c>
      <c r="DP9" s="1">
        <v>0</v>
      </c>
      <c r="DR9" s="1">
        <v>2765027914</v>
      </c>
      <c r="DS9" s="1">
        <v>17888</v>
      </c>
      <c r="DT9" s="1">
        <v>2628900</v>
      </c>
      <c r="DU9" s="1">
        <v>632900</v>
      </c>
      <c r="DV9" s="1">
        <v>426.7</v>
      </c>
      <c r="DW9" s="1">
        <v>1</v>
      </c>
      <c r="DX9" s="1">
        <v>0</v>
      </c>
      <c r="DY9" s="1">
        <v>90</v>
      </c>
      <c r="DZ9" s="1">
        <v>60003061</v>
      </c>
      <c r="EA9" s="1">
        <v>32767</v>
      </c>
      <c r="EB9" s="1">
        <v>11</v>
      </c>
      <c r="ED9" s="1">
        <v>2756913545</v>
      </c>
      <c r="EE9" s="1">
        <v>16273</v>
      </c>
      <c r="EF9" s="1">
        <v>3000000</v>
      </c>
      <c r="EG9" s="1">
        <v>3000000</v>
      </c>
      <c r="EH9" s="1">
        <v>413.93</v>
      </c>
      <c r="EI9" s="1">
        <v>1</v>
      </c>
      <c r="EJ9" s="1">
        <v>0</v>
      </c>
      <c r="EK9" s="1">
        <v>90</v>
      </c>
      <c r="EL9" s="1">
        <v>60003760</v>
      </c>
      <c r="EM9" s="1">
        <v>32767</v>
      </c>
      <c r="EN9" s="1">
        <v>6</v>
      </c>
      <c r="EP9" s="1">
        <v>2804374665</v>
      </c>
      <c r="EQ9" s="1">
        <v>17889</v>
      </c>
      <c r="ER9" s="1">
        <v>200000</v>
      </c>
      <c r="ES9" s="1">
        <v>200000</v>
      </c>
      <c r="ET9" s="1">
        <v>383.91</v>
      </c>
      <c r="EU9" s="1">
        <v>1</v>
      </c>
      <c r="EV9" s="1">
        <v>0</v>
      </c>
      <c r="EW9" s="1">
        <v>90</v>
      </c>
      <c r="EX9" s="1">
        <v>60003760</v>
      </c>
      <c r="EY9" s="1">
        <v>32767</v>
      </c>
      <c r="EZ9" s="1">
        <v>7</v>
      </c>
      <c r="FB9" s="1">
        <v>2871609321</v>
      </c>
      <c r="FC9" s="1">
        <v>30259</v>
      </c>
      <c r="FD9" s="1">
        <v>18</v>
      </c>
      <c r="FE9" s="1">
        <v>18</v>
      </c>
      <c r="FF9" s="1">
        <v>6200000</v>
      </c>
      <c r="FG9" s="1">
        <v>1</v>
      </c>
      <c r="FH9" s="1">
        <v>0</v>
      </c>
      <c r="FI9" s="1">
        <v>90</v>
      </c>
      <c r="FJ9" s="1">
        <v>60003760</v>
      </c>
      <c r="FK9" s="1">
        <v>32767</v>
      </c>
      <c r="FL9" s="1">
        <v>0</v>
      </c>
      <c r="FN9" s="1">
        <v>2793449747</v>
      </c>
      <c r="FO9" s="1">
        <v>25617</v>
      </c>
      <c r="FP9" s="1">
        <v>86</v>
      </c>
      <c r="FQ9" s="1">
        <v>62</v>
      </c>
      <c r="FR9" s="1">
        <v>5444029</v>
      </c>
      <c r="FS9" s="1">
        <v>1</v>
      </c>
      <c r="FT9" s="1">
        <v>0</v>
      </c>
      <c r="FU9" s="1">
        <v>90</v>
      </c>
      <c r="FV9" s="1">
        <v>60003760</v>
      </c>
      <c r="FW9" s="1">
        <v>32767</v>
      </c>
      <c r="FX9" s="1">
        <v>0</v>
      </c>
      <c r="FZ9" s="1">
        <v>2800762473</v>
      </c>
      <c r="GA9" s="1">
        <v>44</v>
      </c>
      <c r="GB9" s="1">
        <v>21820</v>
      </c>
      <c r="GC9" s="1">
        <v>21820</v>
      </c>
      <c r="GD9" s="1">
        <v>12999.97</v>
      </c>
      <c r="GE9" s="1">
        <v>1</v>
      </c>
      <c r="GF9" s="1">
        <v>0</v>
      </c>
      <c r="GG9" s="1">
        <v>90</v>
      </c>
      <c r="GH9" s="1">
        <v>60003760</v>
      </c>
      <c r="GI9" s="1">
        <v>32767</v>
      </c>
      <c r="GJ9" s="1">
        <v>4</v>
      </c>
      <c r="GL9" s="1">
        <v>2412264741</v>
      </c>
      <c r="GM9" s="1">
        <v>16681</v>
      </c>
      <c r="GN9" s="1">
        <v>1406250</v>
      </c>
      <c r="GO9" s="1">
        <v>1406250</v>
      </c>
      <c r="GP9" s="1">
        <v>6377.91</v>
      </c>
      <c r="GQ9" s="1">
        <v>1</v>
      </c>
      <c r="GR9" s="1">
        <v>0</v>
      </c>
      <c r="GS9" s="1">
        <v>90</v>
      </c>
      <c r="GT9" s="1">
        <v>60003760</v>
      </c>
      <c r="GU9" s="1">
        <v>32767</v>
      </c>
      <c r="GV9" s="1">
        <v>0</v>
      </c>
      <c r="GX9" s="1">
        <v>2840802751</v>
      </c>
      <c r="GY9" s="1">
        <v>16683</v>
      </c>
      <c r="GZ9" s="1">
        <v>25000</v>
      </c>
      <c r="HA9" s="1">
        <v>25000</v>
      </c>
      <c r="HB9" s="1">
        <v>10499.99</v>
      </c>
      <c r="HC9" s="1">
        <v>1</v>
      </c>
      <c r="HD9" s="1">
        <v>0</v>
      </c>
      <c r="HE9" s="1">
        <v>30</v>
      </c>
      <c r="HF9" s="1">
        <v>60003760</v>
      </c>
      <c r="HG9" s="1">
        <v>32767</v>
      </c>
      <c r="HH9" s="1">
        <v>0</v>
      </c>
      <c r="HJ9" s="1">
        <v>2760232454</v>
      </c>
      <c r="HK9" s="1">
        <v>11724</v>
      </c>
      <c r="HL9" s="1">
        <v>100000</v>
      </c>
      <c r="HM9" s="1">
        <v>402</v>
      </c>
      <c r="HN9" s="1">
        <v>41389.99</v>
      </c>
      <c r="HO9" s="1">
        <v>1</v>
      </c>
      <c r="HP9" s="1">
        <v>0</v>
      </c>
      <c r="HQ9" s="1">
        <v>90</v>
      </c>
      <c r="HR9" s="1">
        <v>60003760</v>
      </c>
      <c r="HS9" s="1">
        <v>32767</v>
      </c>
      <c r="HT9" s="1">
        <v>0</v>
      </c>
      <c r="HV9" s="1">
        <v>2759872603</v>
      </c>
      <c r="HW9" s="1">
        <v>16274</v>
      </c>
      <c r="HX9" s="1">
        <v>800000</v>
      </c>
      <c r="HY9" s="1">
        <v>800000</v>
      </c>
      <c r="HZ9" s="1">
        <v>396.98</v>
      </c>
      <c r="IA9" s="1">
        <v>1</v>
      </c>
      <c r="IB9" s="1">
        <v>0</v>
      </c>
      <c r="IC9" s="1">
        <v>90</v>
      </c>
      <c r="ID9" s="1">
        <v>60003760</v>
      </c>
      <c r="IE9" s="1">
        <v>32767</v>
      </c>
      <c r="IF9" s="1">
        <v>2</v>
      </c>
      <c r="IH9" s="1">
        <v>2862147149</v>
      </c>
      <c r="II9" s="1">
        <v>10213</v>
      </c>
      <c r="IJ9" s="1">
        <v>1</v>
      </c>
      <c r="IK9" s="1">
        <v>1</v>
      </c>
      <c r="IL9" s="1">
        <v>130000000</v>
      </c>
      <c r="IM9" s="1">
        <v>1</v>
      </c>
      <c r="IN9" s="1">
        <v>0</v>
      </c>
      <c r="IO9" s="1">
        <v>90</v>
      </c>
      <c r="IP9" s="1">
        <v>60003760</v>
      </c>
      <c r="IQ9" s="1">
        <v>32767</v>
      </c>
      <c r="IR9" s="1">
        <v>0</v>
      </c>
      <c r="IT9" s="1">
        <v>2751888276</v>
      </c>
      <c r="IU9" s="1">
        <v>16679</v>
      </c>
      <c r="IV9" s="1">
        <v>1455000</v>
      </c>
      <c r="IW9" s="1">
        <v>1332135</v>
      </c>
      <c r="IX9" s="1">
        <v>1868.77</v>
      </c>
      <c r="IY9" s="1">
        <v>1</v>
      </c>
      <c r="IZ9" s="1">
        <v>0</v>
      </c>
      <c r="JA9" s="1">
        <v>90</v>
      </c>
      <c r="JB9" s="1">
        <v>60003760</v>
      </c>
      <c r="JC9" s="1">
        <v>32767</v>
      </c>
      <c r="JD9" s="1">
        <v>0</v>
      </c>
      <c r="JF9" s="1">
        <v>2854218201</v>
      </c>
      <c r="JG9" s="1">
        <v>16272</v>
      </c>
      <c r="JH9" s="1">
        <v>127311</v>
      </c>
      <c r="JI9" s="1">
        <v>65379</v>
      </c>
      <c r="JJ9" s="1">
        <v>80</v>
      </c>
      <c r="JK9" s="1">
        <v>1</v>
      </c>
      <c r="JL9" s="1">
        <v>0</v>
      </c>
      <c r="JM9" s="1">
        <v>90</v>
      </c>
      <c r="JN9" s="1">
        <v>60006430</v>
      </c>
      <c r="JO9" s="1">
        <v>32767</v>
      </c>
      <c r="JP9" s="1">
        <v>9</v>
      </c>
      <c r="JR9" s="1">
        <v>2858477225</v>
      </c>
      <c r="JS9" s="1">
        <v>10226</v>
      </c>
      <c r="JT9" s="1">
        <v>2</v>
      </c>
      <c r="JU9" s="1">
        <v>2</v>
      </c>
      <c r="JV9" s="1">
        <v>130999997</v>
      </c>
      <c r="JW9" s="1">
        <v>1</v>
      </c>
      <c r="JX9" s="1">
        <v>0</v>
      </c>
      <c r="JY9" s="1">
        <v>90</v>
      </c>
      <c r="JZ9" s="1">
        <v>60003760</v>
      </c>
      <c r="KA9" s="1">
        <v>32767</v>
      </c>
      <c r="KB9" s="1">
        <v>1</v>
      </c>
      <c r="KD9" s="1">
        <v>2816030866</v>
      </c>
      <c r="KE9" s="1">
        <v>25605</v>
      </c>
      <c r="KF9" s="1">
        <v>1871</v>
      </c>
      <c r="KG9" s="1">
        <v>1871</v>
      </c>
      <c r="KH9" s="1">
        <v>126899.43</v>
      </c>
      <c r="KI9" s="1">
        <v>1</v>
      </c>
      <c r="KJ9" s="1">
        <v>0</v>
      </c>
      <c r="KK9" s="1">
        <v>90</v>
      </c>
      <c r="KL9" s="1">
        <v>60003760</v>
      </c>
      <c r="KM9" s="1">
        <v>32767</v>
      </c>
      <c r="KN9" s="1">
        <v>6</v>
      </c>
      <c r="KP9" s="1">
        <v>2817699596</v>
      </c>
      <c r="KQ9" s="1">
        <v>25624</v>
      </c>
      <c r="KR9" s="1">
        <v>150</v>
      </c>
      <c r="KS9" s="1">
        <v>58</v>
      </c>
      <c r="KT9" s="1">
        <v>19999992.989999998</v>
      </c>
      <c r="KU9" s="1">
        <v>1</v>
      </c>
      <c r="KV9" s="1">
        <v>0</v>
      </c>
      <c r="KW9" s="1">
        <v>90</v>
      </c>
      <c r="KX9" s="1">
        <v>60003760</v>
      </c>
      <c r="KY9" s="1">
        <v>32767</v>
      </c>
      <c r="KZ9" s="1">
        <v>1</v>
      </c>
      <c r="LB9" s="1">
        <v>2823605546</v>
      </c>
      <c r="LC9" s="1">
        <v>9832</v>
      </c>
      <c r="LD9" s="1">
        <v>213547</v>
      </c>
      <c r="LE9" s="1">
        <v>213547</v>
      </c>
      <c r="LF9" s="1">
        <v>10183</v>
      </c>
      <c r="LG9" s="1">
        <v>1</v>
      </c>
      <c r="LH9" s="1">
        <v>0</v>
      </c>
      <c r="LI9" s="1">
        <v>90</v>
      </c>
      <c r="LJ9" s="1">
        <v>60003760</v>
      </c>
      <c r="LK9" s="1">
        <v>32767</v>
      </c>
      <c r="LL9" s="1">
        <v>0</v>
      </c>
      <c r="LN9" s="1">
        <v>2855927861</v>
      </c>
      <c r="LO9" s="1">
        <v>10209</v>
      </c>
      <c r="LP9" s="1">
        <v>7</v>
      </c>
      <c r="LQ9" s="1">
        <v>6</v>
      </c>
      <c r="LR9" s="1">
        <v>127999999.98</v>
      </c>
      <c r="LS9" s="1">
        <v>1</v>
      </c>
      <c r="LT9" s="1">
        <v>0</v>
      </c>
      <c r="LU9" s="1">
        <v>90</v>
      </c>
      <c r="LV9" s="1">
        <v>60003760</v>
      </c>
      <c r="LW9" s="1">
        <v>32767</v>
      </c>
      <c r="LX9" s="1">
        <v>1</v>
      </c>
      <c r="LZ9" s="1">
        <v>2859245950</v>
      </c>
      <c r="MA9" s="1">
        <v>10217</v>
      </c>
      <c r="MB9" s="1">
        <v>2</v>
      </c>
      <c r="MC9" s="1">
        <v>2</v>
      </c>
      <c r="MD9" s="1">
        <v>124998995</v>
      </c>
      <c r="ME9" s="1">
        <v>1</v>
      </c>
      <c r="MF9" s="1">
        <v>0</v>
      </c>
      <c r="MG9" s="1">
        <v>90</v>
      </c>
      <c r="MH9" s="1">
        <v>60003760</v>
      </c>
      <c r="MI9" s="1">
        <v>32767</v>
      </c>
      <c r="MJ9" s="1">
        <v>0</v>
      </c>
      <c r="ML9" s="1">
        <v>2783852945</v>
      </c>
      <c r="MM9" s="1">
        <v>25625</v>
      </c>
      <c r="MN9" s="1">
        <v>13</v>
      </c>
      <c r="MO9" s="1">
        <v>13</v>
      </c>
      <c r="MP9" s="1">
        <v>5149499.97</v>
      </c>
      <c r="MQ9" s="1">
        <v>1</v>
      </c>
      <c r="MR9" s="1">
        <v>0</v>
      </c>
      <c r="MS9" s="1">
        <v>90</v>
      </c>
      <c r="MT9" s="1">
        <v>60003760</v>
      </c>
      <c r="MU9" s="1">
        <v>32767</v>
      </c>
      <c r="MV9" s="1">
        <v>0</v>
      </c>
      <c r="MX9" s="1">
        <v>2806987916</v>
      </c>
      <c r="MY9" s="1">
        <v>16672</v>
      </c>
      <c r="MZ9" s="1">
        <v>1848520</v>
      </c>
      <c r="NA9" s="1">
        <v>1620520</v>
      </c>
      <c r="NB9" s="1">
        <v>195.98</v>
      </c>
      <c r="NC9" s="1">
        <v>1</v>
      </c>
      <c r="ND9" s="1">
        <v>0</v>
      </c>
      <c r="NE9" s="1">
        <v>90</v>
      </c>
      <c r="NF9" s="1">
        <v>60003760</v>
      </c>
      <c r="NG9" s="1">
        <v>32767</v>
      </c>
      <c r="NH9" s="1">
        <v>0</v>
      </c>
      <c r="NJ9" s="1">
        <v>2821877098</v>
      </c>
      <c r="NK9" s="1">
        <v>16673</v>
      </c>
      <c r="NL9" s="1">
        <v>1150000</v>
      </c>
      <c r="NM9" s="1">
        <v>1150000</v>
      </c>
      <c r="NN9" s="1">
        <v>121.65</v>
      </c>
      <c r="NO9" s="1">
        <v>1</v>
      </c>
      <c r="NP9" s="1">
        <v>0</v>
      </c>
      <c r="NQ9" s="1">
        <v>90</v>
      </c>
      <c r="NR9" s="1">
        <v>60003760</v>
      </c>
      <c r="NS9" s="1">
        <v>32767</v>
      </c>
      <c r="NT9" s="1">
        <v>6</v>
      </c>
      <c r="NV9" s="1">
        <v>2825868762</v>
      </c>
      <c r="NW9" s="1">
        <v>3689</v>
      </c>
      <c r="NX9" s="1">
        <v>48219</v>
      </c>
      <c r="NY9" s="1">
        <v>48219</v>
      </c>
      <c r="NZ9" s="1">
        <v>16291.16</v>
      </c>
      <c r="OA9" s="1">
        <v>1</v>
      </c>
      <c r="OB9" s="1">
        <v>0</v>
      </c>
      <c r="OC9" s="1">
        <v>90</v>
      </c>
      <c r="OD9" s="1">
        <v>60003760</v>
      </c>
      <c r="OE9" s="1">
        <v>32767</v>
      </c>
      <c r="OF9" s="1">
        <v>0</v>
      </c>
      <c r="OH9" s="1">
        <v>2859406637</v>
      </c>
      <c r="OI9" s="1">
        <v>25598</v>
      </c>
      <c r="OJ9" s="1">
        <v>26</v>
      </c>
      <c r="OK9" s="1">
        <v>26</v>
      </c>
      <c r="OL9" s="1">
        <v>140000</v>
      </c>
      <c r="OM9" s="1">
        <v>1</v>
      </c>
      <c r="ON9" s="1">
        <v>0</v>
      </c>
      <c r="OO9" s="1">
        <v>30</v>
      </c>
      <c r="OP9" s="1">
        <v>60004228</v>
      </c>
      <c r="OQ9" s="1">
        <v>32767</v>
      </c>
      <c r="OR9" s="1">
        <v>3</v>
      </c>
      <c r="OT9" s="1">
        <v>2866098719</v>
      </c>
      <c r="OU9" s="1">
        <v>25600</v>
      </c>
      <c r="OV9" s="1">
        <v>14</v>
      </c>
      <c r="OW9" s="1">
        <v>14</v>
      </c>
      <c r="OX9" s="1">
        <v>30000</v>
      </c>
      <c r="OY9" s="1">
        <v>1</v>
      </c>
      <c r="OZ9" s="1">
        <v>0</v>
      </c>
      <c r="PA9" s="1">
        <v>30</v>
      </c>
      <c r="PB9" s="1">
        <v>60004228</v>
      </c>
      <c r="PC9" s="1">
        <v>32767</v>
      </c>
      <c r="PD9" s="1">
        <v>3</v>
      </c>
      <c r="PF9" s="1">
        <v>2767744858</v>
      </c>
      <c r="PG9" s="1">
        <v>16670</v>
      </c>
      <c r="PH9" s="1">
        <v>1880000</v>
      </c>
      <c r="PI9" s="1">
        <v>1880000</v>
      </c>
      <c r="PJ9" s="1">
        <v>141.94</v>
      </c>
      <c r="PK9" s="1">
        <v>1</v>
      </c>
      <c r="PL9" s="1">
        <v>0</v>
      </c>
      <c r="PM9" s="1">
        <v>90</v>
      </c>
      <c r="PN9" s="1">
        <v>60003760</v>
      </c>
      <c r="PO9" s="1">
        <v>32767</v>
      </c>
      <c r="PP9" s="1">
        <v>7</v>
      </c>
      <c r="PR9" s="1">
        <v>2854254145</v>
      </c>
      <c r="PS9" s="1">
        <v>10222</v>
      </c>
      <c r="PT9" s="1">
        <v>1</v>
      </c>
      <c r="PU9" s="1">
        <v>1</v>
      </c>
      <c r="PV9" s="1">
        <v>137899994.56</v>
      </c>
      <c r="PW9" s="1">
        <v>1</v>
      </c>
      <c r="PX9" s="1">
        <v>0</v>
      </c>
      <c r="PY9" s="1">
        <v>90</v>
      </c>
      <c r="PZ9" s="1">
        <v>60003760</v>
      </c>
      <c r="QA9" s="1">
        <v>32767</v>
      </c>
      <c r="QB9" s="1">
        <v>0</v>
      </c>
      <c r="QD9" s="1">
        <v>2801557256</v>
      </c>
      <c r="QE9" s="1">
        <v>9830</v>
      </c>
      <c r="QF9" s="1">
        <v>750</v>
      </c>
      <c r="QG9" s="1">
        <v>750</v>
      </c>
      <c r="QH9" s="1">
        <v>8500</v>
      </c>
      <c r="QI9" s="1">
        <v>1</v>
      </c>
      <c r="QJ9" s="1">
        <v>0</v>
      </c>
      <c r="QK9" s="1">
        <v>90</v>
      </c>
      <c r="QL9" s="1">
        <v>60003760</v>
      </c>
      <c r="QM9" s="1">
        <v>32767</v>
      </c>
      <c r="QN9" s="1">
        <v>0</v>
      </c>
      <c r="QP9" s="1">
        <v>2833311207</v>
      </c>
      <c r="QQ9" s="1">
        <v>16671</v>
      </c>
      <c r="QR9" s="1">
        <v>24400000</v>
      </c>
      <c r="QS9" s="1">
        <v>24400000</v>
      </c>
      <c r="QT9" s="1">
        <v>121.12</v>
      </c>
      <c r="QU9" s="1">
        <v>1</v>
      </c>
      <c r="QV9" s="1">
        <v>0</v>
      </c>
      <c r="QW9" s="1">
        <v>90</v>
      </c>
      <c r="QX9" s="1">
        <v>60003760</v>
      </c>
      <c r="QY9" s="1">
        <v>32767</v>
      </c>
      <c r="QZ9" s="1">
        <v>7</v>
      </c>
      <c r="RB9" s="1">
        <v>2844437353</v>
      </c>
      <c r="RC9" s="1">
        <v>16682</v>
      </c>
      <c r="RD9" s="1">
        <v>200000</v>
      </c>
      <c r="RE9" s="1">
        <v>200000</v>
      </c>
      <c r="RF9" s="1">
        <v>3800</v>
      </c>
      <c r="RG9" s="1">
        <v>1</v>
      </c>
      <c r="RH9" s="1">
        <v>0</v>
      </c>
      <c r="RI9" s="1">
        <v>90</v>
      </c>
      <c r="RJ9" s="1">
        <v>60003760</v>
      </c>
      <c r="RK9" s="1">
        <v>32767</v>
      </c>
      <c r="RL9" s="1">
        <v>8</v>
      </c>
      <c r="RN9" s="1">
        <v>2854928581</v>
      </c>
      <c r="RO9" s="1">
        <v>16678</v>
      </c>
      <c r="RP9" s="1">
        <v>2000000</v>
      </c>
      <c r="RQ9" s="1">
        <v>1584452</v>
      </c>
      <c r="RR9" s="1">
        <v>344.49</v>
      </c>
      <c r="RS9" s="1">
        <v>1</v>
      </c>
      <c r="RT9" s="1">
        <v>0</v>
      </c>
      <c r="RU9" s="1">
        <v>90</v>
      </c>
      <c r="RV9" s="1">
        <v>60003760</v>
      </c>
      <c r="RW9" s="1">
        <v>32767</v>
      </c>
      <c r="RX9" s="1">
        <v>6</v>
      </c>
      <c r="RZ9" s="1">
        <v>2838849013</v>
      </c>
      <c r="SA9" s="1">
        <v>30310</v>
      </c>
      <c r="SB9" s="1">
        <v>5200</v>
      </c>
      <c r="SC9" s="1">
        <v>5200</v>
      </c>
      <c r="SD9" s="1">
        <v>1750000</v>
      </c>
      <c r="SE9" s="1">
        <v>1</v>
      </c>
      <c r="SF9" s="1">
        <v>0</v>
      </c>
      <c r="SG9" s="1">
        <v>90</v>
      </c>
      <c r="SH9" s="1">
        <v>60003760</v>
      </c>
      <c r="SI9" s="1">
        <v>32767</v>
      </c>
      <c r="SJ9" s="1">
        <v>0</v>
      </c>
      <c r="SL9" s="1">
        <v>2807718335</v>
      </c>
      <c r="SM9" s="1">
        <v>30311</v>
      </c>
      <c r="SN9" s="1">
        <v>30</v>
      </c>
      <c r="SO9" s="1">
        <v>30</v>
      </c>
      <c r="SP9" s="1">
        <v>3699999.99</v>
      </c>
      <c r="SQ9" s="1">
        <v>1</v>
      </c>
      <c r="SR9" s="1">
        <v>0</v>
      </c>
      <c r="SS9" s="1">
        <v>90</v>
      </c>
      <c r="ST9" s="1">
        <v>60003760</v>
      </c>
      <c r="SU9" s="1">
        <v>32767</v>
      </c>
      <c r="SV9" s="1">
        <v>0</v>
      </c>
      <c r="SX9" s="1">
        <v>2819488275</v>
      </c>
      <c r="SY9" s="1">
        <v>25595</v>
      </c>
      <c r="SZ9" s="1">
        <v>121</v>
      </c>
      <c r="TA9" s="1">
        <v>121</v>
      </c>
      <c r="TB9" s="1">
        <v>93599.99</v>
      </c>
      <c r="TC9" s="1">
        <v>1</v>
      </c>
      <c r="TD9" s="1">
        <v>0</v>
      </c>
      <c r="TE9" s="1">
        <v>90</v>
      </c>
      <c r="TF9" s="1">
        <v>60003760</v>
      </c>
      <c r="TG9" s="1">
        <v>32767</v>
      </c>
      <c r="TH9" s="1">
        <v>6</v>
      </c>
      <c r="TJ9" s="1">
        <v>2780913278</v>
      </c>
      <c r="TK9" s="1">
        <v>25606</v>
      </c>
      <c r="TL9" s="1">
        <v>579</v>
      </c>
      <c r="TM9" s="1">
        <v>464</v>
      </c>
      <c r="TN9" s="1">
        <v>30398</v>
      </c>
      <c r="TO9" s="1">
        <v>1</v>
      </c>
      <c r="TP9" s="1">
        <v>0</v>
      </c>
      <c r="TQ9" s="1">
        <v>90</v>
      </c>
      <c r="TR9" s="1">
        <v>60003760</v>
      </c>
      <c r="TS9" s="1">
        <v>32767</v>
      </c>
      <c r="TT9" s="1">
        <v>0</v>
      </c>
      <c r="TV9" s="1">
        <v>2842905664</v>
      </c>
      <c r="TW9" s="1">
        <v>25622</v>
      </c>
      <c r="TX9" s="1">
        <v>7</v>
      </c>
      <c r="TY9" s="1">
        <v>7</v>
      </c>
      <c r="TZ9" s="1">
        <v>15987999.99</v>
      </c>
      <c r="UA9" s="1">
        <v>1</v>
      </c>
      <c r="UB9" s="1">
        <v>0</v>
      </c>
      <c r="UC9" s="1">
        <v>90</v>
      </c>
      <c r="UD9" s="1">
        <v>60003760</v>
      </c>
      <c r="UE9" s="1">
        <v>32767</v>
      </c>
      <c r="UF9" s="1">
        <v>0</v>
      </c>
      <c r="UH9" s="1">
        <v>2801225199</v>
      </c>
      <c r="UI9" s="1">
        <v>16680</v>
      </c>
      <c r="UJ9" s="1">
        <v>567883</v>
      </c>
      <c r="UK9" s="1">
        <v>566083</v>
      </c>
      <c r="UL9" s="1">
        <v>840</v>
      </c>
      <c r="UM9" s="1">
        <v>1</v>
      </c>
      <c r="UN9" s="1">
        <v>0</v>
      </c>
      <c r="UO9" s="1">
        <v>90</v>
      </c>
      <c r="UP9" s="1">
        <v>60003760</v>
      </c>
      <c r="UQ9" s="1">
        <v>32767</v>
      </c>
      <c r="UR9" s="1">
        <v>6</v>
      </c>
      <c r="UT9" s="1">
        <v>2833222311</v>
      </c>
      <c r="UU9" s="1">
        <v>17317</v>
      </c>
      <c r="UV9" s="1">
        <v>26200</v>
      </c>
      <c r="UW9" s="1">
        <v>26200</v>
      </c>
      <c r="UX9" s="1">
        <v>33000</v>
      </c>
      <c r="UY9" s="1">
        <v>1</v>
      </c>
      <c r="UZ9" s="1">
        <v>0</v>
      </c>
      <c r="VA9" s="1">
        <v>90</v>
      </c>
      <c r="VB9" s="1">
        <v>60003760</v>
      </c>
      <c r="VC9" s="1">
        <v>32767</v>
      </c>
      <c r="VD9" s="1">
        <v>0</v>
      </c>
      <c r="VF9" s="1">
        <v>2870286255</v>
      </c>
      <c r="VG9" s="1">
        <v>11725</v>
      </c>
      <c r="VH9" s="1">
        <v>20000</v>
      </c>
      <c r="VI9" s="1">
        <v>19974</v>
      </c>
      <c r="VJ9" s="1">
        <v>59679.77</v>
      </c>
      <c r="VK9" s="1">
        <v>1</v>
      </c>
      <c r="VL9" s="1">
        <v>0</v>
      </c>
      <c r="VM9" s="1">
        <v>14</v>
      </c>
      <c r="VN9" s="1">
        <v>60003760</v>
      </c>
      <c r="VO9" s="1">
        <v>32767</v>
      </c>
      <c r="VP9" s="1">
        <v>6</v>
      </c>
    </row>
    <row r="10" spans="1:588" x14ac:dyDescent="0.25">
      <c r="B10" s="1">
        <v>2845656655</v>
      </c>
      <c r="C10" s="1">
        <v>34</v>
      </c>
      <c r="D10" s="1">
        <v>24395</v>
      </c>
      <c r="E10" s="1">
        <v>24395</v>
      </c>
      <c r="F10" s="1">
        <v>6</v>
      </c>
      <c r="G10" s="1">
        <v>1</v>
      </c>
      <c r="H10" s="1">
        <v>0</v>
      </c>
      <c r="I10" s="1">
        <v>30</v>
      </c>
      <c r="J10" s="1">
        <v>60003061</v>
      </c>
      <c r="K10" s="1">
        <v>32767</v>
      </c>
      <c r="L10" s="1">
        <v>3</v>
      </c>
      <c r="N10" s="1">
        <v>2852442693</v>
      </c>
      <c r="O10" s="1">
        <v>35</v>
      </c>
      <c r="P10" s="1">
        <v>2492074</v>
      </c>
      <c r="Q10" s="1">
        <v>2492074</v>
      </c>
      <c r="R10" s="1">
        <v>16</v>
      </c>
      <c r="S10" s="1">
        <v>1</v>
      </c>
      <c r="T10" s="1">
        <v>0</v>
      </c>
      <c r="U10" s="1">
        <v>90</v>
      </c>
      <c r="V10" s="1">
        <v>60003061</v>
      </c>
      <c r="W10" s="1">
        <v>32767</v>
      </c>
      <c r="X10" s="1">
        <v>3</v>
      </c>
      <c r="Z10" s="1">
        <v>2755100681</v>
      </c>
      <c r="AA10" s="1">
        <v>36</v>
      </c>
      <c r="AB10" s="1">
        <v>769797</v>
      </c>
      <c r="AC10" s="1">
        <v>769796</v>
      </c>
      <c r="AD10" s="16">
        <v>57</v>
      </c>
      <c r="AE10" s="1">
        <v>1</v>
      </c>
      <c r="AF10" s="1">
        <v>0</v>
      </c>
      <c r="AG10" s="1">
        <v>90</v>
      </c>
      <c r="AH10" s="1">
        <v>60000286</v>
      </c>
      <c r="AI10" s="1">
        <v>32767</v>
      </c>
      <c r="AJ10" s="1">
        <v>14</v>
      </c>
      <c r="AL10" s="1">
        <v>2828507951</v>
      </c>
      <c r="AM10" s="1">
        <v>37</v>
      </c>
      <c r="AN10" s="1">
        <v>150335</v>
      </c>
      <c r="AO10" s="1">
        <v>150335</v>
      </c>
      <c r="AP10" s="16">
        <v>167.07</v>
      </c>
      <c r="AQ10" s="1">
        <v>1</v>
      </c>
      <c r="AR10" s="1">
        <v>0</v>
      </c>
      <c r="AS10" s="1">
        <v>90</v>
      </c>
      <c r="AT10" s="1">
        <v>60003760</v>
      </c>
      <c r="AU10" s="1">
        <v>32767</v>
      </c>
      <c r="AV10" s="1">
        <v>9</v>
      </c>
      <c r="AX10" s="1">
        <v>2756612605</v>
      </c>
      <c r="AY10" s="1">
        <v>38</v>
      </c>
      <c r="AZ10" s="1">
        <v>137562</v>
      </c>
      <c r="BA10" s="1">
        <v>137562</v>
      </c>
      <c r="BB10" s="1">
        <v>909.39</v>
      </c>
      <c r="BC10" s="1">
        <v>1</v>
      </c>
      <c r="BD10" s="1">
        <v>0</v>
      </c>
      <c r="BE10" s="1">
        <v>90</v>
      </c>
      <c r="BF10" s="1">
        <v>60003760</v>
      </c>
      <c r="BG10" s="1">
        <v>32767</v>
      </c>
      <c r="BH10" s="1">
        <v>5</v>
      </c>
      <c r="BJ10" s="1">
        <v>2816490293</v>
      </c>
      <c r="BK10" s="1">
        <v>39</v>
      </c>
      <c r="BL10" s="1">
        <v>57364</v>
      </c>
      <c r="BM10" s="1">
        <v>57364</v>
      </c>
      <c r="BN10" s="1">
        <v>875</v>
      </c>
      <c r="BO10" s="1">
        <v>1</v>
      </c>
      <c r="BP10" s="1">
        <v>0</v>
      </c>
      <c r="BQ10" s="1">
        <v>90</v>
      </c>
      <c r="BR10" s="1">
        <v>60003760</v>
      </c>
      <c r="BS10" s="1">
        <v>32767</v>
      </c>
      <c r="BT10" s="1">
        <v>5</v>
      </c>
      <c r="BV10" s="1">
        <v>2396514143</v>
      </c>
      <c r="BW10" s="1">
        <v>40</v>
      </c>
      <c r="BX10" s="1">
        <v>270086</v>
      </c>
      <c r="BY10" s="1">
        <v>270086</v>
      </c>
      <c r="BZ10" s="1">
        <v>2849</v>
      </c>
      <c r="CA10" s="1">
        <v>1</v>
      </c>
      <c r="CB10" s="1">
        <v>0</v>
      </c>
      <c r="CC10" s="1">
        <v>90</v>
      </c>
      <c r="CD10" s="1">
        <v>60003760</v>
      </c>
      <c r="CE10" s="1">
        <v>32767</v>
      </c>
      <c r="CF10" s="1">
        <v>13</v>
      </c>
      <c r="CH10" s="1">
        <v>2414849904</v>
      </c>
      <c r="CI10" s="1">
        <v>29668</v>
      </c>
      <c r="CJ10" s="1">
        <v>1</v>
      </c>
      <c r="CK10" s="1">
        <v>1</v>
      </c>
      <c r="CL10" s="1">
        <v>525000000</v>
      </c>
      <c r="CM10" s="1">
        <v>1</v>
      </c>
      <c r="CN10" s="1">
        <v>0</v>
      </c>
      <c r="CO10" s="1">
        <v>90</v>
      </c>
      <c r="CP10" s="1">
        <v>60003760</v>
      </c>
      <c r="CQ10" s="1">
        <v>32767</v>
      </c>
      <c r="CR10" s="1">
        <v>0</v>
      </c>
      <c r="CT10" s="1">
        <v>2414353887</v>
      </c>
      <c r="CU10" s="1">
        <v>16649</v>
      </c>
      <c r="CV10" s="1">
        <v>50000</v>
      </c>
      <c r="CW10" s="1">
        <v>50000</v>
      </c>
      <c r="CX10" s="1">
        <v>107796.09</v>
      </c>
      <c r="CY10" s="1">
        <v>1</v>
      </c>
      <c r="CZ10" s="1">
        <v>0</v>
      </c>
      <c r="DA10" s="1">
        <v>90</v>
      </c>
      <c r="DB10" s="1">
        <v>60003760</v>
      </c>
      <c r="DC10" s="1">
        <v>32767</v>
      </c>
      <c r="DD10" s="1">
        <v>8</v>
      </c>
      <c r="DF10" s="1">
        <v>2412726198</v>
      </c>
      <c r="DG10" s="1">
        <v>17887</v>
      </c>
      <c r="DH10" s="1">
        <v>930190</v>
      </c>
      <c r="DI10" s="1">
        <v>84078</v>
      </c>
      <c r="DJ10" s="1">
        <v>978.99</v>
      </c>
      <c r="DK10" s="1">
        <v>1</v>
      </c>
      <c r="DL10" s="1">
        <v>0</v>
      </c>
      <c r="DM10" s="1">
        <v>90</v>
      </c>
      <c r="DN10" s="1">
        <v>60003760</v>
      </c>
      <c r="DO10" s="1">
        <v>32767</v>
      </c>
      <c r="DP10" s="1">
        <v>0</v>
      </c>
      <c r="DR10" s="1">
        <v>2858683228</v>
      </c>
      <c r="DS10" s="1">
        <v>17888</v>
      </c>
      <c r="DT10" s="1">
        <v>874612</v>
      </c>
      <c r="DU10" s="1">
        <v>874612</v>
      </c>
      <c r="DV10" s="1">
        <v>344.8</v>
      </c>
      <c r="DW10" s="1">
        <v>1</v>
      </c>
      <c r="DX10" s="1">
        <v>0</v>
      </c>
      <c r="DY10" s="1">
        <v>90</v>
      </c>
      <c r="DZ10" s="1">
        <v>60003061</v>
      </c>
      <c r="EA10" s="1">
        <v>32767</v>
      </c>
      <c r="EB10" s="1">
        <v>11</v>
      </c>
      <c r="ED10" s="1">
        <v>2758205776</v>
      </c>
      <c r="EE10" s="1">
        <v>16273</v>
      </c>
      <c r="EF10" s="1">
        <v>791025</v>
      </c>
      <c r="EG10" s="1">
        <v>791025</v>
      </c>
      <c r="EH10" s="1">
        <v>402.36</v>
      </c>
      <c r="EI10" s="1">
        <v>1</v>
      </c>
      <c r="EJ10" s="1">
        <v>0</v>
      </c>
      <c r="EK10" s="1">
        <v>90</v>
      </c>
      <c r="EL10" s="1">
        <v>60003760</v>
      </c>
      <c r="EM10" s="1">
        <v>32767</v>
      </c>
      <c r="EN10" s="1">
        <v>6</v>
      </c>
      <c r="EP10" s="1">
        <v>2803015615</v>
      </c>
      <c r="EQ10" s="1">
        <v>17889</v>
      </c>
      <c r="ER10" s="1">
        <v>1079564</v>
      </c>
      <c r="ES10" s="1">
        <v>734564</v>
      </c>
      <c r="ET10" s="1">
        <v>377.08</v>
      </c>
      <c r="EU10" s="1">
        <v>1</v>
      </c>
      <c r="EV10" s="1">
        <v>0</v>
      </c>
      <c r="EW10" s="1">
        <v>90</v>
      </c>
      <c r="EX10" s="1">
        <v>60003760</v>
      </c>
      <c r="EY10" s="1">
        <v>32767</v>
      </c>
      <c r="EZ10" s="1">
        <v>7</v>
      </c>
      <c r="FB10" s="1">
        <v>2871584710</v>
      </c>
      <c r="FC10" s="1">
        <v>30259</v>
      </c>
      <c r="FD10" s="1">
        <v>5</v>
      </c>
      <c r="FE10" s="1">
        <v>5</v>
      </c>
      <c r="FF10" s="1">
        <v>6388999</v>
      </c>
      <c r="FG10" s="1">
        <v>1</v>
      </c>
      <c r="FH10" s="1">
        <v>0</v>
      </c>
      <c r="FI10" s="1">
        <v>30</v>
      </c>
      <c r="FJ10" s="1">
        <v>60003760</v>
      </c>
      <c r="FK10" s="1">
        <v>32767</v>
      </c>
      <c r="FL10" s="1">
        <v>0</v>
      </c>
      <c r="FN10" s="1">
        <v>2793162341</v>
      </c>
      <c r="FO10" s="1">
        <v>25617</v>
      </c>
      <c r="FP10" s="1">
        <v>544</v>
      </c>
      <c r="FQ10" s="1">
        <v>534</v>
      </c>
      <c r="FR10" s="1">
        <v>5449000</v>
      </c>
      <c r="FS10" s="1">
        <v>1</v>
      </c>
      <c r="FT10" s="1">
        <v>0</v>
      </c>
      <c r="FU10" s="1">
        <v>90</v>
      </c>
      <c r="FV10" s="1">
        <v>60003760</v>
      </c>
      <c r="FW10" s="1">
        <v>32767</v>
      </c>
      <c r="FX10" s="1">
        <v>0</v>
      </c>
      <c r="FZ10" s="1">
        <v>2843259231</v>
      </c>
      <c r="GA10" s="1">
        <v>44</v>
      </c>
      <c r="GB10" s="1">
        <v>10080</v>
      </c>
      <c r="GC10" s="1">
        <v>1605</v>
      </c>
      <c r="GD10" s="1">
        <v>14334.98</v>
      </c>
      <c r="GE10" s="1">
        <v>1</v>
      </c>
      <c r="GF10" s="1">
        <v>0</v>
      </c>
      <c r="GG10" s="1">
        <v>90</v>
      </c>
      <c r="GH10" s="1">
        <v>60003760</v>
      </c>
      <c r="GI10" s="1">
        <v>32767</v>
      </c>
      <c r="GJ10" s="1">
        <v>4</v>
      </c>
      <c r="GL10" s="1">
        <v>2412271833</v>
      </c>
      <c r="GM10" s="1">
        <v>16681</v>
      </c>
      <c r="GN10" s="1">
        <v>100000</v>
      </c>
      <c r="GO10" s="1">
        <v>100000</v>
      </c>
      <c r="GP10" s="1">
        <v>6376.09</v>
      </c>
      <c r="GQ10" s="1">
        <v>1</v>
      </c>
      <c r="GR10" s="1">
        <v>0</v>
      </c>
      <c r="GS10" s="1">
        <v>90</v>
      </c>
      <c r="GT10" s="1">
        <v>60003760</v>
      </c>
      <c r="GU10" s="1">
        <v>32767</v>
      </c>
      <c r="GV10" s="1">
        <v>0</v>
      </c>
      <c r="GX10" s="1">
        <v>2839329716</v>
      </c>
      <c r="GY10" s="1">
        <v>16683</v>
      </c>
      <c r="GZ10" s="1">
        <v>25000</v>
      </c>
      <c r="HA10" s="1">
        <v>25000</v>
      </c>
      <c r="HB10" s="1">
        <v>11145.9</v>
      </c>
      <c r="HC10" s="1">
        <v>1</v>
      </c>
      <c r="HD10" s="1">
        <v>0</v>
      </c>
      <c r="HE10" s="1">
        <v>30</v>
      </c>
      <c r="HF10" s="1">
        <v>60003760</v>
      </c>
      <c r="HG10" s="1">
        <v>32767</v>
      </c>
      <c r="HH10" s="1">
        <v>0</v>
      </c>
      <c r="HJ10" s="1">
        <v>2773533009</v>
      </c>
      <c r="HK10" s="1">
        <v>11724</v>
      </c>
      <c r="HL10" s="1">
        <v>3034</v>
      </c>
      <c r="HM10" s="1">
        <v>3034</v>
      </c>
      <c r="HN10" s="1">
        <v>42997</v>
      </c>
      <c r="HO10" s="1">
        <v>1</v>
      </c>
      <c r="HP10" s="1">
        <v>0</v>
      </c>
      <c r="HQ10" s="1">
        <v>90</v>
      </c>
      <c r="HR10" s="1">
        <v>60003760</v>
      </c>
      <c r="HS10" s="1">
        <v>32767</v>
      </c>
      <c r="HT10" s="1">
        <v>0</v>
      </c>
      <c r="HV10" s="1">
        <v>2764274366</v>
      </c>
      <c r="HW10" s="1">
        <v>16274</v>
      </c>
      <c r="HX10" s="1">
        <v>586245</v>
      </c>
      <c r="HY10" s="1">
        <v>586245</v>
      </c>
      <c r="HZ10" s="1">
        <v>425</v>
      </c>
      <c r="IA10" s="1">
        <v>1</v>
      </c>
      <c r="IB10" s="1">
        <v>0</v>
      </c>
      <c r="IC10" s="1">
        <v>90</v>
      </c>
      <c r="ID10" s="1">
        <v>60003760</v>
      </c>
      <c r="IE10" s="1">
        <v>32767</v>
      </c>
      <c r="IF10" s="1">
        <v>2</v>
      </c>
      <c r="IH10" s="1">
        <v>2867985268</v>
      </c>
      <c r="II10" s="1">
        <v>10213</v>
      </c>
      <c r="IJ10" s="1">
        <v>10</v>
      </c>
      <c r="IK10" s="1">
        <v>10</v>
      </c>
      <c r="IL10" s="1">
        <v>123310004.53</v>
      </c>
      <c r="IM10" s="1">
        <v>1</v>
      </c>
      <c r="IN10" s="1">
        <v>0</v>
      </c>
      <c r="IO10" s="1">
        <v>90</v>
      </c>
      <c r="IP10" s="1">
        <v>60003760</v>
      </c>
      <c r="IQ10" s="1">
        <v>32767</v>
      </c>
      <c r="IR10" s="1">
        <v>0</v>
      </c>
      <c r="IT10" s="1">
        <v>2764769369</v>
      </c>
      <c r="IU10" s="1">
        <v>16679</v>
      </c>
      <c r="IV10" s="1">
        <v>624000</v>
      </c>
      <c r="IW10" s="1">
        <v>624000</v>
      </c>
      <c r="IX10" s="1">
        <v>1799.98</v>
      </c>
      <c r="IY10" s="1">
        <v>1</v>
      </c>
      <c r="IZ10" s="1">
        <v>0</v>
      </c>
      <c r="JA10" s="1">
        <v>90</v>
      </c>
      <c r="JB10" s="1">
        <v>60003760</v>
      </c>
      <c r="JC10" s="1">
        <v>32767</v>
      </c>
      <c r="JD10" s="1">
        <v>0</v>
      </c>
      <c r="JF10" s="1">
        <v>2854218335</v>
      </c>
      <c r="JG10" s="1">
        <v>16272</v>
      </c>
      <c r="JH10" s="1">
        <v>1274686</v>
      </c>
      <c r="JI10" s="1">
        <v>1024686</v>
      </c>
      <c r="JJ10" s="1">
        <v>80</v>
      </c>
      <c r="JK10" s="1">
        <v>1</v>
      </c>
      <c r="JL10" s="1">
        <v>0</v>
      </c>
      <c r="JM10" s="1">
        <v>90</v>
      </c>
      <c r="JN10" s="1">
        <v>60006433</v>
      </c>
      <c r="JO10" s="1">
        <v>32767</v>
      </c>
      <c r="JP10" s="1">
        <v>9</v>
      </c>
      <c r="JR10" s="1">
        <v>2744880594</v>
      </c>
      <c r="JS10" s="1">
        <v>10226</v>
      </c>
      <c r="JT10" s="1">
        <v>4</v>
      </c>
      <c r="JU10" s="1">
        <v>3</v>
      </c>
      <c r="JV10" s="1">
        <v>149999999.99000001</v>
      </c>
      <c r="JW10" s="1">
        <v>1</v>
      </c>
      <c r="JX10" s="1">
        <v>0</v>
      </c>
      <c r="JY10" s="1">
        <v>90</v>
      </c>
      <c r="JZ10" s="1">
        <v>60003760</v>
      </c>
      <c r="KA10" s="1">
        <v>32767</v>
      </c>
      <c r="KB10" s="1">
        <v>1</v>
      </c>
      <c r="KD10" s="1">
        <v>2816146062</v>
      </c>
      <c r="KE10" s="1">
        <v>25605</v>
      </c>
      <c r="KF10" s="1">
        <v>55</v>
      </c>
      <c r="KG10" s="1">
        <v>55</v>
      </c>
      <c r="KH10" s="1">
        <v>126979.99</v>
      </c>
      <c r="KI10" s="1">
        <v>1</v>
      </c>
      <c r="KJ10" s="1">
        <v>0</v>
      </c>
      <c r="KK10" s="1">
        <v>90</v>
      </c>
      <c r="KL10" s="1">
        <v>60003760</v>
      </c>
      <c r="KM10" s="1">
        <v>32767</v>
      </c>
      <c r="KN10" s="1">
        <v>6</v>
      </c>
      <c r="KP10" s="1">
        <v>2814813999</v>
      </c>
      <c r="KQ10" s="1">
        <v>25624</v>
      </c>
      <c r="KR10" s="1">
        <v>264</v>
      </c>
      <c r="KS10" s="1">
        <v>151</v>
      </c>
      <c r="KT10" s="1">
        <v>20045000</v>
      </c>
      <c r="KU10" s="1">
        <v>1</v>
      </c>
      <c r="KV10" s="1">
        <v>0</v>
      </c>
      <c r="KW10" s="1">
        <v>90</v>
      </c>
      <c r="KX10" s="1">
        <v>60003760</v>
      </c>
      <c r="KY10" s="1">
        <v>32767</v>
      </c>
      <c r="KZ10" s="1">
        <v>1</v>
      </c>
      <c r="LB10" s="1">
        <v>2825750736</v>
      </c>
      <c r="LC10" s="1">
        <v>9832</v>
      </c>
      <c r="LD10" s="1">
        <v>3605</v>
      </c>
      <c r="LE10" s="1">
        <v>3605</v>
      </c>
      <c r="LF10" s="1">
        <v>10165</v>
      </c>
      <c r="LG10" s="1">
        <v>1</v>
      </c>
      <c r="LH10" s="1">
        <v>0</v>
      </c>
      <c r="LI10" s="1">
        <v>90</v>
      </c>
      <c r="LJ10" s="1">
        <v>60003760</v>
      </c>
      <c r="LK10" s="1">
        <v>32767</v>
      </c>
      <c r="LL10" s="1">
        <v>0</v>
      </c>
      <c r="LN10" s="1">
        <v>2854809156</v>
      </c>
      <c r="LO10" s="1">
        <v>10209</v>
      </c>
      <c r="LP10" s="1">
        <v>59</v>
      </c>
      <c r="LQ10" s="1">
        <v>57</v>
      </c>
      <c r="LR10" s="1">
        <v>127800000.02</v>
      </c>
      <c r="LS10" s="1">
        <v>1</v>
      </c>
      <c r="LT10" s="1">
        <v>0</v>
      </c>
      <c r="LU10" s="1">
        <v>90</v>
      </c>
      <c r="LV10" s="1">
        <v>60003760</v>
      </c>
      <c r="LW10" s="1">
        <v>32767</v>
      </c>
      <c r="LX10" s="1">
        <v>1</v>
      </c>
      <c r="LZ10" s="1">
        <v>2858476912</v>
      </c>
      <c r="MA10" s="1">
        <v>10217</v>
      </c>
      <c r="MB10" s="1">
        <v>2</v>
      </c>
      <c r="MC10" s="1">
        <v>2</v>
      </c>
      <c r="MD10" s="1">
        <v>125999997</v>
      </c>
      <c r="ME10" s="1">
        <v>1</v>
      </c>
      <c r="MF10" s="1">
        <v>0</v>
      </c>
      <c r="MG10" s="1">
        <v>90</v>
      </c>
      <c r="MH10" s="1">
        <v>60003760</v>
      </c>
      <c r="MI10" s="1">
        <v>32767</v>
      </c>
      <c r="MJ10" s="1">
        <v>0</v>
      </c>
      <c r="ML10" s="1">
        <v>2793535386</v>
      </c>
      <c r="MM10" s="1">
        <v>25625</v>
      </c>
      <c r="MN10" s="1">
        <v>1</v>
      </c>
      <c r="MO10" s="1">
        <v>1</v>
      </c>
      <c r="MP10" s="1">
        <v>5140001.99</v>
      </c>
      <c r="MQ10" s="1">
        <v>1</v>
      </c>
      <c r="MR10" s="1">
        <v>0</v>
      </c>
      <c r="MS10" s="1">
        <v>90</v>
      </c>
      <c r="MT10" s="1">
        <v>60003760</v>
      </c>
      <c r="MU10" s="1">
        <v>32767</v>
      </c>
      <c r="MV10" s="1">
        <v>0</v>
      </c>
      <c r="MX10" s="1">
        <v>2830617119</v>
      </c>
      <c r="MY10" s="1">
        <v>16672</v>
      </c>
      <c r="MZ10" s="1">
        <v>1000000</v>
      </c>
      <c r="NA10" s="1">
        <v>1000000</v>
      </c>
      <c r="NB10" s="1">
        <v>159.52000000000001</v>
      </c>
      <c r="NC10" s="1">
        <v>1</v>
      </c>
      <c r="ND10" s="1">
        <v>0</v>
      </c>
      <c r="NE10" s="1">
        <v>90</v>
      </c>
      <c r="NF10" s="1">
        <v>60003760</v>
      </c>
      <c r="NG10" s="1">
        <v>32767</v>
      </c>
      <c r="NH10" s="1">
        <v>0</v>
      </c>
      <c r="NJ10" s="1">
        <v>2822132058</v>
      </c>
      <c r="NK10" s="1">
        <v>16673</v>
      </c>
      <c r="NL10" s="1">
        <v>850000</v>
      </c>
      <c r="NM10" s="1">
        <v>850000</v>
      </c>
      <c r="NN10" s="1">
        <v>121.65</v>
      </c>
      <c r="NO10" s="1">
        <v>1</v>
      </c>
      <c r="NP10" s="1">
        <v>0</v>
      </c>
      <c r="NQ10" s="1">
        <v>90</v>
      </c>
      <c r="NR10" s="1">
        <v>60003760</v>
      </c>
      <c r="NS10" s="1">
        <v>32767</v>
      </c>
      <c r="NT10" s="1">
        <v>6</v>
      </c>
      <c r="NV10" s="1">
        <v>2771831089</v>
      </c>
      <c r="NW10" s="1">
        <v>3689</v>
      </c>
      <c r="NX10" s="1">
        <v>200000</v>
      </c>
      <c r="NY10" s="1">
        <v>200000</v>
      </c>
      <c r="NZ10" s="1">
        <v>14495</v>
      </c>
      <c r="OA10" s="1">
        <v>1</v>
      </c>
      <c r="OB10" s="1">
        <v>0</v>
      </c>
      <c r="OC10" s="1">
        <v>90</v>
      </c>
      <c r="OD10" s="1">
        <v>60003760</v>
      </c>
      <c r="OE10" s="1">
        <v>32767</v>
      </c>
      <c r="OF10" s="1">
        <v>0</v>
      </c>
      <c r="OH10" s="1">
        <v>2866099410</v>
      </c>
      <c r="OI10" s="1">
        <v>25598</v>
      </c>
      <c r="OJ10" s="1">
        <v>6</v>
      </c>
      <c r="OK10" s="1">
        <v>6</v>
      </c>
      <c r="OL10" s="1">
        <v>139500</v>
      </c>
      <c r="OM10" s="1">
        <v>1</v>
      </c>
      <c r="ON10" s="1">
        <v>0</v>
      </c>
      <c r="OO10" s="1">
        <v>30</v>
      </c>
      <c r="OP10" s="1">
        <v>60004228</v>
      </c>
      <c r="OQ10" s="1">
        <v>32767</v>
      </c>
      <c r="OR10" s="1">
        <v>3</v>
      </c>
      <c r="OT10" s="1">
        <v>2877202182</v>
      </c>
      <c r="OU10" s="1">
        <v>25600</v>
      </c>
      <c r="OV10" s="1">
        <v>12</v>
      </c>
      <c r="OW10" s="1">
        <v>12</v>
      </c>
      <c r="OX10" s="1">
        <v>28999</v>
      </c>
      <c r="OY10" s="1">
        <v>1</v>
      </c>
      <c r="OZ10" s="1">
        <v>0</v>
      </c>
      <c r="PA10" s="1">
        <v>3</v>
      </c>
      <c r="PB10" s="1">
        <v>60000298</v>
      </c>
      <c r="PC10" s="1">
        <v>32767</v>
      </c>
      <c r="PD10" s="1">
        <v>3</v>
      </c>
      <c r="PF10" s="1">
        <v>2778163245</v>
      </c>
      <c r="PG10" s="1">
        <v>16670</v>
      </c>
      <c r="PH10" s="1">
        <v>940000</v>
      </c>
      <c r="PI10" s="1">
        <v>940000</v>
      </c>
      <c r="PJ10" s="1">
        <v>137.36000000000001</v>
      </c>
      <c r="PK10" s="1">
        <v>1</v>
      </c>
      <c r="PL10" s="1">
        <v>0</v>
      </c>
      <c r="PM10" s="1">
        <v>90</v>
      </c>
      <c r="PN10" s="1">
        <v>60003760</v>
      </c>
      <c r="PO10" s="1">
        <v>32767</v>
      </c>
      <c r="PP10" s="1">
        <v>7</v>
      </c>
      <c r="PR10" s="1">
        <v>2854254672</v>
      </c>
      <c r="PS10" s="1">
        <v>10222</v>
      </c>
      <c r="PT10" s="1">
        <v>1</v>
      </c>
      <c r="PU10" s="1">
        <v>1</v>
      </c>
      <c r="PV10" s="1">
        <v>169999999.56</v>
      </c>
      <c r="PW10" s="1">
        <v>1</v>
      </c>
      <c r="PX10" s="1">
        <v>0</v>
      </c>
      <c r="PY10" s="1">
        <v>90</v>
      </c>
      <c r="PZ10" s="1">
        <v>60003760</v>
      </c>
      <c r="QA10" s="1">
        <v>32767</v>
      </c>
      <c r="QB10" s="1">
        <v>0</v>
      </c>
      <c r="QD10" s="1">
        <v>2788019587</v>
      </c>
      <c r="QE10" s="1">
        <v>9830</v>
      </c>
      <c r="QF10" s="1">
        <v>100000</v>
      </c>
      <c r="QG10" s="1">
        <v>100000</v>
      </c>
      <c r="QH10" s="1">
        <v>14999.97</v>
      </c>
      <c r="QI10" s="1">
        <v>1</v>
      </c>
      <c r="QJ10" s="1">
        <v>0</v>
      </c>
      <c r="QK10" s="1">
        <v>90</v>
      </c>
      <c r="QL10" s="1">
        <v>60003760</v>
      </c>
      <c r="QM10" s="1">
        <v>32767</v>
      </c>
      <c r="QN10" s="1">
        <v>0</v>
      </c>
      <c r="QP10" s="1">
        <v>2830618123</v>
      </c>
      <c r="QQ10" s="1">
        <v>16671</v>
      </c>
      <c r="QR10" s="1">
        <v>1000000</v>
      </c>
      <c r="QS10" s="1">
        <v>1000000</v>
      </c>
      <c r="QT10" s="1">
        <v>129.51</v>
      </c>
      <c r="QU10" s="1">
        <v>1</v>
      </c>
      <c r="QV10" s="1">
        <v>0</v>
      </c>
      <c r="QW10" s="1">
        <v>90</v>
      </c>
      <c r="QX10" s="1">
        <v>60003760</v>
      </c>
      <c r="QY10" s="1">
        <v>32767</v>
      </c>
      <c r="QZ10" s="1">
        <v>7</v>
      </c>
      <c r="RB10" s="1">
        <v>2844437489</v>
      </c>
      <c r="RC10" s="1">
        <v>16682</v>
      </c>
      <c r="RD10" s="1">
        <v>200000</v>
      </c>
      <c r="RE10" s="1">
        <v>200000</v>
      </c>
      <c r="RF10" s="1">
        <v>4000</v>
      </c>
      <c r="RG10" s="1">
        <v>1</v>
      </c>
      <c r="RH10" s="1">
        <v>0</v>
      </c>
      <c r="RI10" s="1">
        <v>90</v>
      </c>
      <c r="RJ10" s="1">
        <v>60003760</v>
      </c>
      <c r="RK10" s="1">
        <v>32767</v>
      </c>
      <c r="RL10" s="1">
        <v>8</v>
      </c>
      <c r="RN10" s="1">
        <v>2854931247</v>
      </c>
      <c r="RO10" s="1">
        <v>16678</v>
      </c>
      <c r="RP10" s="1">
        <v>2000000</v>
      </c>
      <c r="RQ10" s="1">
        <v>1600000</v>
      </c>
      <c r="RR10" s="1">
        <v>344.49</v>
      </c>
      <c r="RS10" s="1">
        <v>1</v>
      </c>
      <c r="RT10" s="1">
        <v>0</v>
      </c>
      <c r="RU10" s="1">
        <v>90</v>
      </c>
      <c r="RV10" s="1">
        <v>60003760</v>
      </c>
      <c r="RW10" s="1">
        <v>32767</v>
      </c>
      <c r="RX10" s="1">
        <v>6</v>
      </c>
      <c r="RZ10" s="1">
        <v>2850681951</v>
      </c>
      <c r="SA10" s="1">
        <v>30310</v>
      </c>
      <c r="SB10" s="1">
        <v>1456</v>
      </c>
      <c r="SC10" s="1">
        <v>160</v>
      </c>
      <c r="SD10" s="1">
        <v>1329991.6499999999</v>
      </c>
      <c r="SE10" s="1">
        <v>1</v>
      </c>
      <c r="SF10" s="1">
        <v>0</v>
      </c>
      <c r="SG10" s="1">
        <v>90</v>
      </c>
      <c r="SH10" s="1">
        <v>60003760</v>
      </c>
      <c r="SI10" s="1">
        <v>32767</v>
      </c>
      <c r="SJ10" s="1">
        <v>0</v>
      </c>
      <c r="SL10" s="1">
        <v>2807726924</v>
      </c>
      <c r="SM10" s="1">
        <v>30311</v>
      </c>
      <c r="SN10" s="1">
        <v>150</v>
      </c>
      <c r="SO10" s="1">
        <v>150</v>
      </c>
      <c r="SP10" s="1">
        <v>3700000</v>
      </c>
      <c r="SQ10" s="1">
        <v>1</v>
      </c>
      <c r="SR10" s="1">
        <v>0</v>
      </c>
      <c r="SS10" s="1">
        <v>90</v>
      </c>
      <c r="ST10" s="1">
        <v>60003760</v>
      </c>
      <c r="SU10" s="1">
        <v>32767</v>
      </c>
      <c r="SV10" s="1">
        <v>0</v>
      </c>
      <c r="SX10" s="1">
        <v>2819455537</v>
      </c>
      <c r="SY10" s="1">
        <v>25595</v>
      </c>
      <c r="SZ10" s="1">
        <v>1645</v>
      </c>
      <c r="TA10" s="1">
        <v>1645</v>
      </c>
      <c r="TB10" s="1">
        <v>93600</v>
      </c>
      <c r="TC10" s="1">
        <v>1</v>
      </c>
      <c r="TD10" s="1">
        <v>0</v>
      </c>
      <c r="TE10" s="1">
        <v>90</v>
      </c>
      <c r="TF10" s="1">
        <v>60003760</v>
      </c>
      <c r="TG10" s="1">
        <v>32767</v>
      </c>
      <c r="TH10" s="1">
        <v>6</v>
      </c>
      <c r="TJ10" s="1">
        <v>2781093258</v>
      </c>
      <c r="TK10" s="1">
        <v>25606</v>
      </c>
      <c r="TL10" s="1">
        <v>1749</v>
      </c>
      <c r="TM10" s="1">
        <v>1749</v>
      </c>
      <c r="TN10" s="1">
        <v>31996.97</v>
      </c>
      <c r="TO10" s="1">
        <v>1</v>
      </c>
      <c r="TP10" s="1">
        <v>0</v>
      </c>
      <c r="TQ10" s="1">
        <v>90</v>
      </c>
      <c r="TR10" s="1">
        <v>60003760</v>
      </c>
      <c r="TS10" s="1">
        <v>32767</v>
      </c>
      <c r="TT10" s="1">
        <v>0</v>
      </c>
      <c r="TV10" s="1">
        <v>2841665134</v>
      </c>
      <c r="TW10" s="1">
        <v>25622</v>
      </c>
      <c r="TX10" s="1">
        <v>66</v>
      </c>
      <c r="TY10" s="1">
        <v>66</v>
      </c>
      <c r="TZ10" s="1">
        <v>16349999.99</v>
      </c>
      <c r="UA10" s="1">
        <v>1</v>
      </c>
      <c r="UB10" s="1">
        <v>0</v>
      </c>
      <c r="UC10" s="1">
        <v>30</v>
      </c>
      <c r="UD10" s="1">
        <v>60003760</v>
      </c>
      <c r="UE10" s="1">
        <v>32767</v>
      </c>
      <c r="UF10" s="1">
        <v>0</v>
      </c>
      <c r="UH10" s="1">
        <v>2783140042</v>
      </c>
      <c r="UI10" s="1">
        <v>16680</v>
      </c>
      <c r="UJ10" s="1">
        <v>1368400</v>
      </c>
      <c r="UK10" s="1">
        <v>1368400</v>
      </c>
      <c r="UL10" s="1">
        <v>850</v>
      </c>
      <c r="UM10" s="1">
        <v>1</v>
      </c>
      <c r="UN10" s="1">
        <v>0</v>
      </c>
      <c r="UO10" s="1">
        <v>90</v>
      </c>
      <c r="UP10" s="1">
        <v>60003760</v>
      </c>
      <c r="UQ10" s="1">
        <v>32767</v>
      </c>
      <c r="UR10" s="1">
        <v>6</v>
      </c>
      <c r="UT10" s="1">
        <v>2847934615</v>
      </c>
      <c r="UU10" s="1">
        <v>17317</v>
      </c>
      <c r="UV10" s="1">
        <v>47800</v>
      </c>
      <c r="UW10" s="1">
        <v>47800</v>
      </c>
      <c r="UX10" s="1">
        <v>31000</v>
      </c>
      <c r="UY10" s="1">
        <v>1</v>
      </c>
      <c r="UZ10" s="1">
        <v>0</v>
      </c>
      <c r="VA10" s="1">
        <v>90</v>
      </c>
      <c r="VB10" s="1">
        <v>60003760</v>
      </c>
      <c r="VC10" s="1">
        <v>32767</v>
      </c>
      <c r="VD10" s="1">
        <v>0</v>
      </c>
      <c r="VF10" s="1">
        <v>2871427649</v>
      </c>
      <c r="VG10" s="1">
        <v>11725</v>
      </c>
      <c r="VH10" s="1">
        <v>2397</v>
      </c>
      <c r="VI10" s="1">
        <v>2397</v>
      </c>
      <c r="VJ10" s="1">
        <v>55500</v>
      </c>
      <c r="VK10" s="1">
        <v>1</v>
      </c>
      <c r="VL10" s="1">
        <v>0</v>
      </c>
      <c r="VM10" s="1">
        <v>90</v>
      </c>
      <c r="VN10" s="1">
        <v>60003466</v>
      </c>
      <c r="VO10" s="1">
        <v>32767</v>
      </c>
      <c r="VP10" s="1">
        <v>6</v>
      </c>
    </row>
    <row r="11" spans="1:588" x14ac:dyDescent="0.25">
      <c r="B11" s="1">
        <v>2845652736</v>
      </c>
      <c r="C11" s="1">
        <v>34</v>
      </c>
      <c r="D11" s="1">
        <v>12011477</v>
      </c>
      <c r="E11" s="1">
        <v>12011477</v>
      </c>
      <c r="F11" s="1">
        <v>6</v>
      </c>
      <c r="G11" s="1">
        <v>1</v>
      </c>
      <c r="H11" s="1">
        <v>0</v>
      </c>
      <c r="I11" s="1">
        <v>30</v>
      </c>
      <c r="J11" s="1">
        <v>60003061</v>
      </c>
      <c r="K11" s="1">
        <v>32767</v>
      </c>
      <c r="L11" s="1">
        <v>3</v>
      </c>
      <c r="N11" s="1">
        <v>2851473268</v>
      </c>
      <c r="O11" s="1">
        <v>35</v>
      </c>
      <c r="P11" s="1">
        <v>1235390</v>
      </c>
      <c r="Q11" s="1">
        <v>1235390</v>
      </c>
      <c r="R11" s="1">
        <v>16</v>
      </c>
      <c r="S11" s="1">
        <v>1</v>
      </c>
      <c r="T11" s="1">
        <v>0</v>
      </c>
      <c r="U11" s="1">
        <v>30</v>
      </c>
      <c r="V11" s="1">
        <v>60003061</v>
      </c>
      <c r="W11" s="1">
        <v>32767</v>
      </c>
      <c r="X11" s="1">
        <v>3</v>
      </c>
      <c r="Z11" s="1">
        <v>2849454066</v>
      </c>
      <c r="AA11" s="1">
        <v>36</v>
      </c>
      <c r="AB11" s="1">
        <v>861390</v>
      </c>
      <c r="AC11" s="1">
        <v>861390</v>
      </c>
      <c r="AD11" s="16">
        <v>50</v>
      </c>
      <c r="AE11" s="1">
        <v>1</v>
      </c>
      <c r="AF11" s="1">
        <v>0</v>
      </c>
      <c r="AG11" s="1">
        <v>30</v>
      </c>
      <c r="AH11" s="1">
        <v>60005605</v>
      </c>
      <c r="AI11" s="1">
        <v>32767</v>
      </c>
      <c r="AJ11" s="1">
        <v>14</v>
      </c>
      <c r="AL11" s="1">
        <v>2824691030</v>
      </c>
      <c r="AM11" s="1">
        <v>37</v>
      </c>
      <c r="AN11" s="1">
        <v>2065622</v>
      </c>
      <c r="AO11" s="1">
        <v>2065622</v>
      </c>
      <c r="AP11" s="16">
        <v>152</v>
      </c>
      <c r="AQ11" s="1">
        <v>1</v>
      </c>
      <c r="AR11" s="1">
        <v>0</v>
      </c>
      <c r="AS11" s="1">
        <v>90</v>
      </c>
      <c r="AT11" s="1">
        <v>60003760</v>
      </c>
      <c r="AU11" s="1">
        <v>32767</v>
      </c>
      <c r="AV11" s="1">
        <v>9</v>
      </c>
      <c r="AX11" s="1">
        <v>2813109308</v>
      </c>
      <c r="AY11" s="1">
        <v>38</v>
      </c>
      <c r="AZ11" s="1">
        <v>1000000</v>
      </c>
      <c r="BA11" s="1">
        <v>1000000</v>
      </c>
      <c r="BB11" s="1">
        <v>844</v>
      </c>
      <c r="BC11" s="1">
        <v>1</v>
      </c>
      <c r="BD11" s="1">
        <v>0</v>
      </c>
      <c r="BE11" s="1">
        <v>90</v>
      </c>
      <c r="BF11" s="1">
        <v>60003760</v>
      </c>
      <c r="BG11" s="1">
        <v>32767</v>
      </c>
      <c r="BH11" s="1">
        <v>5</v>
      </c>
      <c r="BJ11" s="1">
        <v>2816498327</v>
      </c>
      <c r="BK11" s="1">
        <v>39</v>
      </c>
      <c r="BL11" s="1">
        <v>3029772</v>
      </c>
      <c r="BM11" s="1">
        <v>1695507</v>
      </c>
      <c r="BN11" s="1">
        <v>854.93</v>
      </c>
      <c r="BO11" s="1">
        <v>1</v>
      </c>
      <c r="BP11" s="1">
        <v>0</v>
      </c>
      <c r="BQ11" s="1">
        <v>90</v>
      </c>
      <c r="BR11" s="1">
        <v>60003760</v>
      </c>
      <c r="BS11" s="1">
        <v>32767</v>
      </c>
      <c r="BT11" s="1">
        <v>5</v>
      </c>
      <c r="BV11" s="1">
        <v>2396928830</v>
      </c>
      <c r="BW11" s="1">
        <v>40</v>
      </c>
      <c r="BX11" s="1">
        <v>30151</v>
      </c>
      <c r="BY11" s="1">
        <v>30151</v>
      </c>
      <c r="BZ11" s="1">
        <v>2800</v>
      </c>
      <c r="CA11" s="1">
        <v>1</v>
      </c>
      <c r="CB11" s="1">
        <v>0</v>
      </c>
      <c r="CC11" s="1">
        <v>90</v>
      </c>
      <c r="CD11" s="1">
        <v>60003760</v>
      </c>
      <c r="CE11" s="1">
        <v>32767</v>
      </c>
      <c r="CF11" s="1">
        <v>13</v>
      </c>
      <c r="CH11" s="1">
        <v>2414307941</v>
      </c>
      <c r="CI11" s="1">
        <v>29668</v>
      </c>
      <c r="CJ11" s="1">
        <v>56</v>
      </c>
      <c r="CK11" s="1">
        <v>56</v>
      </c>
      <c r="CL11" s="1">
        <v>500000000</v>
      </c>
      <c r="CM11" s="1">
        <v>1</v>
      </c>
      <c r="CN11" s="1">
        <v>0</v>
      </c>
      <c r="CO11" s="1">
        <v>90</v>
      </c>
      <c r="CP11" s="1">
        <v>60003760</v>
      </c>
      <c r="CQ11" s="1">
        <v>32767</v>
      </c>
      <c r="CR11" s="1">
        <v>0</v>
      </c>
      <c r="CT11" s="1">
        <v>2414243657</v>
      </c>
      <c r="CU11" s="1">
        <v>16649</v>
      </c>
      <c r="CV11" s="1">
        <v>10000</v>
      </c>
      <c r="CW11" s="1">
        <v>10000</v>
      </c>
      <c r="CX11" s="1">
        <v>113438.8</v>
      </c>
      <c r="CY11" s="1">
        <v>1</v>
      </c>
      <c r="CZ11" s="1">
        <v>0</v>
      </c>
      <c r="DA11" s="1">
        <v>90</v>
      </c>
      <c r="DB11" s="1">
        <v>60003760</v>
      </c>
      <c r="DC11" s="1">
        <v>32767</v>
      </c>
      <c r="DD11" s="1">
        <v>8</v>
      </c>
      <c r="DF11" s="1">
        <v>2412860878</v>
      </c>
      <c r="DG11" s="1">
        <v>17887</v>
      </c>
      <c r="DH11" s="1">
        <v>911679</v>
      </c>
      <c r="DI11" s="1">
        <v>911679</v>
      </c>
      <c r="DJ11" s="1">
        <v>978.94</v>
      </c>
      <c r="DK11" s="1">
        <v>1</v>
      </c>
      <c r="DL11" s="1">
        <v>0</v>
      </c>
      <c r="DM11" s="1">
        <v>90</v>
      </c>
      <c r="DN11" s="1">
        <v>60003760</v>
      </c>
      <c r="DO11" s="1">
        <v>32767</v>
      </c>
      <c r="DP11" s="1">
        <v>0</v>
      </c>
      <c r="DR11" s="1">
        <v>2866456686</v>
      </c>
      <c r="DS11" s="1">
        <v>17888</v>
      </c>
      <c r="DT11" s="1">
        <v>691800</v>
      </c>
      <c r="DU11" s="1">
        <v>56179</v>
      </c>
      <c r="DV11" s="1">
        <v>340</v>
      </c>
      <c r="DW11" s="1">
        <v>1</v>
      </c>
      <c r="DX11" s="1">
        <v>0</v>
      </c>
      <c r="DY11" s="1">
        <v>90</v>
      </c>
      <c r="DZ11" s="1">
        <v>60003061</v>
      </c>
      <c r="EA11" s="1">
        <v>32767</v>
      </c>
      <c r="EB11" s="1">
        <v>11</v>
      </c>
      <c r="ED11" s="1">
        <v>2758109359</v>
      </c>
      <c r="EE11" s="1">
        <v>16273</v>
      </c>
      <c r="EF11" s="1">
        <v>404783</v>
      </c>
      <c r="EG11" s="1">
        <v>404683</v>
      </c>
      <c r="EH11" s="1">
        <v>402.66</v>
      </c>
      <c r="EI11" s="1">
        <v>1</v>
      </c>
      <c r="EJ11" s="1">
        <v>0</v>
      </c>
      <c r="EK11" s="1">
        <v>90</v>
      </c>
      <c r="EL11" s="1">
        <v>60003760</v>
      </c>
      <c r="EM11" s="1">
        <v>32767</v>
      </c>
      <c r="EN11" s="1">
        <v>6</v>
      </c>
      <c r="EP11" s="1">
        <v>2798469217</v>
      </c>
      <c r="EQ11" s="1">
        <v>17889</v>
      </c>
      <c r="ER11" s="1">
        <v>5424</v>
      </c>
      <c r="ES11" s="1">
        <v>5424</v>
      </c>
      <c r="ET11" s="1">
        <v>392</v>
      </c>
      <c r="EU11" s="1">
        <v>1</v>
      </c>
      <c r="EV11" s="1">
        <v>0</v>
      </c>
      <c r="EW11" s="1">
        <v>90</v>
      </c>
      <c r="EX11" s="1">
        <v>60003760</v>
      </c>
      <c r="EY11" s="1">
        <v>32767</v>
      </c>
      <c r="EZ11" s="1">
        <v>7</v>
      </c>
      <c r="FB11" s="1">
        <v>2871854772</v>
      </c>
      <c r="FC11" s="1">
        <v>30259</v>
      </c>
      <c r="FD11" s="1">
        <v>353</v>
      </c>
      <c r="FE11" s="1">
        <v>169</v>
      </c>
      <c r="FF11" s="1">
        <v>5999990.96</v>
      </c>
      <c r="FG11" s="1">
        <v>1</v>
      </c>
      <c r="FH11" s="1">
        <v>0</v>
      </c>
      <c r="FI11" s="1">
        <v>90</v>
      </c>
      <c r="FJ11" s="1">
        <v>60003760</v>
      </c>
      <c r="FK11" s="1">
        <v>32767</v>
      </c>
      <c r="FL11" s="1">
        <v>0</v>
      </c>
      <c r="FN11" s="1">
        <v>2792120413</v>
      </c>
      <c r="FO11" s="1">
        <v>25617</v>
      </c>
      <c r="FP11" s="1">
        <v>100</v>
      </c>
      <c r="FQ11" s="1">
        <v>100</v>
      </c>
      <c r="FR11" s="1">
        <v>5500000</v>
      </c>
      <c r="FS11" s="1">
        <v>1</v>
      </c>
      <c r="FT11" s="1">
        <v>0</v>
      </c>
      <c r="FU11" s="1">
        <v>90</v>
      </c>
      <c r="FV11" s="1">
        <v>60003760</v>
      </c>
      <c r="FW11" s="1">
        <v>32767</v>
      </c>
      <c r="FX11" s="1">
        <v>0</v>
      </c>
      <c r="FZ11" s="1">
        <v>2844900056</v>
      </c>
      <c r="GA11" s="1">
        <v>44</v>
      </c>
      <c r="GB11" s="1">
        <v>117184</v>
      </c>
      <c r="GC11" s="1">
        <v>117184</v>
      </c>
      <c r="GD11" s="1">
        <v>14632.99</v>
      </c>
      <c r="GE11" s="1">
        <v>1</v>
      </c>
      <c r="GF11" s="1">
        <v>0</v>
      </c>
      <c r="GG11" s="1">
        <v>90</v>
      </c>
      <c r="GH11" s="1">
        <v>60003760</v>
      </c>
      <c r="GI11" s="1">
        <v>32767</v>
      </c>
      <c r="GJ11" s="1">
        <v>4</v>
      </c>
      <c r="GL11" s="1">
        <v>2412654895</v>
      </c>
      <c r="GM11" s="1">
        <v>16681</v>
      </c>
      <c r="GN11" s="1">
        <v>94352</v>
      </c>
      <c r="GO11" s="1">
        <v>84352</v>
      </c>
      <c r="GP11" s="1">
        <v>6376.39</v>
      </c>
      <c r="GQ11" s="1">
        <v>1</v>
      </c>
      <c r="GR11" s="1">
        <v>0</v>
      </c>
      <c r="GS11" s="1">
        <v>90</v>
      </c>
      <c r="GT11" s="1">
        <v>60003760</v>
      </c>
      <c r="GU11" s="1">
        <v>32767</v>
      </c>
      <c r="GV11" s="1">
        <v>0</v>
      </c>
      <c r="GX11" s="1">
        <v>2839259387</v>
      </c>
      <c r="GY11" s="1">
        <v>16683</v>
      </c>
      <c r="GZ11" s="1">
        <v>50000</v>
      </c>
      <c r="HA11" s="1">
        <v>50000</v>
      </c>
      <c r="HB11" s="1">
        <v>13883.99</v>
      </c>
      <c r="HC11" s="1">
        <v>1</v>
      </c>
      <c r="HD11" s="1">
        <v>0</v>
      </c>
      <c r="HE11" s="1">
        <v>30</v>
      </c>
      <c r="HF11" s="1">
        <v>60003760</v>
      </c>
      <c r="HG11" s="1">
        <v>32767</v>
      </c>
      <c r="HH11" s="1">
        <v>0</v>
      </c>
      <c r="HJ11" s="1">
        <v>2796001693</v>
      </c>
      <c r="HK11" s="1">
        <v>11724</v>
      </c>
      <c r="HL11" s="1">
        <v>4342</v>
      </c>
      <c r="HM11" s="1">
        <v>3169</v>
      </c>
      <c r="HN11" s="1">
        <v>42000</v>
      </c>
      <c r="HO11" s="1">
        <v>1</v>
      </c>
      <c r="HP11" s="1">
        <v>0</v>
      </c>
      <c r="HQ11" s="1">
        <v>90</v>
      </c>
      <c r="HR11" s="1">
        <v>60003760</v>
      </c>
      <c r="HS11" s="1">
        <v>32767</v>
      </c>
      <c r="HT11" s="1">
        <v>0</v>
      </c>
      <c r="HV11" s="1">
        <v>2766877404</v>
      </c>
      <c r="HW11" s="1">
        <v>16274</v>
      </c>
      <c r="HX11" s="1">
        <v>6000000</v>
      </c>
      <c r="HY11" s="1">
        <v>3956500</v>
      </c>
      <c r="HZ11" s="1">
        <v>387</v>
      </c>
      <c r="IA11" s="1">
        <v>1</v>
      </c>
      <c r="IB11" s="1">
        <v>0</v>
      </c>
      <c r="IC11" s="1">
        <v>90</v>
      </c>
      <c r="ID11" s="1">
        <v>60003760</v>
      </c>
      <c r="IE11" s="1">
        <v>32767</v>
      </c>
      <c r="IF11" s="1">
        <v>2</v>
      </c>
      <c r="IH11" s="1">
        <v>2869642490</v>
      </c>
      <c r="II11" s="1">
        <v>10213</v>
      </c>
      <c r="IJ11" s="1">
        <v>34</v>
      </c>
      <c r="IK11" s="1">
        <v>19</v>
      </c>
      <c r="IL11" s="1">
        <v>123000000</v>
      </c>
      <c r="IM11" s="1">
        <v>1</v>
      </c>
      <c r="IN11" s="1">
        <v>0</v>
      </c>
      <c r="IO11" s="1">
        <v>90</v>
      </c>
      <c r="IP11" s="1">
        <v>60003760</v>
      </c>
      <c r="IQ11" s="1">
        <v>32767</v>
      </c>
      <c r="IR11" s="1">
        <v>0</v>
      </c>
      <c r="IT11" s="1">
        <v>2764769863</v>
      </c>
      <c r="IU11" s="1">
        <v>16679</v>
      </c>
      <c r="IV11" s="1">
        <v>624000</v>
      </c>
      <c r="IW11" s="1">
        <v>318750</v>
      </c>
      <c r="IX11" s="1">
        <v>1799.98</v>
      </c>
      <c r="IY11" s="1">
        <v>1</v>
      </c>
      <c r="IZ11" s="1">
        <v>0</v>
      </c>
      <c r="JA11" s="1">
        <v>90</v>
      </c>
      <c r="JB11" s="1">
        <v>60003760</v>
      </c>
      <c r="JC11" s="1">
        <v>32767</v>
      </c>
      <c r="JD11" s="1">
        <v>0</v>
      </c>
      <c r="JF11" s="1">
        <v>2874712932</v>
      </c>
      <c r="JG11" s="1">
        <v>16272</v>
      </c>
      <c r="JH11" s="1">
        <v>617</v>
      </c>
      <c r="JI11" s="1">
        <v>617</v>
      </c>
      <c r="JJ11" s="1">
        <v>79</v>
      </c>
      <c r="JK11" s="1">
        <v>1</v>
      </c>
      <c r="JL11" s="1">
        <v>0</v>
      </c>
      <c r="JM11" s="1">
        <v>30</v>
      </c>
      <c r="JN11" s="1">
        <v>60006430</v>
      </c>
      <c r="JO11" s="1">
        <v>32767</v>
      </c>
      <c r="JP11" s="1">
        <v>9</v>
      </c>
      <c r="JR11" s="1">
        <v>2871208742</v>
      </c>
      <c r="JS11" s="1">
        <v>10226</v>
      </c>
      <c r="JT11" s="1">
        <v>3</v>
      </c>
      <c r="JU11" s="1">
        <v>3</v>
      </c>
      <c r="JV11" s="1">
        <v>122000000.01000001</v>
      </c>
      <c r="JW11" s="1">
        <v>1</v>
      </c>
      <c r="JX11" s="1">
        <v>0</v>
      </c>
      <c r="JY11" s="1">
        <v>90</v>
      </c>
      <c r="JZ11" s="1">
        <v>60003760</v>
      </c>
      <c r="KA11" s="1">
        <v>32767</v>
      </c>
      <c r="KB11" s="1">
        <v>1</v>
      </c>
      <c r="KD11" s="1">
        <v>2823909256</v>
      </c>
      <c r="KE11" s="1">
        <v>25605</v>
      </c>
      <c r="KF11" s="1">
        <v>164</v>
      </c>
      <c r="KG11" s="1">
        <v>164</v>
      </c>
      <c r="KH11" s="1">
        <v>133000</v>
      </c>
      <c r="KI11" s="1">
        <v>1</v>
      </c>
      <c r="KJ11" s="1">
        <v>0</v>
      </c>
      <c r="KK11" s="1">
        <v>90</v>
      </c>
      <c r="KL11" s="1">
        <v>60003760</v>
      </c>
      <c r="KM11" s="1">
        <v>32767</v>
      </c>
      <c r="KN11" s="1">
        <v>6</v>
      </c>
      <c r="KP11" s="1">
        <v>2816915527</v>
      </c>
      <c r="KQ11" s="1">
        <v>25624</v>
      </c>
      <c r="KR11" s="1">
        <v>2</v>
      </c>
      <c r="KS11" s="1">
        <v>2</v>
      </c>
      <c r="KT11" s="1">
        <v>22000000</v>
      </c>
      <c r="KU11" s="1">
        <v>1</v>
      </c>
      <c r="KV11" s="1">
        <v>0</v>
      </c>
      <c r="KW11" s="1">
        <v>90</v>
      </c>
      <c r="KX11" s="1">
        <v>60003760</v>
      </c>
      <c r="KY11" s="1">
        <v>32767</v>
      </c>
      <c r="KZ11" s="1">
        <v>1</v>
      </c>
      <c r="LB11" s="1">
        <v>2755584168</v>
      </c>
      <c r="LC11" s="1">
        <v>9832</v>
      </c>
      <c r="LD11" s="1">
        <v>72010</v>
      </c>
      <c r="LE11" s="1">
        <v>72010</v>
      </c>
      <c r="LF11" s="1">
        <v>11100</v>
      </c>
      <c r="LG11" s="1">
        <v>1</v>
      </c>
      <c r="LH11" s="1">
        <v>0</v>
      </c>
      <c r="LI11" s="1">
        <v>90</v>
      </c>
      <c r="LJ11" s="1">
        <v>60003760</v>
      </c>
      <c r="LK11" s="1">
        <v>32767</v>
      </c>
      <c r="LL11" s="1">
        <v>0</v>
      </c>
      <c r="LN11" s="1">
        <v>2853609525</v>
      </c>
      <c r="LO11" s="1">
        <v>10209</v>
      </c>
      <c r="LP11" s="1">
        <v>6</v>
      </c>
      <c r="LQ11" s="1">
        <v>6</v>
      </c>
      <c r="LR11" s="1">
        <v>131400000</v>
      </c>
      <c r="LS11" s="1">
        <v>1</v>
      </c>
      <c r="LT11" s="1">
        <v>0</v>
      </c>
      <c r="LU11" s="1">
        <v>30</v>
      </c>
      <c r="LV11" s="1">
        <v>60003760</v>
      </c>
      <c r="LW11" s="1">
        <v>32767</v>
      </c>
      <c r="LX11" s="1">
        <v>1</v>
      </c>
      <c r="LZ11" s="1">
        <v>2859097321</v>
      </c>
      <c r="MA11" s="1">
        <v>10217</v>
      </c>
      <c r="MB11" s="1">
        <v>20</v>
      </c>
      <c r="MC11" s="1">
        <v>20</v>
      </c>
      <c r="MD11" s="1">
        <v>124881004</v>
      </c>
      <c r="ME11" s="1">
        <v>1</v>
      </c>
      <c r="MF11" s="1">
        <v>0</v>
      </c>
      <c r="MG11" s="1">
        <v>90</v>
      </c>
      <c r="MH11" s="1">
        <v>60003760</v>
      </c>
      <c r="MI11" s="1">
        <v>32767</v>
      </c>
      <c r="MJ11" s="1">
        <v>0</v>
      </c>
      <c r="ML11" s="1">
        <v>2793159337</v>
      </c>
      <c r="MM11" s="1">
        <v>25625</v>
      </c>
      <c r="MN11" s="1">
        <v>241</v>
      </c>
      <c r="MO11" s="1">
        <v>7</v>
      </c>
      <c r="MP11" s="1">
        <v>5100000</v>
      </c>
      <c r="MQ11" s="1">
        <v>1</v>
      </c>
      <c r="MR11" s="1">
        <v>0</v>
      </c>
      <c r="MS11" s="1">
        <v>90</v>
      </c>
      <c r="MT11" s="1">
        <v>60003760</v>
      </c>
      <c r="MU11" s="1">
        <v>32767</v>
      </c>
      <c r="MV11" s="1">
        <v>0</v>
      </c>
      <c r="MX11" s="1">
        <v>2852810077</v>
      </c>
      <c r="MY11" s="1">
        <v>16672</v>
      </c>
      <c r="MZ11" s="1">
        <v>3840000</v>
      </c>
      <c r="NA11" s="1">
        <v>3840000</v>
      </c>
      <c r="NB11" s="1">
        <v>179</v>
      </c>
      <c r="NC11" s="1">
        <v>1</v>
      </c>
      <c r="ND11" s="1">
        <v>0</v>
      </c>
      <c r="NE11" s="1">
        <v>90</v>
      </c>
      <c r="NF11" s="1">
        <v>60003760</v>
      </c>
      <c r="NG11" s="1">
        <v>32767</v>
      </c>
      <c r="NH11" s="1">
        <v>0</v>
      </c>
      <c r="NJ11" s="1">
        <v>2758853667</v>
      </c>
      <c r="NK11" s="1">
        <v>16673</v>
      </c>
      <c r="NL11" s="1">
        <v>1000000</v>
      </c>
      <c r="NM11" s="1">
        <v>1000000</v>
      </c>
      <c r="NN11" s="1">
        <v>136</v>
      </c>
      <c r="NO11" s="1">
        <v>1</v>
      </c>
      <c r="NP11" s="1">
        <v>0</v>
      </c>
      <c r="NQ11" s="1">
        <v>90</v>
      </c>
      <c r="NR11" s="1">
        <v>60003760</v>
      </c>
      <c r="NS11" s="1">
        <v>32767</v>
      </c>
      <c r="NT11" s="1">
        <v>6</v>
      </c>
      <c r="NV11" s="1">
        <v>2810912020</v>
      </c>
      <c r="NW11" s="1">
        <v>3689</v>
      </c>
      <c r="NX11" s="1">
        <v>185432</v>
      </c>
      <c r="NY11" s="1">
        <v>185432</v>
      </c>
      <c r="NZ11" s="1">
        <v>15500</v>
      </c>
      <c r="OA11" s="1">
        <v>1</v>
      </c>
      <c r="OB11" s="1">
        <v>0</v>
      </c>
      <c r="OC11" s="1">
        <v>90</v>
      </c>
      <c r="OD11" s="1">
        <v>60003760</v>
      </c>
      <c r="OE11" s="1">
        <v>32767</v>
      </c>
      <c r="OF11" s="1">
        <v>0</v>
      </c>
      <c r="OH11" s="1">
        <v>2791364333</v>
      </c>
      <c r="OI11" s="1">
        <v>25598</v>
      </c>
      <c r="OJ11" s="1">
        <v>190</v>
      </c>
      <c r="OK11" s="1">
        <v>14</v>
      </c>
      <c r="OL11" s="1">
        <v>139980</v>
      </c>
      <c r="OM11" s="1">
        <v>1</v>
      </c>
      <c r="ON11" s="1">
        <v>0</v>
      </c>
      <c r="OO11" s="1">
        <v>90</v>
      </c>
      <c r="OP11" s="1">
        <v>60005449</v>
      </c>
      <c r="OQ11" s="1">
        <v>32767</v>
      </c>
      <c r="OR11" s="1">
        <v>4</v>
      </c>
      <c r="OT11" s="1">
        <v>2835035150</v>
      </c>
      <c r="OU11" s="1">
        <v>25600</v>
      </c>
      <c r="OV11" s="1">
        <v>117</v>
      </c>
      <c r="OW11" s="1">
        <v>96</v>
      </c>
      <c r="OX11" s="1">
        <v>31000</v>
      </c>
      <c r="OY11" s="1">
        <v>1</v>
      </c>
      <c r="OZ11" s="1">
        <v>0</v>
      </c>
      <c r="PA11" s="1">
        <v>90</v>
      </c>
      <c r="PB11" s="1">
        <v>60004243</v>
      </c>
      <c r="PC11" s="1">
        <v>32767</v>
      </c>
      <c r="PD11" s="1">
        <v>4</v>
      </c>
      <c r="PF11" s="1">
        <v>2778074832</v>
      </c>
      <c r="PG11" s="1">
        <v>16670</v>
      </c>
      <c r="PH11" s="1">
        <v>4687840</v>
      </c>
      <c r="PI11" s="1">
        <v>4262132</v>
      </c>
      <c r="PJ11" s="1">
        <v>134.29</v>
      </c>
      <c r="PK11" s="1">
        <v>1</v>
      </c>
      <c r="PL11" s="1">
        <v>0</v>
      </c>
      <c r="PM11" s="1">
        <v>90</v>
      </c>
      <c r="PN11" s="1">
        <v>60003760</v>
      </c>
      <c r="PO11" s="1">
        <v>32767</v>
      </c>
      <c r="PP11" s="1">
        <v>7</v>
      </c>
      <c r="PR11" s="1">
        <v>2859285742</v>
      </c>
      <c r="PS11" s="1">
        <v>10222</v>
      </c>
      <c r="PT11" s="1">
        <v>1</v>
      </c>
      <c r="PU11" s="1">
        <v>1</v>
      </c>
      <c r="PV11" s="1">
        <v>120798989.11</v>
      </c>
      <c r="PW11" s="1">
        <v>1</v>
      </c>
      <c r="PX11" s="1">
        <v>0</v>
      </c>
      <c r="PY11" s="1">
        <v>90</v>
      </c>
      <c r="PZ11" s="1">
        <v>60003760</v>
      </c>
      <c r="QA11" s="1">
        <v>32767</v>
      </c>
      <c r="QB11" s="1">
        <v>0</v>
      </c>
      <c r="QD11" s="1">
        <v>2788266905</v>
      </c>
      <c r="QE11" s="1">
        <v>9830</v>
      </c>
      <c r="QF11" s="1">
        <v>18450</v>
      </c>
      <c r="QG11" s="1">
        <v>18450</v>
      </c>
      <c r="QH11" s="1">
        <v>9220.99</v>
      </c>
      <c r="QI11" s="1">
        <v>1</v>
      </c>
      <c r="QJ11" s="1">
        <v>0</v>
      </c>
      <c r="QK11" s="1">
        <v>90</v>
      </c>
      <c r="QL11" s="1">
        <v>60003760</v>
      </c>
      <c r="QM11" s="1">
        <v>32767</v>
      </c>
      <c r="QN11" s="1">
        <v>0</v>
      </c>
      <c r="QP11" s="1">
        <v>2830423143</v>
      </c>
      <c r="QQ11" s="1">
        <v>16671</v>
      </c>
      <c r="QR11" s="1">
        <v>8760480</v>
      </c>
      <c r="QS11" s="1">
        <v>8760480</v>
      </c>
      <c r="QT11" s="1">
        <v>150</v>
      </c>
      <c r="QU11" s="1">
        <v>1</v>
      </c>
      <c r="QV11" s="1">
        <v>0</v>
      </c>
      <c r="QW11" s="1">
        <v>90</v>
      </c>
      <c r="QX11" s="1">
        <v>60003760</v>
      </c>
      <c r="QY11" s="1">
        <v>32767</v>
      </c>
      <c r="QZ11" s="1">
        <v>7</v>
      </c>
      <c r="RB11" s="1">
        <v>2844437762</v>
      </c>
      <c r="RC11" s="1">
        <v>16682</v>
      </c>
      <c r="RD11" s="1">
        <v>200000</v>
      </c>
      <c r="RE11" s="1">
        <v>200000</v>
      </c>
      <c r="RF11" s="1">
        <v>4100</v>
      </c>
      <c r="RG11" s="1">
        <v>1</v>
      </c>
      <c r="RH11" s="1">
        <v>0</v>
      </c>
      <c r="RI11" s="1">
        <v>90</v>
      </c>
      <c r="RJ11" s="1">
        <v>60003760</v>
      </c>
      <c r="RK11" s="1">
        <v>32767</v>
      </c>
      <c r="RL11" s="1">
        <v>8</v>
      </c>
      <c r="RN11" s="1">
        <v>2854944882</v>
      </c>
      <c r="RO11" s="1">
        <v>16678</v>
      </c>
      <c r="RP11" s="1">
        <v>1536000</v>
      </c>
      <c r="RQ11" s="1">
        <v>1536000</v>
      </c>
      <c r="RR11" s="1">
        <v>349.32</v>
      </c>
      <c r="RS11" s="1">
        <v>1</v>
      </c>
      <c r="RT11" s="1">
        <v>0</v>
      </c>
      <c r="RU11" s="1">
        <v>90</v>
      </c>
      <c r="RV11" s="1">
        <v>60003760</v>
      </c>
      <c r="RW11" s="1">
        <v>32767</v>
      </c>
      <c r="RX11" s="1">
        <v>6</v>
      </c>
      <c r="RZ11" s="1">
        <v>2855382492</v>
      </c>
      <c r="SA11" s="1">
        <v>30310</v>
      </c>
      <c r="SB11" s="1">
        <v>308</v>
      </c>
      <c r="SC11" s="1">
        <v>103</v>
      </c>
      <c r="SD11" s="1">
        <v>1329969.99</v>
      </c>
      <c r="SE11" s="1">
        <v>1</v>
      </c>
      <c r="SF11" s="1">
        <v>0</v>
      </c>
      <c r="SG11" s="1">
        <v>90</v>
      </c>
      <c r="SH11" s="1">
        <v>60003760</v>
      </c>
      <c r="SI11" s="1">
        <v>32767</v>
      </c>
      <c r="SJ11" s="1">
        <v>0</v>
      </c>
      <c r="SL11" s="1">
        <v>2801740525</v>
      </c>
      <c r="SM11" s="1">
        <v>30311</v>
      </c>
      <c r="SN11" s="1">
        <v>332</v>
      </c>
      <c r="SO11" s="1">
        <v>332</v>
      </c>
      <c r="SP11" s="1">
        <v>4149999.11</v>
      </c>
      <c r="SQ11" s="1">
        <v>1</v>
      </c>
      <c r="SR11" s="1">
        <v>0</v>
      </c>
      <c r="SS11" s="1">
        <v>90</v>
      </c>
      <c r="ST11" s="1">
        <v>60003760</v>
      </c>
      <c r="SU11" s="1">
        <v>32767</v>
      </c>
      <c r="SV11" s="1">
        <v>0</v>
      </c>
      <c r="SX11" s="1">
        <v>2819555133</v>
      </c>
      <c r="SY11" s="1">
        <v>25595</v>
      </c>
      <c r="SZ11" s="1">
        <v>1367</v>
      </c>
      <c r="TA11" s="1">
        <v>987</v>
      </c>
      <c r="TB11" s="1">
        <v>93500</v>
      </c>
      <c r="TC11" s="1">
        <v>1</v>
      </c>
      <c r="TD11" s="1">
        <v>0</v>
      </c>
      <c r="TE11" s="1">
        <v>90</v>
      </c>
      <c r="TF11" s="1">
        <v>60003760</v>
      </c>
      <c r="TG11" s="1">
        <v>32767</v>
      </c>
      <c r="TH11" s="1">
        <v>6</v>
      </c>
      <c r="TJ11" s="1">
        <v>2787935479</v>
      </c>
      <c r="TK11" s="1">
        <v>25606</v>
      </c>
      <c r="TL11" s="1">
        <v>108</v>
      </c>
      <c r="TM11" s="1">
        <v>108</v>
      </c>
      <c r="TN11" s="1">
        <v>39998.97</v>
      </c>
      <c r="TO11" s="1">
        <v>1</v>
      </c>
      <c r="TP11" s="1">
        <v>0</v>
      </c>
      <c r="TQ11" s="1">
        <v>90</v>
      </c>
      <c r="TR11" s="1">
        <v>60003760</v>
      </c>
      <c r="TS11" s="1">
        <v>32767</v>
      </c>
      <c r="TT11" s="1">
        <v>0</v>
      </c>
      <c r="TV11" s="1">
        <v>2841322658</v>
      </c>
      <c r="TW11" s="1">
        <v>25622</v>
      </c>
      <c r="TX11" s="1">
        <v>7</v>
      </c>
      <c r="TY11" s="1">
        <v>7</v>
      </c>
      <c r="TZ11" s="1">
        <v>16499999</v>
      </c>
      <c r="UA11" s="1">
        <v>1</v>
      </c>
      <c r="UB11" s="1">
        <v>0</v>
      </c>
      <c r="UC11" s="1">
        <v>90</v>
      </c>
      <c r="UD11" s="1">
        <v>60003760</v>
      </c>
      <c r="UE11" s="1">
        <v>32767</v>
      </c>
      <c r="UF11" s="1">
        <v>0</v>
      </c>
      <c r="UH11" s="1">
        <v>2795881490</v>
      </c>
      <c r="UI11" s="1">
        <v>16680</v>
      </c>
      <c r="UJ11" s="1">
        <v>1016970</v>
      </c>
      <c r="UK11" s="1">
        <v>962380</v>
      </c>
      <c r="UL11" s="1">
        <v>799.99</v>
      </c>
      <c r="UM11" s="1">
        <v>1</v>
      </c>
      <c r="UN11" s="1">
        <v>0</v>
      </c>
      <c r="UO11" s="1">
        <v>90</v>
      </c>
      <c r="UP11" s="1">
        <v>60003760</v>
      </c>
      <c r="UQ11" s="1">
        <v>32767</v>
      </c>
      <c r="UR11" s="1">
        <v>6</v>
      </c>
      <c r="UT11" s="1">
        <v>2874090664</v>
      </c>
      <c r="UU11" s="1">
        <v>17317</v>
      </c>
      <c r="UV11" s="1">
        <v>61200</v>
      </c>
      <c r="UW11" s="1">
        <v>6288</v>
      </c>
      <c r="UX11" s="1">
        <v>30940</v>
      </c>
      <c r="UY11" s="1">
        <v>1</v>
      </c>
      <c r="UZ11" s="1">
        <v>0</v>
      </c>
      <c r="VA11" s="1">
        <v>30</v>
      </c>
      <c r="VB11" s="1">
        <v>60003760</v>
      </c>
      <c r="VC11" s="1">
        <v>32767</v>
      </c>
      <c r="VD11" s="1">
        <v>0</v>
      </c>
      <c r="VF11" s="1">
        <v>2872599447</v>
      </c>
      <c r="VG11" s="1">
        <v>11725</v>
      </c>
      <c r="VH11" s="1">
        <v>500</v>
      </c>
      <c r="VI11" s="1">
        <v>500</v>
      </c>
      <c r="VJ11" s="1">
        <v>51490</v>
      </c>
      <c r="VK11" s="1">
        <v>1</v>
      </c>
      <c r="VL11" s="1">
        <v>0</v>
      </c>
      <c r="VM11" s="1">
        <v>90</v>
      </c>
      <c r="VN11" s="1">
        <v>60003760</v>
      </c>
      <c r="VO11" s="1">
        <v>32767</v>
      </c>
      <c r="VP11" s="1">
        <v>6</v>
      </c>
    </row>
    <row r="12" spans="1:588" x14ac:dyDescent="0.25">
      <c r="B12" s="1">
        <v>2844114852</v>
      </c>
      <c r="C12" s="1">
        <v>34</v>
      </c>
      <c r="D12" s="1">
        <v>7265399</v>
      </c>
      <c r="E12" s="1">
        <v>7265399</v>
      </c>
      <c r="F12" s="1">
        <v>6</v>
      </c>
      <c r="G12" s="1">
        <v>1</v>
      </c>
      <c r="H12" s="1">
        <v>0</v>
      </c>
      <c r="I12" s="1">
        <v>30</v>
      </c>
      <c r="J12" s="1">
        <v>60003061</v>
      </c>
      <c r="K12" s="1">
        <v>32767</v>
      </c>
      <c r="L12" s="1">
        <v>3</v>
      </c>
      <c r="N12" s="1">
        <v>2845653210</v>
      </c>
      <c r="O12" s="1">
        <v>35</v>
      </c>
      <c r="P12" s="1">
        <v>2158428</v>
      </c>
      <c r="Q12" s="1">
        <v>2158428</v>
      </c>
      <c r="R12" s="1">
        <v>16</v>
      </c>
      <c r="S12" s="1">
        <v>1</v>
      </c>
      <c r="T12" s="1">
        <v>0</v>
      </c>
      <c r="U12" s="1">
        <v>30</v>
      </c>
      <c r="V12" s="1">
        <v>60003061</v>
      </c>
      <c r="W12" s="1">
        <v>32767</v>
      </c>
      <c r="X12" s="1">
        <v>3</v>
      </c>
      <c r="Z12" s="1">
        <v>2872485439</v>
      </c>
      <c r="AA12" s="1">
        <v>36</v>
      </c>
      <c r="AB12" s="1">
        <v>517940</v>
      </c>
      <c r="AC12" s="1">
        <v>517940</v>
      </c>
      <c r="AD12" s="16">
        <v>48.6</v>
      </c>
      <c r="AE12" s="1">
        <v>1</v>
      </c>
      <c r="AF12" s="1">
        <v>0</v>
      </c>
      <c r="AG12" s="1">
        <v>90</v>
      </c>
      <c r="AH12" s="1">
        <v>60003064</v>
      </c>
      <c r="AI12" s="1">
        <v>32767</v>
      </c>
      <c r="AJ12" s="1">
        <v>14</v>
      </c>
      <c r="AL12" s="1">
        <v>2825924565</v>
      </c>
      <c r="AM12" s="1">
        <v>37</v>
      </c>
      <c r="AN12" s="1">
        <v>12618650</v>
      </c>
      <c r="AO12" s="1">
        <v>8323315</v>
      </c>
      <c r="AP12" s="16">
        <v>151.72</v>
      </c>
      <c r="AQ12" s="1">
        <v>1</v>
      </c>
      <c r="AR12" s="1">
        <v>0</v>
      </c>
      <c r="AS12" s="1">
        <v>90</v>
      </c>
      <c r="AT12" s="1">
        <v>60003760</v>
      </c>
      <c r="AU12" s="1">
        <v>32767</v>
      </c>
      <c r="AV12" s="1">
        <v>9</v>
      </c>
      <c r="AX12" s="1">
        <v>2807980607</v>
      </c>
      <c r="AY12" s="1">
        <v>38</v>
      </c>
      <c r="AZ12" s="1">
        <v>15092</v>
      </c>
      <c r="BA12" s="1">
        <v>15092</v>
      </c>
      <c r="BB12" s="1">
        <v>850</v>
      </c>
      <c r="BC12" s="1">
        <v>1</v>
      </c>
      <c r="BD12" s="1">
        <v>0</v>
      </c>
      <c r="BE12" s="1">
        <v>90</v>
      </c>
      <c r="BF12" s="1">
        <v>60003760</v>
      </c>
      <c r="BG12" s="1">
        <v>32767</v>
      </c>
      <c r="BH12" s="1">
        <v>5</v>
      </c>
      <c r="BJ12" s="1">
        <v>2787309036</v>
      </c>
      <c r="BK12" s="1">
        <v>39</v>
      </c>
      <c r="BL12" s="1">
        <v>10500</v>
      </c>
      <c r="BM12" s="1">
        <v>10500</v>
      </c>
      <c r="BN12" s="1">
        <v>899.99</v>
      </c>
      <c r="BO12" s="1">
        <v>1</v>
      </c>
      <c r="BP12" s="1">
        <v>0</v>
      </c>
      <c r="BQ12" s="1">
        <v>90</v>
      </c>
      <c r="BR12" s="1">
        <v>60003760</v>
      </c>
      <c r="BS12" s="1">
        <v>32767</v>
      </c>
      <c r="BT12" s="1">
        <v>5</v>
      </c>
      <c r="BV12" s="1">
        <v>2398209122</v>
      </c>
      <c r="BW12" s="1">
        <v>40</v>
      </c>
      <c r="BX12" s="1">
        <v>3837</v>
      </c>
      <c r="BY12" s="1">
        <v>3837</v>
      </c>
      <c r="BZ12" s="1">
        <v>2668.39</v>
      </c>
      <c r="CA12" s="1">
        <v>1</v>
      </c>
      <c r="CB12" s="1">
        <v>0</v>
      </c>
      <c r="CC12" s="1">
        <v>90</v>
      </c>
      <c r="CD12" s="1">
        <v>60003760</v>
      </c>
      <c r="CE12" s="1">
        <v>32767</v>
      </c>
      <c r="CF12" s="1">
        <v>13</v>
      </c>
      <c r="CH12" s="1">
        <v>2399366138</v>
      </c>
      <c r="CI12" s="1">
        <v>29668</v>
      </c>
      <c r="CJ12" s="1">
        <v>1</v>
      </c>
      <c r="CK12" s="1">
        <v>1</v>
      </c>
      <c r="CL12" s="1">
        <v>500000000</v>
      </c>
      <c r="CM12" s="1">
        <v>1</v>
      </c>
      <c r="CN12" s="1">
        <v>0</v>
      </c>
      <c r="CO12" s="1">
        <v>30</v>
      </c>
      <c r="CP12" s="1">
        <v>60003760</v>
      </c>
      <c r="CQ12" s="1">
        <v>32767</v>
      </c>
      <c r="CR12" s="1">
        <v>0</v>
      </c>
      <c r="CT12" s="1">
        <v>2380539862</v>
      </c>
      <c r="CU12" s="1">
        <v>16649</v>
      </c>
      <c r="CV12" s="1">
        <v>10000</v>
      </c>
      <c r="CW12" s="1">
        <v>10000</v>
      </c>
      <c r="CX12" s="1">
        <v>121565.91</v>
      </c>
      <c r="CY12" s="1">
        <v>1</v>
      </c>
      <c r="CZ12" s="1">
        <v>0</v>
      </c>
      <c r="DA12" s="1">
        <v>90</v>
      </c>
      <c r="DB12" s="1">
        <v>60003760</v>
      </c>
      <c r="DC12" s="1">
        <v>32767</v>
      </c>
      <c r="DD12" s="1">
        <v>8</v>
      </c>
      <c r="DF12" s="1">
        <v>2412955938</v>
      </c>
      <c r="DG12" s="1">
        <v>17887</v>
      </c>
      <c r="DH12" s="1">
        <v>902562</v>
      </c>
      <c r="DI12" s="1">
        <v>902562</v>
      </c>
      <c r="DJ12" s="1">
        <v>950.33</v>
      </c>
      <c r="DK12" s="1">
        <v>1</v>
      </c>
      <c r="DL12" s="1">
        <v>0</v>
      </c>
      <c r="DM12" s="1">
        <v>90</v>
      </c>
      <c r="DN12" s="1">
        <v>60003760</v>
      </c>
      <c r="DO12" s="1">
        <v>32767</v>
      </c>
      <c r="DP12" s="1">
        <v>0</v>
      </c>
      <c r="DR12" s="1">
        <v>2865125200</v>
      </c>
      <c r="DS12" s="1">
        <v>17888</v>
      </c>
      <c r="DT12" s="1">
        <v>6706</v>
      </c>
      <c r="DU12" s="1">
        <v>6706</v>
      </c>
      <c r="DV12" s="1">
        <v>340</v>
      </c>
      <c r="DW12" s="1">
        <v>1</v>
      </c>
      <c r="DX12" s="1">
        <v>0</v>
      </c>
      <c r="DY12" s="1">
        <v>90</v>
      </c>
      <c r="DZ12" s="1">
        <v>60001480</v>
      </c>
      <c r="EA12" s="1">
        <v>32767</v>
      </c>
      <c r="EB12" s="1">
        <v>11</v>
      </c>
      <c r="ED12" s="1">
        <v>2762422294</v>
      </c>
      <c r="EE12" s="1">
        <v>16273</v>
      </c>
      <c r="EF12" s="1">
        <v>1564495</v>
      </c>
      <c r="EG12" s="1">
        <v>1564495</v>
      </c>
      <c r="EH12" s="1">
        <v>400</v>
      </c>
      <c r="EI12" s="1">
        <v>1</v>
      </c>
      <c r="EJ12" s="1">
        <v>0</v>
      </c>
      <c r="EK12" s="1">
        <v>90</v>
      </c>
      <c r="EL12" s="1">
        <v>60003760</v>
      </c>
      <c r="EM12" s="1">
        <v>32767</v>
      </c>
      <c r="EN12" s="1">
        <v>6</v>
      </c>
      <c r="EP12" s="1">
        <v>2802184715</v>
      </c>
      <c r="EQ12" s="1">
        <v>17889</v>
      </c>
      <c r="ER12" s="1">
        <v>2800000</v>
      </c>
      <c r="ES12" s="1">
        <v>2800000</v>
      </c>
      <c r="ET12" s="1">
        <v>403.02</v>
      </c>
      <c r="EU12" s="1">
        <v>1</v>
      </c>
      <c r="EV12" s="1">
        <v>0</v>
      </c>
      <c r="EW12" s="1">
        <v>90</v>
      </c>
      <c r="EX12" s="1">
        <v>60003760</v>
      </c>
      <c r="EY12" s="1">
        <v>32767</v>
      </c>
      <c r="EZ12" s="1">
        <v>7</v>
      </c>
      <c r="FB12" s="1">
        <v>2871803437</v>
      </c>
      <c r="FC12" s="1">
        <v>30259</v>
      </c>
      <c r="FD12" s="1">
        <v>32</v>
      </c>
      <c r="FE12" s="1">
        <v>32</v>
      </c>
      <c r="FF12" s="1">
        <v>5999990.9900000002</v>
      </c>
      <c r="FG12" s="1">
        <v>1</v>
      </c>
      <c r="FH12" s="1">
        <v>0</v>
      </c>
      <c r="FI12" s="1">
        <v>90</v>
      </c>
      <c r="FJ12" s="1">
        <v>60003469</v>
      </c>
      <c r="FK12" s="1">
        <v>32767</v>
      </c>
      <c r="FL12" s="1">
        <v>0</v>
      </c>
      <c r="FN12" s="1">
        <v>2795924116</v>
      </c>
      <c r="FO12" s="1">
        <v>25617</v>
      </c>
      <c r="FP12" s="1">
        <v>2</v>
      </c>
      <c r="FQ12" s="1">
        <v>2</v>
      </c>
      <c r="FR12" s="1">
        <v>5398999.9800000004</v>
      </c>
      <c r="FS12" s="1">
        <v>1</v>
      </c>
      <c r="FT12" s="1">
        <v>0</v>
      </c>
      <c r="FU12" s="1">
        <v>90</v>
      </c>
      <c r="FV12" s="1">
        <v>60003760</v>
      </c>
      <c r="FW12" s="1">
        <v>32767</v>
      </c>
      <c r="FX12" s="1">
        <v>0</v>
      </c>
      <c r="FZ12" s="1">
        <v>2850881193</v>
      </c>
      <c r="GA12" s="1">
        <v>44</v>
      </c>
      <c r="GB12" s="1">
        <v>21820</v>
      </c>
      <c r="GC12" s="1">
        <v>21820</v>
      </c>
      <c r="GD12" s="1">
        <v>14350.14</v>
      </c>
      <c r="GE12" s="1">
        <v>1</v>
      </c>
      <c r="GF12" s="1">
        <v>0</v>
      </c>
      <c r="GG12" s="1">
        <v>90</v>
      </c>
      <c r="GH12" s="1">
        <v>60003760</v>
      </c>
      <c r="GI12" s="1">
        <v>32767</v>
      </c>
      <c r="GJ12" s="1">
        <v>4</v>
      </c>
      <c r="GL12" s="1">
        <v>2411940912</v>
      </c>
      <c r="GM12" s="1">
        <v>16681</v>
      </c>
      <c r="GN12" s="1">
        <v>95381</v>
      </c>
      <c r="GO12" s="1">
        <v>74006</v>
      </c>
      <c r="GP12" s="1">
        <v>6376.32</v>
      </c>
      <c r="GQ12" s="1">
        <v>1</v>
      </c>
      <c r="GR12" s="1">
        <v>0</v>
      </c>
      <c r="GS12" s="1">
        <v>90</v>
      </c>
      <c r="GT12" s="1">
        <v>60003760</v>
      </c>
      <c r="GU12" s="1">
        <v>32767</v>
      </c>
      <c r="GV12" s="1">
        <v>0</v>
      </c>
      <c r="GX12" s="1">
        <v>2839260514</v>
      </c>
      <c r="GY12" s="1">
        <v>16683</v>
      </c>
      <c r="GZ12" s="1">
        <v>50000</v>
      </c>
      <c r="HA12" s="1">
        <v>50000</v>
      </c>
      <c r="HB12" s="1">
        <v>15895.58</v>
      </c>
      <c r="HC12" s="1">
        <v>1</v>
      </c>
      <c r="HD12" s="1">
        <v>0</v>
      </c>
      <c r="HE12" s="1">
        <v>30</v>
      </c>
      <c r="HF12" s="1">
        <v>60003760</v>
      </c>
      <c r="HG12" s="1">
        <v>32767</v>
      </c>
      <c r="HH12" s="1">
        <v>0</v>
      </c>
      <c r="HJ12" s="1">
        <v>2835884067</v>
      </c>
      <c r="HK12" s="1">
        <v>11724</v>
      </c>
      <c r="HL12" s="1">
        <v>255</v>
      </c>
      <c r="HM12" s="1">
        <v>255</v>
      </c>
      <c r="HN12" s="1">
        <v>41994.8</v>
      </c>
      <c r="HO12" s="1">
        <v>1</v>
      </c>
      <c r="HP12" s="1">
        <v>0</v>
      </c>
      <c r="HQ12" s="1">
        <v>90</v>
      </c>
      <c r="HR12" s="1">
        <v>60003760</v>
      </c>
      <c r="HS12" s="1">
        <v>32767</v>
      </c>
      <c r="HT12" s="1">
        <v>0</v>
      </c>
      <c r="HV12" s="1">
        <v>2772642470</v>
      </c>
      <c r="HW12" s="1">
        <v>16274</v>
      </c>
      <c r="HX12" s="1">
        <v>7511</v>
      </c>
      <c r="HY12" s="1">
        <v>7511</v>
      </c>
      <c r="HZ12" s="1">
        <v>540</v>
      </c>
      <c r="IA12" s="1">
        <v>1</v>
      </c>
      <c r="IB12" s="1">
        <v>0</v>
      </c>
      <c r="IC12" s="1">
        <v>90</v>
      </c>
      <c r="ID12" s="1">
        <v>60003760</v>
      </c>
      <c r="IE12" s="1">
        <v>32767</v>
      </c>
      <c r="IF12" s="1">
        <v>2</v>
      </c>
      <c r="IH12" s="1">
        <v>2870919080</v>
      </c>
      <c r="II12" s="1">
        <v>10213</v>
      </c>
      <c r="IJ12" s="1">
        <v>10</v>
      </c>
      <c r="IK12" s="1">
        <v>1</v>
      </c>
      <c r="IL12" s="1">
        <v>122389987.95999999</v>
      </c>
      <c r="IM12" s="1">
        <v>1</v>
      </c>
      <c r="IN12" s="1">
        <v>0</v>
      </c>
      <c r="IO12" s="1">
        <v>90</v>
      </c>
      <c r="IP12" s="1">
        <v>60003760</v>
      </c>
      <c r="IQ12" s="1">
        <v>32767</v>
      </c>
      <c r="IR12" s="1">
        <v>0</v>
      </c>
      <c r="IT12" s="1">
        <v>2768267336</v>
      </c>
      <c r="IU12" s="1">
        <v>16679</v>
      </c>
      <c r="IV12" s="1">
        <v>1200000</v>
      </c>
      <c r="IW12" s="1">
        <v>1200000</v>
      </c>
      <c r="IX12" s="1">
        <v>1799.98</v>
      </c>
      <c r="IY12" s="1">
        <v>1</v>
      </c>
      <c r="IZ12" s="1">
        <v>0</v>
      </c>
      <c r="JA12" s="1">
        <v>90</v>
      </c>
      <c r="JB12" s="1">
        <v>60003760</v>
      </c>
      <c r="JC12" s="1">
        <v>32767</v>
      </c>
      <c r="JD12" s="1">
        <v>0</v>
      </c>
      <c r="JF12" s="1">
        <v>2817929992</v>
      </c>
      <c r="JG12" s="1">
        <v>16272</v>
      </c>
      <c r="JH12" s="1">
        <v>10000000</v>
      </c>
      <c r="JI12" s="1">
        <v>5399894</v>
      </c>
      <c r="JJ12" s="1">
        <v>84.24</v>
      </c>
      <c r="JK12" s="1">
        <v>1</v>
      </c>
      <c r="JL12" s="1">
        <v>0</v>
      </c>
      <c r="JM12" s="1">
        <v>90</v>
      </c>
      <c r="JN12" s="1">
        <v>60003760</v>
      </c>
      <c r="JO12" s="1">
        <v>32767</v>
      </c>
      <c r="JP12" s="1">
        <v>6</v>
      </c>
      <c r="JR12" s="1">
        <v>2875360266</v>
      </c>
      <c r="JS12" s="1">
        <v>10226</v>
      </c>
      <c r="JT12" s="1">
        <v>4</v>
      </c>
      <c r="JU12" s="1">
        <v>4</v>
      </c>
      <c r="JV12" s="1">
        <v>119000000</v>
      </c>
      <c r="JW12" s="1">
        <v>1</v>
      </c>
      <c r="JX12" s="1">
        <v>0</v>
      </c>
      <c r="JY12" s="1">
        <v>90</v>
      </c>
      <c r="JZ12" s="1">
        <v>60003760</v>
      </c>
      <c r="KA12" s="1">
        <v>32767</v>
      </c>
      <c r="KB12" s="1">
        <v>1</v>
      </c>
      <c r="KD12" s="1">
        <v>2756655647</v>
      </c>
      <c r="KE12" s="1">
        <v>25605</v>
      </c>
      <c r="KF12" s="1">
        <v>40000</v>
      </c>
      <c r="KG12" s="1">
        <v>40000</v>
      </c>
      <c r="KH12" s="1">
        <v>126497.83</v>
      </c>
      <c r="KI12" s="1">
        <v>1</v>
      </c>
      <c r="KJ12" s="1">
        <v>0</v>
      </c>
      <c r="KK12" s="1">
        <v>90</v>
      </c>
      <c r="KL12" s="1">
        <v>60003760</v>
      </c>
      <c r="KM12" s="1">
        <v>32767</v>
      </c>
      <c r="KN12" s="1">
        <v>6</v>
      </c>
      <c r="KP12" s="1">
        <v>2822967741</v>
      </c>
      <c r="KQ12" s="1">
        <v>25624</v>
      </c>
      <c r="KR12" s="1">
        <v>2</v>
      </c>
      <c r="KS12" s="1">
        <v>2</v>
      </c>
      <c r="KT12" s="1">
        <v>19699999.18</v>
      </c>
      <c r="KU12" s="1">
        <v>1</v>
      </c>
      <c r="KV12" s="1">
        <v>0</v>
      </c>
      <c r="KW12" s="1">
        <v>90</v>
      </c>
      <c r="KX12" s="1">
        <v>60003760</v>
      </c>
      <c r="KY12" s="1">
        <v>32767</v>
      </c>
      <c r="KZ12" s="1">
        <v>1</v>
      </c>
      <c r="LB12" s="1">
        <v>2765789496</v>
      </c>
      <c r="LC12" s="1">
        <v>9832</v>
      </c>
      <c r="LD12" s="1">
        <v>50000</v>
      </c>
      <c r="LE12" s="1">
        <v>50000</v>
      </c>
      <c r="LF12" s="1">
        <v>10182.67</v>
      </c>
      <c r="LG12" s="1">
        <v>1</v>
      </c>
      <c r="LH12" s="1">
        <v>0</v>
      </c>
      <c r="LI12" s="1">
        <v>90</v>
      </c>
      <c r="LJ12" s="1">
        <v>60003760</v>
      </c>
      <c r="LK12" s="1">
        <v>32767</v>
      </c>
      <c r="LL12" s="1">
        <v>0</v>
      </c>
      <c r="LN12" s="1">
        <v>2862146641</v>
      </c>
      <c r="LO12" s="1">
        <v>10209</v>
      </c>
      <c r="LP12" s="1">
        <v>1</v>
      </c>
      <c r="LQ12" s="1">
        <v>1</v>
      </c>
      <c r="LR12" s="1">
        <v>130000000</v>
      </c>
      <c r="LS12" s="1">
        <v>1</v>
      </c>
      <c r="LT12" s="1">
        <v>0</v>
      </c>
      <c r="LU12" s="1">
        <v>90</v>
      </c>
      <c r="LV12" s="1">
        <v>60003760</v>
      </c>
      <c r="LW12" s="1">
        <v>32767</v>
      </c>
      <c r="LX12" s="1">
        <v>1</v>
      </c>
      <c r="LZ12" s="1">
        <v>2869635334</v>
      </c>
      <c r="MA12" s="1">
        <v>10217</v>
      </c>
      <c r="MB12" s="1">
        <v>16</v>
      </c>
      <c r="MC12" s="1">
        <v>9</v>
      </c>
      <c r="MD12" s="1">
        <v>123999000</v>
      </c>
      <c r="ME12" s="1">
        <v>1</v>
      </c>
      <c r="MF12" s="1">
        <v>0</v>
      </c>
      <c r="MG12" s="1">
        <v>7</v>
      </c>
      <c r="MH12" s="1">
        <v>60003760</v>
      </c>
      <c r="MI12" s="1">
        <v>32767</v>
      </c>
      <c r="MJ12" s="1">
        <v>0</v>
      </c>
      <c r="ML12" s="1">
        <v>2831097235</v>
      </c>
      <c r="MM12" s="1">
        <v>25625</v>
      </c>
      <c r="MN12" s="1">
        <v>7</v>
      </c>
      <c r="MO12" s="1">
        <v>7</v>
      </c>
      <c r="MP12" s="1">
        <v>5047998.9800000004</v>
      </c>
      <c r="MQ12" s="1">
        <v>1</v>
      </c>
      <c r="MR12" s="1">
        <v>0</v>
      </c>
      <c r="MS12" s="1">
        <v>90</v>
      </c>
      <c r="MT12" s="1">
        <v>60003760</v>
      </c>
      <c r="MU12" s="1">
        <v>32767</v>
      </c>
      <c r="MV12" s="1">
        <v>0</v>
      </c>
      <c r="MX12" s="1">
        <v>2857470754</v>
      </c>
      <c r="MY12" s="1">
        <v>16672</v>
      </c>
      <c r="MZ12" s="1">
        <v>15880000</v>
      </c>
      <c r="NA12" s="1">
        <v>15880000</v>
      </c>
      <c r="NB12" s="1">
        <v>151.99</v>
      </c>
      <c r="NC12" s="1">
        <v>1</v>
      </c>
      <c r="ND12" s="1">
        <v>0</v>
      </c>
      <c r="NE12" s="1">
        <v>30</v>
      </c>
      <c r="NF12" s="1">
        <v>60003760</v>
      </c>
      <c r="NG12" s="1">
        <v>32767</v>
      </c>
      <c r="NH12" s="1">
        <v>0</v>
      </c>
      <c r="NJ12" s="1">
        <v>2759289092</v>
      </c>
      <c r="NK12" s="1">
        <v>16673</v>
      </c>
      <c r="NL12" s="1">
        <v>12520592</v>
      </c>
      <c r="NM12" s="1">
        <v>12520592</v>
      </c>
      <c r="NN12" s="1">
        <v>134.69999999999999</v>
      </c>
      <c r="NO12" s="1">
        <v>1</v>
      </c>
      <c r="NP12" s="1">
        <v>0</v>
      </c>
      <c r="NQ12" s="1">
        <v>90</v>
      </c>
      <c r="NR12" s="1">
        <v>60003760</v>
      </c>
      <c r="NS12" s="1">
        <v>32767</v>
      </c>
      <c r="NT12" s="1">
        <v>6</v>
      </c>
      <c r="NV12" s="1">
        <v>2813460330</v>
      </c>
      <c r="NW12" s="1">
        <v>3689</v>
      </c>
      <c r="NX12" s="1">
        <v>300000</v>
      </c>
      <c r="NY12" s="1">
        <v>300000</v>
      </c>
      <c r="NZ12" s="1">
        <v>15500</v>
      </c>
      <c r="OA12" s="1">
        <v>1</v>
      </c>
      <c r="OB12" s="1">
        <v>0</v>
      </c>
      <c r="OC12" s="1">
        <v>90</v>
      </c>
      <c r="OD12" s="1">
        <v>60003760</v>
      </c>
      <c r="OE12" s="1">
        <v>32767</v>
      </c>
      <c r="OF12" s="1">
        <v>0</v>
      </c>
      <c r="OH12" s="1">
        <v>2791364539</v>
      </c>
      <c r="OI12" s="1">
        <v>25598</v>
      </c>
      <c r="OJ12" s="1">
        <v>69</v>
      </c>
      <c r="OK12" s="1">
        <v>3</v>
      </c>
      <c r="OL12" s="1">
        <v>139980</v>
      </c>
      <c r="OM12" s="1">
        <v>1</v>
      </c>
      <c r="ON12" s="1">
        <v>0</v>
      </c>
      <c r="OO12" s="1">
        <v>90</v>
      </c>
      <c r="OP12" s="1">
        <v>60004243</v>
      </c>
      <c r="OQ12" s="1">
        <v>32767</v>
      </c>
      <c r="OR12" s="1">
        <v>4</v>
      </c>
      <c r="OT12" s="1">
        <v>2773834323</v>
      </c>
      <c r="OU12" s="1">
        <v>25600</v>
      </c>
      <c r="OV12" s="1">
        <v>249</v>
      </c>
      <c r="OW12" s="1">
        <v>199</v>
      </c>
      <c r="OX12" s="1">
        <v>31000</v>
      </c>
      <c r="OY12" s="1">
        <v>1</v>
      </c>
      <c r="OZ12" s="1">
        <v>0</v>
      </c>
      <c r="PA12" s="1">
        <v>90</v>
      </c>
      <c r="PB12" s="1">
        <v>60003079</v>
      </c>
      <c r="PC12" s="1">
        <v>32767</v>
      </c>
      <c r="PD12" s="1">
        <v>4</v>
      </c>
      <c r="PF12" s="1">
        <v>2780523648</v>
      </c>
      <c r="PG12" s="1">
        <v>16670</v>
      </c>
      <c r="PH12" s="1">
        <v>19855000</v>
      </c>
      <c r="PI12" s="1">
        <v>19855000</v>
      </c>
      <c r="PJ12" s="1">
        <v>134</v>
      </c>
      <c r="PK12" s="1">
        <v>1</v>
      </c>
      <c r="PL12" s="1">
        <v>0</v>
      </c>
      <c r="PM12" s="1">
        <v>90</v>
      </c>
      <c r="PN12" s="1">
        <v>60003760</v>
      </c>
      <c r="PO12" s="1">
        <v>32767</v>
      </c>
      <c r="PP12" s="1">
        <v>7</v>
      </c>
      <c r="PR12" s="1">
        <v>2859284605</v>
      </c>
      <c r="PS12" s="1">
        <v>10222</v>
      </c>
      <c r="PT12" s="1">
        <v>55</v>
      </c>
      <c r="PU12" s="1">
        <v>26</v>
      </c>
      <c r="PV12" s="1">
        <v>120796888.27</v>
      </c>
      <c r="PW12" s="1">
        <v>1</v>
      </c>
      <c r="PX12" s="1">
        <v>0</v>
      </c>
      <c r="PY12" s="1">
        <v>90</v>
      </c>
      <c r="PZ12" s="1">
        <v>60003760</v>
      </c>
      <c r="QA12" s="1">
        <v>32767</v>
      </c>
      <c r="QB12" s="1">
        <v>0</v>
      </c>
      <c r="QD12" s="1">
        <v>2788152898</v>
      </c>
      <c r="QE12" s="1">
        <v>9830</v>
      </c>
      <c r="QF12" s="1">
        <v>12334</v>
      </c>
      <c r="QG12" s="1">
        <v>12334</v>
      </c>
      <c r="QH12" s="1">
        <v>9150</v>
      </c>
      <c r="QI12" s="1">
        <v>1</v>
      </c>
      <c r="QJ12" s="1">
        <v>0</v>
      </c>
      <c r="QK12" s="1">
        <v>90</v>
      </c>
      <c r="QL12" s="1">
        <v>60003760</v>
      </c>
      <c r="QM12" s="1">
        <v>32767</v>
      </c>
      <c r="QN12" s="1">
        <v>0</v>
      </c>
      <c r="QP12" s="1">
        <v>2831584464</v>
      </c>
      <c r="QQ12" s="1">
        <v>16671</v>
      </c>
      <c r="QR12" s="1">
        <v>8760000</v>
      </c>
      <c r="QS12" s="1">
        <v>8760000</v>
      </c>
      <c r="QT12" s="1">
        <v>118.64</v>
      </c>
      <c r="QU12" s="1">
        <v>1</v>
      </c>
      <c r="QV12" s="1">
        <v>0</v>
      </c>
      <c r="QW12" s="1">
        <v>90</v>
      </c>
      <c r="QX12" s="1">
        <v>60003760</v>
      </c>
      <c r="QY12" s="1">
        <v>32767</v>
      </c>
      <c r="QZ12" s="1">
        <v>7</v>
      </c>
      <c r="RB12" s="1">
        <v>2846078386</v>
      </c>
      <c r="RC12" s="1">
        <v>16682</v>
      </c>
      <c r="RD12" s="1">
        <v>200000</v>
      </c>
      <c r="RE12" s="1">
        <v>200000</v>
      </c>
      <c r="RF12" s="1">
        <v>4200</v>
      </c>
      <c r="RG12" s="1">
        <v>1</v>
      </c>
      <c r="RH12" s="1">
        <v>0</v>
      </c>
      <c r="RI12" s="1">
        <v>90</v>
      </c>
      <c r="RJ12" s="1">
        <v>60003760</v>
      </c>
      <c r="RK12" s="1">
        <v>32767</v>
      </c>
      <c r="RL12" s="1">
        <v>8</v>
      </c>
      <c r="RN12" s="1">
        <v>2854944945</v>
      </c>
      <c r="RO12" s="1">
        <v>16678</v>
      </c>
      <c r="RP12" s="1">
        <v>1000000</v>
      </c>
      <c r="RQ12" s="1">
        <v>1000000</v>
      </c>
      <c r="RR12" s="1">
        <v>344.52</v>
      </c>
      <c r="RS12" s="1">
        <v>1</v>
      </c>
      <c r="RT12" s="1">
        <v>0</v>
      </c>
      <c r="RU12" s="1">
        <v>90</v>
      </c>
      <c r="RV12" s="1">
        <v>60003760</v>
      </c>
      <c r="RW12" s="1">
        <v>32767</v>
      </c>
      <c r="RX12" s="1">
        <v>6</v>
      </c>
      <c r="RZ12" s="1">
        <v>2854613280</v>
      </c>
      <c r="SA12" s="1">
        <v>30310</v>
      </c>
      <c r="SB12" s="1">
        <v>79</v>
      </c>
      <c r="SC12" s="1">
        <v>79</v>
      </c>
      <c r="SD12" s="1">
        <v>1329990.8999999999</v>
      </c>
      <c r="SE12" s="1">
        <v>1</v>
      </c>
      <c r="SF12" s="1">
        <v>0</v>
      </c>
      <c r="SG12" s="1">
        <v>90</v>
      </c>
      <c r="SH12" s="1">
        <v>60003760</v>
      </c>
      <c r="SI12" s="1">
        <v>32767</v>
      </c>
      <c r="SJ12" s="1">
        <v>0</v>
      </c>
      <c r="SL12" s="1">
        <v>2800960194</v>
      </c>
      <c r="SM12" s="1">
        <v>30311</v>
      </c>
      <c r="SN12" s="1">
        <v>88</v>
      </c>
      <c r="SO12" s="1">
        <v>88</v>
      </c>
      <c r="SP12" s="1">
        <v>4150050.4</v>
      </c>
      <c r="SQ12" s="1">
        <v>1</v>
      </c>
      <c r="SR12" s="1">
        <v>0</v>
      </c>
      <c r="SS12" s="1">
        <v>90</v>
      </c>
      <c r="ST12" s="1">
        <v>60003760</v>
      </c>
      <c r="SU12" s="1">
        <v>32767</v>
      </c>
      <c r="SV12" s="1">
        <v>0</v>
      </c>
      <c r="SX12" s="1">
        <v>2819555436</v>
      </c>
      <c r="SY12" s="1">
        <v>25595</v>
      </c>
      <c r="SZ12" s="1">
        <v>785</v>
      </c>
      <c r="TA12" s="1">
        <v>399</v>
      </c>
      <c r="TB12" s="1">
        <v>93200</v>
      </c>
      <c r="TC12" s="1">
        <v>1</v>
      </c>
      <c r="TD12" s="1">
        <v>0</v>
      </c>
      <c r="TE12" s="1">
        <v>90</v>
      </c>
      <c r="TF12" s="1">
        <v>60003757</v>
      </c>
      <c r="TG12" s="1">
        <v>32767</v>
      </c>
      <c r="TH12" s="1">
        <v>6</v>
      </c>
      <c r="TJ12" s="1">
        <v>2788807701</v>
      </c>
      <c r="TK12" s="1">
        <v>25606</v>
      </c>
      <c r="TL12" s="1">
        <v>2</v>
      </c>
      <c r="TM12" s="1">
        <v>2</v>
      </c>
      <c r="TN12" s="1">
        <v>39000</v>
      </c>
      <c r="TO12" s="1">
        <v>1</v>
      </c>
      <c r="TP12" s="1">
        <v>0</v>
      </c>
      <c r="TQ12" s="1">
        <v>90</v>
      </c>
      <c r="TR12" s="1">
        <v>60003760</v>
      </c>
      <c r="TS12" s="1">
        <v>32767</v>
      </c>
      <c r="TT12" s="1">
        <v>0</v>
      </c>
      <c r="TV12" s="1">
        <v>2843382322</v>
      </c>
      <c r="TW12" s="1">
        <v>25622</v>
      </c>
      <c r="TX12" s="1">
        <v>61</v>
      </c>
      <c r="TY12" s="1">
        <v>13</v>
      </c>
      <c r="TZ12" s="1">
        <v>15949987.800000001</v>
      </c>
      <c r="UA12" s="1">
        <v>1</v>
      </c>
      <c r="UB12" s="1">
        <v>0</v>
      </c>
      <c r="UC12" s="1">
        <v>90</v>
      </c>
      <c r="UD12" s="1">
        <v>60003760</v>
      </c>
      <c r="UE12" s="1">
        <v>32767</v>
      </c>
      <c r="UF12" s="1">
        <v>0</v>
      </c>
      <c r="UH12" s="1">
        <v>2831373851</v>
      </c>
      <c r="UI12" s="1">
        <v>16680</v>
      </c>
      <c r="UJ12" s="1">
        <v>853600</v>
      </c>
      <c r="UK12" s="1">
        <v>853600</v>
      </c>
      <c r="UL12" s="1">
        <v>850</v>
      </c>
      <c r="UM12" s="1">
        <v>1</v>
      </c>
      <c r="UN12" s="1">
        <v>0</v>
      </c>
      <c r="UO12" s="1">
        <v>90</v>
      </c>
      <c r="UP12" s="1">
        <v>60003760</v>
      </c>
      <c r="UQ12" s="1">
        <v>32767</v>
      </c>
      <c r="UR12" s="1">
        <v>6</v>
      </c>
      <c r="UT12" s="1">
        <v>2873243765</v>
      </c>
      <c r="UU12" s="1">
        <v>17317</v>
      </c>
      <c r="UV12" s="1">
        <v>47000</v>
      </c>
      <c r="UW12" s="1">
        <v>31500</v>
      </c>
      <c r="UX12" s="1">
        <v>30999.73</v>
      </c>
      <c r="UY12" s="1">
        <v>1</v>
      </c>
      <c r="UZ12" s="1">
        <v>0</v>
      </c>
      <c r="VA12" s="1">
        <v>90</v>
      </c>
      <c r="VB12" s="1">
        <v>60003760</v>
      </c>
      <c r="VC12" s="1">
        <v>32767</v>
      </c>
      <c r="VD12" s="1">
        <v>0</v>
      </c>
      <c r="VF12" s="1">
        <v>2874581202</v>
      </c>
      <c r="VG12" s="1">
        <v>11725</v>
      </c>
      <c r="VH12" s="1">
        <v>27</v>
      </c>
      <c r="VI12" s="1">
        <v>27</v>
      </c>
      <c r="VJ12" s="1">
        <v>51200.43</v>
      </c>
      <c r="VK12" s="1">
        <v>1</v>
      </c>
      <c r="VL12" s="1">
        <v>0</v>
      </c>
      <c r="VM12" s="1">
        <v>90</v>
      </c>
      <c r="VN12" s="1">
        <v>60003760</v>
      </c>
      <c r="VO12" s="1">
        <v>32767</v>
      </c>
      <c r="VP12" s="1">
        <v>6</v>
      </c>
    </row>
    <row r="13" spans="1:588" x14ac:dyDescent="0.25">
      <c r="B13" s="1">
        <v>2842631034</v>
      </c>
      <c r="C13" s="1">
        <v>34</v>
      </c>
      <c r="D13" s="1">
        <v>13922302</v>
      </c>
      <c r="E13" s="1">
        <v>13922302</v>
      </c>
      <c r="F13" s="1">
        <v>6</v>
      </c>
      <c r="G13" s="1">
        <v>1</v>
      </c>
      <c r="H13" s="1">
        <v>0</v>
      </c>
      <c r="I13" s="1">
        <v>30</v>
      </c>
      <c r="J13" s="1">
        <v>60003061</v>
      </c>
      <c r="K13" s="1">
        <v>32767</v>
      </c>
      <c r="L13" s="1">
        <v>3</v>
      </c>
      <c r="N13" s="1">
        <v>2844115365</v>
      </c>
      <c r="O13" s="1">
        <v>35</v>
      </c>
      <c r="P13" s="1">
        <v>1717345</v>
      </c>
      <c r="Q13" s="1">
        <v>1717345</v>
      </c>
      <c r="R13" s="1">
        <v>16</v>
      </c>
      <c r="S13" s="1">
        <v>1</v>
      </c>
      <c r="T13" s="1">
        <v>0</v>
      </c>
      <c r="U13" s="1">
        <v>30</v>
      </c>
      <c r="V13" s="1">
        <v>60003061</v>
      </c>
      <c r="W13" s="1">
        <v>32767</v>
      </c>
      <c r="X13" s="1">
        <v>3</v>
      </c>
      <c r="Z13" s="1">
        <v>2867445986</v>
      </c>
      <c r="AA13" s="1">
        <v>36</v>
      </c>
      <c r="AB13" s="1">
        <v>4907489</v>
      </c>
      <c r="AC13" s="1">
        <v>4907489</v>
      </c>
      <c r="AD13" s="16">
        <v>48.2</v>
      </c>
      <c r="AE13" s="1">
        <v>1</v>
      </c>
      <c r="AF13" s="1">
        <v>0</v>
      </c>
      <c r="AG13" s="1">
        <v>7</v>
      </c>
      <c r="AH13" s="1">
        <v>60003064</v>
      </c>
      <c r="AI13" s="1">
        <v>32767</v>
      </c>
      <c r="AJ13" s="1">
        <v>14</v>
      </c>
      <c r="AL13" s="1">
        <v>2756420004</v>
      </c>
      <c r="AM13" s="1">
        <v>37</v>
      </c>
      <c r="AN13" s="1">
        <v>124252</v>
      </c>
      <c r="AO13" s="1">
        <v>124252</v>
      </c>
      <c r="AP13" s="16">
        <v>165</v>
      </c>
      <c r="AQ13" s="1">
        <v>1</v>
      </c>
      <c r="AR13" s="1">
        <v>0</v>
      </c>
      <c r="AS13" s="1">
        <v>90</v>
      </c>
      <c r="AT13" s="1">
        <v>60003760</v>
      </c>
      <c r="AU13" s="1">
        <v>32767</v>
      </c>
      <c r="AV13" s="1">
        <v>9</v>
      </c>
      <c r="AX13" s="1">
        <v>2783143492</v>
      </c>
      <c r="AY13" s="1">
        <v>38</v>
      </c>
      <c r="AZ13" s="1">
        <v>3613</v>
      </c>
      <c r="BA13" s="1">
        <v>3613</v>
      </c>
      <c r="BB13" s="1">
        <v>900.39</v>
      </c>
      <c r="BC13" s="1">
        <v>1</v>
      </c>
      <c r="BD13" s="1">
        <v>0</v>
      </c>
      <c r="BE13" s="1">
        <v>90</v>
      </c>
      <c r="BF13" s="1">
        <v>60003760</v>
      </c>
      <c r="BG13" s="1">
        <v>32767</v>
      </c>
      <c r="BH13" s="1">
        <v>5</v>
      </c>
      <c r="BJ13" s="1">
        <v>2787428653</v>
      </c>
      <c r="BK13" s="1">
        <v>39</v>
      </c>
      <c r="BL13" s="1">
        <v>4</v>
      </c>
      <c r="BM13" s="1">
        <v>4</v>
      </c>
      <c r="BN13" s="1">
        <v>880.42</v>
      </c>
      <c r="BO13" s="1">
        <v>1</v>
      </c>
      <c r="BP13" s="1">
        <v>0</v>
      </c>
      <c r="BQ13" s="1">
        <v>90</v>
      </c>
      <c r="BR13" s="1">
        <v>60003760</v>
      </c>
      <c r="BS13" s="1">
        <v>32767</v>
      </c>
      <c r="BT13" s="1">
        <v>5</v>
      </c>
      <c r="BV13" s="1">
        <v>2397600466</v>
      </c>
      <c r="BW13" s="1">
        <v>40</v>
      </c>
      <c r="BX13" s="1">
        <v>10000</v>
      </c>
      <c r="BY13" s="1">
        <v>10000</v>
      </c>
      <c r="BZ13" s="1">
        <v>2804</v>
      </c>
      <c r="CA13" s="1">
        <v>1</v>
      </c>
      <c r="CB13" s="1">
        <v>0</v>
      </c>
      <c r="CC13" s="1">
        <v>90</v>
      </c>
      <c r="CD13" s="1">
        <v>60003760</v>
      </c>
      <c r="CE13" s="1">
        <v>32767</v>
      </c>
      <c r="CF13" s="1">
        <v>13</v>
      </c>
      <c r="CH13" s="1">
        <v>2396483143</v>
      </c>
      <c r="CI13" s="1">
        <v>29668</v>
      </c>
      <c r="CJ13" s="1">
        <v>1</v>
      </c>
      <c r="CK13" s="1">
        <v>1</v>
      </c>
      <c r="CL13" s="1">
        <v>555000000</v>
      </c>
      <c r="CM13" s="1">
        <v>1</v>
      </c>
      <c r="CN13" s="1">
        <v>0</v>
      </c>
      <c r="CO13" s="1">
        <v>30</v>
      </c>
      <c r="CP13" s="1">
        <v>60003760</v>
      </c>
      <c r="CQ13" s="1">
        <v>32767</v>
      </c>
      <c r="CR13" s="1">
        <v>0</v>
      </c>
      <c r="CT13" s="1">
        <v>2380478707</v>
      </c>
      <c r="CU13" s="1">
        <v>16649</v>
      </c>
      <c r="CV13" s="1">
        <v>1600</v>
      </c>
      <c r="CW13" s="1">
        <v>1600</v>
      </c>
      <c r="CX13" s="1">
        <v>121660.1</v>
      </c>
      <c r="CY13" s="1">
        <v>1</v>
      </c>
      <c r="CZ13" s="1">
        <v>0</v>
      </c>
      <c r="DA13" s="1">
        <v>90</v>
      </c>
      <c r="DB13" s="1">
        <v>60003760</v>
      </c>
      <c r="DC13" s="1">
        <v>32767</v>
      </c>
      <c r="DD13" s="1">
        <v>8</v>
      </c>
      <c r="DF13" s="1">
        <v>2412958589</v>
      </c>
      <c r="DG13" s="1">
        <v>17887</v>
      </c>
      <c r="DH13" s="1">
        <v>893536</v>
      </c>
      <c r="DI13" s="1">
        <v>893536</v>
      </c>
      <c r="DJ13" s="1">
        <v>950.29</v>
      </c>
      <c r="DK13" s="1">
        <v>1</v>
      </c>
      <c r="DL13" s="1">
        <v>0</v>
      </c>
      <c r="DM13" s="1">
        <v>90</v>
      </c>
      <c r="DN13" s="1">
        <v>60003760</v>
      </c>
      <c r="DO13" s="1">
        <v>32767</v>
      </c>
      <c r="DP13" s="1">
        <v>0</v>
      </c>
      <c r="DR13" s="1">
        <v>2877917037</v>
      </c>
      <c r="DS13" s="1">
        <v>17888</v>
      </c>
      <c r="DT13" s="1">
        <v>39082</v>
      </c>
      <c r="DU13" s="1">
        <v>39082</v>
      </c>
      <c r="DV13" s="1">
        <v>336</v>
      </c>
      <c r="DW13" s="1">
        <v>1</v>
      </c>
      <c r="DX13" s="1">
        <v>0</v>
      </c>
      <c r="DY13" s="1">
        <v>90</v>
      </c>
      <c r="DZ13" s="1">
        <v>60001480</v>
      </c>
      <c r="EA13" s="1">
        <v>32767</v>
      </c>
      <c r="EB13" s="1">
        <v>11</v>
      </c>
      <c r="ED13" s="1">
        <v>2764274635</v>
      </c>
      <c r="EE13" s="1">
        <v>16273</v>
      </c>
      <c r="EF13" s="1">
        <v>148865</v>
      </c>
      <c r="EG13" s="1">
        <v>148865</v>
      </c>
      <c r="EH13" s="1">
        <v>400</v>
      </c>
      <c r="EI13" s="1">
        <v>1</v>
      </c>
      <c r="EJ13" s="1">
        <v>0</v>
      </c>
      <c r="EK13" s="1">
        <v>90</v>
      </c>
      <c r="EL13" s="1">
        <v>60003760</v>
      </c>
      <c r="EM13" s="1">
        <v>32767</v>
      </c>
      <c r="EN13" s="1">
        <v>6</v>
      </c>
      <c r="EP13" s="1">
        <v>2787965209</v>
      </c>
      <c r="EQ13" s="1">
        <v>17889</v>
      </c>
      <c r="ER13" s="1">
        <v>700000</v>
      </c>
      <c r="ES13" s="1">
        <v>700000</v>
      </c>
      <c r="ET13" s="1">
        <v>415.99</v>
      </c>
      <c r="EU13" s="1">
        <v>1</v>
      </c>
      <c r="EV13" s="1">
        <v>0</v>
      </c>
      <c r="EW13" s="1">
        <v>90</v>
      </c>
      <c r="EX13" s="1">
        <v>60003760</v>
      </c>
      <c r="EY13" s="1">
        <v>32767</v>
      </c>
      <c r="EZ13" s="1">
        <v>7</v>
      </c>
      <c r="FB13" s="1">
        <v>2871756695</v>
      </c>
      <c r="FC13" s="1">
        <v>30259</v>
      </c>
      <c r="FD13" s="1">
        <v>259</v>
      </c>
      <c r="FE13" s="1">
        <v>259</v>
      </c>
      <c r="FF13" s="1">
        <v>5999999.9900000002</v>
      </c>
      <c r="FG13" s="1">
        <v>1</v>
      </c>
      <c r="FH13" s="1">
        <v>0</v>
      </c>
      <c r="FI13" s="1">
        <v>90</v>
      </c>
      <c r="FJ13" s="1">
        <v>60003760</v>
      </c>
      <c r="FK13" s="1">
        <v>32767</v>
      </c>
      <c r="FL13" s="1">
        <v>0</v>
      </c>
      <c r="FN13" s="1">
        <v>2797173057</v>
      </c>
      <c r="FO13" s="1">
        <v>25617</v>
      </c>
      <c r="FP13" s="1">
        <v>41</v>
      </c>
      <c r="FQ13" s="1">
        <v>41</v>
      </c>
      <c r="FR13" s="1">
        <v>5340003.08</v>
      </c>
      <c r="FS13" s="1">
        <v>1</v>
      </c>
      <c r="FT13" s="1">
        <v>0</v>
      </c>
      <c r="FU13" s="1">
        <v>90</v>
      </c>
      <c r="FV13" s="1">
        <v>60003760</v>
      </c>
      <c r="FW13" s="1">
        <v>32767</v>
      </c>
      <c r="FX13" s="1">
        <v>0</v>
      </c>
      <c r="FZ13" s="1">
        <v>2858108560</v>
      </c>
      <c r="GA13" s="1">
        <v>44</v>
      </c>
      <c r="GB13" s="1">
        <v>19998</v>
      </c>
      <c r="GC13" s="1">
        <v>19998</v>
      </c>
      <c r="GD13" s="1">
        <v>14610</v>
      </c>
      <c r="GE13" s="1">
        <v>1</v>
      </c>
      <c r="GF13" s="1">
        <v>0</v>
      </c>
      <c r="GG13" s="1">
        <v>90</v>
      </c>
      <c r="GH13" s="1">
        <v>60003760</v>
      </c>
      <c r="GI13" s="1">
        <v>32767</v>
      </c>
      <c r="GJ13" s="1">
        <v>4</v>
      </c>
      <c r="GL13" s="1">
        <v>2411720611</v>
      </c>
      <c r="GM13" s="1">
        <v>16681</v>
      </c>
      <c r="GN13" s="1">
        <v>99748</v>
      </c>
      <c r="GO13" s="1">
        <v>89748</v>
      </c>
      <c r="GP13" s="1">
        <v>6376.24</v>
      </c>
      <c r="GQ13" s="1">
        <v>1</v>
      </c>
      <c r="GR13" s="1">
        <v>0</v>
      </c>
      <c r="GS13" s="1">
        <v>90</v>
      </c>
      <c r="GT13" s="1">
        <v>60003760</v>
      </c>
      <c r="GU13" s="1">
        <v>32767</v>
      </c>
      <c r="GV13" s="1">
        <v>0</v>
      </c>
      <c r="GX13" s="1">
        <v>2849841053</v>
      </c>
      <c r="GY13" s="1">
        <v>16683</v>
      </c>
      <c r="GZ13" s="1">
        <v>21600</v>
      </c>
      <c r="HA13" s="1">
        <v>13065</v>
      </c>
      <c r="HB13" s="1">
        <v>9194.93</v>
      </c>
      <c r="HC13" s="1">
        <v>1</v>
      </c>
      <c r="HD13" s="1">
        <v>0</v>
      </c>
      <c r="HE13" s="1">
        <v>30</v>
      </c>
      <c r="HF13" s="1">
        <v>60003760</v>
      </c>
      <c r="HG13" s="1">
        <v>32767</v>
      </c>
      <c r="HH13" s="1">
        <v>0</v>
      </c>
      <c r="HJ13" s="1">
        <v>2833332147</v>
      </c>
      <c r="HK13" s="1">
        <v>11724</v>
      </c>
      <c r="HL13" s="1">
        <v>1</v>
      </c>
      <c r="HM13" s="1">
        <v>1</v>
      </c>
      <c r="HN13" s="1">
        <v>41994.99</v>
      </c>
      <c r="HO13" s="1">
        <v>1</v>
      </c>
      <c r="HP13" s="1">
        <v>0</v>
      </c>
      <c r="HQ13" s="1">
        <v>90</v>
      </c>
      <c r="HR13" s="1">
        <v>60003760</v>
      </c>
      <c r="HS13" s="1">
        <v>32767</v>
      </c>
      <c r="HT13" s="1">
        <v>0</v>
      </c>
      <c r="HV13" s="1">
        <v>2775042668</v>
      </c>
      <c r="HW13" s="1">
        <v>16274</v>
      </c>
      <c r="HX13" s="1">
        <v>875235</v>
      </c>
      <c r="HY13" s="1">
        <v>875235</v>
      </c>
      <c r="HZ13" s="1">
        <v>420.03</v>
      </c>
      <c r="IA13" s="1">
        <v>1</v>
      </c>
      <c r="IB13" s="1">
        <v>0</v>
      </c>
      <c r="IC13" s="1">
        <v>90</v>
      </c>
      <c r="ID13" s="1">
        <v>60003760</v>
      </c>
      <c r="IE13" s="1">
        <v>32767</v>
      </c>
      <c r="IF13" s="1">
        <v>2</v>
      </c>
      <c r="IH13" s="1">
        <v>2872711101</v>
      </c>
      <c r="II13" s="1">
        <v>10213</v>
      </c>
      <c r="IJ13" s="1">
        <v>5</v>
      </c>
      <c r="IK13" s="1">
        <v>5</v>
      </c>
      <c r="IL13" s="1">
        <v>122900000</v>
      </c>
      <c r="IM13" s="1">
        <v>1</v>
      </c>
      <c r="IN13" s="1">
        <v>0</v>
      </c>
      <c r="IO13" s="1">
        <v>90</v>
      </c>
      <c r="IP13" s="1">
        <v>60003760</v>
      </c>
      <c r="IQ13" s="1">
        <v>32767</v>
      </c>
      <c r="IR13" s="1">
        <v>0</v>
      </c>
      <c r="IT13" s="1">
        <v>2780679285</v>
      </c>
      <c r="IU13" s="1">
        <v>16679</v>
      </c>
      <c r="IV13" s="1">
        <v>3771000</v>
      </c>
      <c r="IW13" s="1">
        <v>3771000</v>
      </c>
      <c r="IX13" s="1">
        <v>2000</v>
      </c>
      <c r="IY13" s="1">
        <v>1</v>
      </c>
      <c r="IZ13" s="1">
        <v>0</v>
      </c>
      <c r="JA13" s="1">
        <v>90</v>
      </c>
      <c r="JB13" s="1">
        <v>60003760</v>
      </c>
      <c r="JC13" s="1">
        <v>32767</v>
      </c>
      <c r="JD13" s="1">
        <v>0</v>
      </c>
      <c r="JF13" s="1">
        <v>2825947877</v>
      </c>
      <c r="JG13" s="1">
        <v>16272</v>
      </c>
      <c r="JH13" s="1">
        <v>53450</v>
      </c>
      <c r="JI13" s="1">
        <v>53450</v>
      </c>
      <c r="JJ13" s="1">
        <v>95</v>
      </c>
      <c r="JK13" s="1">
        <v>1</v>
      </c>
      <c r="JL13" s="1">
        <v>0</v>
      </c>
      <c r="JM13" s="1">
        <v>90</v>
      </c>
      <c r="JN13" s="1">
        <v>60003760</v>
      </c>
      <c r="JO13" s="1">
        <v>32767</v>
      </c>
      <c r="JP13" s="1">
        <v>6</v>
      </c>
      <c r="JR13" s="1">
        <v>2875360360</v>
      </c>
      <c r="JS13" s="1">
        <v>10226</v>
      </c>
      <c r="JT13" s="1">
        <v>3</v>
      </c>
      <c r="JU13" s="1">
        <v>3</v>
      </c>
      <c r="JV13" s="1">
        <v>119000000</v>
      </c>
      <c r="JW13" s="1">
        <v>1</v>
      </c>
      <c r="JX13" s="1">
        <v>0</v>
      </c>
      <c r="JY13" s="1">
        <v>90</v>
      </c>
      <c r="JZ13" s="1">
        <v>60003760</v>
      </c>
      <c r="KA13" s="1">
        <v>32767</v>
      </c>
      <c r="KB13" s="1">
        <v>1</v>
      </c>
      <c r="KD13" s="1">
        <v>2762875738</v>
      </c>
      <c r="KE13" s="1">
        <v>25605</v>
      </c>
      <c r="KF13" s="1">
        <v>3000</v>
      </c>
      <c r="KG13" s="1">
        <v>2884</v>
      </c>
      <c r="KH13" s="1">
        <v>134889.82</v>
      </c>
      <c r="KI13" s="1">
        <v>1</v>
      </c>
      <c r="KJ13" s="1">
        <v>0</v>
      </c>
      <c r="KK13" s="1">
        <v>90</v>
      </c>
      <c r="KL13" s="1">
        <v>60003760</v>
      </c>
      <c r="KM13" s="1">
        <v>32767</v>
      </c>
      <c r="KN13" s="1">
        <v>6</v>
      </c>
      <c r="KP13" s="1">
        <v>2822477652</v>
      </c>
      <c r="KQ13" s="1">
        <v>25624</v>
      </c>
      <c r="KR13" s="1">
        <v>41</v>
      </c>
      <c r="KS13" s="1">
        <v>41</v>
      </c>
      <c r="KT13" s="1">
        <v>19918998</v>
      </c>
      <c r="KU13" s="1">
        <v>1</v>
      </c>
      <c r="KV13" s="1">
        <v>0</v>
      </c>
      <c r="KW13" s="1">
        <v>90</v>
      </c>
      <c r="KX13" s="1">
        <v>60003760</v>
      </c>
      <c r="KY13" s="1">
        <v>32767</v>
      </c>
      <c r="KZ13" s="1">
        <v>1</v>
      </c>
      <c r="LB13" s="1">
        <v>2765388933</v>
      </c>
      <c r="LC13" s="1">
        <v>9832</v>
      </c>
      <c r="LD13" s="1">
        <v>22993</v>
      </c>
      <c r="LE13" s="1">
        <v>22897</v>
      </c>
      <c r="LF13" s="1">
        <v>10192.99</v>
      </c>
      <c r="LG13" s="1">
        <v>1</v>
      </c>
      <c r="LH13" s="1">
        <v>0</v>
      </c>
      <c r="LI13" s="1">
        <v>90</v>
      </c>
      <c r="LJ13" s="1">
        <v>60003760</v>
      </c>
      <c r="LK13" s="1">
        <v>32767</v>
      </c>
      <c r="LL13" s="1">
        <v>0</v>
      </c>
      <c r="LN13" s="1">
        <v>2747366992</v>
      </c>
      <c r="LO13" s="1">
        <v>10209</v>
      </c>
      <c r="LP13" s="1">
        <v>12</v>
      </c>
      <c r="LQ13" s="1">
        <v>12</v>
      </c>
      <c r="LR13" s="1">
        <v>149000000</v>
      </c>
      <c r="LS13" s="1">
        <v>1</v>
      </c>
      <c r="LT13" s="1">
        <v>0</v>
      </c>
      <c r="LU13" s="1">
        <v>90</v>
      </c>
      <c r="LV13" s="1">
        <v>60003760</v>
      </c>
      <c r="LW13" s="1">
        <v>32767</v>
      </c>
      <c r="LX13" s="1">
        <v>1</v>
      </c>
      <c r="LZ13" s="1">
        <v>2877630338</v>
      </c>
      <c r="MA13" s="1">
        <v>10217</v>
      </c>
      <c r="MB13" s="1">
        <v>39</v>
      </c>
      <c r="MC13" s="1">
        <v>31</v>
      </c>
      <c r="MD13" s="1">
        <v>120278001.48999999</v>
      </c>
      <c r="ME13" s="1">
        <v>1</v>
      </c>
      <c r="MF13" s="1">
        <v>0</v>
      </c>
      <c r="MG13" s="1">
        <v>90</v>
      </c>
      <c r="MH13" s="1">
        <v>60003760</v>
      </c>
      <c r="MI13" s="1">
        <v>32767</v>
      </c>
      <c r="MJ13" s="1">
        <v>0</v>
      </c>
      <c r="ML13" s="1">
        <v>2855037249</v>
      </c>
      <c r="MM13" s="1">
        <v>25625</v>
      </c>
      <c r="MN13" s="1">
        <v>25</v>
      </c>
      <c r="MO13" s="1">
        <v>12</v>
      </c>
      <c r="MP13" s="1">
        <v>5000000</v>
      </c>
      <c r="MQ13" s="1">
        <v>1</v>
      </c>
      <c r="MR13" s="1">
        <v>0</v>
      </c>
      <c r="MS13" s="1">
        <v>90</v>
      </c>
      <c r="MT13" s="1">
        <v>60003760</v>
      </c>
      <c r="MU13" s="1">
        <v>32767</v>
      </c>
      <c r="MV13" s="1">
        <v>0</v>
      </c>
      <c r="MX13" s="1">
        <v>2856863194</v>
      </c>
      <c r="MY13" s="1">
        <v>16672</v>
      </c>
      <c r="MZ13" s="1">
        <v>6731757</v>
      </c>
      <c r="NA13" s="1">
        <v>6731757</v>
      </c>
      <c r="NB13" s="1">
        <v>258.99</v>
      </c>
      <c r="NC13" s="1">
        <v>1</v>
      </c>
      <c r="ND13" s="1">
        <v>0</v>
      </c>
      <c r="NE13" s="1">
        <v>90</v>
      </c>
      <c r="NF13" s="1">
        <v>60003760</v>
      </c>
      <c r="NG13" s="1">
        <v>32767</v>
      </c>
      <c r="NH13" s="1">
        <v>0</v>
      </c>
      <c r="NJ13" s="1">
        <v>2759729315</v>
      </c>
      <c r="NK13" s="1">
        <v>16673</v>
      </c>
      <c r="NL13" s="1">
        <v>5448526</v>
      </c>
      <c r="NM13" s="1">
        <v>5448526</v>
      </c>
      <c r="NN13" s="1">
        <v>134.1</v>
      </c>
      <c r="NO13" s="1">
        <v>1</v>
      </c>
      <c r="NP13" s="1">
        <v>0</v>
      </c>
      <c r="NQ13" s="1">
        <v>90</v>
      </c>
      <c r="NR13" s="1">
        <v>60003760</v>
      </c>
      <c r="NS13" s="1">
        <v>32767</v>
      </c>
      <c r="NT13" s="1">
        <v>6</v>
      </c>
      <c r="NV13" s="1">
        <v>2835851229</v>
      </c>
      <c r="NW13" s="1">
        <v>3689</v>
      </c>
      <c r="NX13" s="1">
        <v>13445</v>
      </c>
      <c r="NY13" s="1">
        <v>13445</v>
      </c>
      <c r="NZ13" s="1">
        <v>11475</v>
      </c>
      <c r="OA13" s="1">
        <v>1</v>
      </c>
      <c r="OB13" s="1">
        <v>0</v>
      </c>
      <c r="OC13" s="1">
        <v>90</v>
      </c>
      <c r="OD13" s="1">
        <v>60003760</v>
      </c>
      <c r="OE13" s="1">
        <v>32767</v>
      </c>
      <c r="OF13" s="1">
        <v>0</v>
      </c>
      <c r="OH13" s="1">
        <v>2833813711</v>
      </c>
      <c r="OI13" s="1">
        <v>25598</v>
      </c>
      <c r="OJ13" s="1">
        <v>23</v>
      </c>
      <c r="OK13" s="1">
        <v>22</v>
      </c>
      <c r="OL13" s="1">
        <v>150003.01</v>
      </c>
      <c r="OM13" s="1">
        <v>1</v>
      </c>
      <c r="ON13" s="1">
        <v>0</v>
      </c>
      <c r="OO13" s="1">
        <v>30</v>
      </c>
      <c r="OP13" s="1">
        <v>60004243</v>
      </c>
      <c r="OQ13" s="1">
        <v>32767</v>
      </c>
      <c r="OR13" s="1">
        <v>4</v>
      </c>
      <c r="OT13" s="1">
        <v>2795174495</v>
      </c>
      <c r="OU13" s="1">
        <v>25600</v>
      </c>
      <c r="OV13" s="1">
        <v>96</v>
      </c>
      <c r="OW13" s="1">
        <v>96</v>
      </c>
      <c r="OX13" s="1">
        <v>31534</v>
      </c>
      <c r="OY13" s="1">
        <v>1</v>
      </c>
      <c r="OZ13" s="1">
        <v>0</v>
      </c>
      <c r="PA13" s="1">
        <v>90</v>
      </c>
      <c r="PB13" s="1">
        <v>60004072</v>
      </c>
      <c r="PC13" s="1">
        <v>32767</v>
      </c>
      <c r="PD13" s="1">
        <v>5</v>
      </c>
      <c r="PF13" s="1">
        <v>2804815564</v>
      </c>
      <c r="PG13" s="1">
        <v>16670</v>
      </c>
      <c r="PH13" s="1">
        <v>2000000</v>
      </c>
      <c r="PI13" s="1">
        <v>2000000</v>
      </c>
      <c r="PJ13" s="1">
        <v>145</v>
      </c>
      <c r="PK13" s="1">
        <v>1</v>
      </c>
      <c r="PL13" s="1">
        <v>0</v>
      </c>
      <c r="PM13" s="1">
        <v>90</v>
      </c>
      <c r="PN13" s="1">
        <v>60003760</v>
      </c>
      <c r="PO13" s="1">
        <v>32767</v>
      </c>
      <c r="PP13" s="1">
        <v>7</v>
      </c>
      <c r="PR13" s="1">
        <v>2859033291</v>
      </c>
      <c r="PS13" s="1">
        <v>10222</v>
      </c>
      <c r="PT13" s="1">
        <v>6</v>
      </c>
      <c r="PU13" s="1">
        <v>4</v>
      </c>
      <c r="PV13" s="1">
        <v>121110008.88</v>
      </c>
      <c r="PW13" s="1">
        <v>1</v>
      </c>
      <c r="PX13" s="1">
        <v>0</v>
      </c>
      <c r="PY13" s="1">
        <v>90</v>
      </c>
      <c r="PZ13" s="1">
        <v>60003760</v>
      </c>
      <c r="QA13" s="1">
        <v>32767</v>
      </c>
      <c r="QB13" s="1">
        <v>0</v>
      </c>
      <c r="QD13" s="1">
        <v>2788535121</v>
      </c>
      <c r="QE13" s="1">
        <v>9830</v>
      </c>
      <c r="QF13" s="1">
        <v>98332</v>
      </c>
      <c r="QG13" s="1">
        <v>98332</v>
      </c>
      <c r="QH13" s="1">
        <v>10900</v>
      </c>
      <c r="QI13" s="1">
        <v>1</v>
      </c>
      <c r="QJ13" s="1">
        <v>0</v>
      </c>
      <c r="QK13" s="1">
        <v>90</v>
      </c>
      <c r="QL13" s="1">
        <v>60003760</v>
      </c>
      <c r="QM13" s="1">
        <v>32767</v>
      </c>
      <c r="QN13" s="1">
        <v>0</v>
      </c>
      <c r="QP13" s="1">
        <v>2844265330</v>
      </c>
      <c r="QQ13" s="1">
        <v>16671</v>
      </c>
      <c r="QR13" s="1">
        <v>3476110</v>
      </c>
      <c r="QS13" s="1">
        <v>3476110</v>
      </c>
      <c r="QT13" s="1">
        <v>132.22</v>
      </c>
      <c r="QU13" s="1">
        <v>1</v>
      </c>
      <c r="QV13" s="1">
        <v>0</v>
      </c>
      <c r="QW13" s="1">
        <v>90</v>
      </c>
      <c r="QX13" s="1">
        <v>60003760</v>
      </c>
      <c r="QY13" s="1">
        <v>32767</v>
      </c>
      <c r="QZ13" s="1">
        <v>7</v>
      </c>
      <c r="RB13" s="1">
        <v>2864193480</v>
      </c>
      <c r="RC13" s="1">
        <v>16682</v>
      </c>
      <c r="RD13" s="1">
        <v>190027</v>
      </c>
      <c r="RE13" s="1">
        <v>188027</v>
      </c>
      <c r="RF13" s="1">
        <v>3488.88</v>
      </c>
      <c r="RG13" s="1">
        <v>1</v>
      </c>
      <c r="RH13" s="1">
        <v>0</v>
      </c>
      <c r="RI13" s="1">
        <v>90</v>
      </c>
      <c r="RJ13" s="1">
        <v>60003760</v>
      </c>
      <c r="RK13" s="1">
        <v>32767</v>
      </c>
      <c r="RL13" s="1">
        <v>8</v>
      </c>
      <c r="RN13" s="1">
        <v>2858491212</v>
      </c>
      <c r="RO13" s="1">
        <v>16678</v>
      </c>
      <c r="RP13" s="1">
        <v>3042000</v>
      </c>
      <c r="RQ13" s="1">
        <v>3042000</v>
      </c>
      <c r="RR13" s="1">
        <v>327</v>
      </c>
      <c r="RS13" s="1">
        <v>1</v>
      </c>
      <c r="RT13" s="1">
        <v>0</v>
      </c>
      <c r="RU13" s="1">
        <v>90</v>
      </c>
      <c r="RV13" s="1">
        <v>60003760</v>
      </c>
      <c r="RW13" s="1">
        <v>32767</v>
      </c>
      <c r="RX13" s="1">
        <v>6</v>
      </c>
      <c r="RZ13" s="1">
        <v>2862716447</v>
      </c>
      <c r="SA13" s="1">
        <v>30310</v>
      </c>
      <c r="SB13" s="1">
        <v>600</v>
      </c>
      <c r="SC13" s="1">
        <v>173</v>
      </c>
      <c r="SD13" s="1">
        <v>1308891.8999999999</v>
      </c>
      <c r="SE13" s="1">
        <v>1</v>
      </c>
      <c r="SF13" s="1">
        <v>0</v>
      </c>
      <c r="SG13" s="1">
        <v>90</v>
      </c>
      <c r="SH13" s="1">
        <v>60003760</v>
      </c>
      <c r="SI13" s="1">
        <v>32767</v>
      </c>
      <c r="SJ13" s="1">
        <v>0</v>
      </c>
      <c r="SL13" s="1">
        <v>2787139631</v>
      </c>
      <c r="SM13" s="1">
        <v>30311</v>
      </c>
      <c r="SN13" s="1">
        <v>140</v>
      </c>
      <c r="SO13" s="1">
        <v>140</v>
      </c>
      <c r="SP13" s="1">
        <v>3732245.58</v>
      </c>
      <c r="SQ13" s="1">
        <v>1</v>
      </c>
      <c r="SR13" s="1">
        <v>0</v>
      </c>
      <c r="SS13" s="1">
        <v>90</v>
      </c>
      <c r="ST13" s="1">
        <v>60003760</v>
      </c>
      <c r="SU13" s="1">
        <v>32767</v>
      </c>
      <c r="SV13" s="1">
        <v>0</v>
      </c>
      <c r="SX13" s="1">
        <v>2818176444</v>
      </c>
      <c r="SY13" s="1">
        <v>25595</v>
      </c>
      <c r="SZ13" s="1">
        <v>11</v>
      </c>
      <c r="TA13" s="1">
        <v>11</v>
      </c>
      <c r="TB13" s="1">
        <v>110000.02</v>
      </c>
      <c r="TC13" s="1">
        <v>1</v>
      </c>
      <c r="TD13" s="1">
        <v>0</v>
      </c>
      <c r="TE13" s="1">
        <v>90</v>
      </c>
      <c r="TF13" s="1">
        <v>60003466</v>
      </c>
      <c r="TG13" s="1">
        <v>32767</v>
      </c>
      <c r="TH13" s="1">
        <v>6</v>
      </c>
      <c r="TJ13" s="1">
        <v>2836364226</v>
      </c>
      <c r="TK13" s="1">
        <v>25606</v>
      </c>
      <c r="TL13" s="1">
        <v>1593</v>
      </c>
      <c r="TM13" s="1">
        <v>1593</v>
      </c>
      <c r="TN13" s="1">
        <v>30896.95</v>
      </c>
      <c r="TO13" s="1">
        <v>1</v>
      </c>
      <c r="TP13" s="1">
        <v>0</v>
      </c>
      <c r="TQ13" s="1">
        <v>90</v>
      </c>
      <c r="TR13" s="1">
        <v>60003760</v>
      </c>
      <c r="TS13" s="1">
        <v>32767</v>
      </c>
      <c r="TT13" s="1">
        <v>0</v>
      </c>
      <c r="TV13" s="1">
        <v>2844292487</v>
      </c>
      <c r="TW13" s="1">
        <v>25622</v>
      </c>
      <c r="TX13" s="1">
        <v>4</v>
      </c>
      <c r="TY13" s="1">
        <v>4</v>
      </c>
      <c r="TZ13" s="1">
        <v>15983995</v>
      </c>
      <c r="UA13" s="1">
        <v>1</v>
      </c>
      <c r="UB13" s="1">
        <v>0</v>
      </c>
      <c r="UC13" s="1">
        <v>30</v>
      </c>
      <c r="UD13" s="1">
        <v>60003760</v>
      </c>
      <c r="UE13" s="1">
        <v>32767</v>
      </c>
      <c r="UF13" s="1">
        <v>0</v>
      </c>
      <c r="UH13" s="1">
        <v>2857960497</v>
      </c>
      <c r="UI13" s="1">
        <v>16680</v>
      </c>
      <c r="UJ13" s="1">
        <v>1800000</v>
      </c>
      <c r="UK13" s="1">
        <v>1800000</v>
      </c>
      <c r="UL13" s="1">
        <v>749.98</v>
      </c>
      <c r="UM13" s="1">
        <v>1</v>
      </c>
      <c r="UN13" s="1">
        <v>0</v>
      </c>
      <c r="UO13" s="1">
        <v>90</v>
      </c>
      <c r="UP13" s="1">
        <v>60003760</v>
      </c>
      <c r="UQ13" s="1">
        <v>32767</v>
      </c>
      <c r="UR13" s="1">
        <v>6</v>
      </c>
      <c r="UT13" s="1">
        <v>2875250554</v>
      </c>
      <c r="UU13" s="1">
        <v>17317</v>
      </c>
      <c r="UV13" s="1">
        <v>21000</v>
      </c>
      <c r="UW13" s="1">
        <v>16396</v>
      </c>
      <c r="UX13" s="1">
        <v>29444.35</v>
      </c>
      <c r="UY13" s="1">
        <v>1</v>
      </c>
      <c r="UZ13" s="1">
        <v>0</v>
      </c>
      <c r="VA13" s="1">
        <v>90</v>
      </c>
      <c r="VB13" s="1">
        <v>60003760</v>
      </c>
      <c r="VC13" s="1">
        <v>32767</v>
      </c>
      <c r="VD13" s="1">
        <v>0</v>
      </c>
      <c r="VF13" s="1">
        <v>2875960613</v>
      </c>
      <c r="VG13" s="1">
        <v>11725</v>
      </c>
      <c r="VH13" s="1">
        <v>768</v>
      </c>
      <c r="VI13" s="1">
        <v>768</v>
      </c>
      <c r="VJ13" s="1">
        <v>51028</v>
      </c>
      <c r="VK13" s="1">
        <v>1</v>
      </c>
      <c r="VL13" s="1">
        <v>0</v>
      </c>
      <c r="VM13" s="1">
        <v>30</v>
      </c>
      <c r="VN13" s="1">
        <v>60003760</v>
      </c>
      <c r="VO13" s="1">
        <v>32767</v>
      </c>
      <c r="VP13" s="1">
        <v>6</v>
      </c>
    </row>
    <row r="14" spans="1:588" x14ac:dyDescent="0.25">
      <c r="B14" s="1">
        <v>2842540882</v>
      </c>
      <c r="C14" s="1">
        <v>34</v>
      </c>
      <c r="D14" s="1">
        <v>25001</v>
      </c>
      <c r="E14" s="1">
        <v>25001</v>
      </c>
      <c r="F14" s="1">
        <v>7.01</v>
      </c>
      <c r="G14" s="1">
        <v>1</v>
      </c>
      <c r="H14" s="1">
        <v>0</v>
      </c>
      <c r="I14" s="1">
        <v>90</v>
      </c>
      <c r="J14" s="1">
        <v>60005602</v>
      </c>
      <c r="K14" s="1">
        <v>32767</v>
      </c>
      <c r="L14" s="1">
        <v>3</v>
      </c>
      <c r="N14" s="1">
        <v>2842631350</v>
      </c>
      <c r="O14" s="1">
        <v>35</v>
      </c>
      <c r="P14" s="1">
        <v>2193872</v>
      </c>
      <c r="Q14" s="1">
        <v>2193872</v>
      </c>
      <c r="R14" s="1">
        <v>16</v>
      </c>
      <c r="S14" s="1">
        <v>1</v>
      </c>
      <c r="T14" s="1">
        <v>0</v>
      </c>
      <c r="U14" s="1">
        <v>30</v>
      </c>
      <c r="V14" s="1">
        <v>60003061</v>
      </c>
      <c r="W14" s="1">
        <v>32767</v>
      </c>
      <c r="X14" s="1">
        <v>3</v>
      </c>
      <c r="Z14" s="1">
        <v>2843437008</v>
      </c>
      <c r="AA14" s="1">
        <v>36</v>
      </c>
      <c r="AB14" s="1">
        <v>1016244</v>
      </c>
      <c r="AC14" s="1">
        <v>1013554</v>
      </c>
      <c r="AD14" s="16">
        <v>51.45</v>
      </c>
      <c r="AE14" s="1">
        <v>1</v>
      </c>
      <c r="AF14" s="1">
        <v>0</v>
      </c>
      <c r="AG14" s="1">
        <v>30</v>
      </c>
      <c r="AH14" s="1">
        <v>60000292</v>
      </c>
      <c r="AI14" s="1">
        <v>32767</v>
      </c>
      <c r="AJ14" s="1">
        <v>9</v>
      </c>
      <c r="AL14" s="1">
        <v>2756611409</v>
      </c>
      <c r="AM14" s="1">
        <v>37</v>
      </c>
      <c r="AN14" s="1">
        <v>474090</v>
      </c>
      <c r="AO14" s="1">
        <v>474090</v>
      </c>
      <c r="AP14" s="16">
        <v>389.96</v>
      </c>
      <c r="AQ14" s="1">
        <v>1</v>
      </c>
      <c r="AR14" s="1">
        <v>0</v>
      </c>
      <c r="AS14" s="1">
        <v>90</v>
      </c>
      <c r="AT14" s="1">
        <v>60003760</v>
      </c>
      <c r="AU14" s="1">
        <v>32767</v>
      </c>
      <c r="AV14" s="1">
        <v>9</v>
      </c>
      <c r="AX14" s="1">
        <v>2837475559</v>
      </c>
      <c r="AY14" s="1">
        <v>38</v>
      </c>
      <c r="AZ14" s="1">
        <v>167</v>
      </c>
      <c r="BA14" s="1">
        <v>167</v>
      </c>
      <c r="BB14" s="1">
        <v>3000</v>
      </c>
      <c r="BC14" s="1">
        <v>1</v>
      </c>
      <c r="BD14" s="1">
        <v>0</v>
      </c>
      <c r="BE14" s="1">
        <v>90</v>
      </c>
      <c r="BF14" s="1">
        <v>60003760</v>
      </c>
      <c r="BG14" s="1">
        <v>32767</v>
      </c>
      <c r="BH14" s="1">
        <v>5</v>
      </c>
      <c r="BJ14" s="1">
        <v>2783144395</v>
      </c>
      <c r="BK14" s="1">
        <v>39</v>
      </c>
      <c r="BL14" s="1">
        <v>217</v>
      </c>
      <c r="BM14" s="1">
        <v>217</v>
      </c>
      <c r="BN14" s="1">
        <v>890</v>
      </c>
      <c r="BO14" s="1">
        <v>1</v>
      </c>
      <c r="BP14" s="1">
        <v>0</v>
      </c>
      <c r="BQ14" s="1">
        <v>90</v>
      </c>
      <c r="BR14" s="1">
        <v>60003760</v>
      </c>
      <c r="BS14" s="1">
        <v>32767</v>
      </c>
      <c r="BT14" s="1">
        <v>5</v>
      </c>
      <c r="BV14" s="1">
        <v>2376063571</v>
      </c>
      <c r="BW14" s="1">
        <v>40</v>
      </c>
      <c r="BX14" s="1">
        <v>111221</v>
      </c>
      <c r="BY14" s="1">
        <v>111221</v>
      </c>
      <c r="BZ14" s="1">
        <v>2926</v>
      </c>
      <c r="CA14" s="1">
        <v>1</v>
      </c>
      <c r="CB14" s="1">
        <v>0</v>
      </c>
      <c r="CC14" s="1">
        <v>90</v>
      </c>
      <c r="CD14" s="1">
        <v>60003760</v>
      </c>
      <c r="CE14" s="1">
        <v>32767</v>
      </c>
      <c r="CF14" s="1">
        <v>13</v>
      </c>
      <c r="CH14" s="1">
        <v>2396483521</v>
      </c>
      <c r="CI14" s="1">
        <v>29668</v>
      </c>
      <c r="CJ14" s="1">
        <v>1</v>
      </c>
      <c r="CK14" s="1">
        <v>1</v>
      </c>
      <c r="CL14" s="1">
        <v>565000000</v>
      </c>
      <c r="CM14" s="1">
        <v>1</v>
      </c>
      <c r="CN14" s="1">
        <v>0</v>
      </c>
      <c r="CO14" s="1">
        <v>30</v>
      </c>
      <c r="CP14" s="1">
        <v>60003760</v>
      </c>
      <c r="CQ14" s="1">
        <v>32767</v>
      </c>
      <c r="CR14" s="1">
        <v>0</v>
      </c>
      <c r="CT14" s="1">
        <v>2379871373</v>
      </c>
      <c r="CU14" s="1">
        <v>16649</v>
      </c>
      <c r="CV14" s="1">
        <v>2500</v>
      </c>
      <c r="CW14" s="1">
        <v>2500</v>
      </c>
      <c r="CX14" s="1">
        <v>121872.94</v>
      </c>
      <c r="CY14" s="1">
        <v>1</v>
      </c>
      <c r="CZ14" s="1">
        <v>0</v>
      </c>
      <c r="DA14" s="1">
        <v>90</v>
      </c>
      <c r="DB14" s="1">
        <v>60003760</v>
      </c>
      <c r="DC14" s="1">
        <v>32767</v>
      </c>
      <c r="DD14" s="1">
        <v>8</v>
      </c>
      <c r="DF14" s="1">
        <v>2413008700</v>
      </c>
      <c r="DG14" s="1">
        <v>17887</v>
      </c>
      <c r="DH14" s="1">
        <v>105699</v>
      </c>
      <c r="DI14" s="1">
        <v>105699</v>
      </c>
      <c r="DJ14" s="1">
        <v>1050</v>
      </c>
      <c r="DK14" s="1">
        <v>1</v>
      </c>
      <c r="DL14" s="1">
        <v>0</v>
      </c>
      <c r="DM14" s="1">
        <v>90</v>
      </c>
      <c r="DN14" s="1">
        <v>60003760</v>
      </c>
      <c r="DO14" s="1">
        <v>32767</v>
      </c>
      <c r="DP14" s="1">
        <v>0</v>
      </c>
      <c r="DR14" s="1">
        <v>2772175198</v>
      </c>
      <c r="DS14" s="1">
        <v>17888</v>
      </c>
      <c r="DT14" s="1">
        <v>5628</v>
      </c>
      <c r="DU14" s="1">
        <v>5628</v>
      </c>
      <c r="DV14" s="1">
        <v>415</v>
      </c>
      <c r="DW14" s="1">
        <v>1</v>
      </c>
      <c r="DX14" s="1">
        <v>0</v>
      </c>
      <c r="DY14" s="1">
        <v>90</v>
      </c>
      <c r="DZ14" s="1">
        <v>60003064</v>
      </c>
      <c r="EA14" s="1">
        <v>32767</v>
      </c>
      <c r="EB14" s="1">
        <v>11</v>
      </c>
      <c r="ED14" s="1">
        <v>2764688887</v>
      </c>
      <c r="EE14" s="1">
        <v>16273</v>
      </c>
      <c r="EF14" s="1">
        <v>854790</v>
      </c>
      <c r="EG14" s="1">
        <v>854790</v>
      </c>
      <c r="EH14" s="1">
        <v>398.88</v>
      </c>
      <c r="EI14" s="1">
        <v>1</v>
      </c>
      <c r="EJ14" s="1">
        <v>0</v>
      </c>
      <c r="EK14" s="1">
        <v>90</v>
      </c>
      <c r="EL14" s="1">
        <v>60003760</v>
      </c>
      <c r="EM14" s="1">
        <v>32767</v>
      </c>
      <c r="EN14" s="1">
        <v>6</v>
      </c>
      <c r="EP14" s="1">
        <v>2786726772</v>
      </c>
      <c r="EQ14" s="1">
        <v>17889</v>
      </c>
      <c r="ER14" s="1">
        <v>2583008</v>
      </c>
      <c r="ES14" s="1">
        <v>2583008</v>
      </c>
      <c r="ET14" s="1">
        <v>405</v>
      </c>
      <c r="EU14" s="1">
        <v>1</v>
      </c>
      <c r="EV14" s="1">
        <v>0</v>
      </c>
      <c r="EW14" s="1">
        <v>90</v>
      </c>
      <c r="EX14" s="1">
        <v>60003760</v>
      </c>
      <c r="EY14" s="1">
        <v>32767</v>
      </c>
      <c r="EZ14" s="1">
        <v>7</v>
      </c>
      <c r="FB14" s="1">
        <v>2872001430</v>
      </c>
      <c r="FC14" s="1">
        <v>30259</v>
      </c>
      <c r="FD14" s="1">
        <v>200</v>
      </c>
      <c r="FE14" s="1">
        <v>200</v>
      </c>
      <c r="FF14" s="1">
        <v>5999988.8799999999</v>
      </c>
      <c r="FG14" s="1">
        <v>1</v>
      </c>
      <c r="FH14" s="1">
        <v>0</v>
      </c>
      <c r="FI14" s="1">
        <v>90</v>
      </c>
      <c r="FJ14" s="1">
        <v>60003760</v>
      </c>
      <c r="FK14" s="1">
        <v>32767</v>
      </c>
      <c r="FL14" s="1">
        <v>0</v>
      </c>
      <c r="FN14" s="1">
        <v>2836387562</v>
      </c>
      <c r="FO14" s="1">
        <v>25617</v>
      </c>
      <c r="FP14" s="1">
        <v>72</v>
      </c>
      <c r="FQ14" s="1">
        <v>72</v>
      </c>
      <c r="FR14" s="1">
        <v>5399999.9900000002</v>
      </c>
      <c r="FS14" s="1">
        <v>1</v>
      </c>
      <c r="FT14" s="1">
        <v>0</v>
      </c>
      <c r="FU14" s="1">
        <v>90</v>
      </c>
      <c r="FV14" s="1">
        <v>60003760</v>
      </c>
      <c r="FW14" s="1">
        <v>32767</v>
      </c>
      <c r="FX14" s="1">
        <v>0</v>
      </c>
      <c r="FZ14" s="1">
        <v>2858361006</v>
      </c>
      <c r="GA14" s="1">
        <v>44</v>
      </c>
      <c r="GB14" s="1">
        <v>4572</v>
      </c>
      <c r="GC14" s="1">
        <v>4572</v>
      </c>
      <c r="GD14" s="1">
        <v>13998.6</v>
      </c>
      <c r="GE14" s="1">
        <v>1</v>
      </c>
      <c r="GF14" s="1">
        <v>0</v>
      </c>
      <c r="GG14" s="1">
        <v>30</v>
      </c>
      <c r="GH14" s="1">
        <v>60003760</v>
      </c>
      <c r="GI14" s="1">
        <v>32767</v>
      </c>
      <c r="GJ14" s="1">
        <v>4</v>
      </c>
      <c r="GL14" s="1">
        <v>2411893837</v>
      </c>
      <c r="GM14" s="1">
        <v>16681</v>
      </c>
      <c r="GN14" s="1">
        <v>93853</v>
      </c>
      <c r="GO14" s="1">
        <v>62853</v>
      </c>
      <c r="GP14" s="1">
        <v>6376.37</v>
      </c>
      <c r="GQ14" s="1">
        <v>1</v>
      </c>
      <c r="GR14" s="1">
        <v>0</v>
      </c>
      <c r="GS14" s="1">
        <v>90</v>
      </c>
      <c r="GT14" s="1">
        <v>60003760</v>
      </c>
      <c r="GU14" s="1">
        <v>32767</v>
      </c>
      <c r="GV14" s="1">
        <v>0</v>
      </c>
      <c r="GX14" s="1">
        <v>2846979493</v>
      </c>
      <c r="GY14" s="1">
        <v>16683</v>
      </c>
      <c r="GZ14" s="1">
        <v>39200</v>
      </c>
      <c r="HA14" s="1">
        <v>39200</v>
      </c>
      <c r="HB14" s="1">
        <v>9999.99</v>
      </c>
      <c r="HC14" s="1">
        <v>1</v>
      </c>
      <c r="HD14" s="1">
        <v>0</v>
      </c>
      <c r="HE14" s="1">
        <v>90</v>
      </c>
      <c r="HF14" s="1">
        <v>60003760</v>
      </c>
      <c r="HG14" s="1">
        <v>32767</v>
      </c>
      <c r="HH14" s="1">
        <v>0</v>
      </c>
      <c r="HJ14" s="1">
        <v>2834177885</v>
      </c>
      <c r="HK14" s="1">
        <v>11724</v>
      </c>
      <c r="HL14" s="1">
        <v>3</v>
      </c>
      <c r="HM14" s="1">
        <v>2</v>
      </c>
      <c r="HN14" s="1">
        <v>41499.440000000002</v>
      </c>
      <c r="HO14" s="1">
        <v>1</v>
      </c>
      <c r="HP14" s="1">
        <v>0</v>
      </c>
      <c r="HQ14" s="1">
        <v>90</v>
      </c>
      <c r="HR14" s="1">
        <v>60003760</v>
      </c>
      <c r="HS14" s="1">
        <v>32767</v>
      </c>
      <c r="HT14" s="1">
        <v>0</v>
      </c>
      <c r="HV14" s="1">
        <v>2812002358</v>
      </c>
      <c r="HW14" s="1">
        <v>16274</v>
      </c>
      <c r="HX14" s="1">
        <v>61226</v>
      </c>
      <c r="HY14" s="1">
        <v>7438</v>
      </c>
      <c r="HZ14" s="1">
        <v>380.69</v>
      </c>
      <c r="IA14" s="1">
        <v>1</v>
      </c>
      <c r="IB14" s="1">
        <v>0</v>
      </c>
      <c r="IC14" s="1">
        <v>90</v>
      </c>
      <c r="ID14" s="1">
        <v>60003760</v>
      </c>
      <c r="IE14" s="1">
        <v>32767</v>
      </c>
      <c r="IF14" s="1">
        <v>2</v>
      </c>
      <c r="IH14" s="1">
        <v>2872711492</v>
      </c>
      <c r="II14" s="1">
        <v>10213</v>
      </c>
      <c r="IJ14" s="1">
        <v>5</v>
      </c>
      <c r="IK14" s="1">
        <v>5</v>
      </c>
      <c r="IL14" s="1">
        <v>122900000</v>
      </c>
      <c r="IM14" s="1">
        <v>1</v>
      </c>
      <c r="IN14" s="1">
        <v>0</v>
      </c>
      <c r="IO14" s="1">
        <v>90</v>
      </c>
      <c r="IP14" s="1">
        <v>60003760</v>
      </c>
      <c r="IQ14" s="1">
        <v>32767</v>
      </c>
      <c r="IR14" s="1">
        <v>0</v>
      </c>
      <c r="IT14" s="1">
        <v>2812269920</v>
      </c>
      <c r="IU14" s="1">
        <v>16679</v>
      </c>
      <c r="IV14" s="1">
        <v>870000</v>
      </c>
      <c r="IW14" s="1">
        <v>870000</v>
      </c>
      <c r="IX14" s="1">
        <v>2000</v>
      </c>
      <c r="IY14" s="1">
        <v>1</v>
      </c>
      <c r="IZ14" s="1">
        <v>0</v>
      </c>
      <c r="JA14" s="1">
        <v>90</v>
      </c>
      <c r="JB14" s="1">
        <v>60003760</v>
      </c>
      <c r="JC14" s="1">
        <v>32767</v>
      </c>
      <c r="JD14" s="1">
        <v>0</v>
      </c>
      <c r="JF14" s="1">
        <v>2773942019</v>
      </c>
      <c r="JG14" s="1">
        <v>16272</v>
      </c>
      <c r="JH14" s="1">
        <v>31250</v>
      </c>
      <c r="JI14" s="1">
        <v>1250</v>
      </c>
      <c r="JJ14" s="1">
        <v>120</v>
      </c>
      <c r="JK14" s="1">
        <v>1</v>
      </c>
      <c r="JL14" s="1">
        <v>0</v>
      </c>
      <c r="JM14" s="1">
        <v>90</v>
      </c>
      <c r="JN14" s="1">
        <v>60003760</v>
      </c>
      <c r="JO14" s="1">
        <v>32767</v>
      </c>
      <c r="JP14" s="1">
        <v>6</v>
      </c>
      <c r="JR14" s="1">
        <v>2875360481</v>
      </c>
      <c r="JS14" s="1">
        <v>10226</v>
      </c>
      <c r="JT14" s="1">
        <v>3</v>
      </c>
      <c r="JU14" s="1">
        <v>3</v>
      </c>
      <c r="JV14" s="1">
        <v>119000000</v>
      </c>
      <c r="JW14" s="1">
        <v>1</v>
      </c>
      <c r="JX14" s="1">
        <v>0</v>
      </c>
      <c r="JY14" s="1">
        <v>90</v>
      </c>
      <c r="JZ14" s="1">
        <v>60003760</v>
      </c>
      <c r="KA14" s="1">
        <v>32767</v>
      </c>
      <c r="KB14" s="1">
        <v>1</v>
      </c>
      <c r="KD14" s="1">
        <v>2772892116</v>
      </c>
      <c r="KE14" s="1">
        <v>25605</v>
      </c>
      <c r="KF14" s="1">
        <v>22</v>
      </c>
      <c r="KG14" s="1">
        <v>22</v>
      </c>
      <c r="KH14" s="1">
        <v>199610.03</v>
      </c>
      <c r="KI14" s="1">
        <v>1</v>
      </c>
      <c r="KJ14" s="1">
        <v>0</v>
      </c>
      <c r="KK14" s="1">
        <v>90</v>
      </c>
      <c r="KL14" s="1">
        <v>60003760</v>
      </c>
      <c r="KM14" s="1">
        <v>32767</v>
      </c>
      <c r="KN14" s="1">
        <v>6</v>
      </c>
      <c r="KP14" s="1">
        <v>2826210625</v>
      </c>
      <c r="KQ14" s="1">
        <v>25624</v>
      </c>
      <c r="KR14" s="1">
        <v>3</v>
      </c>
      <c r="KS14" s="1">
        <v>2</v>
      </c>
      <c r="KT14" s="1">
        <v>19660006</v>
      </c>
      <c r="KU14" s="1">
        <v>1</v>
      </c>
      <c r="KV14" s="1">
        <v>0</v>
      </c>
      <c r="KW14" s="1">
        <v>90</v>
      </c>
      <c r="KX14" s="1">
        <v>60003760</v>
      </c>
      <c r="KY14" s="1">
        <v>32767</v>
      </c>
      <c r="KZ14" s="1">
        <v>1</v>
      </c>
      <c r="LB14" s="1">
        <v>2768039097</v>
      </c>
      <c r="LC14" s="1">
        <v>9832</v>
      </c>
      <c r="LD14" s="1">
        <v>25622</v>
      </c>
      <c r="LE14" s="1">
        <v>25622</v>
      </c>
      <c r="LF14" s="1">
        <v>10200</v>
      </c>
      <c r="LG14" s="1">
        <v>1</v>
      </c>
      <c r="LH14" s="1">
        <v>0</v>
      </c>
      <c r="LI14" s="1">
        <v>90</v>
      </c>
      <c r="LJ14" s="1">
        <v>60003760</v>
      </c>
      <c r="LK14" s="1">
        <v>32767</v>
      </c>
      <c r="LL14" s="1">
        <v>0</v>
      </c>
      <c r="LN14" s="1">
        <v>2868319047</v>
      </c>
      <c r="LO14" s="1">
        <v>10209</v>
      </c>
      <c r="LP14" s="1">
        <v>65</v>
      </c>
      <c r="LQ14" s="1">
        <v>47</v>
      </c>
      <c r="LR14" s="1">
        <v>120899866</v>
      </c>
      <c r="LS14" s="1">
        <v>1</v>
      </c>
      <c r="LT14" s="1">
        <v>0</v>
      </c>
      <c r="LU14" s="1">
        <v>90</v>
      </c>
      <c r="LV14" s="1">
        <v>60003760</v>
      </c>
      <c r="LW14" s="1">
        <v>32767</v>
      </c>
      <c r="LX14" s="1">
        <v>1</v>
      </c>
      <c r="LZ14" s="1">
        <v>2876854983</v>
      </c>
      <c r="MA14" s="1">
        <v>10217</v>
      </c>
      <c r="MB14" s="1">
        <v>2</v>
      </c>
      <c r="MC14" s="1">
        <v>2</v>
      </c>
      <c r="MD14" s="1">
        <v>123979998</v>
      </c>
      <c r="ME14" s="1">
        <v>1</v>
      </c>
      <c r="MF14" s="1">
        <v>0</v>
      </c>
      <c r="MG14" s="1">
        <v>90</v>
      </c>
      <c r="MH14" s="1">
        <v>60003760</v>
      </c>
      <c r="MI14" s="1">
        <v>32767</v>
      </c>
      <c r="MJ14" s="1">
        <v>0</v>
      </c>
      <c r="ML14" s="1">
        <v>2859529852</v>
      </c>
      <c r="MM14" s="1">
        <v>25625</v>
      </c>
      <c r="MN14" s="1">
        <v>3</v>
      </c>
      <c r="MO14" s="1">
        <v>3</v>
      </c>
      <c r="MP14" s="1">
        <v>4599999</v>
      </c>
      <c r="MQ14" s="1">
        <v>1</v>
      </c>
      <c r="MR14" s="1">
        <v>0</v>
      </c>
      <c r="MS14" s="1">
        <v>90</v>
      </c>
      <c r="MT14" s="1">
        <v>60003760</v>
      </c>
      <c r="MU14" s="1">
        <v>32767</v>
      </c>
      <c r="MV14" s="1">
        <v>0</v>
      </c>
      <c r="MX14" s="1">
        <v>2855882514</v>
      </c>
      <c r="MY14" s="1">
        <v>16672</v>
      </c>
      <c r="MZ14" s="1">
        <v>9940000</v>
      </c>
      <c r="NA14" s="1">
        <v>9940000</v>
      </c>
      <c r="NB14" s="1">
        <v>178.5</v>
      </c>
      <c r="NC14" s="1">
        <v>1</v>
      </c>
      <c r="ND14" s="1">
        <v>0</v>
      </c>
      <c r="NE14" s="1">
        <v>90</v>
      </c>
      <c r="NF14" s="1">
        <v>60003760</v>
      </c>
      <c r="NG14" s="1">
        <v>32767</v>
      </c>
      <c r="NH14" s="1">
        <v>0</v>
      </c>
      <c r="NJ14" s="1">
        <v>2759743401</v>
      </c>
      <c r="NK14" s="1">
        <v>16673</v>
      </c>
      <c r="NL14" s="1">
        <v>4551474</v>
      </c>
      <c r="NM14" s="1">
        <v>4551474</v>
      </c>
      <c r="NN14" s="1">
        <v>134.1</v>
      </c>
      <c r="NO14" s="1">
        <v>1</v>
      </c>
      <c r="NP14" s="1">
        <v>0</v>
      </c>
      <c r="NQ14" s="1">
        <v>90</v>
      </c>
      <c r="NR14" s="1">
        <v>60003760</v>
      </c>
      <c r="NS14" s="1">
        <v>32767</v>
      </c>
      <c r="NT14" s="1">
        <v>6</v>
      </c>
      <c r="NV14" s="1">
        <v>2835821516</v>
      </c>
      <c r="NW14" s="1">
        <v>3689</v>
      </c>
      <c r="NX14" s="1">
        <v>8587</v>
      </c>
      <c r="NY14" s="1">
        <v>4587</v>
      </c>
      <c r="NZ14" s="1">
        <v>11477.98</v>
      </c>
      <c r="OA14" s="1">
        <v>1</v>
      </c>
      <c r="OB14" s="1">
        <v>0</v>
      </c>
      <c r="OC14" s="1">
        <v>30</v>
      </c>
      <c r="OD14" s="1">
        <v>60003760</v>
      </c>
      <c r="OE14" s="1">
        <v>32767</v>
      </c>
      <c r="OF14" s="1">
        <v>0</v>
      </c>
      <c r="OH14" s="1">
        <v>2848908982</v>
      </c>
      <c r="OI14" s="1">
        <v>25598</v>
      </c>
      <c r="OJ14" s="1">
        <v>60</v>
      </c>
      <c r="OK14" s="1">
        <v>41</v>
      </c>
      <c r="OL14" s="1">
        <v>154000</v>
      </c>
      <c r="OM14" s="1">
        <v>1</v>
      </c>
      <c r="ON14" s="1">
        <v>0</v>
      </c>
      <c r="OO14" s="1">
        <v>30</v>
      </c>
      <c r="OP14" s="1">
        <v>60004231</v>
      </c>
      <c r="OQ14" s="1">
        <v>32767</v>
      </c>
      <c r="OR14" s="1">
        <v>4</v>
      </c>
      <c r="OT14" s="1">
        <v>2773856514</v>
      </c>
      <c r="OU14" s="1">
        <v>25600</v>
      </c>
      <c r="OV14" s="1">
        <v>7</v>
      </c>
      <c r="OW14" s="1">
        <v>7</v>
      </c>
      <c r="OX14" s="1">
        <v>34500.99</v>
      </c>
      <c r="OY14" s="1">
        <v>1</v>
      </c>
      <c r="OZ14" s="1">
        <v>0</v>
      </c>
      <c r="PA14" s="1">
        <v>90</v>
      </c>
      <c r="PB14" s="1">
        <v>60004072</v>
      </c>
      <c r="PC14" s="1">
        <v>32767</v>
      </c>
      <c r="PD14" s="1">
        <v>5</v>
      </c>
      <c r="PF14" s="1">
        <v>2786068973</v>
      </c>
      <c r="PG14" s="1">
        <v>16670</v>
      </c>
      <c r="PH14" s="1">
        <v>11385000</v>
      </c>
      <c r="PI14" s="1">
        <v>11385000</v>
      </c>
      <c r="PJ14" s="1">
        <v>134</v>
      </c>
      <c r="PK14" s="1">
        <v>1</v>
      </c>
      <c r="PL14" s="1">
        <v>0</v>
      </c>
      <c r="PM14" s="1">
        <v>90</v>
      </c>
      <c r="PN14" s="1">
        <v>60003760</v>
      </c>
      <c r="PO14" s="1">
        <v>32767</v>
      </c>
      <c r="PP14" s="1">
        <v>7</v>
      </c>
      <c r="PR14" s="1">
        <v>2747366842</v>
      </c>
      <c r="PS14" s="1">
        <v>10222</v>
      </c>
      <c r="PT14" s="1">
        <v>3</v>
      </c>
      <c r="PU14" s="1">
        <v>3</v>
      </c>
      <c r="PV14" s="1">
        <v>137899994.55000001</v>
      </c>
      <c r="PW14" s="1">
        <v>1</v>
      </c>
      <c r="PX14" s="1">
        <v>0</v>
      </c>
      <c r="PY14" s="1">
        <v>90</v>
      </c>
      <c r="PZ14" s="1">
        <v>60003760</v>
      </c>
      <c r="QA14" s="1">
        <v>32767</v>
      </c>
      <c r="QB14" s="1">
        <v>0</v>
      </c>
      <c r="QD14" s="1">
        <v>2789673141</v>
      </c>
      <c r="QE14" s="1">
        <v>9830</v>
      </c>
      <c r="QF14" s="1">
        <v>30000</v>
      </c>
      <c r="QG14" s="1">
        <v>30000</v>
      </c>
      <c r="QH14" s="1">
        <v>8791.5</v>
      </c>
      <c r="QI14" s="1">
        <v>1</v>
      </c>
      <c r="QJ14" s="1">
        <v>0</v>
      </c>
      <c r="QK14" s="1">
        <v>90</v>
      </c>
      <c r="QL14" s="1">
        <v>60003760</v>
      </c>
      <c r="QM14" s="1">
        <v>32767</v>
      </c>
      <c r="QN14" s="1">
        <v>0</v>
      </c>
      <c r="QP14" s="1">
        <v>2844902609</v>
      </c>
      <c r="QQ14" s="1">
        <v>16671</v>
      </c>
      <c r="QR14" s="1">
        <v>2240000</v>
      </c>
      <c r="QS14" s="1">
        <v>2125000</v>
      </c>
      <c r="QT14" s="1">
        <v>116.6</v>
      </c>
      <c r="QU14" s="1">
        <v>1</v>
      </c>
      <c r="QV14" s="1">
        <v>0</v>
      </c>
      <c r="QW14" s="1">
        <v>90</v>
      </c>
      <c r="QX14" s="1">
        <v>60003760</v>
      </c>
      <c r="QY14" s="1">
        <v>32767</v>
      </c>
      <c r="QZ14" s="1">
        <v>7</v>
      </c>
      <c r="RB14" s="1">
        <v>2861800757</v>
      </c>
      <c r="RC14" s="1">
        <v>16682</v>
      </c>
      <c r="RD14" s="1">
        <v>300000</v>
      </c>
      <c r="RE14" s="1">
        <v>151333</v>
      </c>
      <c r="RF14" s="1">
        <v>3388</v>
      </c>
      <c r="RG14" s="1">
        <v>1</v>
      </c>
      <c r="RH14" s="1">
        <v>0</v>
      </c>
      <c r="RI14" s="1">
        <v>90</v>
      </c>
      <c r="RJ14" s="1">
        <v>60003760</v>
      </c>
      <c r="RK14" s="1">
        <v>32767</v>
      </c>
      <c r="RL14" s="1">
        <v>8</v>
      </c>
      <c r="RN14" s="1">
        <v>2741098571</v>
      </c>
      <c r="RO14" s="1">
        <v>16678</v>
      </c>
      <c r="RP14" s="1">
        <v>652789</v>
      </c>
      <c r="RQ14" s="1">
        <v>652789</v>
      </c>
      <c r="RR14" s="1">
        <v>384.1</v>
      </c>
      <c r="RS14" s="1">
        <v>1</v>
      </c>
      <c r="RT14" s="1">
        <v>0</v>
      </c>
      <c r="RU14" s="1">
        <v>90</v>
      </c>
      <c r="RV14" s="1">
        <v>60003760</v>
      </c>
      <c r="RW14" s="1">
        <v>32767</v>
      </c>
      <c r="RX14" s="1">
        <v>6</v>
      </c>
      <c r="RZ14" s="1">
        <v>2859372102</v>
      </c>
      <c r="SA14" s="1">
        <v>30310</v>
      </c>
      <c r="SB14" s="1">
        <v>272</v>
      </c>
      <c r="SC14" s="1">
        <v>62</v>
      </c>
      <c r="SD14" s="1">
        <v>1299000</v>
      </c>
      <c r="SE14" s="1">
        <v>1</v>
      </c>
      <c r="SF14" s="1">
        <v>0</v>
      </c>
      <c r="SG14" s="1">
        <v>30</v>
      </c>
      <c r="SH14" s="1">
        <v>60003760</v>
      </c>
      <c r="SI14" s="1">
        <v>32767</v>
      </c>
      <c r="SJ14" s="1">
        <v>0</v>
      </c>
      <c r="SL14" s="1">
        <v>2784005397</v>
      </c>
      <c r="SM14" s="1">
        <v>30311</v>
      </c>
      <c r="SN14" s="1">
        <v>180</v>
      </c>
      <c r="SO14" s="1">
        <v>180</v>
      </c>
      <c r="SP14" s="1">
        <v>4500000</v>
      </c>
      <c r="SQ14" s="1">
        <v>1</v>
      </c>
      <c r="SR14" s="1">
        <v>0</v>
      </c>
      <c r="SS14" s="1">
        <v>90</v>
      </c>
      <c r="ST14" s="1">
        <v>60003760</v>
      </c>
      <c r="SU14" s="1">
        <v>32767</v>
      </c>
      <c r="SV14" s="1">
        <v>0</v>
      </c>
      <c r="SX14" s="1">
        <v>2814609193</v>
      </c>
      <c r="SY14" s="1">
        <v>25595</v>
      </c>
      <c r="SZ14" s="1">
        <v>31</v>
      </c>
      <c r="TA14" s="1">
        <v>31</v>
      </c>
      <c r="TB14" s="1">
        <v>100000</v>
      </c>
      <c r="TC14" s="1">
        <v>1</v>
      </c>
      <c r="TD14" s="1">
        <v>0</v>
      </c>
      <c r="TE14" s="1">
        <v>90</v>
      </c>
      <c r="TF14" s="1">
        <v>60003760</v>
      </c>
      <c r="TG14" s="1">
        <v>32767</v>
      </c>
      <c r="TH14" s="1">
        <v>6</v>
      </c>
      <c r="TJ14" s="1">
        <v>2835120682</v>
      </c>
      <c r="TK14" s="1">
        <v>25606</v>
      </c>
      <c r="TL14" s="1">
        <v>54014</v>
      </c>
      <c r="TM14" s="1">
        <v>52057</v>
      </c>
      <c r="TN14" s="1">
        <v>31919.99</v>
      </c>
      <c r="TO14" s="1">
        <v>1</v>
      </c>
      <c r="TP14" s="1">
        <v>0</v>
      </c>
      <c r="TQ14" s="1">
        <v>90</v>
      </c>
      <c r="TR14" s="1">
        <v>60003760</v>
      </c>
      <c r="TS14" s="1">
        <v>32767</v>
      </c>
      <c r="TT14" s="1">
        <v>0</v>
      </c>
      <c r="TV14" s="1">
        <v>2850120755</v>
      </c>
      <c r="TW14" s="1">
        <v>25622</v>
      </c>
      <c r="TX14" s="1">
        <v>108</v>
      </c>
      <c r="TY14" s="1">
        <v>59</v>
      </c>
      <c r="TZ14" s="1">
        <v>15224998</v>
      </c>
      <c r="UA14" s="1">
        <v>1</v>
      </c>
      <c r="UB14" s="1">
        <v>0</v>
      </c>
      <c r="UC14" s="1">
        <v>30</v>
      </c>
      <c r="UD14" s="1">
        <v>60003760</v>
      </c>
      <c r="UE14" s="1">
        <v>32767</v>
      </c>
      <c r="UF14" s="1">
        <v>0</v>
      </c>
      <c r="UH14" s="1">
        <v>2858054454</v>
      </c>
      <c r="UI14" s="1">
        <v>16680</v>
      </c>
      <c r="UJ14" s="1">
        <v>3000000</v>
      </c>
      <c r="UK14" s="1">
        <v>3000000</v>
      </c>
      <c r="UL14" s="1">
        <v>800</v>
      </c>
      <c r="UM14" s="1">
        <v>1</v>
      </c>
      <c r="UN14" s="1">
        <v>0</v>
      </c>
      <c r="UO14" s="1">
        <v>90</v>
      </c>
      <c r="UP14" s="1">
        <v>60003760</v>
      </c>
      <c r="UQ14" s="1">
        <v>32767</v>
      </c>
      <c r="UR14" s="1">
        <v>6</v>
      </c>
      <c r="UT14" s="1">
        <v>2875640491</v>
      </c>
      <c r="UU14" s="1">
        <v>17317</v>
      </c>
      <c r="UV14" s="1">
        <v>50000</v>
      </c>
      <c r="UW14" s="1">
        <v>6136</v>
      </c>
      <c r="UX14" s="1">
        <v>28999.93</v>
      </c>
      <c r="UY14" s="1">
        <v>1</v>
      </c>
      <c r="UZ14" s="1">
        <v>0</v>
      </c>
      <c r="VA14" s="1">
        <v>90</v>
      </c>
      <c r="VB14" s="1">
        <v>60003760</v>
      </c>
      <c r="VC14" s="1">
        <v>32767</v>
      </c>
      <c r="VD14" s="1">
        <v>0</v>
      </c>
      <c r="VF14" s="1">
        <v>2777484553</v>
      </c>
      <c r="VG14" s="1">
        <v>11725</v>
      </c>
      <c r="VH14" s="1">
        <v>10000</v>
      </c>
      <c r="VI14" s="1">
        <v>10000</v>
      </c>
      <c r="VJ14" s="1">
        <v>23700.01</v>
      </c>
      <c r="VK14" s="1">
        <v>1</v>
      </c>
      <c r="VL14" s="1">
        <v>1</v>
      </c>
      <c r="VM14" s="1">
        <v>90</v>
      </c>
      <c r="VN14" s="1">
        <v>60003760</v>
      </c>
      <c r="VO14" s="1">
        <v>-1</v>
      </c>
      <c r="VP14" s="1">
        <v>0</v>
      </c>
    </row>
    <row r="15" spans="1:588" x14ac:dyDescent="0.25">
      <c r="B15" s="1">
        <v>2838825401</v>
      </c>
      <c r="C15" s="1">
        <v>34</v>
      </c>
      <c r="D15" s="1">
        <v>11567803</v>
      </c>
      <c r="E15" s="1">
        <v>11018691</v>
      </c>
      <c r="F15" s="1">
        <v>6</v>
      </c>
      <c r="G15" s="1">
        <v>1</v>
      </c>
      <c r="H15" s="1">
        <v>0</v>
      </c>
      <c r="I15" s="1">
        <v>30</v>
      </c>
      <c r="J15" s="1">
        <v>60003061</v>
      </c>
      <c r="K15" s="1">
        <v>32767</v>
      </c>
      <c r="L15" s="1">
        <v>3</v>
      </c>
      <c r="N15" s="1">
        <v>2838824686</v>
      </c>
      <c r="O15" s="1">
        <v>35</v>
      </c>
      <c r="P15" s="1">
        <v>1786227</v>
      </c>
      <c r="Q15" s="1">
        <v>1786227</v>
      </c>
      <c r="R15" s="1">
        <v>16</v>
      </c>
      <c r="S15" s="1">
        <v>1</v>
      </c>
      <c r="T15" s="1">
        <v>0</v>
      </c>
      <c r="U15" s="1">
        <v>30</v>
      </c>
      <c r="V15" s="1">
        <v>60003061</v>
      </c>
      <c r="W15" s="1">
        <v>32767</v>
      </c>
      <c r="X15" s="1">
        <v>3</v>
      </c>
      <c r="Z15" s="1">
        <v>2868315513</v>
      </c>
      <c r="AA15" s="1">
        <v>36</v>
      </c>
      <c r="AB15" s="1">
        <v>231224</v>
      </c>
      <c r="AC15" s="1">
        <v>231224</v>
      </c>
      <c r="AD15" s="16">
        <v>48.42</v>
      </c>
      <c r="AE15" s="1">
        <v>1</v>
      </c>
      <c r="AF15" s="1">
        <v>0</v>
      </c>
      <c r="AG15" s="1">
        <v>14</v>
      </c>
      <c r="AH15" s="1">
        <v>60004234</v>
      </c>
      <c r="AI15" s="1">
        <v>32767</v>
      </c>
      <c r="AJ15" s="1">
        <v>11</v>
      </c>
      <c r="AL15" s="1">
        <v>2757647335</v>
      </c>
      <c r="AM15" s="1">
        <v>37</v>
      </c>
      <c r="AN15" s="1">
        <v>158828</v>
      </c>
      <c r="AO15" s="1">
        <v>24168</v>
      </c>
      <c r="AP15" s="16">
        <v>159.97</v>
      </c>
      <c r="AQ15" s="1">
        <v>1</v>
      </c>
      <c r="AR15" s="1">
        <v>0</v>
      </c>
      <c r="AS15" s="1">
        <v>90</v>
      </c>
      <c r="AT15" s="1">
        <v>60003760</v>
      </c>
      <c r="AU15" s="1">
        <v>32767</v>
      </c>
      <c r="AV15" s="1">
        <v>9</v>
      </c>
      <c r="AX15" s="1">
        <v>2833163828</v>
      </c>
      <c r="AY15" s="1">
        <v>38</v>
      </c>
      <c r="AZ15" s="1">
        <v>4573</v>
      </c>
      <c r="BA15" s="1">
        <v>4573</v>
      </c>
      <c r="BB15" s="1">
        <v>880.24</v>
      </c>
      <c r="BC15" s="1">
        <v>1</v>
      </c>
      <c r="BD15" s="1">
        <v>0</v>
      </c>
      <c r="BE15" s="1">
        <v>90</v>
      </c>
      <c r="BF15" s="1">
        <v>60003760</v>
      </c>
      <c r="BG15" s="1">
        <v>32767</v>
      </c>
      <c r="BH15" s="1">
        <v>5</v>
      </c>
      <c r="BJ15" s="1">
        <v>2836263808</v>
      </c>
      <c r="BK15" s="1">
        <v>39</v>
      </c>
      <c r="BL15" s="1">
        <v>529000</v>
      </c>
      <c r="BM15" s="1">
        <v>529000</v>
      </c>
      <c r="BN15" s="1">
        <v>846.99</v>
      </c>
      <c r="BO15" s="1">
        <v>1</v>
      </c>
      <c r="BP15" s="1">
        <v>0</v>
      </c>
      <c r="BQ15" s="1">
        <v>90</v>
      </c>
      <c r="BR15" s="1">
        <v>60003760</v>
      </c>
      <c r="BS15" s="1">
        <v>32767</v>
      </c>
      <c r="BT15" s="1">
        <v>5</v>
      </c>
      <c r="BV15" s="1">
        <v>2376065051</v>
      </c>
      <c r="BW15" s="1">
        <v>40</v>
      </c>
      <c r="BX15" s="1">
        <v>100000</v>
      </c>
      <c r="BY15" s="1">
        <v>100000</v>
      </c>
      <c r="BZ15" s="1">
        <v>2916</v>
      </c>
      <c r="CA15" s="1">
        <v>1</v>
      </c>
      <c r="CB15" s="1">
        <v>0</v>
      </c>
      <c r="CC15" s="1">
        <v>90</v>
      </c>
      <c r="CD15" s="1">
        <v>60003760</v>
      </c>
      <c r="CE15" s="1">
        <v>32767</v>
      </c>
      <c r="CF15" s="1">
        <v>13</v>
      </c>
      <c r="CH15" s="1">
        <v>2398242054</v>
      </c>
      <c r="CI15" s="1">
        <v>29668</v>
      </c>
      <c r="CJ15" s="1">
        <v>1</v>
      </c>
      <c r="CK15" s="1">
        <v>1</v>
      </c>
      <c r="CL15" s="1">
        <v>4570002200</v>
      </c>
      <c r="CM15" s="1">
        <v>1</v>
      </c>
      <c r="CN15" s="1">
        <v>0</v>
      </c>
      <c r="CO15" s="1">
        <v>30</v>
      </c>
      <c r="CP15" s="1">
        <v>60003760</v>
      </c>
      <c r="CQ15" s="1">
        <v>32767</v>
      </c>
      <c r="CR15" s="1">
        <v>0</v>
      </c>
      <c r="CT15" s="1">
        <v>2382399505</v>
      </c>
      <c r="CU15" s="1">
        <v>16649</v>
      </c>
      <c r="CV15" s="1">
        <v>2000</v>
      </c>
      <c r="CW15" s="1">
        <v>2000</v>
      </c>
      <c r="CX15" s="1">
        <v>118699.99</v>
      </c>
      <c r="CY15" s="1">
        <v>1</v>
      </c>
      <c r="CZ15" s="1">
        <v>0</v>
      </c>
      <c r="DA15" s="1">
        <v>90</v>
      </c>
      <c r="DB15" s="1">
        <v>60003760</v>
      </c>
      <c r="DC15" s="1">
        <v>32767</v>
      </c>
      <c r="DD15" s="1">
        <v>8</v>
      </c>
      <c r="DF15" s="1">
        <v>2412252246</v>
      </c>
      <c r="DG15" s="1">
        <v>17887</v>
      </c>
      <c r="DH15" s="1">
        <v>939585</v>
      </c>
      <c r="DI15" s="1">
        <v>889585</v>
      </c>
      <c r="DJ15" s="1">
        <v>988.7</v>
      </c>
      <c r="DK15" s="1">
        <v>1</v>
      </c>
      <c r="DL15" s="1">
        <v>0</v>
      </c>
      <c r="DM15" s="1">
        <v>90</v>
      </c>
      <c r="DN15" s="1">
        <v>60003760</v>
      </c>
      <c r="DO15" s="1">
        <v>32767</v>
      </c>
      <c r="DP15" s="1">
        <v>0</v>
      </c>
      <c r="DR15" s="1">
        <v>2764766079</v>
      </c>
      <c r="DS15" s="1">
        <v>17888</v>
      </c>
      <c r="DT15" s="1">
        <v>7511</v>
      </c>
      <c r="DU15" s="1">
        <v>7511</v>
      </c>
      <c r="DV15" s="1">
        <v>426</v>
      </c>
      <c r="DW15" s="1">
        <v>1</v>
      </c>
      <c r="DX15" s="1">
        <v>0</v>
      </c>
      <c r="DY15" s="1">
        <v>90</v>
      </c>
      <c r="DZ15" s="1">
        <v>60000292</v>
      </c>
      <c r="EA15" s="1">
        <v>32767</v>
      </c>
      <c r="EB15" s="1">
        <v>7</v>
      </c>
      <c r="ED15" s="1">
        <v>2764582495</v>
      </c>
      <c r="EE15" s="1">
        <v>16273</v>
      </c>
      <c r="EF15" s="1">
        <v>525942</v>
      </c>
      <c r="EG15" s="1">
        <v>401180</v>
      </c>
      <c r="EH15" s="1">
        <v>399.37</v>
      </c>
      <c r="EI15" s="1">
        <v>1</v>
      </c>
      <c r="EJ15" s="1">
        <v>0</v>
      </c>
      <c r="EK15" s="1">
        <v>90</v>
      </c>
      <c r="EL15" s="1">
        <v>60003760</v>
      </c>
      <c r="EM15" s="1">
        <v>32767</v>
      </c>
      <c r="EN15" s="1">
        <v>6</v>
      </c>
      <c r="EP15" s="1">
        <v>2785103137</v>
      </c>
      <c r="EQ15" s="1">
        <v>17889</v>
      </c>
      <c r="ER15" s="1">
        <v>180861</v>
      </c>
      <c r="ES15" s="1">
        <v>180861</v>
      </c>
      <c r="ET15" s="1">
        <v>419.98</v>
      </c>
      <c r="EU15" s="1">
        <v>1</v>
      </c>
      <c r="EV15" s="1">
        <v>0</v>
      </c>
      <c r="EW15" s="1">
        <v>90</v>
      </c>
      <c r="EX15" s="1">
        <v>60003760</v>
      </c>
      <c r="EY15" s="1">
        <v>32767</v>
      </c>
      <c r="EZ15" s="1">
        <v>7</v>
      </c>
      <c r="FB15" s="1">
        <v>2872025748</v>
      </c>
      <c r="FC15" s="1">
        <v>30259</v>
      </c>
      <c r="FD15" s="1">
        <v>36</v>
      </c>
      <c r="FE15" s="1">
        <v>36</v>
      </c>
      <c r="FF15" s="1">
        <v>6183863.4900000002</v>
      </c>
      <c r="FG15" s="1">
        <v>1</v>
      </c>
      <c r="FH15" s="1">
        <v>0</v>
      </c>
      <c r="FI15" s="1">
        <v>90</v>
      </c>
      <c r="FJ15" s="1">
        <v>60003760</v>
      </c>
      <c r="FK15" s="1">
        <v>32767</v>
      </c>
      <c r="FL15" s="1">
        <v>0</v>
      </c>
      <c r="FN15" s="1">
        <v>2842077835</v>
      </c>
      <c r="FO15" s="1">
        <v>25617</v>
      </c>
      <c r="FP15" s="1">
        <v>13</v>
      </c>
      <c r="FQ15" s="1">
        <v>13</v>
      </c>
      <c r="FR15" s="1">
        <v>5400000</v>
      </c>
      <c r="FS15" s="1">
        <v>1</v>
      </c>
      <c r="FT15" s="1">
        <v>0</v>
      </c>
      <c r="FU15" s="1">
        <v>90</v>
      </c>
      <c r="FV15" s="1">
        <v>60003760</v>
      </c>
      <c r="FW15" s="1">
        <v>32767</v>
      </c>
      <c r="FX15" s="1">
        <v>0</v>
      </c>
      <c r="FZ15" s="1">
        <v>2858204819</v>
      </c>
      <c r="GA15" s="1">
        <v>44</v>
      </c>
      <c r="GB15" s="1">
        <v>1980</v>
      </c>
      <c r="GC15" s="1">
        <v>1980</v>
      </c>
      <c r="GD15" s="1">
        <v>14334.89</v>
      </c>
      <c r="GE15" s="1">
        <v>1</v>
      </c>
      <c r="GF15" s="1">
        <v>0</v>
      </c>
      <c r="GG15" s="1">
        <v>90</v>
      </c>
      <c r="GH15" s="1">
        <v>60003760</v>
      </c>
      <c r="GI15" s="1">
        <v>32767</v>
      </c>
      <c r="GJ15" s="1">
        <v>4</v>
      </c>
      <c r="GL15" s="1">
        <v>2411896226</v>
      </c>
      <c r="GM15" s="1">
        <v>16681</v>
      </c>
      <c r="GN15" s="1">
        <v>200000</v>
      </c>
      <c r="GO15" s="1">
        <v>51089</v>
      </c>
      <c r="GP15" s="1">
        <v>6395.92</v>
      </c>
      <c r="GQ15" s="1">
        <v>1</v>
      </c>
      <c r="GR15" s="1">
        <v>0</v>
      </c>
      <c r="GS15" s="1">
        <v>90</v>
      </c>
      <c r="GT15" s="1">
        <v>60003760</v>
      </c>
      <c r="GU15" s="1">
        <v>32767</v>
      </c>
      <c r="GV15" s="1">
        <v>0</v>
      </c>
      <c r="GX15" s="1">
        <v>2847240784</v>
      </c>
      <c r="GY15" s="1">
        <v>16683</v>
      </c>
      <c r="GZ15" s="1">
        <v>20000</v>
      </c>
      <c r="HA15" s="1">
        <v>20000</v>
      </c>
      <c r="HB15" s="1">
        <v>9197.9599999999991</v>
      </c>
      <c r="HC15" s="1">
        <v>1</v>
      </c>
      <c r="HD15" s="1">
        <v>0</v>
      </c>
      <c r="HE15" s="1">
        <v>30</v>
      </c>
      <c r="HF15" s="1">
        <v>60003760</v>
      </c>
      <c r="HG15" s="1">
        <v>32767</v>
      </c>
      <c r="HH15" s="1">
        <v>0</v>
      </c>
      <c r="HJ15" s="1">
        <v>2838839815</v>
      </c>
      <c r="HK15" s="1">
        <v>11724</v>
      </c>
      <c r="HL15" s="1">
        <v>33</v>
      </c>
      <c r="HM15" s="1">
        <v>23</v>
      </c>
      <c r="HN15" s="1">
        <v>41994.6</v>
      </c>
      <c r="HO15" s="1">
        <v>1</v>
      </c>
      <c r="HP15" s="1">
        <v>0</v>
      </c>
      <c r="HQ15" s="1">
        <v>90</v>
      </c>
      <c r="HR15" s="1">
        <v>60003760</v>
      </c>
      <c r="HS15" s="1">
        <v>32767</v>
      </c>
      <c r="HT15" s="1">
        <v>0</v>
      </c>
      <c r="HV15" s="1">
        <v>2812120060</v>
      </c>
      <c r="HW15" s="1">
        <v>16274</v>
      </c>
      <c r="HX15" s="1">
        <v>120000</v>
      </c>
      <c r="HY15" s="1">
        <v>120000</v>
      </c>
      <c r="HZ15" s="1">
        <v>380.86</v>
      </c>
      <c r="IA15" s="1">
        <v>1</v>
      </c>
      <c r="IB15" s="1">
        <v>0</v>
      </c>
      <c r="IC15" s="1">
        <v>90</v>
      </c>
      <c r="ID15" s="1">
        <v>60003760</v>
      </c>
      <c r="IE15" s="1">
        <v>32767</v>
      </c>
      <c r="IF15" s="1">
        <v>2</v>
      </c>
      <c r="IH15" s="1">
        <v>2876168650</v>
      </c>
      <c r="II15" s="1">
        <v>10213</v>
      </c>
      <c r="IJ15" s="1">
        <v>1</v>
      </c>
      <c r="IK15" s="1">
        <v>1</v>
      </c>
      <c r="IL15" s="1">
        <v>121000000</v>
      </c>
      <c r="IM15" s="1">
        <v>1</v>
      </c>
      <c r="IN15" s="1">
        <v>0</v>
      </c>
      <c r="IO15" s="1">
        <v>90</v>
      </c>
      <c r="IP15" s="1">
        <v>60003760</v>
      </c>
      <c r="IQ15" s="1">
        <v>32767</v>
      </c>
      <c r="IR15" s="1">
        <v>0</v>
      </c>
      <c r="IT15" s="1">
        <v>2812573264</v>
      </c>
      <c r="IU15" s="1">
        <v>16679</v>
      </c>
      <c r="IV15" s="1">
        <v>327696</v>
      </c>
      <c r="IW15" s="1">
        <v>283696</v>
      </c>
      <c r="IX15" s="1">
        <v>1833.01</v>
      </c>
      <c r="IY15" s="1">
        <v>1</v>
      </c>
      <c r="IZ15" s="1">
        <v>0</v>
      </c>
      <c r="JA15" s="1">
        <v>90</v>
      </c>
      <c r="JB15" s="1">
        <v>60003760</v>
      </c>
      <c r="JC15" s="1">
        <v>32767</v>
      </c>
      <c r="JD15" s="1">
        <v>0</v>
      </c>
      <c r="JF15" s="1">
        <v>2774136472</v>
      </c>
      <c r="JG15" s="1">
        <v>16272</v>
      </c>
      <c r="JH15" s="1">
        <v>5000000</v>
      </c>
      <c r="JI15" s="1">
        <v>5000000</v>
      </c>
      <c r="JJ15" s="1">
        <v>90</v>
      </c>
      <c r="JK15" s="1">
        <v>1</v>
      </c>
      <c r="JL15" s="1">
        <v>0</v>
      </c>
      <c r="JM15" s="1">
        <v>90</v>
      </c>
      <c r="JN15" s="1">
        <v>60003760</v>
      </c>
      <c r="JO15" s="1">
        <v>32767</v>
      </c>
      <c r="JP15" s="1">
        <v>6</v>
      </c>
      <c r="JR15" s="1">
        <v>2875360636</v>
      </c>
      <c r="JS15" s="1">
        <v>10226</v>
      </c>
      <c r="JT15" s="1">
        <v>3</v>
      </c>
      <c r="JU15" s="1">
        <v>3</v>
      </c>
      <c r="JV15" s="1">
        <v>119000000</v>
      </c>
      <c r="JW15" s="1">
        <v>1</v>
      </c>
      <c r="JX15" s="1">
        <v>0</v>
      </c>
      <c r="JY15" s="1">
        <v>90</v>
      </c>
      <c r="JZ15" s="1">
        <v>60003760</v>
      </c>
      <c r="KA15" s="1">
        <v>32767</v>
      </c>
      <c r="KB15" s="1">
        <v>1</v>
      </c>
      <c r="KD15" s="1">
        <v>2772650509</v>
      </c>
      <c r="KE15" s="1">
        <v>25605</v>
      </c>
      <c r="KF15" s="1">
        <v>12</v>
      </c>
      <c r="KG15" s="1">
        <v>12</v>
      </c>
      <c r="KH15" s="1">
        <v>130000</v>
      </c>
      <c r="KI15" s="1">
        <v>1</v>
      </c>
      <c r="KJ15" s="1">
        <v>0</v>
      </c>
      <c r="KK15" s="1">
        <v>90</v>
      </c>
      <c r="KL15" s="1">
        <v>60003760</v>
      </c>
      <c r="KM15" s="1">
        <v>32767</v>
      </c>
      <c r="KN15" s="1">
        <v>6</v>
      </c>
      <c r="KP15" s="1">
        <v>2825969676</v>
      </c>
      <c r="KQ15" s="1">
        <v>25624</v>
      </c>
      <c r="KR15" s="1">
        <v>188</v>
      </c>
      <c r="KS15" s="1">
        <v>5</v>
      </c>
      <c r="KT15" s="1">
        <v>19630006.030000001</v>
      </c>
      <c r="KU15" s="1">
        <v>1</v>
      </c>
      <c r="KV15" s="1">
        <v>0</v>
      </c>
      <c r="KW15" s="1">
        <v>90</v>
      </c>
      <c r="KX15" s="1">
        <v>60003760</v>
      </c>
      <c r="KY15" s="1">
        <v>32767</v>
      </c>
      <c r="KZ15" s="1">
        <v>1</v>
      </c>
      <c r="LB15" s="1">
        <v>2768915749</v>
      </c>
      <c r="LC15" s="1">
        <v>9832</v>
      </c>
      <c r="LD15" s="1">
        <v>51013</v>
      </c>
      <c r="LE15" s="1">
        <v>21550</v>
      </c>
      <c r="LF15" s="1">
        <v>9999.91</v>
      </c>
      <c r="LG15" s="1">
        <v>1</v>
      </c>
      <c r="LH15" s="1">
        <v>0</v>
      </c>
      <c r="LI15" s="1">
        <v>90</v>
      </c>
      <c r="LJ15" s="1">
        <v>60003760</v>
      </c>
      <c r="LK15" s="1">
        <v>32767</v>
      </c>
      <c r="LL15" s="1">
        <v>0</v>
      </c>
      <c r="LN15" s="1">
        <v>2869634254</v>
      </c>
      <c r="LO15" s="1">
        <v>10209</v>
      </c>
      <c r="LP15" s="1">
        <v>26</v>
      </c>
      <c r="LQ15" s="1">
        <v>17</v>
      </c>
      <c r="LR15" s="1">
        <v>122300000</v>
      </c>
      <c r="LS15" s="1">
        <v>1</v>
      </c>
      <c r="LT15" s="1">
        <v>0</v>
      </c>
      <c r="LU15" s="1">
        <v>7</v>
      </c>
      <c r="LV15" s="1">
        <v>60003760</v>
      </c>
      <c r="LW15" s="1">
        <v>32767</v>
      </c>
      <c r="LX15" s="1">
        <v>1</v>
      </c>
      <c r="LZ15" s="1">
        <v>2876786551</v>
      </c>
      <c r="MA15" s="1">
        <v>10217</v>
      </c>
      <c r="MB15" s="1">
        <v>7</v>
      </c>
      <c r="MC15" s="1">
        <v>4</v>
      </c>
      <c r="MD15" s="1">
        <v>122100000.09</v>
      </c>
      <c r="ME15" s="1">
        <v>1</v>
      </c>
      <c r="MF15" s="1">
        <v>0</v>
      </c>
      <c r="MG15" s="1">
        <v>14</v>
      </c>
      <c r="MH15" s="1">
        <v>60003760</v>
      </c>
      <c r="MI15" s="1">
        <v>32767</v>
      </c>
      <c r="MJ15" s="1">
        <v>0</v>
      </c>
      <c r="ML15" s="1">
        <v>2859721063</v>
      </c>
      <c r="MM15" s="1">
        <v>25625</v>
      </c>
      <c r="MN15" s="1">
        <v>26</v>
      </c>
      <c r="MO15" s="1">
        <v>13</v>
      </c>
      <c r="MP15" s="1">
        <v>4999996.7699999996</v>
      </c>
      <c r="MQ15" s="1">
        <v>1</v>
      </c>
      <c r="MR15" s="1">
        <v>0</v>
      </c>
      <c r="MS15" s="1">
        <v>90</v>
      </c>
      <c r="MT15" s="1">
        <v>60003760</v>
      </c>
      <c r="MU15" s="1">
        <v>32767</v>
      </c>
      <c r="MV15" s="1">
        <v>0</v>
      </c>
      <c r="MX15" s="1">
        <v>2863190234</v>
      </c>
      <c r="MY15" s="1">
        <v>16672</v>
      </c>
      <c r="MZ15" s="1">
        <v>5088186</v>
      </c>
      <c r="NA15" s="1">
        <v>4702186</v>
      </c>
      <c r="NB15" s="1">
        <v>139.16999999999999</v>
      </c>
      <c r="NC15" s="1">
        <v>1</v>
      </c>
      <c r="ND15" s="1">
        <v>0</v>
      </c>
      <c r="NE15" s="1">
        <v>14</v>
      </c>
      <c r="NF15" s="1">
        <v>60003760</v>
      </c>
      <c r="NG15" s="1">
        <v>32767</v>
      </c>
      <c r="NH15" s="1">
        <v>0</v>
      </c>
      <c r="NJ15" s="1">
        <v>2772914272</v>
      </c>
      <c r="NK15" s="1">
        <v>16673</v>
      </c>
      <c r="NL15" s="1">
        <v>1500000</v>
      </c>
      <c r="NM15" s="1">
        <v>1500000</v>
      </c>
      <c r="NN15" s="1">
        <v>134.1</v>
      </c>
      <c r="NO15" s="1">
        <v>1</v>
      </c>
      <c r="NP15" s="1">
        <v>0</v>
      </c>
      <c r="NQ15" s="1">
        <v>90</v>
      </c>
      <c r="NR15" s="1">
        <v>60003760</v>
      </c>
      <c r="NS15" s="1">
        <v>32767</v>
      </c>
      <c r="NT15" s="1">
        <v>6</v>
      </c>
      <c r="NV15" s="1">
        <v>2836195557</v>
      </c>
      <c r="NW15" s="1">
        <v>3689</v>
      </c>
      <c r="NX15" s="1">
        <v>3314</v>
      </c>
      <c r="NY15" s="1">
        <v>3314</v>
      </c>
      <c r="NZ15" s="1">
        <v>12800</v>
      </c>
      <c r="OA15" s="1">
        <v>1</v>
      </c>
      <c r="OB15" s="1">
        <v>0</v>
      </c>
      <c r="OC15" s="1">
        <v>30</v>
      </c>
      <c r="OD15" s="1">
        <v>60003760</v>
      </c>
      <c r="OE15" s="1">
        <v>32767</v>
      </c>
      <c r="OF15" s="1">
        <v>0</v>
      </c>
      <c r="OH15" s="1">
        <v>2874011346</v>
      </c>
      <c r="OI15" s="1">
        <v>25598</v>
      </c>
      <c r="OJ15" s="1">
        <v>3</v>
      </c>
      <c r="OK15" s="1">
        <v>3</v>
      </c>
      <c r="OL15" s="1">
        <v>138000</v>
      </c>
      <c r="OM15" s="1">
        <v>1</v>
      </c>
      <c r="ON15" s="1">
        <v>0</v>
      </c>
      <c r="OO15" s="1">
        <v>14</v>
      </c>
      <c r="OP15" s="1">
        <v>60004231</v>
      </c>
      <c r="OQ15" s="1">
        <v>32767</v>
      </c>
      <c r="OR15" s="1">
        <v>4</v>
      </c>
      <c r="OT15" s="1">
        <v>2835036731</v>
      </c>
      <c r="OU15" s="1">
        <v>25600</v>
      </c>
      <c r="OV15" s="1">
        <v>46</v>
      </c>
      <c r="OW15" s="1">
        <v>46</v>
      </c>
      <c r="OX15" s="1">
        <v>31000</v>
      </c>
      <c r="OY15" s="1">
        <v>1</v>
      </c>
      <c r="OZ15" s="1">
        <v>0</v>
      </c>
      <c r="PA15" s="1">
        <v>90</v>
      </c>
      <c r="PB15" s="1">
        <v>60003337</v>
      </c>
      <c r="PC15" s="1">
        <v>32767</v>
      </c>
      <c r="PD15" s="1">
        <v>2</v>
      </c>
      <c r="PF15" s="1">
        <v>2791523612</v>
      </c>
      <c r="PG15" s="1">
        <v>16670</v>
      </c>
      <c r="PH15" s="1">
        <v>167601</v>
      </c>
      <c r="PI15" s="1">
        <v>167601</v>
      </c>
      <c r="PJ15" s="1">
        <v>143.82</v>
      </c>
      <c r="PK15" s="1">
        <v>1</v>
      </c>
      <c r="PL15" s="1">
        <v>0</v>
      </c>
      <c r="PM15" s="1">
        <v>90</v>
      </c>
      <c r="PN15" s="1">
        <v>60003760</v>
      </c>
      <c r="PO15" s="1">
        <v>32767</v>
      </c>
      <c r="PP15" s="1">
        <v>7</v>
      </c>
      <c r="PR15" s="1">
        <v>2875351260</v>
      </c>
      <c r="PS15" s="1">
        <v>10222</v>
      </c>
      <c r="PT15" s="1">
        <v>3</v>
      </c>
      <c r="PU15" s="1">
        <v>3</v>
      </c>
      <c r="PV15" s="1">
        <v>119000000</v>
      </c>
      <c r="PW15" s="1">
        <v>1</v>
      </c>
      <c r="PX15" s="1">
        <v>0</v>
      </c>
      <c r="PY15" s="1">
        <v>90</v>
      </c>
      <c r="PZ15" s="1">
        <v>60003760</v>
      </c>
      <c r="QA15" s="1">
        <v>32767</v>
      </c>
      <c r="QB15" s="1">
        <v>0</v>
      </c>
      <c r="QD15" s="1">
        <v>2796324422</v>
      </c>
      <c r="QE15" s="1">
        <v>9830</v>
      </c>
      <c r="QF15" s="1">
        <v>10000</v>
      </c>
      <c r="QG15" s="1">
        <v>10000</v>
      </c>
      <c r="QH15" s="1">
        <v>8791.49</v>
      </c>
      <c r="QI15" s="1">
        <v>1</v>
      </c>
      <c r="QJ15" s="1">
        <v>0</v>
      </c>
      <c r="QK15" s="1">
        <v>90</v>
      </c>
      <c r="QL15" s="1">
        <v>60003760</v>
      </c>
      <c r="QM15" s="1">
        <v>32767</v>
      </c>
      <c r="QN15" s="1">
        <v>0</v>
      </c>
      <c r="QP15" s="1">
        <v>2848904052</v>
      </c>
      <c r="QQ15" s="1">
        <v>16671</v>
      </c>
      <c r="QR15" s="1">
        <v>8000000</v>
      </c>
      <c r="QS15" s="1">
        <v>8000000</v>
      </c>
      <c r="QT15" s="1">
        <v>116.55</v>
      </c>
      <c r="QU15" s="1">
        <v>1</v>
      </c>
      <c r="QV15" s="1">
        <v>0</v>
      </c>
      <c r="QW15" s="1">
        <v>30</v>
      </c>
      <c r="QX15" s="1">
        <v>60003760</v>
      </c>
      <c r="QY15" s="1">
        <v>32767</v>
      </c>
      <c r="QZ15" s="1">
        <v>7</v>
      </c>
      <c r="RB15" s="1">
        <v>2862094979</v>
      </c>
      <c r="RC15" s="1">
        <v>16682</v>
      </c>
      <c r="RD15" s="1">
        <v>100000</v>
      </c>
      <c r="RE15" s="1">
        <v>100000</v>
      </c>
      <c r="RF15" s="1">
        <v>3489</v>
      </c>
      <c r="RG15" s="1">
        <v>1</v>
      </c>
      <c r="RH15" s="1">
        <v>0</v>
      </c>
      <c r="RI15" s="1">
        <v>90</v>
      </c>
      <c r="RJ15" s="1">
        <v>60003760</v>
      </c>
      <c r="RK15" s="1">
        <v>32767</v>
      </c>
      <c r="RL15" s="1">
        <v>8</v>
      </c>
      <c r="RN15" s="1">
        <v>2864930539</v>
      </c>
      <c r="RO15" s="1">
        <v>16678</v>
      </c>
      <c r="RP15" s="1">
        <v>4170000</v>
      </c>
      <c r="RQ15" s="1">
        <v>2163600</v>
      </c>
      <c r="RR15" s="1">
        <v>309.7</v>
      </c>
      <c r="RS15" s="1">
        <v>1</v>
      </c>
      <c r="RT15" s="1">
        <v>0</v>
      </c>
      <c r="RU15" s="1">
        <v>90</v>
      </c>
      <c r="RV15" s="1">
        <v>60003760</v>
      </c>
      <c r="RW15" s="1">
        <v>32767</v>
      </c>
      <c r="RX15" s="1">
        <v>6</v>
      </c>
      <c r="RZ15" s="1">
        <v>2532072193</v>
      </c>
      <c r="SA15" s="1">
        <v>30310</v>
      </c>
      <c r="SB15" s="1">
        <v>1246</v>
      </c>
      <c r="SC15" s="1">
        <v>1018</v>
      </c>
      <c r="SD15" s="1">
        <v>2260875.9</v>
      </c>
      <c r="SE15" s="1">
        <v>1</v>
      </c>
      <c r="SF15" s="1">
        <v>0</v>
      </c>
      <c r="SG15" s="1">
        <v>90</v>
      </c>
      <c r="SH15" s="1">
        <v>60003760</v>
      </c>
      <c r="SI15" s="1">
        <v>32767</v>
      </c>
      <c r="SJ15" s="1">
        <v>0</v>
      </c>
      <c r="SL15" s="1">
        <v>2838500805</v>
      </c>
      <c r="SM15" s="1">
        <v>30311</v>
      </c>
      <c r="SN15" s="1">
        <v>236</v>
      </c>
      <c r="SO15" s="1">
        <v>236</v>
      </c>
      <c r="SP15" s="1">
        <v>3399999.94</v>
      </c>
      <c r="SQ15" s="1">
        <v>1</v>
      </c>
      <c r="SR15" s="1">
        <v>0</v>
      </c>
      <c r="SS15" s="1">
        <v>90</v>
      </c>
      <c r="ST15" s="1">
        <v>60003760</v>
      </c>
      <c r="SU15" s="1">
        <v>32767</v>
      </c>
      <c r="SV15" s="1">
        <v>0</v>
      </c>
      <c r="SX15" s="1">
        <v>2816992999</v>
      </c>
      <c r="SY15" s="1">
        <v>25595</v>
      </c>
      <c r="SZ15" s="1">
        <v>2181</v>
      </c>
      <c r="TA15" s="1">
        <v>2181</v>
      </c>
      <c r="TB15" s="1">
        <v>95997.99</v>
      </c>
      <c r="TC15" s="1">
        <v>1</v>
      </c>
      <c r="TD15" s="1">
        <v>0</v>
      </c>
      <c r="TE15" s="1">
        <v>90</v>
      </c>
      <c r="TF15" s="1">
        <v>60003760</v>
      </c>
      <c r="TG15" s="1">
        <v>32767</v>
      </c>
      <c r="TH15" s="1">
        <v>6</v>
      </c>
      <c r="TJ15" s="1">
        <v>2837803088</v>
      </c>
      <c r="TK15" s="1">
        <v>25606</v>
      </c>
      <c r="TL15" s="1">
        <v>2</v>
      </c>
      <c r="TM15" s="1">
        <v>2</v>
      </c>
      <c r="TN15" s="1">
        <v>40505.01</v>
      </c>
      <c r="TO15" s="1">
        <v>1</v>
      </c>
      <c r="TP15" s="1">
        <v>0</v>
      </c>
      <c r="TQ15" s="1">
        <v>90</v>
      </c>
      <c r="TR15" s="1">
        <v>60003757</v>
      </c>
      <c r="TS15" s="1">
        <v>32767</v>
      </c>
      <c r="TT15" s="1">
        <v>0</v>
      </c>
      <c r="TV15" s="1">
        <v>2850731422</v>
      </c>
      <c r="TW15" s="1">
        <v>25622</v>
      </c>
      <c r="TX15" s="1">
        <v>2</v>
      </c>
      <c r="TY15" s="1">
        <v>2</v>
      </c>
      <c r="TZ15" s="1">
        <v>15748999.98</v>
      </c>
      <c r="UA15" s="1">
        <v>1</v>
      </c>
      <c r="UB15" s="1">
        <v>0</v>
      </c>
      <c r="UC15" s="1">
        <v>90</v>
      </c>
      <c r="UD15" s="1">
        <v>60003760</v>
      </c>
      <c r="UE15" s="1">
        <v>32767</v>
      </c>
      <c r="UF15" s="1">
        <v>0</v>
      </c>
      <c r="UH15" s="1">
        <v>2863486960</v>
      </c>
      <c r="UI15" s="1">
        <v>16680</v>
      </c>
      <c r="UJ15" s="1">
        <v>326036</v>
      </c>
      <c r="UK15" s="1">
        <v>79203</v>
      </c>
      <c r="UL15" s="1">
        <v>743.94</v>
      </c>
      <c r="UM15" s="1">
        <v>1</v>
      </c>
      <c r="UN15" s="1">
        <v>0</v>
      </c>
      <c r="UO15" s="1">
        <v>30</v>
      </c>
      <c r="UP15" s="1">
        <v>60003760</v>
      </c>
      <c r="UQ15" s="1">
        <v>32767</v>
      </c>
      <c r="UR15" s="1">
        <v>6</v>
      </c>
      <c r="UT15" s="1">
        <v>2877996674</v>
      </c>
      <c r="UU15" s="1">
        <v>17317</v>
      </c>
      <c r="UV15" s="1">
        <v>30000</v>
      </c>
      <c r="UW15" s="1">
        <v>10808</v>
      </c>
      <c r="UX15" s="1">
        <v>28989.97</v>
      </c>
      <c r="UY15" s="1">
        <v>1</v>
      </c>
      <c r="UZ15" s="1">
        <v>0</v>
      </c>
      <c r="VA15" s="1">
        <v>90</v>
      </c>
      <c r="VB15" s="1">
        <v>60003760</v>
      </c>
      <c r="VC15" s="1">
        <v>32767</v>
      </c>
      <c r="VD15" s="1">
        <v>0</v>
      </c>
      <c r="VF15" s="1">
        <v>2812851324</v>
      </c>
      <c r="VG15" s="1">
        <v>11725</v>
      </c>
      <c r="VH15" s="1">
        <v>25000</v>
      </c>
      <c r="VI15" s="1">
        <v>24794</v>
      </c>
      <c r="VJ15" s="1">
        <v>50555</v>
      </c>
      <c r="VK15" s="1">
        <v>1</v>
      </c>
      <c r="VL15" s="1">
        <v>1</v>
      </c>
      <c r="VM15" s="1">
        <v>90</v>
      </c>
      <c r="VN15" s="1">
        <v>60003760</v>
      </c>
      <c r="VO15" s="1">
        <v>-1</v>
      </c>
      <c r="VP15" s="1">
        <v>0</v>
      </c>
    </row>
    <row r="16" spans="1:588" x14ac:dyDescent="0.25">
      <c r="B16" s="1">
        <v>2873202034</v>
      </c>
      <c r="C16" s="1">
        <v>34</v>
      </c>
      <c r="D16" s="1">
        <v>12568802</v>
      </c>
      <c r="E16" s="1">
        <v>12568801</v>
      </c>
      <c r="F16" s="1">
        <v>5.65</v>
      </c>
      <c r="G16" s="1">
        <v>1</v>
      </c>
      <c r="H16" s="1">
        <v>0</v>
      </c>
      <c r="I16" s="1">
        <v>7</v>
      </c>
      <c r="J16" s="1">
        <v>60003064</v>
      </c>
      <c r="K16" s="1">
        <v>32767</v>
      </c>
      <c r="L16" s="1">
        <v>3</v>
      </c>
      <c r="N16" s="1">
        <v>2871863860</v>
      </c>
      <c r="O16" s="1">
        <v>35</v>
      </c>
      <c r="P16" s="1">
        <v>14843</v>
      </c>
      <c r="Q16" s="1">
        <v>7912</v>
      </c>
      <c r="R16" s="1">
        <v>14.75</v>
      </c>
      <c r="S16" s="1">
        <v>1</v>
      </c>
      <c r="T16" s="1">
        <v>0</v>
      </c>
      <c r="U16" s="1">
        <v>90</v>
      </c>
      <c r="V16" s="1">
        <v>60000286</v>
      </c>
      <c r="W16" s="1">
        <v>32767</v>
      </c>
      <c r="X16" s="1">
        <v>3</v>
      </c>
      <c r="Z16" s="1">
        <v>2874792233</v>
      </c>
      <c r="AA16" s="1">
        <v>36</v>
      </c>
      <c r="AB16" s="1">
        <v>1197</v>
      </c>
      <c r="AC16" s="1">
        <v>1154</v>
      </c>
      <c r="AD16" s="16">
        <v>47</v>
      </c>
      <c r="AE16" s="1">
        <v>1</v>
      </c>
      <c r="AF16" s="1">
        <v>0</v>
      </c>
      <c r="AG16" s="1">
        <v>90</v>
      </c>
      <c r="AH16" s="1">
        <v>60005458</v>
      </c>
      <c r="AI16" s="1">
        <v>32767</v>
      </c>
      <c r="AJ16" s="1">
        <v>10</v>
      </c>
      <c r="AL16" s="1">
        <v>2757968010</v>
      </c>
      <c r="AM16" s="1">
        <v>37</v>
      </c>
      <c r="AN16" s="1">
        <v>325738</v>
      </c>
      <c r="AO16" s="1">
        <v>325738</v>
      </c>
      <c r="AP16" s="16">
        <v>165</v>
      </c>
      <c r="AQ16" s="1">
        <v>1</v>
      </c>
      <c r="AR16" s="1">
        <v>0</v>
      </c>
      <c r="AS16" s="1">
        <v>90</v>
      </c>
      <c r="AT16" s="1">
        <v>60003760</v>
      </c>
      <c r="AU16" s="1">
        <v>32767</v>
      </c>
      <c r="AV16" s="1">
        <v>9</v>
      </c>
      <c r="AX16" s="1">
        <v>2832644341</v>
      </c>
      <c r="AY16" s="1">
        <v>38</v>
      </c>
      <c r="AZ16" s="1">
        <v>9021</v>
      </c>
      <c r="BA16" s="1">
        <v>9021</v>
      </c>
      <c r="BB16" s="1">
        <v>828.99</v>
      </c>
      <c r="BC16" s="1">
        <v>1</v>
      </c>
      <c r="BD16" s="1">
        <v>0</v>
      </c>
      <c r="BE16" s="1">
        <v>90</v>
      </c>
      <c r="BF16" s="1">
        <v>60003760</v>
      </c>
      <c r="BG16" s="1">
        <v>32767</v>
      </c>
      <c r="BH16" s="1">
        <v>5</v>
      </c>
      <c r="BJ16" s="1">
        <v>2836265453</v>
      </c>
      <c r="BK16" s="1">
        <v>39</v>
      </c>
      <c r="BL16" s="1">
        <v>670000</v>
      </c>
      <c r="BM16" s="1">
        <v>670000</v>
      </c>
      <c r="BN16" s="1">
        <v>854.92</v>
      </c>
      <c r="BO16" s="1">
        <v>1</v>
      </c>
      <c r="BP16" s="1">
        <v>0</v>
      </c>
      <c r="BQ16" s="1">
        <v>90</v>
      </c>
      <c r="BR16" s="1">
        <v>60003760</v>
      </c>
      <c r="BS16" s="1">
        <v>32767</v>
      </c>
      <c r="BT16" s="1">
        <v>5</v>
      </c>
      <c r="BV16" s="1">
        <v>2376426875</v>
      </c>
      <c r="BW16" s="1">
        <v>40</v>
      </c>
      <c r="BX16" s="1">
        <v>593</v>
      </c>
      <c r="BY16" s="1">
        <v>593</v>
      </c>
      <c r="BZ16" s="1">
        <v>2922.23</v>
      </c>
      <c r="CA16" s="1">
        <v>1</v>
      </c>
      <c r="CB16" s="1">
        <v>0</v>
      </c>
      <c r="CC16" s="1">
        <v>90</v>
      </c>
      <c r="CD16" s="1">
        <v>60003760</v>
      </c>
      <c r="CE16" s="1">
        <v>32767</v>
      </c>
      <c r="CF16" s="1">
        <v>13</v>
      </c>
      <c r="CH16" s="1">
        <v>2375034357</v>
      </c>
      <c r="CI16" s="1">
        <v>29668</v>
      </c>
      <c r="CJ16" s="1">
        <v>2</v>
      </c>
      <c r="CK16" s="1">
        <v>2</v>
      </c>
      <c r="CL16" s="1">
        <v>500000000</v>
      </c>
      <c r="CM16" s="1">
        <v>1</v>
      </c>
      <c r="CN16" s="1">
        <v>0</v>
      </c>
      <c r="CO16" s="1">
        <v>90</v>
      </c>
      <c r="CP16" s="1">
        <v>60003760</v>
      </c>
      <c r="CQ16" s="1">
        <v>32767</v>
      </c>
      <c r="CR16" s="1">
        <v>0</v>
      </c>
      <c r="CT16" s="1">
        <v>2380970938</v>
      </c>
      <c r="CU16" s="1">
        <v>16649</v>
      </c>
      <c r="CV16" s="1">
        <v>50000</v>
      </c>
      <c r="CW16" s="1">
        <v>13656</v>
      </c>
      <c r="CX16" s="1">
        <v>113997.94</v>
      </c>
      <c r="CY16" s="1">
        <v>1</v>
      </c>
      <c r="CZ16" s="1">
        <v>0</v>
      </c>
      <c r="DA16" s="1">
        <v>90</v>
      </c>
      <c r="DB16" s="1">
        <v>60003760</v>
      </c>
      <c r="DC16" s="1">
        <v>32767</v>
      </c>
      <c r="DD16" s="1">
        <v>8</v>
      </c>
      <c r="DF16" s="1">
        <v>2412244228</v>
      </c>
      <c r="DG16" s="1">
        <v>17887</v>
      </c>
      <c r="DH16" s="1">
        <v>692696</v>
      </c>
      <c r="DI16" s="1">
        <v>692696</v>
      </c>
      <c r="DJ16" s="1">
        <v>1115.3499999999999</v>
      </c>
      <c r="DK16" s="1">
        <v>1</v>
      </c>
      <c r="DL16" s="1">
        <v>0</v>
      </c>
      <c r="DM16" s="1">
        <v>90</v>
      </c>
      <c r="DN16" s="1">
        <v>60003760</v>
      </c>
      <c r="DO16" s="1">
        <v>32767</v>
      </c>
      <c r="DP16" s="1">
        <v>0</v>
      </c>
      <c r="DR16" s="1">
        <v>2766450751</v>
      </c>
      <c r="DS16" s="1">
        <v>17888</v>
      </c>
      <c r="DT16" s="1">
        <v>23112</v>
      </c>
      <c r="DU16" s="1">
        <v>23112</v>
      </c>
      <c r="DV16" s="1">
        <v>425</v>
      </c>
      <c r="DW16" s="1">
        <v>1</v>
      </c>
      <c r="DX16" s="1">
        <v>0</v>
      </c>
      <c r="DY16" s="1">
        <v>90</v>
      </c>
      <c r="DZ16" s="1">
        <v>60000292</v>
      </c>
      <c r="EA16" s="1">
        <v>32767</v>
      </c>
      <c r="EB16" s="1">
        <v>7</v>
      </c>
      <c r="ED16" s="1">
        <v>2763065032</v>
      </c>
      <c r="EE16" s="1">
        <v>16273</v>
      </c>
      <c r="EF16" s="1">
        <v>250000</v>
      </c>
      <c r="EG16" s="1">
        <v>250000</v>
      </c>
      <c r="EH16" s="1">
        <v>399.98</v>
      </c>
      <c r="EI16" s="1">
        <v>1</v>
      </c>
      <c r="EJ16" s="1">
        <v>0</v>
      </c>
      <c r="EK16" s="1">
        <v>90</v>
      </c>
      <c r="EL16" s="1">
        <v>60003760</v>
      </c>
      <c r="EM16" s="1">
        <v>32767</v>
      </c>
      <c r="EN16" s="1">
        <v>6</v>
      </c>
      <c r="EP16" s="1">
        <v>2784152524</v>
      </c>
      <c r="EQ16" s="1">
        <v>17889</v>
      </c>
      <c r="ER16" s="1">
        <v>5000000</v>
      </c>
      <c r="ES16" s="1">
        <v>5000000</v>
      </c>
      <c r="ET16" s="1">
        <v>599.99</v>
      </c>
      <c r="EU16" s="1">
        <v>1</v>
      </c>
      <c r="EV16" s="1">
        <v>0</v>
      </c>
      <c r="EW16" s="1">
        <v>90</v>
      </c>
      <c r="EX16" s="1">
        <v>60003760</v>
      </c>
      <c r="EY16" s="1">
        <v>32767</v>
      </c>
      <c r="EZ16" s="1">
        <v>7</v>
      </c>
      <c r="FB16" s="1">
        <v>2872351482</v>
      </c>
      <c r="FC16" s="1">
        <v>30259</v>
      </c>
      <c r="FD16" s="1">
        <v>110</v>
      </c>
      <c r="FE16" s="1">
        <v>110</v>
      </c>
      <c r="FF16" s="1">
        <v>5869999.5</v>
      </c>
      <c r="FG16" s="1">
        <v>1</v>
      </c>
      <c r="FH16" s="1">
        <v>0</v>
      </c>
      <c r="FI16" s="1">
        <v>90</v>
      </c>
      <c r="FJ16" s="1">
        <v>60003760</v>
      </c>
      <c r="FK16" s="1">
        <v>32767</v>
      </c>
      <c r="FL16" s="1">
        <v>0</v>
      </c>
      <c r="FN16" s="1">
        <v>2841064604</v>
      </c>
      <c r="FO16" s="1">
        <v>25617</v>
      </c>
      <c r="FP16" s="1">
        <v>300</v>
      </c>
      <c r="FQ16" s="1">
        <v>118</v>
      </c>
      <c r="FR16" s="1">
        <v>5099998</v>
      </c>
      <c r="FS16" s="1">
        <v>1</v>
      </c>
      <c r="FT16" s="1">
        <v>0</v>
      </c>
      <c r="FU16" s="1">
        <v>90</v>
      </c>
      <c r="FV16" s="1">
        <v>60003760</v>
      </c>
      <c r="FW16" s="1">
        <v>32767</v>
      </c>
      <c r="FX16" s="1">
        <v>0</v>
      </c>
      <c r="FZ16" s="1">
        <v>2858246954</v>
      </c>
      <c r="GA16" s="1">
        <v>44</v>
      </c>
      <c r="GB16" s="1">
        <v>20230</v>
      </c>
      <c r="GC16" s="1">
        <v>20230</v>
      </c>
      <c r="GD16" s="1">
        <v>13947.89</v>
      </c>
      <c r="GE16" s="1">
        <v>1</v>
      </c>
      <c r="GF16" s="1">
        <v>0</v>
      </c>
      <c r="GG16" s="1">
        <v>30</v>
      </c>
      <c r="GH16" s="1">
        <v>60003760</v>
      </c>
      <c r="GI16" s="1">
        <v>32767</v>
      </c>
      <c r="GJ16" s="1">
        <v>4</v>
      </c>
      <c r="GL16" s="1">
        <v>2411164890</v>
      </c>
      <c r="GM16" s="1">
        <v>16681</v>
      </c>
      <c r="GN16" s="1">
        <v>350000</v>
      </c>
      <c r="GO16" s="1">
        <v>350000</v>
      </c>
      <c r="GP16" s="1">
        <v>6600</v>
      </c>
      <c r="GQ16" s="1">
        <v>1</v>
      </c>
      <c r="GR16" s="1">
        <v>0</v>
      </c>
      <c r="GS16" s="1">
        <v>90</v>
      </c>
      <c r="GT16" s="1">
        <v>60003760</v>
      </c>
      <c r="GU16" s="1">
        <v>32767</v>
      </c>
      <c r="GV16" s="1">
        <v>0</v>
      </c>
      <c r="GX16" s="1">
        <v>2857964550</v>
      </c>
      <c r="GY16" s="1">
        <v>16683</v>
      </c>
      <c r="GZ16" s="1">
        <v>240000</v>
      </c>
      <c r="HA16" s="1">
        <v>240000</v>
      </c>
      <c r="HB16" s="1">
        <v>9100</v>
      </c>
      <c r="HC16" s="1">
        <v>1</v>
      </c>
      <c r="HD16" s="1">
        <v>0</v>
      </c>
      <c r="HE16" s="1">
        <v>7</v>
      </c>
      <c r="HF16" s="1">
        <v>60003760</v>
      </c>
      <c r="HG16" s="1">
        <v>32767</v>
      </c>
      <c r="HH16" s="1">
        <v>0</v>
      </c>
      <c r="HJ16" s="1">
        <v>2848781020</v>
      </c>
      <c r="HK16" s="1">
        <v>11724</v>
      </c>
      <c r="HL16" s="1">
        <v>1428</v>
      </c>
      <c r="HM16" s="1">
        <v>1428</v>
      </c>
      <c r="HN16" s="1">
        <v>41390</v>
      </c>
      <c r="HO16" s="1">
        <v>1</v>
      </c>
      <c r="HP16" s="1">
        <v>0</v>
      </c>
      <c r="HQ16" s="1">
        <v>90</v>
      </c>
      <c r="HR16" s="1">
        <v>60003760</v>
      </c>
      <c r="HS16" s="1">
        <v>32767</v>
      </c>
      <c r="HT16" s="1">
        <v>0</v>
      </c>
      <c r="HV16" s="1">
        <v>2812914846</v>
      </c>
      <c r="HW16" s="1">
        <v>16274</v>
      </c>
      <c r="HX16" s="1">
        <v>2359176</v>
      </c>
      <c r="HY16" s="1">
        <v>650010</v>
      </c>
      <c r="HZ16" s="1">
        <v>376.83</v>
      </c>
      <c r="IA16" s="1">
        <v>1</v>
      </c>
      <c r="IB16" s="1">
        <v>0</v>
      </c>
      <c r="IC16" s="1">
        <v>90</v>
      </c>
      <c r="ID16" s="1">
        <v>60003760</v>
      </c>
      <c r="IE16" s="1">
        <v>32767</v>
      </c>
      <c r="IF16" s="1">
        <v>2</v>
      </c>
      <c r="IH16" s="1">
        <v>2868320260</v>
      </c>
      <c r="II16" s="1">
        <v>10213</v>
      </c>
      <c r="IJ16" s="1">
        <v>59</v>
      </c>
      <c r="IK16" s="1">
        <v>24</v>
      </c>
      <c r="IL16" s="1">
        <v>119094000.02</v>
      </c>
      <c r="IM16" s="1">
        <v>1</v>
      </c>
      <c r="IN16" s="1">
        <v>0</v>
      </c>
      <c r="IO16" s="1">
        <v>90</v>
      </c>
      <c r="IP16" s="1">
        <v>60003760</v>
      </c>
      <c r="IQ16" s="1">
        <v>32767</v>
      </c>
      <c r="IR16" s="1">
        <v>0</v>
      </c>
      <c r="IT16" s="1">
        <v>2812729043</v>
      </c>
      <c r="IU16" s="1">
        <v>16679</v>
      </c>
      <c r="IV16" s="1">
        <v>1635000</v>
      </c>
      <c r="IW16" s="1">
        <v>1605000</v>
      </c>
      <c r="IX16" s="1">
        <v>1833.75</v>
      </c>
      <c r="IY16" s="1">
        <v>1</v>
      </c>
      <c r="IZ16" s="1">
        <v>0</v>
      </c>
      <c r="JA16" s="1">
        <v>90</v>
      </c>
      <c r="JB16" s="1">
        <v>60003760</v>
      </c>
      <c r="JC16" s="1">
        <v>32767</v>
      </c>
      <c r="JD16" s="1">
        <v>0</v>
      </c>
      <c r="JF16" s="1">
        <v>2775878914</v>
      </c>
      <c r="JG16" s="1">
        <v>16272</v>
      </c>
      <c r="JH16" s="1">
        <v>2000000</v>
      </c>
      <c r="JI16" s="1">
        <v>2000000</v>
      </c>
      <c r="JJ16" s="1">
        <v>90.87</v>
      </c>
      <c r="JK16" s="1">
        <v>1</v>
      </c>
      <c r="JL16" s="1">
        <v>0</v>
      </c>
      <c r="JM16" s="1">
        <v>90</v>
      </c>
      <c r="JN16" s="1">
        <v>60003760</v>
      </c>
      <c r="JO16" s="1">
        <v>32767</v>
      </c>
      <c r="JP16" s="1">
        <v>6</v>
      </c>
      <c r="JR16" s="1">
        <v>2875360775</v>
      </c>
      <c r="JS16" s="1">
        <v>10226</v>
      </c>
      <c r="JT16" s="1">
        <v>3</v>
      </c>
      <c r="JU16" s="1">
        <v>3</v>
      </c>
      <c r="JV16" s="1">
        <v>119000000</v>
      </c>
      <c r="JW16" s="1">
        <v>1</v>
      </c>
      <c r="JX16" s="1">
        <v>0</v>
      </c>
      <c r="JY16" s="1">
        <v>90</v>
      </c>
      <c r="JZ16" s="1">
        <v>60003760</v>
      </c>
      <c r="KA16" s="1">
        <v>32767</v>
      </c>
      <c r="KB16" s="1">
        <v>1</v>
      </c>
      <c r="KD16" s="1">
        <v>2776378032</v>
      </c>
      <c r="KE16" s="1">
        <v>25605</v>
      </c>
      <c r="KF16" s="1">
        <v>3248</v>
      </c>
      <c r="KG16" s="1">
        <v>3248</v>
      </c>
      <c r="KH16" s="1">
        <v>140013</v>
      </c>
      <c r="KI16" s="1">
        <v>1</v>
      </c>
      <c r="KJ16" s="1">
        <v>0</v>
      </c>
      <c r="KK16" s="1">
        <v>90</v>
      </c>
      <c r="KL16" s="1">
        <v>60003760</v>
      </c>
      <c r="KM16" s="1">
        <v>32767</v>
      </c>
      <c r="KN16" s="1">
        <v>6</v>
      </c>
      <c r="KP16" s="1">
        <v>2807573539</v>
      </c>
      <c r="KQ16" s="1">
        <v>25624</v>
      </c>
      <c r="KR16" s="1">
        <v>2</v>
      </c>
      <c r="KS16" s="1">
        <v>2</v>
      </c>
      <c r="KT16" s="1">
        <v>20092999.989999998</v>
      </c>
      <c r="KU16" s="1">
        <v>1</v>
      </c>
      <c r="KV16" s="1">
        <v>0</v>
      </c>
      <c r="KW16" s="1">
        <v>90</v>
      </c>
      <c r="KX16" s="1">
        <v>60003760</v>
      </c>
      <c r="KY16" s="1">
        <v>32767</v>
      </c>
      <c r="KZ16" s="1">
        <v>1</v>
      </c>
      <c r="LB16" s="1">
        <v>2771601936</v>
      </c>
      <c r="LC16" s="1">
        <v>9832</v>
      </c>
      <c r="LD16" s="1">
        <v>1425</v>
      </c>
      <c r="LE16" s="1">
        <v>1425</v>
      </c>
      <c r="LF16" s="1">
        <v>10000</v>
      </c>
      <c r="LG16" s="1">
        <v>1</v>
      </c>
      <c r="LH16" s="1">
        <v>0</v>
      </c>
      <c r="LI16" s="1">
        <v>90</v>
      </c>
      <c r="LJ16" s="1">
        <v>60003760</v>
      </c>
      <c r="LK16" s="1">
        <v>32767</v>
      </c>
      <c r="LL16" s="1">
        <v>0</v>
      </c>
      <c r="LN16" s="1">
        <v>2871038816</v>
      </c>
      <c r="LO16" s="1">
        <v>10209</v>
      </c>
      <c r="LP16" s="1">
        <v>13</v>
      </c>
      <c r="LQ16" s="1">
        <v>12</v>
      </c>
      <c r="LR16" s="1">
        <v>121332000.48</v>
      </c>
      <c r="LS16" s="1">
        <v>1</v>
      </c>
      <c r="LT16" s="1">
        <v>0</v>
      </c>
      <c r="LU16" s="1">
        <v>90</v>
      </c>
      <c r="LV16" s="1">
        <v>60003760</v>
      </c>
      <c r="LW16" s="1">
        <v>32767</v>
      </c>
      <c r="LX16" s="1">
        <v>1</v>
      </c>
      <c r="LZ16" s="1">
        <v>2876633374</v>
      </c>
      <c r="MA16" s="1">
        <v>10217</v>
      </c>
      <c r="MB16" s="1">
        <v>5</v>
      </c>
      <c r="MC16" s="1">
        <v>3</v>
      </c>
      <c r="MD16" s="1">
        <v>123979997</v>
      </c>
      <c r="ME16" s="1">
        <v>1</v>
      </c>
      <c r="MF16" s="1">
        <v>0</v>
      </c>
      <c r="MG16" s="1">
        <v>90</v>
      </c>
      <c r="MH16" s="1">
        <v>60003760</v>
      </c>
      <c r="MI16" s="1">
        <v>32767</v>
      </c>
      <c r="MJ16" s="1">
        <v>0</v>
      </c>
      <c r="ML16" s="1">
        <v>2400535180</v>
      </c>
      <c r="MM16" s="1">
        <v>25625</v>
      </c>
      <c r="MN16" s="1">
        <v>154</v>
      </c>
      <c r="MO16" s="1">
        <v>154</v>
      </c>
      <c r="MP16" s="1">
        <v>5938999.75</v>
      </c>
      <c r="MQ16" s="1">
        <v>1</v>
      </c>
      <c r="MR16" s="1">
        <v>0</v>
      </c>
      <c r="MS16" s="1">
        <v>90</v>
      </c>
      <c r="MT16" s="1">
        <v>60003760</v>
      </c>
      <c r="MU16" s="1">
        <v>32767</v>
      </c>
      <c r="MV16" s="1">
        <v>0</v>
      </c>
      <c r="MX16" s="1">
        <v>2862098006</v>
      </c>
      <c r="MY16" s="1">
        <v>16672</v>
      </c>
      <c r="MZ16" s="1">
        <v>5000000</v>
      </c>
      <c r="NA16" s="1">
        <v>5000000</v>
      </c>
      <c r="NB16" s="1">
        <v>177</v>
      </c>
      <c r="NC16" s="1">
        <v>1</v>
      </c>
      <c r="ND16" s="1">
        <v>0</v>
      </c>
      <c r="NE16" s="1">
        <v>90</v>
      </c>
      <c r="NF16" s="1">
        <v>60003760</v>
      </c>
      <c r="NG16" s="1">
        <v>32767</v>
      </c>
      <c r="NH16" s="1">
        <v>0</v>
      </c>
      <c r="NJ16" s="1">
        <v>2781404225</v>
      </c>
      <c r="NK16" s="1">
        <v>16673</v>
      </c>
      <c r="NL16" s="1">
        <v>6130000</v>
      </c>
      <c r="NM16" s="1">
        <v>6130000</v>
      </c>
      <c r="NN16" s="1">
        <v>132.5</v>
      </c>
      <c r="NO16" s="1">
        <v>1</v>
      </c>
      <c r="NP16" s="1">
        <v>0</v>
      </c>
      <c r="NQ16" s="1">
        <v>90</v>
      </c>
      <c r="NR16" s="1">
        <v>60003760</v>
      </c>
      <c r="NS16" s="1">
        <v>32767</v>
      </c>
      <c r="NT16" s="1">
        <v>6</v>
      </c>
      <c r="NV16" s="1">
        <v>2836044379</v>
      </c>
      <c r="NW16" s="1">
        <v>3689</v>
      </c>
      <c r="NX16" s="1">
        <v>18875</v>
      </c>
      <c r="NY16" s="1">
        <v>18475</v>
      </c>
      <c r="NZ16" s="1">
        <v>11378</v>
      </c>
      <c r="OA16" s="1">
        <v>1</v>
      </c>
      <c r="OB16" s="1">
        <v>0</v>
      </c>
      <c r="OC16" s="1">
        <v>90</v>
      </c>
      <c r="OD16" s="1">
        <v>60003760</v>
      </c>
      <c r="OE16" s="1">
        <v>32767</v>
      </c>
      <c r="OF16" s="1">
        <v>0</v>
      </c>
      <c r="OH16" s="1">
        <v>2840992127</v>
      </c>
      <c r="OI16" s="1">
        <v>25598</v>
      </c>
      <c r="OJ16" s="1">
        <v>2861</v>
      </c>
      <c r="OK16" s="1">
        <v>956</v>
      </c>
      <c r="OL16" s="1">
        <v>151000</v>
      </c>
      <c r="OM16" s="1">
        <v>1</v>
      </c>
      <c r="ON16" s="1">
        <v>0</v>
      </c>
      <c r="OO16" s="1">
        <v>90</v>
      </c>
      <c r="OP16" s="1">
        <v>60004369</v>
      </c>
      <c r="OQ16" s="1">
        <v>32767</v>
      </c>
      <c r="OR16" s="1">
        <v>4</v>
      </c>
      <c r="OT16" s="1">
        <v>2878291768</v>
      </c>
      <c r="OU16" s="1">
        <v>25600</v>
      </c>
      <c r="OV16" s="1">
        <v>13</v>
      </c>
      <c r="OW16" s="1">
        <v>13</v>
      </c>
      <c r="OX16" s="1">
        <v>31006</v>
      </c>
      <c r="OY16" s="1">
        <v>1</v>
      </c>
      <c r="OZ16" s="1">
        <v>0</v>
      </c>
      <c r="PA16" s="1">
        <v>1</v>
      </c>
      <c r="PB16" s="1">
        <v>60000448</v>
      </c>
      <c r="PC16" s="1">
        <v>32767</v>
      </c>
      <c r="PD16" s="1">
        <v>2</v>
      </c>
      <c r="PF16" s="1">
        <v>2842003800</v>
      </c>
      <c r="PG16" s="1">
        <v>16670</v>
      </c>
      <c r="PH16" s="1">
        <v>23540000</v>
      </c>
      <c r="PI16" s="1">
        <v>23540000</v>
      </c>
      <c r="PJ16" s="1">
        <v>132</v>
      </c>
      <c r="PK16" s="1">
        <v>1</v>
      </c>
      <c r="PL16" s="1">
        <v>0</v>
      </c>
      <c r="PM16" s="1">
        <v>90</v>
      </c>
      <c r="PN16" s="1">
        <v>60003760</v>
      </c>
      <c r="PO16" s="1">
        <v>32767</v>
      </c>
      <c r="PP16" s="1">
        <v>7</v>
      </c>
      <c r="PR16" s="1">
        <v>2875351381</v>
      </c>
      <c r="PS16" s="1">
        <v>10222</v>
      </c>
      <c r="PT16" s="1">
        <v>3</v>
      </c>
      <c r="PU16" s="1">
        <v>3</v>
      </c>
      <c r="PV16" s="1">
        <v>119000000</v>
      </c>
      <c r="PW16" s="1">
        <v>1</v>
      </c>
      <c r="PX16" s="1">
        <v>0</v>
      </c>
      <c r="PY16" s="1">
        <v>90</v>
      </c>
      <c r="PZ16" s="1">
        <v>60003760</v>
      </c>
      <c r="QA16" s="1">
        <v>32767</v>
      </c>
      <c r="QB16" s="1">
        <v>0</v>
      </c>
      <c r="QD16" s="1">
        <v>2839766500</v>
      </c>
      <c r="QE16" s="1">
        <v>9830</v>
      </c>
      <c r="QF16" s="1">
        <v>135272</v>
      </c>
      <c r="QG16" s="1">
        <v>135272</v>
      </c>
      <c r="QH16" s="1">
        <v>10898.99</v>
      </c>
      <c r="QI16" s="1">
        <v>1</v>
      </c>
      <c r="QJ16" s="1">
        <v>0</v>
      </c>
      <c r="QK16" s="1">
        <v>90</v>
      </c>
      <c r="QL16" s="1">
        <v>60003760</v>
      </c>
      <c r="QM16" s="1">
        <v>32767</v>
      </c>
      <c r="QN16" s="1">
        <v>0</v>
      </c>
      <c r="QP16" s="1">
        <v>2849607241</v>
      </c>
      <c r="QQ16" s="1">
        <v>16671</v>
      </c>
      <c r="QR16" s="1">
        <v>2000000</v>
      </c>
      <c r="QS16" s="1">
        <v>360000</v>
      </c>
      <c r="QT16" s="1">
        <v>105.52</v>
      </c>
      <c r="QU16" s="1">
        <v>1</v>
      </c>
      <c r="QV16" s="1">
        <v>0</v>
      </c>
      <c r="QW16" s="1">
        <v>30</v>
      </c>
      <c r="QX16" s="1">
        <v>60003760</v>
      </c>
      <c r="QY16" s="1">
        <v>32767</v>
      </c>
      <c r="QZ16" s="1">
        <v>7</v>
      </c>
      <c r="RB16" s="1">
        <v>2862427569</v>
      </c>
      <c r="RC16" s="1">
        <v>16682</v>
      </c>
      <c r="RD16" s="1">
        <v>569339</v>
      </c>
      <c r="RE16" s="1">
        <v>540002</v>
      </c>
      <c r="RF16" s="1">
        <v>3488.9</v>
      </c>
      <c r="RG16" s="1">
        <v>1</v>
      </c>
      <c r="RH16" s="1">
        <v>0</v>
      </c>
      <c r="RI16" s="1">
        <v>90</v>
      </c>
      <c r="RJ16" s="1">
        <v>60003760</v>
      </c>
      <c r="RK16" s="1">
        <v>32767</v>
      </c>
      <c r="RL16" s="1">
        <v>8</v>
      </c>
      <c r="RN16" s="1">
        <v>2864843430</v>
      </c>
      <c r="RO16" s="1">
        <v>16678</v>
      </c>
      <c r="RP16" s="1">
        <v>378400</v>
      </c>
      <c r="RQ16" s="1">
        <v>378400</v>
      </c>
      <c r="RR16" s="1">
        <v>319</v>
      </c>
      <c r="RS16" s="1">
        <v>1</v>
      </c>
      <c r="RT16" s="1">
        <v>0</v>
      </c>
      <c r="RU16" s="1">
        <v>90</v>
      </c>
      <c r="RV16" s="1">
        <v>60003760</v>
      </c>
      <c r="RW16" s="1">
        <v>32767</v>
      </c>
      <c r="RX16" s="1">
        <v>6</v>
      </c>
      <c r="RZ16" s="1">
        <v>2679129748</v>
      </c>
      <c r="SA16" s="1">
        <v>30310</v>
      </c>
      <c r="SB16" s="1">
        <v>240</v>
      </c>
      <c r="SC16" s="1">
        <v>240</v>
      </c>
      <c r="SD16" s="1">
        <v>1997000</v>
      </c>
      <c r="SE16" s="1">
        <v>1</v>
      </c>
      <c r="SF16" s="1">
        <v>0</v>
      </c>
      <c r="SG16" s="1">
        <v>90</v>
      </c>
      <c r="SH16" s="1">
        <v>60003760</v>
      </c>
      <c r="SI16" s="1">
        <v>32767</v>
      </c>
      <c r="SJ16" s="1">
        <v>0</v>
      </c>
      <c r="SL16" s="1">
        <v>2836886583</v>
      </c>
      <c r="SM16" s="1">
        <v>30311</v>
      </c>
      <c r="SN16" s="1">
        <v>286</v>
      </c>
      <c r="SO16" s="1">
        <v>286</v>
      </c>
      <c r="SP16" s="1">
        <v>3695887.7</v>
      </c>
      <c r="SQ16" s="1">
        <v>1</v>
      </c>
      <c r="SR16" s="1">
        <v>0</v>
      </c>
      <c r="SS16" s="1">
        <v>90</v>
      </c>
      <c r="ST16" s="1">
        <v>60003760</v>
      </c>
      <c r="SU16" s="1">
        <v>32767</v>
      </c>
      <c r="SV16" s="1">
        <v>0</v>
      </c>
      <c r="SX16" s="1">
        <v>2822502806</v>
      </c>
      <c r="SY16" s="1">
        <v>25595</v>
      </c>
      <c r="SZ16" s="1">
        <v>1251</v>
      </c>
      <c r="TA16" s="1">
        <v>1251</v>
      </c>
      <c r="TB16" s="1">
        <v>93900</v>
      </c>
      <c r="TC16" s="1">
        <v>1</v>
      </c>
      <c r="TD16" s="1">
        <v>0</v>
      </c>
      <c r="TE16" s="1">
        <v>90</v>
      </c>
      <c r="TF16" s="1">
        <v>60003760</v>
      </c>
      <c r="TG16" s="1">
        <v>32767</v>
      </c>
      <c r="TH16" s="1">
        <v>6</v>
      </c>
      <c r="TJ16" s="1">
        <v>2837740268</v>
      </c>
      <c r="TK16" s="1">
        <v>25606</v>
      </c>
      <c r="TL16" s="1">
        <v>31</v>
      </c>
      <c r="TM16" s="1">
        <v>31</v>
      </c>
      <c r="TN16" s="1">
        <v>226000.08</v>
      </c>
      <c r="TO16" s="1">
        <v>1</v>
      </c>
      <c r="TP16" s="1">
        <v>0</v>
      </c>
      <c r="TQ16" s="1">
        <v>90</v>
      </c>
      <c r="TR16" s="1">
        <v>60003760</v>
      </c>
      <c r="TS16" s="1">
        <v>32767</v>
      </c>
      <c r="TT16" s="1">
        <v>0</v>
      </c>
      <c r="TV16" s="1">
        <v>2848375319</v>
      </c>
      <c r="TW16" s="1">
        <v>25622</v>
      </c>
      <c r="TX16" s="1">
        <v>7</v>
      </c>
      <c r="TY16" s="1">
        <v>7</v>
      </c>
      <c r="TZ16" s="1">
        <v>15983894.83</v>
      </c>
      <c r="UA16" s="1">
        <v>1</v>
      </c>
      <c r="UB16" s="1">
        <v>0</v>
      </c>
      <c r="UC16" s="1">
        <v>90</v>
      </c>
      <c r="UD16" s="1">
        <v>60003760</v>
      </c>
      <c r="UE16" s="1">
        <v>32767</v>
      </c>
      <c r="UF16" s="1">
        <v>0</v>
      </c>
      <c r="UH16" s="1">
        <v>2863817495</v>
      </c>
      <c r="UI16" s="1">
        <v>16680</v>
      </c>
      <c r="UJ16" s="1">
        <v>504192</v>
      </c>
      <c r="UK16" s="1">
        <v>219989</v>
      </c>
      <c r="UL16" s="1">
        <v>745.92</v>
      </c>
      <c r="UM16" s="1">
        <v>1</v>
      </c>
      <c r="UN16" s="1">
        <v>0</v>
      </c>
      <c r="UO16" s="1">
        <v>90</v>
      </c>
      <c r="UP16" s="1">
        <v>60003760</v>
      </c>
      <c r="UQ16" s="1">
        <v>32767</v>
      </c>
      <c r="UR16" s="1">
        <v>6</v>
      </c>
      <c r="UT16" s="1">
        <v>2878134161</v>
      </c>
      <c r="UU16" s="1">
        <v>17317</v>
      </c>
      <c r="UV16" s="1">
        <v>33600</v>
      </c>
      <c r="UW16" s="1">
        <v>27280</v>
      </c>
      <c r="UX16" s="1">
        <v>28989.96</v>
      </c>
      <c r="UY16" s="1">
        <v>1</v>
      </c>
      <c r="UZ16" s="1">
        <v>0</v>
      </c>
      <c r="VA16" s="1">
        <v>90</v>
      </c>
      <c r="VB16" s="1">
        <v>60003760</v>
      </c>
      <c r="VC16" s="1">
        <v>32767</v>
      </c>
      <c r="VD16" s="1">
        <v>0</v>
      </c>
      <c r="VF16" s="1">
        <v>2809942998</v>
      </c>
      <c r="VG16" s="1">
        <v>11725</v>
      </c>
      <c r="VH16" s="1">
        <v>9504</v>
      </c>
      <c r="VI16" s="1">
        <v>8789</v>
      </c>
      <c r="VJ16" s="1">
        <v>50600.86</v>
      </c>
      <c r="VK16" s="1">
        <v>1</v>
      </c>
      <c r="VL16" s="1">
        <v>1</v>
      </c>
      <c r="VM16" s="1">
        <v>90</v>
      </c>
      <c r="VN16" s="1">
        <v>60003760</v>
      </c>
      <c r="VO16" s="1">
        <v>-1</v>
      </c>
      <c r="VP16" s="1">
        <v>0</v>
      </c>
    </row>
    <row r="17" spans="2:588" x14ac:dyDescent="0.25">
      <c r="B17" s="1">
        <v>2817366703</v>
      </c>
      <c r="C17" s="1">
        <v>34</v>
      </c>
      <c r="D17" s="1">
        <v>1383153</v>
      </c>
      <c r="E17" s="1">
        <v>1000000</v>
      </c>
      <c r="F17" s="1">
        <v>5.95</v>
      </c>
      <c r="G17" s="1">
        <v>1</v>
      </c>
      <c r="H17" s="1">
        <v>0</v>
      </c>
      <c r="I17" s="1">
        <v>90</v>
      </c>
      <c r="J17" s="1">
        <v>60003394</v>
      </c>
      <c r="K17" s="1">
        <v>32767</v>
      </c>
      <c r="L17" s="1">
        <v>5</v>
      </c>
      <c r="N17" s="1">
        <v>2872485914</v>
      </c>
      <c r="O17" s="1">
        <v>35</v>
      </c>
      <c r="P17" s="1">
        <v>1578985</v>
      </c>
      <c r="Q17" s="1">
        <v>1578985</v>
      </c>
      <c r="R17" s="1">
        <v>15.05</v>
      </c>
      <c r="S17" s="1">
        <v>1</v>
      </c>
      <c r="T17" s="1">
        <v>0</v>
      </c>
      <c r="U17" s="1">
        <v>90</v>
      </c>
      <c r="V17" s="1">
        <v>60003064</v>
      </c>
      <c r="W17" s="1">
        <v>32767</v>
      </c>
      <c r="X17" s="1">
        <v>3</v>
      </c>
      <c r="Z17" s="1">
        <v>2775923835</v>
      </c>
      <c r="AA17" s="1">
        <v>36</v>
      </c>
      <c r="AB17" s="1">
        <v>50000</v>
      </c>
      <c r="AC17" s="1">
        <v>14786</v>
      </c>
      <c r="AD17" s="16">
        <v>255</v>
      </c>
      <c r="AE17" s="1">
        <v>1</v>
      </c>
      <c r="AF17" s="1">
        <v>0</v>
      </c>
      <c r="AG17" s="1">
        <v>90</v>
      </c>
      <c r="AH17" s="1">
        <v>60004237</v>
      </c>
      <c r="AI17" s="1">
        <v>32767</v>
      </c>
      <c r="AJ17" s="1">
        <v>12</v>
      </c>
      <c r="AL17" s="1">
        <v>2757970041</v>
      </c>
      <c r="AM17" s="1">
        <v>37</v>
      </c>
      <c r="AN17" s="1">
        <v>897300</v>
      </c>
      <c r="AO17" s="1">
        <v>897300</v>
      </c>
      <c r="AP17" s="16">
        <v>165</v>
      </c>
      <c r="AQ17" s="1">
        <v>1</v>
      </c>
      <c r="AR17" s="1">
        <v>0</v>
      </c>
      <c r="AS17" s="1">
        <v>90</v>
      </c>
      <c r="AT17" s="1">
        <v>60003760</v>
      </c>
      <c r="AU17" s="1">
        <v>32767</v>
      </c>
      <c r="AV17" s="1">
        <v>9</v>
      </c>
      <c r="AX17" s="1">
        <v>2832695426</v>
      </c>
      <c r="AY17" s="1">
        <v>38</v>
      </c>
      <c r="AZ17" s="1">
        <v>876944</v>
      </c>
      <c r="BA17" s="1">
        <v>561982</v>
      </c>
      <c r="BB17" s="1">
        <v>828.98</v>
      </c>
      <c r="BC17" s="1">
        <v>1</v>
      </c>
      <c r="BD17" s="1">
        <v>0</v>
      </c>
      <c r="BE17" s="1">
        <v>90</v>
      </c>
      <c r="BF17" s="1">
        <v>60003760</v>
      </c>
      <c r="BG17" s="1">
        <v>32767</v>
      </c>
      <c r="BH17" s="1">
        <v>5</v>
      </c>
      <c r="BJ17" s="1">
        <v>2835543354</v>
      </c>
      <c r="BK17" s="1">
        <v>39</v>
      </c>
      <c r="BL17" s="1">
        <v>920000</v>
      </c>
      <c r="BM17" s="1">
        <v>920000</v>
      </c>
      <c r="BN17" s="1">
        <v>2000</v>
      </c>
      <c r="BO17" s="1">
        <v>1</v>
      </c>
      <c r="BP17" s="1">
        <v>0</v>
      </c>
      <c r="BQ17" s="1">
        <v>30</v>
      </c>
      <c r="BR17" s="1">
        <v>60003760</v>
      </c>
      <c r="BS17" s="1">
        <v>32767</v>
      </c>
      <c r="BT17" s="1">
        <v>5</v>
      </c>
      <c r="BV17" s="1">
        <v>2376728818</v>
      </c>
      <c r="BW17" s="1">
        <v>40</v>
      </c>
      <c r="BX17" s="1">
        <v>9392</v>
      </c>
      <c r="BY17" s="1">
        <v>9392</v>
      </c>
      <c r="BZ17" s="1">
        <v>2965.5</v>
      </c>
      <c r="CA17" s="1">
        <v>1</v>
      </c>
      <c r="CB17" s="1">
        <v>0</v>
      </c>
      <c r="CC17" s="1">
        <v>90</v>
      </c>
      <c r="CD17" s="1">
        <v>60003760</v>
      </c>
      <c r="CE17" s="1">
        <v>32767</v>
      </c>
      <c r="CF17" s="1">
        <v>13</v>
      </c>
      <c r="CH17" s="1">
        <v>2372578339</v>
      </c>
      <c r="CI17" s="1">
        <v>29668</v>
      </c>
      <c r="CJ17" s="1">
        <v>1</v>
      </c>
      <c r="CK17" s="1">
        <v>1</v>
      </c>
      <c r="CL17" s="1">
        <v>4156000000</v>
      </c>
      <c r="CM17" s="1">
        <v>1</v>
      </c>
      <c r="CN17" s="1">
        <v>0</v>
      </c>
      <c r="CO17" s="1">
        <v>90</v>
      </c>
      <c r="CP17" s="1">
        <v>60003760</v>
      </c>
      <c r="CQ17" s="1">
        <v>32767</v>
      </c>
      <c r="CR17" s="1">
        <v>0</v>
      </c>
      <c r="CT17" s="1">
        <v>2380979270</v>
      </c>
      <c r="CU17" s="1">
        <v>16649</v>
      </c>
      <c r="CV17" s="1">
        <v>40000</v>
      </c>
      <c r="CW17" s="1">
        <v>37460</v>
      </c>
      <c r="CX17" s="1">
        <v>118899.55</v>
      </c>
      <c r="CY17" s="1">
        <v>1</v>
      </c>
      <c r="CZ17" s="1">
        <v>0</v>
      </c>
      <c r="DA17" s="1">
        <v>90</v>
      </c>
      <c r="DB17" s="1">
        <v>60003760</v>
      </c>
      <c r="DC17" s="1">
        <v>32767</v>
      </c>
      <c r="DD17" s="1">
        <v>8</v>
      </c>
      <c r="DF17" s="1">
        <v>2412368596</v>
      </c>
      <c r="DG17" s="1">
        <v>17887</v>
      </c>
      <c r="DH17" s="1">
        <v>1000000</v>
      </c>
      <c r="DI17" s="1">
        <v>465479</v>
      </c>
      <c r="DJ17" s="1">
        <v>979.98</v>
      </c>
      <c r="DK17" s="1">
        <v>1</v>
      </c>
      <c r="DL17" s="1">
        <v>0</v>
      </c>
      <c r="DM17" s="1">
        <v>7</v>
      </c>
      <c r="DN17" s="1">
        <v>60003760</v>
      </c>
      <c r="DO17" s="1">
        <v>32767</v>
      </c>
      <c r="DP17" s="1">
        <v>0</v>
      </c>
      <c r="DR17" s="1">
        <v>2774747642</v>
      </c>
      <c r="DS17" s="1">
        <v>17888</v>
      </c>
      <c r="DT17" s="1">
        <v>16756</v>
      </c>
      <c r="DU17" s="1">
        <v>16756</v>
      </c>
      <c r="DV17" s="1">
        <v>420</v>
      </c>
      <c r="DW17" s="1">
        <v>1</v>
      </c>
      <c r="DX17" s="1">
        <v>0</v>
      </c>
      <c r="DY17" s="1">
        <v>90</v>
      </c>
      <c r="DZ17" s="1">
        <v>60000292</v>
      </c>
      <c r="EA17" s="1">
        <v>32767</v>
      </c>
      <c r="EB17" s="1">
        <v>7</v>
      </c>
      <c r="ED17" s="1">
        <v>2765829302</v>
      </c>
      <c r="EE17" s="1">
        <v>16273</v>
      </c>
      <c r="EF17" s="1">
        <v>16312207</v>
      </c>
      <c r="EG17" s="1">
        <v>16312207</v>
      </c>
      <c r="EH17" s="1">
        <v>398</v>
      </c>
      <c r="EI17" s="1">
        <v>1</v>
      </c>
      <c r="EJ17" s="1">
        <v>0</v>
      </c>
      <c r="EK17" s="1">
        <v>90</v>
      </c>
      <c r="EL17" s="1">
        <v>60003760</v>
      </c>
      <c r="EM17" s="1">
        <v>32767</v>
      </c>
      <c r="EN17" s="1">
        <v>6</v>
      </c>
      <c r="EP17" s="1">
        <v>2793021011</v>
      </c>
      <c r="EQ17" s="1">
        <v>17889</v>
      </c>
      <c r="ER17" s="1">
        <v>273541</v>
      </c>
      <c r="ES17" s="1">
        <v>2743</v>
      </c>
      <c r="ET17" s="1">
        <v>404</v>
      </c>
      <c r="EU17" s="1">
        <v>1</v>
      </c>
      <c r="EV17" s="1">
        <v>0</v>
      </c>
      <c r="EW17" s="1">
        <v>90</v>
      </c>
      <c r="EX17" s="1">
        <v>60003760</v>
      </c>
      <c r="EY17" s="1">
        <v>32767</v>
      </c>
      <c r="EZ17" s="1">
        <v>7</v>
      </c>
      <c r="FB17" s="1">
        <v>2872544432</v>
      </c>
      <c r="FC17" s="1">
        <v>30259</v>
      </c>
      <c r="FD17" s="1">
        <v>219</v>
      </c>
      <c r="FE17" s="1">
        <v>210</v>
      </c>
      <c r="FF17" s="1">
        <v>5807999.9900000002</v>
      </c>
      <c r="FG17" s="1">
        <v>1</v>
      </c>
      <c r="FH17" s="1">
        <v>0</v>
      </c>
      <c r="FI17" s="1">
        <v>90</v>
      </c>
      <c r="FJ17" s="1">
        <v>60003760</v>
      </c>
      <c r="FK17" s="1">
        <v>32767</v>
      </c>
      <c r="FL17" s="1">
        <v>0</v>
      </c>
      <c r="FN17" s="1">
        <v>2843043037</v>
      </c>
      <c r="FO17" s="1">
        <v>25617</v>
      </c>
      <c r="FP17" s="1">
        <v>100</v>
      </c>
      <c r="FQ17" s="1">
        <v>95</v>
      </c>
      <c r="FR17" s="1">
        <v>5338000</v>
      </c>
      <c r="FS17" s="1">
        <v>1</v>
      </c>
      <c r="FT17" s="1">
        <v>0</v>
      </c>
      <c r="FU17" s="1">
        <v>90</v>
      </c>
      <c r="FV17" s="1">
        <v>60003760</v>
      </c>
      <c r="FW17" s="1">
        <v>32767</v>
      </c>
      <c r="FX17" s="1">
        <v>0</v>
      </c>
      <c r="FZ17" s="1">
        <v>2858282695</v>
      </c>
      <c r="GA17" s="1">
        <v>44</v>
      </c>
      <c r="GB17" s="1">
        <v>9743</v>
      </c>
      <c r="GC17" s="1">
        <v>2430</v>
      </c>
      <c r="GD17" s="1">
        <v>13998.96</v>
      </c>
      <c r="GE17" s="1">
        <v>1</v>
      </c>
      <c r="GF17" s="1">
        <v>0</v>
      </c>
      <c r="GG17" s="1">
        <v>90</v>
      </c>
      <c r="GH17" s="1">
        <v>60003760</v>
      </c>
      <c r="GI17" s="1">
        <v>32767</v>
      </c>
      <c r="GJ17" s="1">
        <v>4</v>
      </c>
      <c r="GL17" s="1">
        <v>2411165184</v>
      </c>
      <c r="GM17" s="1">
        <v>16681</v>
      </c>
      <c r="GN17" s="1">
        <v>219000</v>
      </c>
      <c r="GO17" s="1">
        <v>219000</v>
      </c>
      <c r="GP17" s="1">
        <v>6500</v>
      </c>
      <c r="GQ17" s="1">
        <v>1</v>
      </c>
      <c r="GR17" s="1">
        <v>0</v>
      </c>
      <c r="GS17" s="1">
        <v>90</v>
      </c>
      <c r="GT17" s="1">
        <v>60003760</v>
      </c>
      <c r="GU17" s="1">
        <v>32767</v>
      </c>
      <c r="GV17" s="1">
        <v>0</v>
      </c>
      <c r="GX17" s="1">
        <v>2857186438</v>
      </c>
      <c r="GY17" s="1">
        <v>16683</v>
      </c>
      <c r="GZ17" s="1">
        <v>200000</v>
      </c>
      <c r="HA17" s="1">
        <v>200000</v>
      </c>
      <c r="HB17" s="1">
        <v>9700</v>
      </c>
      <c r="HC17" s="1">
        <v>1</v>
      </c>
      <c r="HD17" s="1">
        <v>0</v>
      </c>
      <c r="HE17" s="1">
        <v>90</v>
      </c>
      <c r="HF17" s="1">
        <v>60003760</v>
      </c>
      <c r="HG17" s="1">
        <v>32767</v>
      </c>
      <c r="HH17" s="1">
        <v>0</v>
      </c>
      <c r="HJ17" s="1">
        <v>2731652230</v>
      </c>
      <c r="HK17" s="1">
        <v>11724</v>
      </c>
      <c r="HL17" s="1">
        <v>19659</v>
      </c>
      <c r="HM17" s="1">
        <v>19659</v>
      </c>
      <c r="HN17" s="1">
        <v>59399.95</v>
      </c>
      <c r="HO17" s="1">
        <v>1</v>
      </c>
      <c r="HP17" s="1">
        <v>0</v>
      </c>
      <c r="HQ17" s="1">
        <v>90</v>
      </c>
      <c r="HR17" s="1">
        <v>60003760</v>
      </c>
      <c r="HS17" s="1">
        <v>32767</v>
      </c>
      <c r="HT17" s="1">
        <v>0</v>
      </c>
      <c r="HV17" s="1">
        <v>2813041159</v>
      </c>
      <c r="HW17" s="1">
        <v>16274</v>
      </c>
      <c r="HX17" s="1">
        <v>640824</v>
      </c>
      <c r="HY17" s="1">
        <v>640824</v>
      </c>
      <c r="HZ17" s="1">
        <v>376.83</v>
      </c>
      <c r="IA17" s="1">
        <v>1</v>
      </c>
      <c r="IB17" s="1">
        <v>0</v>
      </c>
      <c r="IC17" s="1">
        <v>90</v>
      </c>
      <c r="ID17" s="1">
        <v>60003760</v>
      </c>
      <c r="IE17" s="1">
        <v>32767</v>
      </c>
      <c r="IF17" s="1">
        <v>2</v>
      </c>
      <c r="IH17" s="1">
        <v>2878161907</v>
      </c>
      <c r="II17" s="1">
        <v>10213</v>
      </c>
      <c r="IJ17" s="1">
        <v>25</v>
      </c>
      <c r="IK17" s="1">
        <v>20</v>
      </c>
      <c r="IL17" s="1">
        <v>119093000</v>
      </c>
      <c r="IM17" s="1">
        <v>1</v>
      </c>
      <c r="IN17" s="1">
        <v>0</v>
      </c>
      <c r="IO17" s="1">
        <v>90</v>
      </c>
      <c r="IP17" s="1">
        <v>60003760</v>
      </c>
      <c r="IQ17" s="1">
        <v>32767</v>
      </c>
      <c r="IR17" s="1">
        <v>0</v>
      </c>
      <c r="IT17" s="1">
        <v>2813830836</v>
      </c>
      <c r="IU17" s="1">
        <v>16679</v>
      </c>
      <c r="IV17" s="1">
        <v>2000000</v>
      </c>
      <c r="IW17" s="1">
        <v>1359771</v>
      </c>
      <c r="IX17" s="1">
        <v>1819.99</v>
      </c>
      <c r="IY17" s="1">
        <v>1</v>
      </c>
      <c r="IZ17" s="1">
        <v>0</v>
      </c>
      <c r="JA17" s="1">
        <v>90</v>
      </c>
      <c r="JB17" s="1">
        <v>60003760</v>
      </c>
      <c r="JC17" s="1">
        <v>32767</v>
      </c>
      <c r="JD17" s="1">
        <v>0</v>
      </c>
      <c r="JF17" s="1">
        <v>2775666545</v>
      </c>
      <c r="JG17" s="1">
        <v>16272</v>
      </c>
      <c r="JH17" s="1">
        <v>1227597</v>
      </c>
      <c r="JI17" s="1">
        <v>1227597</v>
      </c>
      <c r="JJ17" s="1">
        <v>93.48</v>
      </c>
      <c r="JK17" s="1">
        <v>1</v>
      </c>
      <c r="JL17" s="1">
        <v>0</v>
      </c>
      <c r="JM17" s="1">
        <v>90</v>
      </c>
      <c r="JN17" s="1">
        <v>60003760</v>
      </c>
      <c r="JO17" s="1">
        <v>32767</v>
      </c>
      <c r="JP17" s="1">
        <v>6</v>
      </c>
      <c r="JR17" s="1">
        <v>2875360886</v>
      </c>
      <c r="JS17" s="1">
        <v>10226</v>
      </c>
      <c r="JT17" s="1">
        <v>3</v>
      </c>
      <c r="JU17" s="1">
        <v>3</v>
      </c>
      <c r="JV17" s="1">
        <v>119000000</v>
      </c>
      <c r="JW17" s="1">
        <v>1</v>
      </c>
      <c r="JX17" s="1">
        <v>0</v>
      </c>
      <c r="JY17" s="1">
        <v>90</v>
      </c>
      <c r="JZ17" s="1">
        <v>60003760</v>
      </c>
      <c r="KA17" s="1">
        <v>32767</v>
      </c>
      <c r="KB17" s="1">
        <v>1</v>
      </c>
      <c r="KD17" s="1">
        <v>2781872848</v>
      </c>
      <c r="KE17" s="1">
        <v>25605</v>
      </c>
      <c r="KF17" s="1">
        <v>10000</v>
      </c>
      <c r="KG17" s="1">
        <v>10000</v>
      </c>
      <c r="KH17" s="1">
        <v>126498</v>
      </c>
      <c r="KI17" s="1">
        <v>1</v>
      </c>
      <c r="KJ17" s="1">
        <v>0</v>
      </c>
      <c r="KK17" s="1">
        <v>90</v>
      </c>
      <c r="KL17" s="1">
        <v>60003760</v>
      </c>
      <c r="KM17" s="1">
        <v>32767</v>
      </c>
      <c r="KN17" s="1">
        <v>6</v>
      </c>
      <c r="KP17" s="1">
        <v>2808142236</v>
      </c>
      <c r="KQ17" s="1">
        <v>25624</v>
      </c>
      <c r="KR17" s="1">
        <v>8</v>
      </c>
      <c r="KS17" s="1">
        <v>8</v>
      </c>
      <c r="KT17" s="1">
        <v>20092999.960000001</v>
      </c>
      <c r="KU17" s="1">
        <v>1</v>
      </c>
      <c r="KV17" s="1">
        <v>0</v>
      </c>
      <c r="KW17" s="1">
        <v>90</v>
      </c>
      <c r="KX17" s="1">
        <v>60003760</v>
      </c>
      <c r="KY17" s="1">
        <v>32767</v>
      </c>
      <c r="KZ17" s="1">
        <v>1</v>
      </c>
      <c r="LB17" s="1">
        <v>2770789859</v>
      </c>
      <c r="LC17" s="1">
        <v>9832</v>
      </c>
      <c r="LD17" s="1">
        <v>2885</v>
      </c>
      <c r="LE17" s="1">
        <v>2885</v>
      </c>
      <c r="LF17" s="1">
        <v>9999.91</v>
      </c>
      <c r="LG17" s="1">
        <v>1</v>
      </c>
      <c r="LH17" s="1">
        <v>0</v>
      </c>
      <c r="LI17" s="1">
        <v>90</v>
      </c>
      <c r="LJ17" s="1">
        <v>60003760</v>
      </c>
      <c r="LK17" s="1">
        <v>32767</v>
      </c>
      <c r="LL17" s="1">
        <v>0</v>
      </c>
      <c r="LN17" s="1">
        <v>2875352787</v>
      </c>
      <c r="LO17" s="1">
        <v>10209</v>
      </c>
      <c r="LP17" s="1">
        <v>3</v>
      </c>
      <c r="LQ17" s="1">
        <v>3</v>
      </c>
      <c r="LR17" s="1">
        <v>119000000</v>
      </c>
      <c r="LS17" s="1">
        <v>1</v>
      </c>
      <c r="LT17" s="1">
        <v>0</v>
      </c>
      <c r="LU17" s="1">
        <v>90</v>
      </c>
      <c r="LV17" s="1">
        <v>60003760</v>
      </c>
      <c r="LW17" s="1">
        <v>32767</v>
      </c>
      <c r="LX17" s="1">
        <v>1</v>
      </c>
      <c r="LZ17" s="1">
        <v>2877583453</v>
      </c>
      <c r="MA17" s="1">
        <v>10217</v>
      </c>
      <c r="MB17" s="1">
        <v>1</v>
      </c>
      <c r="MC17" s="1">
        <v>1</v>
      </c>
      <c r="MD17" s="1">
        <v>129999999.56</v>
      </c>
      <c r="ME17" s="1">
        <v>1</v>
      </c>
      <c r="MF17" s="1">
        <v>0</v>
      </c>
      <c r="MG17" s="1">
        <v>90</v>
      </c>
      <c r="MH17" s="1">
        <v>60003760</v>
      </c>
      <c r="MI17" s="1">
        <v>32767</v>
      </c>
      <c r="MJ17" s="1">
        <v>0</v>
      </c>
      <c r="ML17" s="1">
        <v>2552587965</v>
      </c>
      <c r="MM17" s="1">
        <v>25625</v>
      </c>
      <c r="MN17" s="1">
        <v>89</v>
      </c>
      <c r="MO17" s="1">
        <v>89</v>
      </c>
      <c r="MP17" s="1">
        <v>16928563.989999998</v>
      </c>
      <c r="MQ17" s="1">
        <v>1</v>
      </c>
      <c r="MR17" s="1">
        <v>0</v>
      </c>
      <c r="MS17" s="1">
        <v>90</v>
      </c>
      <c r="MT17" s="1">
        <v>60003760</v>
      </c>
      <c r="MU17" s="1">
        <v>32767</v>
      </c>
      <c r="MV17" s="1">
        <v>0</v>
      </c>
      <c r="MX17" s="1">
        <v>2862098353</v>
      </c>
      <c r="MY17" s="1">
        <v>16672</v>
      </c>
      <c r="MZ17" s="1">
        <v>5000000</v>
      </c>
      <c r="NA17" s="1">
        <v>5000000</v>
      </c>
      <c r="NB17" s="1">
        <v>176</v>
      </c>
      <c r="NC17" s="1">
        <v>1</v>
      </c>
      <c r="ND17" s="1">
        <v>0</v>
      </c>
      <c r="NE17" s="1">
        <v>90</v>
      </c>
      <c r="NF17" s="1">
        <v>60003760</v>
      </c>
      <c r="NG17" s="1">
        <v>32767</v>
      </c>
      <c r="NH17" s="1">
        <v>0</v>
      </c>
      <c r="NJ17" s="1">
        <v>2813992600</v>
      </c>
      <c r="NK17" s="1">
        <v>16673</v>
      </c>
      <c r="NL17" s="1">
        <v>11440000</v>
      </c>
      <c r="NM17" s="1">
        <v>8809993</v>
      </c>
      <c r="NN17" s="1">
        <v>119.91</v>
      </c>
      <c r="NO17" s="1">
        <v>1</v>
      </c>
      <c r="NP17" s="1">
        <v>0</v>
      </c>
      <c r="NQ17" s="1">
        <v>90</v>
      </c>
      <c r="NR17" s="1">
        <v>60003760</v>
      </c>
      <c r="NS17" s="1">
        <v>32767</v>
      </c>
      <c r="NT17" s="1">
        <v>6</v>
      </c>
      <c r="NV17" s="1">
        <v>2836498543</v>
      </c>
      <c r="NW17" s="1">
        <v>3689</v>
      </c>
      <c r="NX17" s="1">
        <v>990</v>
      </c>
      <c r="NY17" s="1">
        <v>990</v>
      </c>
      <c r="NZ17" s="1">
        <v>11997.99</v>
      </c>
      <c r="OA17" s="1">
        <v>1</v>
      </c>
      <c r="OB17" s="1">
        <v>0</v>
      </c>
      <c r="OC17" s="1">
        <v>90</v>
      </c>
      <c r="OD17" s="1">
        <v>60003760</v>
      </c>
      <c r="OE17" s="1">
        <v>32767</v>
      </c>
      <c r="OF17" s="1">
        <v>0</v>
      </c>
      <c r="OH17" s="1">
        <v>2773857750</v>
      </c>
      <c r="OI17" s="1">
        <v>25598</v>
      </c>
      <c r="OJ17" s="1">
        <v>8</v>
      </c>
      <c r="OK17" s="1">
        <v>8</v>
      </c>
      <c r="OL17" s="1">
        <v>195547</v>
      </c>
      <c r="OM17" s="1">
        <v>1</v>
      </c>
      <c r="ON17" s="1">
        <v>0</v>
      </c>
      <c r="OO17" s="1">
        <v>90</v>
      </c>
      <c r="OP17" s="1">
        <v>60004072</v>
      </c>
      <c r="OQ17" s="1">
        <v>32767</v>
      </c>
      <c r="OR17" s="1">
        <v>5</v>
      </c>
      <c r="OT17" s="1">
        <v>2819493371</v>
      </c>
      <c r="OU17" s="1">
        <v>25600</v>
      </c>
      <c r="OV17" s="1">
        <v>254</v>
      </c>
      <c r="OW17" s="1">
        <v>246</v>
      </c>
      <c r="OX17" s="1">
        <v>31900</v>
      </c>
      <c r="OY17" s="1">
        <v>1</v>
      </c>
      <c r="OZ17" s="1">
        <v>0</v>
      </c>
      <c r="PA17" s="1">
        <v>90</v>
      </c>
      <c r="PB17" s="1">
        <v>60003763</v>
      </c>
      <c r="PC17" s="1">
        <v>32767</v>
      </c>
      <c r="PD17" s="1">
        <v>1</v>
      </c>
      <c r="PF17" s="1">
        <v>2841339775</v>
      </c>
      <c r="PG17" s="1">
        <v>16670</v>
      </c>
      <c r="PH17" s="1">
        <v>1000000</v>
      </c>
      <c r="PI17" s="1">
        <v>977600</v>
      </c>
      <c r="PJ17" s="1">
        <v>132.63</v>
      </c>
      <c r="PK17" s="1">
        <v>1</v>
      </c>
      <c r="PL17" s="1">
        <v>0</v>
      </c>
      <c r="PM17" s="1">
        <v>90</v>
      </c>
      <c r="PN17" s="1">
        <v>60003760</v>
      </c>
      <c r="PO17" s="1">
        <v>32767</v>
      </c>
      <c r="PP17" s="1">
        <v>7</v>
      </c>
      <c r="PR17" s="1">
        <v>2875351533</v>
      </c>
      <c r="PS17" s="1">
        <v>10222</v>
      </c>
      <c r="PT17" s="1">
        <v>3</v>
      </c>
      <c r="PU17" s="1">
        <v>3</v>
      </c>
      <c r="PV17" s="1">
        <v>119000000</v>
      </c>
      <c r="PW17" s="1">
        <v>1</v>
      </c>
      <c r="PX17" s="1">
        <v>0</v>
      </c>
      <c r="PY17" s="1">
        <v>90</v>
      </c>
      <c r="PZ17" s="1">
        <v>60003760</v>
      </c>
      <c r="QA17" s="1">
        <v>32767</v>
      </c>
      <c r="QB17" s="1">
        <v>0</v>
      </c>
      <c r="QD17" s="1">
        <v>2847464519</v>
      </c>
      <c r="QE17" s="1">
        <v>9830</v>
      </c>
      <c r="QF17" s="1">
        <v>9960</v>
      </c>
      <c r="QG17" s="1">
        <v>9960</v>
      </c>
      <c r="QH17" s="1">
        <v>8150</v>
      </c>
      <c r="QI17" s="1">
        <v>1</v>
      </c>
      <c r="QJ17" s="1">
        <v>0</v>
      </c>
      <c r="QK17" s="1">
        <v>90</v>
      </c>
      <c r="QL17" s="1">
        <v>60003760</v>
      </c>
      <c r="QM17" s="1">
        <v>32767</v>
      </c>
      <c r="QN17" s="1">
        <v>0</v>
      </c>
      <c r="QP17" s="1">
        <v>2855316895</v>
      </c>
      <c r="QQ17" s="1">
        <v>16671</v>
      </c>
      <c r="QR17" s="1">
        <v>1000000</v>
      </c>
      <c r="QS17" s="1">
        <v>557750</v>
      </c>
      <c r="QT17" s="1">
        <v>108.29</v>
      </c>
      <c r="QU17" s="1">
        <v>1</v>
      </c>
      <c r="QV17" s="1">
        <v>0</v>
      </c>
      <c r="QW17" s="1">
        <v>90</v>
      </c>
      <c r="QX17" s="1">
        <v>60003760</v>
      </c>
      <c r="QY17" s="1">
        <v>32767</v>
      </c>
      <c r="QZ17" s="1">
        <v>7</v>
      </c>
      <c r="RB17" s="1">
        <v>2858932907</v>
      </c>
      <c r="RC17" s="1">
        <v>16682</v>
      </c>
      <c r="RD17" s="1">
        <v>1906500</v>
      </c>
      <c r="RE17" s="1">
        <v>202431</v>
      </c>
      <c r="RF17" s="1">
        <v>3488.48</v>
      </c>
      <c r="RG17" s="1">
        <v>1</v>
      </c>
      <c r="RH17" s="1">
        <v>0</v>
      </c>
      <c r="RI17" s="1">
        <v>90</v>
      </c>
      <c r="RJ17" s="1">
        <v>60003760</v>
      </c>
      <c r="RK17" s="1">
        <v>32767</v>
      </c>
      <c r="RL17" s="1">
        <v>8</v>
      </c>
      <c r="RN17" s="1">
        <v>2865431133</v>
      </c>
      <c r="RO17" s="1">
        <v>16678</v>
      </c>
      <c r="RP17" s="1">
        <v>10418004</v>
      </c>
      <c r="RQ17" s="1">
        <v>10418004</v>
      </c>
      <c r="RR17" s="1">
        <v>297.42</v>
      </c>
      <c r="RS17" s="1">
        <v>1</v>
      </c>
      <c r="RT17" s="1">
        <v>0</v>
      </c>
      <c r="RU17" s="1">
        <v>7</v>
      </c>
      <c r="RV17" s="1">
        <v>60003760</v>
      </c>
      <c r="RW17" s="1">
        <v>32767</v>
      </c>
      <c r="RX17" s="1">
        <v>6</v>
      </c>
      <c r="RZ17" s="1">
        <v>2750252423</v>
      </c>
      <c r="SA17" s="1">
        <v>30310</v>
      </c>
      <c r="SB17" s="1">
        <v>1376</v>
      </c>
      <c r="SC17" s="1">
        <v>1156</v>
      </c>
      <c r="SD17" s="1">
        <v>1345499.86</v>
      </c>
      <c r="SE17" s="1">
        <v>1</v>
      </c>
      <c r="SF17" s="1">
        <v>0</v>
      </c>
      <c r="SG17" s="1">
        <v>90</v>
      </c>
      <c r="SH17" s="1">
        <v>60003760</v>
      </c>
      <c r="SI17" s="1">
        <v>32767</v>
      </c>
      <c r="SJ17" s="1">
        <v>0</v>
      </c>
      <c r="SL17" s="1">
        <v>2836786962</v>
      </c>
      <c r="SM17" s="1">
        <v>30311</v>
      </c>
      <c r="SN17" s="1">
        <v>78</v>
      </c>
      <c r="SO17" s="1">
        <v>78</v>
      </c>
      <c r="SP17" s="1">
        <v>3295889</v>
      </c>
      <c r="SQ17" s="1">
        <v>1</v>
      </c>
      <c r="SR17" s="1">
        <v>0</v>
      </c>
      <c r="SS17" s="1">
        <v>30</v>
      </c>
      <c r="ST17" s="1">
        <v>60003760</v>
      </c>
      <c r="SU17" s="1">
        <v>32767</v>
      </c>
      <c r="SV17" s="1">
        <v>0</v>
      </c>
      <c r="SX17" s="1">
        <v>2758228534</v>
      </c>
      <c r="SY17" s="1">
        <v>25595</v>
      </c>
      <c r="SZ17" s="1">
        <v>119</v>
      </c>
      <c r="TA17" s="1">
        <v>119</v>
      </c>
      <c r="TB17" s="1">
        <v>108889.28</v>
      </c>
      <c r="TC17" s="1">
        <v>1</v>
      </c>
      <c r="TD17" s="1">
        <v>0</v>
      </c>
      <c r="TE17" s="1">
        <v>90</v>
      </c>
      <c r="TF17" s="1">
        <v>60003760</v>
      </c>
      <c r="TG17" s="1">
        <v>32767</v>
      </c>
      <c r="TH17" s="1">
        <v>6</v>
      </c>
      <c r="TJ17" s="1">
        <v>2831017425</v>
      </c>
      <c r="TK17" s="1">
        <v>25606</v>
      </c>
      <c r="TL17" s="1">
        <v>10000</v>
      </c>
      <c r="TM17" s="1">
        <v>10000</v>
      </c>
      <c r="TN17" s="1">
        <v>35000</v>
      </c>
      <c r="TO17" s="1">
        <v>1</v>
      </c>
      <c r="TP17" s="1">
        <v>0</v>
      </c>
      <c r="TQ17" s="1">
        <v>90</v>
      </c>
      <c r="TR17" s="1">
        <v>60003760</v>
      </c>
      <c r="TS17" s="1">
        <v>32767</v>
      </c>
      <c r="TT17" s="1">
        <v>0</v>
      </c>
      <c r="TV17" s="1">
        <v>2849188951</v>
      </c>
      <c r="TW17" s="1">
        <v>25622</v>
      </c>
      <c r="TX17" s="1">
        <v>30</v>
      </c>
      <c r="TY17" s="1">
        <v>30</v>
      </c>
      <c r="TZ17" s="1">
        <v>15249999</v>
      </c>
      <c r="UA17" s="1">
        <v>1</v>
      </c>
      <c r="UB17" s="1">
        <v>0</v>
      </c>
      <c r="UC17" s="1">
        <v>30</v>
      </c>
      <c r="UD17" s="1">
        <v>60003760</v>
      </c>
      <c r="UE17" s="1">
        <v>32767</v>
      </c>
      <c r="UF17" s="1">
        <v>0</v>
      </c>
      <c r="UH17" s="1">
        <v>2863930108</v>
      </c>
      <c r="UI17" s="1">
        <v>16680</v>
      </c>
      <c r="UJ17" s="1">
        <v>2437500</v>
      </c>
      <c r="UK17" s="1">
        <v>2299142</v>
      </c>
      <c r="UL17" s="1">
        <v>745.06</v>
      </c>
      <c r="UM17" s="1">
        <v>1</v>
      </c>
      <c r="UN17" s="1">
        <v>0</v>
      </c>
      <c r="UO17" s="1">
        <v>90</v>
      </c>
      <c r="UP17" s="1">
        <v>60003760</v>
      </c>
      <c r="UQ17" s="1">
        <v>32767</v>
      </c>
      <c r="UR17" s="1">
        <v>6</v>
      </c>
      <c r="UT17" s="1">
        <v>2878208130</v>
      </c>
      <c r="UU17" s="1">
        <v>17317</v>
      </c>
      <c r="UV17" s="1">
        <v>2409</v>
      </c>
      <c r="UW17" s="1">
        <v>2289</v>
      </c>
      <c r="UX17" s="1">
        <v>28988.97</v>
      </c>
      <c r="UY17" s="1">
        <v>1</v>
      </c>
      <c r="UZ17" s="1">
        <v>0</v>
      </c>
      <c r="VA17" s="1">
        <v>90</v>
      </c>
      <c r="VB17" s="1">
        <v>60003760</v>
      </c>
      <c r="VC17" s="1">
        <v>32767</v>
      </c>
      <c r="VD17" s="1">
        <v>0</v>
      </c>
      <c r="VF17" s="1">
        <v>2807236204</v>
      </c>
      <c r="VG17" s="1">
        <v>11725</v>
      </c>
      <c r="VH17" s="1">
        <v>30000</v>
      </c>
      <c r="VI17" s="1">
        <v>29665</v>
      </c>
      <c r="VJ17" s="1">
        <v>49522</v>
      </c>
      <c r="VK17" s="1">
        <v>1</v>
      </c>
      <c r="VL17" s="1">
        <v>1</v>
      </c>
      <c r="VM17" s="1">
        <v>90</v>
      </c>
      <c r="VN17" s="1">
        <v>60003760</v>
      </c>
      <c r="VO17" s="1">
        <v>-1</v>
      </c>
      <c r="VP17" s="1">
        <v>0</v>
      </c>
    </row>
    <row r="18" spans="2:588" x14ac:dyDescent="0.25">
      <c r="B18" s="1">
        <v>2863062930</v>
      </c>
      <c r="C18" s="1">
        <v>34</v>
      </c>
      <c r="D18" s="1">
        <v>3237877</v>
      </c>
      <c r="E18" s="1">
        <v>3237877</v>
      </c>
      <c r="F18" s="1">
        <v>5.99</v>
      </c>
      <c r="G18" s="1">
        <v>1</v>
      </c>
      <c r="H18" s="1">
        <v>0</v>
      </c>
      <c r="I18" s="1">
        <v>90</v>
      </c>
      <c r="J18" s="1">
        <v>60004234</v>
      </c>
      <c r="K18" s="1">
        <v>32767</v>
      </c>
      <c r="L18" s="1">
        <v>5</v>
      </c>
      <c r="N18" s="1">
        <v>2867447579</v>
      </c>
      <c r="O18" s="1">
        <v>35</v>
      </c>
      <c r="P18" s="1">
        <v>6737584</v>
      </c>
      <c r="Q18" s="1">
        <v>2935952</v>
      </c>
      <c r="R18" s="1">
        <v>14.9</v>
      </c>
      <c r="S18" s="1">
        <v>1</v>
      </c>
      <c r="T18" s="1">
        <v>0</v>
      </c>
      <c r="U18" s="1">
        <v>7</v>
      </c>
      <c r="V18" s="1">
        <v>60003064</v>
      </c>
      <c r="W18" s="1">
        <v>32767</v>
      </c>
      <c r="X18" s="1">
        <v>3</v>
      </c>
      <c r="Z18" s="1">
        <v>2864013783</v>
      </c>
      <c r="AA18" s="1">
        <v>36</v>
      </c>
      <c r="AB18" s="1">
        <v>4209</v>
      </c>
      <c r="AC18" s="1">
        <v>1489</v>
      </c>
      <c r="AD18" s="16">
        <v>49</v>
      </c>
      <c r="AE18" s="1">
        <v>1</v>
      </c>
      <c r="AF18" s="1">
        <v>0</v>
      </c>
      <c r="AG18" s="1">
        <v>30</v>
      </c>
      <c r="AH18" s="1">
        <v>60004228</v>
      </c>
      <c r="AI18" s="1">
        <v>32767</v>
      </c>
      <c r="AJ18" s="1">
        <v>12</v>
      </c>
      <c r="AL18" s="1">
        <v>2752429323</v>
      </c>
      <c r="AM18" s="1">
        <v>37</v>
      </c>
      <c r="AN18" s="1">
        <v>51674</v>
      </c>
      <c r="AO18" s="1">
        <v>51674</v>
      </c>
      <c r="AP18" s="16">
        <v>163</v>
      </c>
      <c r="AQ18" s="1">
        <v>1</v>
      </c>
      <c r="AR18" s="1">
        <v>0</v>
      </c>
      <c r="AS18" s="1">
        <v>90</v>
      </c>
      <c r="AT18" s="1">
        <v>60003760</v>
      </c>
      <c r="AU18" s="1">
        <v>32767</v>
      </c>
      <c r="AV18" s="1">
        <v>9</v>
      </c>
      <c r="AX18" s="1">
        <v>2830240024</v>
      </c>
      <c r="AY18" s="1">
        <v>38</v>
      </c>
      <c r="AZ18" s="1">
        <v>59805</v>
      </c>
      <c r="BA18" s="1">
        <v>59805</v>
      </c>
      <c r="BB18" s="1">
        <v>864.62</v>
      </c>
      <c r="BC18" s="1">
        <v>1</v>
      </c>
      <c r="BD18" s="1">
        <v>0</v>
      </c>
      <c r="BE18" s="1">
        <v>90</v>
      </c>
      <c r="BF18" s="1">
        <v>60003760</v>
      </c>
      <c r="BG18" s="1">
        <v>32767</v>
      </c>
      <c r="BH18" s="1">
        <v>5</v>
      </c>
      <c r="BJ18" s="1">
        <v>2830740849</v>
      </c>
      <c r="BK18" s="1">
        <v>39</v>
      </c>
      <c r="BL18" s="1">
        <v>234438</v>
      </c>
      <c r="BM18" s="1">
        <v>234438</v>
      </c>
      <c r="BN18" s="1">
        <v>849.92</v>
      </c>
      <c r="BO18" s="1">
        <v>1</v>
      </c>
      <c r="BP18" s="1">
        <v>0</v>
      </c>
      <c r="BQ18" s="1">
        <v>90</v>
      </c>
      <c r="BR18" s="1">
        <v>60003760</v>
      </c>
      <c r="BS18" s="1">
        <v>32767</v>
      </c>
      <c r="BT18" s="1">
        <v>5</v>
      </c>
      <c r="BV18" s="1">
        <v>2374204383</v>
      </c>
      <c r="BW18" s="1">
        <v>40</v>
      </c>
      <c r="BX18" s="1">
        <v>300000</v>
      </c>
      <c r="BY18" s="1">
        <v>48025</v>
      </c>
      <c r="BZ18" s="1">
        <v>2944</v>
      </c>
      <c r="CA18" s="1">
        <v>1</v>
      </c>
      <c r="CB18" s="1">
        <v>0</v>
      </c>
      <c r="CC18" s="1">
        <v>90</v>
      </c>
      <c r="CD18" s="1">
        <v>60003760</v>
      </c>
      <c r="CE18" s="1">
        <v>32767</v>
      </c>
      <c r="CF18" s="1">
        <v>13</v>
      </c>
      <c r="CH18" s="1">
        <v>2362979062</v>
      </c>
      <c r="CI18" s="1">
        <v>29668</v>
      </c>
      <c r="CJ18" s="1">
        <v>1</v>
      </c>
      <c r="CK18" s="1">
        <v>1</v>
      </c>
      <c r="CL18" s="1">
        <v>500000001</v>
      </c>
      <c r="CM18" s="1">
        <v>1</v>
      </c>
      <c r="CN18" s="1">
        <v>0</v>
      </c>
      <c r="CO18" s="1">
        <v>90</v>
      </c>
      <c r="CP18" s="1">
        <v>60003760</v>
      </c>
      <c r="CQ18" s="1">
        <v>32767</v>
      </c>
      <c r="CR18" s="1">
        <v>0</v>
      </c>
      <c r="CT18" s="1">
        <v>2387632213</v>
      </c>
      <c r="CU18" s="1">
        <v>16649</v>
      </c>
      <c r="CV18" s="1">
        <v>476</v>
      </c>
      <c r="CW18" s="1">
        <v>476</v>
      </c>
      <c r="CX18" s="1">
        <v>113500</v>
      </c>
      <c r="CY18" s="1">
        <v>1</v>
      </c>
      <c r="CZ18" s="1">
        <v>0</v>
      </c>
      <c r="DA18" s="1">
        <v>90</v>
      </c>
      <c r="DB18" s="1">
        <v>60003760</v>
      </c>
      <c r="DC18" s="1">
        <v>32767</v>
      </c>
      <c r="DD18" s="1">
        <v>8</v>
      </c>
      <c r="DF18" s="1">
        <v>2412379671</v>
      </c>
      <c r="DG18" s="1">
        <v>17887</v>
      </c>
      <c r="DH18" s="1">
        <v>1000000</v>
      </c>
      <c r="DI18" s="1">
        <v>1000000</v>
      </c>
      <c r="DJ18" s="1">
        <v>979.99</v>
      </c>
      <c r="DK18" s="1">
        <v>1</v>
      </c>
      <c r="DL18" s="1">
        <v>0</v>
      </c>
      <c r="DM18" s="1">
        <v>30</v>
      </c>
      <c r="DN18" s="1">
        <v>60003760</v>
      </c>
      <c r="DO18" s="1">
        <v>32767</v>
      </c>
      <c r="DP18" s="1">
        <v>0</v>
      </c>
      <c r="DR18" s="1">
        <v>2776887441</v>
      </c>
      <c r="DS18" s="1">
        <v>17888</v>
      </c>
      <c r="DT18" s="1">
        <v>2311</v>
      </c>
      <c r="DU18" s="1">
        <v>2311</v>
      </c>
      <c r="DV18" s="1">
        <v>410</v>
      </c>
      <c r="DW18" s="1">
        <v>1</v>
      </c>
      <c r="DX18" s="1">
        <v>0</v>
      </c>
      <c r="DY18" s="1">
        <v>90</v>
      </c>
      <c r="DZ18" s="1">
        <v>60000292</v>
      </c>
      <c r="EA18" s="1">
        <v>32767</v>
      </c>
      <c r="EB18" s="1">
        <v>7</v>
      </c>
      <c r="ED18" s="1">
        <v>2772641532</v>
      </c>
      <c r="EE18" s="1">
        <v>16273</v>
      </c>
      <c r="EF18" s="1">
        <v>5208</v>
      </c>
      <c r="EG18" s="1">
        <v>5208</v>
      </c>
      <c r="EH18" s="1">
        <v>420</v>
      </c>
      <c r="EI18" s="1">
        <v>1</v>
      </c>
      <c r="EJ18" s="1">
        <v>0</v>
      </c>
      <c r="EK18" s="1">
        <v>90</v>
      </c>
      <c r="EL18" s="1">
        <v>60003760</v>
      </c>
      <c r="EM18" s="1">
        <v>32767</v>
      </c>
      <c r="EN18" s="1">
        <v>6</v>
      </c>
      <c r="EP18" s="1">
        <v>2797585853</v>
      </c>
      <c r="EQ18" s="1">
        <v>17889</v>
      </c>
      <c r="ER18" s="1">
        <v>11760000</v>
      </c>
      <c r="ES18" s="1">
        <v>11760000</v>
      </c>
      <c r="ET18" s="1">
        <v>400</v>
      </c>
      <c r="EU18" s="1">
        <v>1</v>
      </c>
      <c r="EV18" s="1">
        <v>0</v>
      </c>
      <c r="EW18" s="1">
        <v>90</v>
      </c>
      <c r="EX18" s="1">
        <v>60003760</v>
      </c>
      <c r="EY18" s="1">
        <v>32767</v>
      </c>
      <c r="EZ18" s="1">
        <v>7</v>
      </c>
      <c r="FB18" s="1">
        <v>2872521361</v>
      </c>
      <c r="FC18" s="1">
        <v>30259</v>
      </c>
      <c r="FD18" s="1">
        <v>157</v>
      </c>
      <c r="FE18" s="1">
        <v>157</v>
      </c>
      <c r="FF18" s="1">
        <v>6388998.9900000002</v>
      </c>
      <c r="FG18" s="1">
        <v>1</v>
      </c>
      <c r="FH18" s="1">
        <v>0</v>
      </c>
      <c r="FI18" s="1">
        <v>90</v>
      </c>
      <c r="FJ18" s="1">
        <v>60003760</v>
      </c>
      <c r="FK18" s="1">
        <v>32767</v>
      </c>
      <c r="FL18" s="1">
        <v>0</v>
      </c>
      <c r="FN18" s="1">
        <v>2843611763</v>
      </c>
      <c r="FO18" s="1">
        <v>25617</v>
      </c>
      <c r="FP18" s="1">
        <v>75</v>
      </c>
      <c r="FQ18" s="1">
        <v>75</v>
      </c>
      <c r="FR18" s="1">
        <v>5334020</v>
      </c>
      <c r="FS18" s="1">
        <v>1</v>
      </c>
      <c r="FT18" s="1">
        <v>0</v>
      </c>
      <c r="FU18" s="1">
        <v>90</v>
      </c>
      <c r="FV18" s="1">
        <v>60003760</v>
      </c>
      <c r="FW18" s="1">
        <v>32767</v>
      </c>
      <c r="FX18" s="1">
        <v>0</v>
      </c>
      <c r="FZ18" s="1">
        <v>2858257228</v>
      </c>
      <c r="GA18" s="1">
        <v>44</v>
      </c>
      <c r="GB18" s="1">
        <v>5810</v>
      </c>
      <c r="GC18" s="1">
        <v>5810</v>
      </c>
      <c r="GD18" s="1">
        <v>14000</v>
      </c>
      <c r="GE18" s="1">
        <v>1</v>
      </c>
      <c r="GF18" s="1">
        <v>0</v>
      </c>
      <c r="GG18" s="1">
        <v>30</v>
      </c>
      <c r="GH18" s="1">
        <v>60003760</v>
      </c>
      <c r="GI18" s="1">
        <v>32767</v>
      </c>
      <c r="GJ18" s="1">
        <v>4</v>
      </c>
      <c r="GL18" s="1">
        <v>2411165383</v>
      </c>
      <c r="GM18" s="1">
        <v>16681</v>
      </c>
      <c r="GN18" s="1">
        <v>301000</v>
      </c>
      <c r="GO18" s="1">
        <v>301000</v>
      </c>
      <c r="GP18" s="1">
        <v>7000</v>
      </c>
      <c r="GQ18" s="1">
        <v>1</v>
      </c>
      <c r="GR18" s="1">
        <v>0</v>
      </c>
      <c r="GS18" s="1">
        <v>90</v>
      </c>
      <c r="GT18" s="1">
        <v>60003760</v>
      </c>
      <c r="GU18" s="1">
        <v>32767</v>
      </c>
      <c r="GV18" s="1">
        <v>0</v>
      </c>
      <c r="GX18" s="1">
        <v>2857187928</v>
      </c>
      <c r="GY18" s="1">
        <v>16683</v>
      </c>
      <c r="GZ18" s="1">
        <v>244000</v>
      </c>
      <c r="HA18" s="1">
        <v>244000</v>
      </c>
      <c r="HB18" s="1">
        <v>9870</v>
      </c>
      <c r="HC18" s="1">
        <v>1</v>
      </c>
      <c r="HD18" s="1">
        <v>0</v>
      </c>
      <c r="HE18" s="1">
        <v>90</v>
      </c>
      <c r="HF18" s="1">
        <v>60003760</v>
      </c>
      <c r="HG18" s="1">
        <v>32767</v>
      </c>
      <c r="HH18" s="1">
        <v>0</v>
      </c>
      <c r="HJ18" s="1">
        <v>2868429191</v>
      </c>
      <c r="HK18" s="1">
        <v>11724</v>
      </c>
      <c r="HL18" s="1">
        <v>40840</v>
      </c>
      <c r="HM18" s="1">
        <v>40840</v>
      </c>
      <c r="HN18" s="1">
        <v>41500</v>
      </c>
      <c r="HO18" s="1">
        <v>1</v>
      </c>
      <c r="HP18" s="1">
        <v>0</v>
      </c>
      <c r="HQ18" s="1">
        <v>90</v>
      </c>
      <c r="HR18" s="1">
        <v>60003760</v>
      </c>
      <c r="HS18" s="1">
        <v>32767</v>
      </c>
      <c r="HT18" s="1">
        <v>0</v>
      </c>
      <c r="HV18" s="1">
        <v>2813974635</v>
      </c>
      <c r="HW18" s="1">
        <v>16274</v>
      </c>
      <c r="HX18" s="1">
        <v>1613578</v>
      </c>
      <c r="HY18" s="1">
        <v>1613578</v>
      </c>
      <c r="HZ18" s="1">
        <v>377</v>
      </c>
      <c r="IA18" s="1">
        <v>1</v>
      </c>
      <c r="IB18" s="1">
        <v>0</v>
      </c>
      <c r="IC18" s="1">
        <v>90</v>
      </c>
      <c r="ID18" s="1">
        <v>60003760</v>
      </c>
      <c r="IE18" s="1">
        <v>32767</v>
      </c>
      <c r="IF18" s="1">
        <v>2</v>
      </c>
      <c r="IH18" s="1">
        <v>2879065340</v>
      </c>
      <c r="II18" s="1">
        <v>10213</v>
      </c>
      <c r="IJ18" s="1">
        <v>1</v>
      </c>
      <c r="IK18" s="1">
        <v>1</v>
      </c>
      <c r="IL18" s="1">
        <v>118999999.98</v>
      </c>
      <c r="IM18" s="1">
        <v>1</v>
      </c>
      <c r="IN18" s="1">
        <v>0</v>
      </c>
      <c r="IO18" s="1">
        <v>90</v>
      </c>
      <c r="IP18" s="1">
        <v>60003760</v>
      </c>
      <c r="IQ18" s="1">
        <v>32767</v>
      </c>
      <c r="IR18" s="1">
        <v>0</v>
      </c>
      <c r="IT18" s="1">
        <v>2809328343</v>
      </c>
      <c r="IU18" s="1">
        <v>16679</v>
      </c>
      <c r="IV18" s="1">
        <v>2914450</v>
      </c>
      <c r="IW18" s="1">
        <v>2914450</v>
      </c>
      <c r="IX18" s="1">
        <v>1798</v>
      </c>
      <c r="IY18" s="1">
        <v>1</v>
      </c>
      <c r="IZ18" s="1">
        <v>0</v>
      </c>
      <c r="JA18" s="1">
        <v>90</v>
      </c>
      <c r="JB18" s="1">
        <v>60003760</v>
      </c>
      <c r="JC18" s="1">
        <v>32767</v>
      </c>
      <c r="JD18" s="1">
        <v>0</v>
      </c>
      <c r="JF18" s="1">
        <v>2778392483</v>
      </c>
      <c r="JG18" s="1">
        <v>16272</v>
      </c>
      <c r="JH18" s="1">
        <v>10000000</v>
      </c>
      <c r="JI18" s="1">
        <v>10000000</v>
      </c>
      <c r="JJ18" s="1">
        <v>84.14</v>
      </c>
      <c r="JK18" s="1">
        <v>1</v>
      </c>
      <c r="JL18" s="1">
        <v>0</v>
      </c>
      <c r="JM18" s="1">
        <v>90</v>
      </c>
      <c r="JN18" s="1">
        <v>60003760</v>
      </c>
      <c r="JO18" s="1">
        <v>32767</v>
      </c>
      <c r="JP18" s="1">
        <v>6</v>
      </c>
      <c r="JR18" s="1">
        <v>2875361012</v>
      </c>
      <c r="JS18" s="1">
        <v>10226</v>
      </c>
      <c r="JT18" s="1">
        <v>3</v>
      </c>
      <c r="JU18" s="1">
        <v>3</v>
      </c>
      <c r="JV18" s="1">
        <v>119000000</v>
      </c>
      <c r="JW18" s="1">
        <v>1</v>
      </c>
      <c r="JX18" s="1">
        <v>0</v>
      </c>
      <c r="JY18" s="1">
        <v>90</v>
      </c>
      <c r="JZ18" s="1">
        <v>60003760</v>
      </c>
      <c r="KA18" s="1">
        <v>32767</v>
      </c>
      <c r="KB18" s="1">
        <v>1</v>
      </c>
      <c r="KD18" s="1">
        <v>2781967323</v>
      </c>
      <c r="KE18" s="1">
        <v>25605</v>
      </c>
      <c r="KF18" s="1">
        <v>5000</v>
      </c>
      <c r="KG18" s="1">
        <v>815</v>
      </c>
      <c r="KH18" s="1">
        <v>129999</v>
      </c>
      <c r="KI18" s="1">
        <v>1</v>
      </c>
      <c r="KJ18" s="1">
        <v>0</v>
      </c>
      <c r="KK18" s="1">
        <v>90</v>
      </c>
      <c r="KL18" s="1">
        <v>60003760</v>
      </c>
      <c r="KM18" s="1">
        <v>32767</v>
      </c>
      <c r="KN18" s="1">
        <v>6</v>
      </c>
      <c r="KP18" s="1">
        <v>2804571198</v>
      </c>
      <c r="KQ18" s="1">
        <v>25624</v>
      </c>
      <c r="KR18" s="1">
        <v>42</v>
      </c>
      <c r="KS18" s="1">
        <v>42</v>
      </c>
      <c r="KT18" s="1">
        <v>20949997.82</v>
      </c>
      <c r="KU18" s="1">
        <v>1</v>
      </c>
      <c r="KV18" s="1">
        <v>0</v>
      </c>
      <c r="KW18" s="1">
        <v>90</v>
      </c>
      <c r="KX18" s="1">
        <v>60003760</v>
      </c>
      <c r="KY18" s="1">
        <v>32767</v>
      </c>
      <c r="KZ18" s="1">
        <v>1</v>
      </c>
      <c r="LB18" s="1">
        <v>2775700885</v>
      </c>
      <c r="LC18" s="1">
        <v>9832</v>
      </c>
      <c r="LD18" s="1">
        <v>6560</v>
      </c>
      <c r="LE18" s="1">
        <v>6560</v>
      </c>
      <c r="LF18" s="1">
        <v>13000</v>
      </c>
      <c r="LG18" s="1">
        <v>1</v>
      </c>
      <c r="LH18" s="1">
        <v>0</v>
      </c>
      <c r="LI18" s="1">
        <v>90</v>
      </c>
      <c r="LJ18" s="1">
        <v>60003760</v>
      </c>
      <c r="LK18" s="1">
        <v>32767</v>
      </c>
      <c r="LL18" s="1">
        <v>0</v>
      </c>
      <c r="LN18" s="1">
        <v>2875352933</v>
      </c>
      <c r="LO18" s="1">
        <v>10209</v>
      </c>
      <c r="LP18" s="1">
        <v>3</v>
      </c>
      <c r="LQ18" s="1">
        <v>3</v>
      </c>
      <c r="LR18" s="1">
        <v>119000000</v>
      </c>
      <c r="LS18" s="1">
        <v>1</v>
      </c>
      <c r="LT18" s="1">
        <v>0</v>
      </c>
      <c r="LU18" s="1">
        <v>90</v>
      </c>
      <c r="LV18" s="1">
        <v>60003760</v>
      </c>
      <c r="LW18" s="1">
        <v>32767</v>
      </c>
      <c r="LX18" s="1">
        <v>1</v>
      </c>
      <c r="LZ18" s="1">
        <v>2876982851</v>
      </c>
      <c r="MA18" s="1">
        <v>10217</v>
      </c>
      <c r="MB18" s="1">
        <v>20</v>
      </c>
      <c r="MC18" s="1">
        <v>14</v>
      </c>
      <c r="MD18" s="1">
        <v>121999999</v>
      </c>
      <c r="ME18" s="1">
        <v>1</v>
      </c>
      <c r="MF18" s="1">
        <v>0</v>
      </c>
      <c r="MG18" s="1">
        <v>90</v>
      </c>
      <c r="MH18" s="1">
        <v>60003760</v>
      </c>
      <c r="MI18" s="1">
        <v>32767</v>
      </c>
      <c r="MJ18" s="1">
        <v>0</v>
      </c>
      <c r="ML18" s="1">
        <v>2543120631</v>
      </c>
      <c r="MM18" s="1">
        <v>25625</v>
      </c>
      <c r="MN18" s="1">
        <v>73</v>
      </c>
      <c r="MO18" s="1">
        <v>70</v>
      </c>
      <c r="MP18" s="1">
        <v>16928564.02</v>
      </c>
      <c r="MQ18" s="1">
        <v>1</v>
      </c>
      <c r="MR18" s="1">
        <v>0</v>
      </c>
      <c r="MS18" s="1">
        <v>90</v>
      </c>
      <c r="MT18" s="1">
        <v>60003760</v>
      </c>
      <c r="MU18" s="1">
        <v>32767</v>
      </c>
      <c r="MV18" s="1">
        <v>0</v>
      </c>
      <c r="MX18" s="1">
        <v>2862098737</v>
      </c>
      <c r="MY18" s="1">
        <v>16672</v>
      </c>
      <c r="MZ18" s="1">
        <v>5000000</v>
      </c>
      <c r="NA18" s="1">
        <v>5000000</v>
      </c>
      <c r="NB18" s="1">
        <v>175</v>
      </c>
      <c r="NC18" s="1">
        <v>1</v>
      </c>
      <c r="ND18" s="1">
        <v>0</v>
      </c>
      <c r="NE18" s="1">
        <v>90</v>
      </c>
      <c r="NF18" s="1">
        <v>60003760</v>
      </c>
      <c r="NG18" s="1">
        <v>32767</v>
      </c>
      <c r="NH18" s="1">
        <v>0</v>
      </c>
      <c r="NJ18" s="1">
        <v>2810276800</v>
      </c>
      <c r="NK18" s="1">
        <v>16673</v>
      </c>
      <c r="NL18" s="1">
        <v>9995880</v>
      </c>
      <c r="NM18" s="1">
        <v>9995880</v>
      </c>
      <c r="NN18" s="1">
        <v>169.99</v>
      </c>
      <c r="NO18" s="1">
        <v>1</v>
      </c>
      <c r="NP18" s="1">
        <v>0</v>
      </c>
      <c r="NQ18" s="1">
        <v>90</v>
      </c>
      <c r="NR18" s="1">
        <v>60003760</v>
      </c>
      <c r="NS18" s="1">
        <v>32767</v>
      </c>
      <c r="NT18" s="1">
        <v>6</v>
      </c>
      <c r="NV18" s="1">
        <v>2836633955</v>
      </c>
      <c r="NW18" s="1">
        <v>3689</v>
      </c>
      <c r="NX18" s="1">
        <v>1225</v>
      </c>
      <c r="NY18" s="1">
        <v>1225</v>
      </c>
      <c r="NZ18" s="1">
        <v>11845</v>
      </c>
      <c r="OA18" s="1">
        <v>1</v>
      </c>
      <c r="OB18" s="1">
        <v>0</v>
      </c>
      <c r="OC18" s="1">
        <v>90</v>
      </c>
      <c r="OD18" s="1">
        <v>60003760</v>
      </c>
      <c r="OE18" s="1">
        <v>32767</v>
      </c>
      <c r="OF18" s="1">
        <v>0</v>
      </c>
      <c r="OH18" s="1">
        <v>2857866737</v>
      </c>
      <c r="OI18" s="1">
        <v>25598</v>
      </c>
      <c r="OJ18" s="1">
        <v>5</v>
      </c>
      <c r="OK18" s="1">
        <v>5</v>
      </c>
      <c r="OL18" s="1">
        <v>140000</v>
      </c>
      <c r="OM18" s="1">
        <v>1</v>
      </c>
      <c r="ON18" s="1">
        <v>0</v>
      </c>
      <c r="OO18" s="1">
        <v>90</v>
      </c>
      <c r="OP18" s="1">
        <v>60004072</v>
      </c>
      <c r="OQ18" s="1">
        <v>32767</v>
      </c>
      <c r="OR18" s="1">
        <v>5</v>
      </c>
      <c r="OT18" s="1">
        <v>2819189161</v>
      </c>
      <c r="OU18" s="1">
        <v>25600</v>
      </c>
      <c r="OV18" s="1">
        <v>100000</v>
      </c>
      <c r="OW18" s="1">
        <v>62461</v>
      </c>
      <c r="OX18" s="1">
        <v>31999</v>
      </c>
      <c r="OY18" s="1">
        <v>1</v>
      </c>
      <c r="OZ18" s="1">
        <v>0</v>
      </c>
      <c r="PA18" s="1">
        <v>90</v>
      </c>
      <c r="PB18" s="1">
        <v>60003760</v>
      </c>
      <c r="PC18" s="1">
        <v>32767</v>
      </c>
      <c r="PD18" s="1">
        <v>0</v>
      </c>
      <c r="PF18" s="1">
        <v>2840070452</v>
      </c>
      <c r="PG18" s="1">
        <v>16670</v>
      </c>
      <c r="PH18" s="1">
        <v>1000000</v>
      </c>
      <c r="PI18" s="1">
        <v>1000000</v>
      </c>
      <c r="PJ18" s="1">
        <v>135</v>
      </c>
      <c r="PK18" s="1">
        <v>1</v>
      </c>
      <c r="PL18" s="1">
        <v>0</v>
      </c>
      <c r="PM18" s="1">
        <v>90</v>
      </c>
      <c r="PN18" s="1">
        <v>60003760</v>
      </c>
      <c r="PO18" s="1">
        <v>32767</v>
      </c>
      <c r="PP18" s="1">
        <v>7</v>
      </c>
      <c r="PR18" s="1">
        <v>2875351710</v>
      </c>
      <c r="PS18" s="1">
        <v>10222</v>
      </c>
      <c r="PT18" s="1">
        <v>3</v>
      </c>
      <c r="PU18" s="1">
        <v>3</v>
      </c>
      <c r="PV18" s="1">
        <v>119000000</v>
      </c>
      <c r="PW18" s="1">
        <v>1</v>
      </c>
      <c r="PX18" s="1">
        <v>0</v>
      </c>
      <c r="PY18" s="1">
        <v>90</v>
      </c>
      <c r="PZ18" s="1">
        <v>60003760</v>
      </c>
      <c r="QA18" s="1">
        <v>32767</v>
      </c>
      <c r="QB18" s="1">
        <v>0</v>
      </c>
      <c r="QD18" s="1">
        <v>2864037705</v>
      </c>
      <c r="QE18" s="1">
        <v>9830</v>
      </c>
      <c r="QF18" s="1">
        <v>608</v>
      </c>
      <c r="QG18" s="1">
        <v>608</v>
      </c>
      <c r="QH18" s="1">
        <v>8098.98</v>
      </c>
      <c r="QI18" s="1">
        <v>1</v>
      </c>
      <c r="QJ18" s="1">
        <v>0</v>
      </c>
      <c r="QK18" s="1">
        <v>90</v>
      </c>
      <c r="QL18" s="1">
        <v>60003760</v>
      </c>
      <c r="QM18" s="1">
        <v>32767</v>
      </c>
      <c r="QN18" s="1">
        <v>0</v>
      </c>
      <c r="QP18" s="1">
        <v>2862118578</v>
      </c>
      <c r="QQ18" s="1">
        <v>16671</v>
      </c>
      <c r="QR18" s="1">
        <v>5364816</v>
      </c>
      <c r="QS18" s="1">
        <v>5364816</v>
      </c>
      <c r="QT18" s="1">
        <v>124.49</v>
      </c>
      <c r="QU18" s="1">
        <v>1</v>
      </c>
      <c r="QV18" s="1">
        <v>0</v>
      </c>
      <c r="QW18" s="1">
        <v>90</v>
      </c>
      <c r="QX18" s="1">
        <v>60003760</v>
      </c>
      <c r="QY18" s="1">
        <v>32767</v>
      </c>
      <c r="QZ18" s="1">
        <v>7</v>
      </c>
      <c r="RB18" s="1">
        <v>2860688662</v>
      </c>
      <c r="RC18" s="1">
        <v>16682</v>
      </c>
      <c r="RD18" s="1">
        <v>500000</v>
      </c>
      <c r="RE18" s="1">
        <v>169818</v>
      </c>
      <c r="RF18" s="1">
        <v>3350.85</v>
      </c>
      <c r="RG18" s="1">
        <v>1</v>
      </c>
      <c r="RH18" s="1">
        <v>0</v>
      </c>
      <c r="RI18" s="1">
        <v>90</v>
      </c>
      <c r="RJ18" s="1">
        <v>60003760</v>
      </c>
      <c r="RK18" s="1">
        <v>32767</v>
      </c>
      <c r="RL18" s="1">
        <v>8</v>
      </c>
      <c r="RN18" s="1">
        <v>2865431288</v>
      </c>
      <c r="RO18" s="1">
        <v>16678</v>
      </c>
      <c r="RP18" s="1">
        <v>10000000</v>
      </c>
      <c r="RQ18" s="1">
        <v>10000000</v>
      </c>
      <c r="RR18" s="1">
        <v>297.43</v>
      </c>
      <c r="RS18" s="1">
        <v>1</v>
      </c>
      <c r="RT18" s="1">
        <v>0</v>
      </c>
      <c r="RU18" s="1">
        <v>7</v>
      </c>
      <c r="RV18" s="1">
        <v>60003760</v>
      </c>
      <c r="RW18" s="1">
        <v>32767</v>
      </c>
      <c r="RX18" s="1">
        <v>6</v>
      </c>
      <c r="RZ18" s="1">
        <v>2746942873</v>
      </c>
      <c r="SA18" s="1">
        <v>30310</v>
      </c>
      <c r="SB18" s="1">
        <v>2039</v>
      </c>
      <c r="SC18" s="1">
        <v>2039</v>
      </c>
      <c r="SD18" s="1">
        <v>1700000.01</v>
      </c>
      <c r="SE18" s="1">
        <v>1</v>
      </c>
      <c r="SF18" s="1">
        <v>0</v>
      </c>
      <c r="SG18" s="1">
        <v>90</v>
      </c>
      <c r="SH18" s="1">
        <v>60003760</v>
      </c>
      <c r="SI18" s="1">
        <v>32767</v>
      </c>
      <c r="SJ18" s="1">
        <v>0</v>
      </c>
      <c r="SL18" s="1">
        <v>2834358358</v>
      </c>
      <c r="SM18" s="1">
        <v>30311</v>
      </c>
      <c r="SN18" s="1">
        <v>1034</v>
      </c>
      <c r="SO18" s="1">
        <v>1034</v>
      </c>
      <c r="SP18" s="1">
        <v>4149999.11</v>
      </c>
      <c r="SQ18" s="1">
        <v>1</v>
      </c>
      <c r="SR18" s="1">
        <v>0</v>
      </c>
      <c r="SS18" s="1">
        <v>90</v>
      </c>
      <c r="ST18" s="1">
        <v>60003760</v>
      </c>
      <c r="SU18" s="1">
        <v>32767</v>
      </c>
      <c r="SV18" s="1">
        <v>0</v>
      </c>
      <c r="SX18" s="1">
        <v>2761354810</v>
      </c>
      <c r="SY18" s="1">
        <v>25595</v>
      </c>
      <c r="SZ18" s="1">
        <v>1370</v>
      </c>
      <c r="TA18" s="1">
        <v>1370</v>
      </c>
      <c r="TB18" s="1">
        <v>108898.99</v>
      </c>
      <c r="TC18" s="1">
        <v>1</v>
      </c>
      <c r="TD18" s="1">
        <v>0</v>
      </c>
      <c r="TE18" s="1">
        <v>90</v>
      </c>
      <c r="TF18" s="1">
        <v>60003760</v>
      </c>
      <c r="TG18" s="1">
        <v>32767</v>
      </c>
      <c r="TH18" s="1">
        <v>6</v>
      </c>
      <c r="TJ18" s="1">
        <v>2844634170</v>
      </c>
      <c r="TK18" s="1">
        <v>25606</v>
      </c>
      <c r="TL18" s="1">
        <v>13</v>
      </c>
      <c r="TM18" s="1">
        <v>13</v>
      </c>
      <c r="TN18" s="1">
        <v>30849</v>
      </c>
      <c r="TO18" s="1">
        <v>1</v>
      </c>
      <c r="TP18" s="1">
        <v>0</v>
      </c>
      <c r="TQ18" s="1">
        <v>90</v>
      </c>
      <c r="TR18" s="1">
        <v>60003760</v>
      </c>
      <c r="TS18" s="1">
        <v>32767</v>
      </c>
      <c r="TT18" s="1">
        <v>0</v>
      </c>
      <c r="TV18" s="1">
        <v>2855961159</v>
      </c>
      <c r="TW18" s="1">
        <v>25622</v>
      </c>
      <c r="TX18" s="1">
        <v>41</v>
      </c>
      <c r="TY18" s="1">
        <v>12</v>
      </c>
      <c r="TZ18" s="1">
        <v>15224997.960000001</v>
      </c>
      <c r="UA18" s="1">
        <v>1</v>
      </c>
      <c r="UB18" s="1">
        <v>0</v>
      </c>
      <c r="UC18" s="1">
        <v>90</v>
      </c>
      <c r="UD18" s="1">
        <v>60003760</v>
      </c>
      <c r="UE18" s="1">
        <v>32767</v>
      </c>
      <c r="UF18" s="1">
        <v>0</v>
      </c>
      <c r="UH18" s="1">
        <v>2864033336</v>
      </c>
      <c r="UI18" s="1">
        <v>16680</v>
      </c>
      <c r="UJ18" s="1">
        <v>3369963</v>
      </c>
      <c r="UK18" s="1">
        <v>2007848</v>
      </c>
      <c r="UL18" s="1">
        <v>743.66</v>
      </c>
      <c r="UM18" s="1">
        <v>1</v>
      </c>
      <c r="UN18" s="1">
        <v>0</v>
      </c>
      <c r="UO18" s="1">
        <v>90</v>
      </c>
      <c r="UP18" s="1">
        <v>60003760</v>
      </c>
      <c r="UQ18" s="1">
        <v>32767</v>
      </c>
      <c r="UR18" s="1">
        <v>6</v>
      </c>
      <c r="UT18" s="1">
        <v>2878166930</v>
      </c>
      <c r="UU18" s="1">
        <v>17317</v>
      </c>
      <c r="UV18" s="1">
        <v>24400</v>
      </c>
      <c r="UW18" s="1">
        <v>24400</v>
      </c>
      <c r="UX18" s="1">
        <v>28989</v>
      </c>
      <c r="UY18" s="1">
        <v>1</v>
      </c>
      <c r="UZ18" s="1">
        <v>0</v>
      </c>
      <c r="VA18" s="1">
        <v>90</v>
      </c>
      <c r="VB18" s="1">
        <v>60003760</v>
      </c>
      <c r="VC18" s="1">
        <v>32767</v>
      </c>
      <c r="VD18" s="1">
        <v>0</v>
      </c>
      <c r="VF18" s="1">
        <v>2798506430</v>
      </c>
      <c r="VG18" s="1">
        <v>11725</v>
      </c>
      <c r="VH18" s="1">
        <v>60000</v>
      </c>
      <c r="VI18" s="1">
        <v>52348</v>
      </c>
      <c r="VJ18" s="1">
        <v>47214.04</v>
      </c>
      <c r="VK18" s="1">
        <v>1</v>
      </c>
      <c r="VL18" s="1">
        <v>1</v>
      </c>
      <c r="VM18" s="1">
        <v>90</v>
      </c>
      <c r="VN18" s="1">
        <v>60003760</v>
      </c>
      <c r="VO18" s="1">
        <v>-1</v>
      </c>
      <c r="VP18" s="1">
        <v>0</v>
      </c>
    </row>
    <row r="19" spans="2:588" x14ac:dyDescent="0.25">
      <c r="B19" s="1">
        <v>2836492568</v>
      </c>
      <c r="C19" s="1">
        <v>34</v>
      </c>
      <c r="D19" s="1">
        <v>112702927</v>
      </c>
      <c r="E19" s="1">
        <v>112702927</v>
      </c>
      <c r="F19" s="1">
        <v>5.96</v>
      </c>
      <c r="G19" s="1">
        <v>1</v>
      </c>
      <c r="H19" s="1">
        <v>0</v>
      </c>
      <c r="I19" s="1">
        <v>90</v>
      </c>
      <c r="J19" s="1">
        <v>60003394</v>
      </c>
      <c r="K19" s="1">
        <v>32767</v>
      </c>
      <c r="L19" s="1">
        <v>5</v>
      </c>
      <c r="N19" s="1">
        <v>2855556739</v>
      </c>
      <c r="O19" s="1">
        <v>35</v>
      </c>
      <c r="P19" s="1">
        <v>2874</v>
      </c>
      <c r="Q19" s="1">
        <v>2874</v>
      </c>
      <c r="R19" s="1">
        <v>15.2</v>
      </c>
      <c r="S19" s="1">
        <v>1</v>
      </c>
      <c r="T19" s="1">
        <v>0</v>
      </c>
      <c r="U19" s="1">
        <v>90</v>
      </c>
      <c r="V19" s="1">
        <v>60000292</v>
      </c>
      <c r="W19" s="1">
        <v>32767</v>
      </c>
      <c r="X19" s="1">
        <v>5</v>
      </c>
      <c r="Z19" s="1">
        <v>2843083717</v>
      </c>
      <c r="AA19" s="1">
        <v>36</v>
      </c>
      <c r="AB19" s="1">
        <v>977</v>
      </c>
      <c r="AC19" s="1">
        <v>933</v>
      </c>
      <c r="AD19" s="16">
        <v>51.54</v>
      </c>
      <c r="AE19" s="1">
        <v>1</v>
      </c>
      <c r="AF19" s="1">
        <v>0</v>
      </c>
      <c r="AG19" s="1">
        <v>90</v>
      </c>
      <c r="AH19" s="1">
        <v>60003397</v>
      </c>
      <c r="AI19" s="1">
        <v>32767</v>
      </c>
      <c r="AJ19" s="1">
        <v>12</v>
      </c>
      <c r="AL19" s="1">
        <v>2753125197</v>
      </c>
      <c r="AM19" s="1">
        <v>37</v>
      </c>
      <c r="AN19" s="1">
        <v>228828</v>
      </c>
      <c r="AO19" s="1">
        <v>228828</v>
      </c>
      <c r="AP19" s="16">
        <v>170</v>
      </c>
      <c r="AQ19" s="1">
        <v>1</v>
      </c>
      <c r="AR19" s="1">
        <v>0</v>
      </c>
      <c r="AS19" s="1">
        <v>90</v>
      </c>
      <c r="AT19" s="1">
        <v>60003760</v>
      </c>
      <c r="AU19" s="1">
        <v>32767</v>
      </c>
      <c r="AV19" s="1">
        <v>9</v>
      </c>
      <c r="AX19" s="1">
        <v>2842944072</v>
      </c>
      <c r="AY19" s="1">
        <v>38</v>
      </c>
      <c r="AZ19" s="1">
        <v>761</v>
      </c>
      <c r="BA19" s="1">
        <v>761</v>
      </c>
      <c r="BB19" s="1">
        <v>870.86</v>
      </c>
      <c r="BC19" s="1">
        <v>1</v>
      </c>
      <c r="BD19" s="1">
        <v>0</v>
      </c>
      <c r="BE19" s="1">
        <v>30</v>
      </c>
      <c r="BF19" s="1">
        <v>60003760</v>
      </c>
      <c r="BG19" s="1">
        <v>32767</v>
      </c>
      <c r="BH19" s="1">
        <v>5</v>
      </c>
      <c r="BJ19" s="1">
        <v>2830498140</v>
      </c>
      <c r="BK19" s="1">
        <v>39</v>
      </c>
      <c r="BL19" s="1">
        <v>4000000</v>
      </c>
      <c r="BM19" s="1">
        <v>4000000</v>
      </c>
      <c r="BN19" s="1">
        <v>1000</v>
      </c>
      <c r="BO19" s="1">
        <v>1</v>
      </c>
      <c r="BP19" s="1">
        <v>0</v>
      </c>
      <c r="BQ19" s="1">
        <v>90</v>
      </c>
      <c r="BR19" s="1">
        <v>60003760</v>
      </c>
      <c r="BS19" s="1">
        <v>32767</v>
      </c>
      <c r="BT19" s="1">
        <v>5</v>
      </c>
      <c r="BV19" s="1">
        <v>2374496328</v>
      </c>
      <c r="BW19" s="1">
        <v>40</v>
      </c>
      <c r="BX19" s="1">
        <v>89386</v>
      </c>
      <c r="BY19" s="1">
        <v>59529</v>
      </c>
      <c r="BZ19" s="1">
        <v>2940</v>
      </c>
      <c r="CA19" s="1">
        <v>1</v>
      </c>
      <c r="CB19" s="1">
        <v>0</v>
      </c>
      <c r="CC19" s="1">
        <v>90</v>
      </c>
      <c r="CD19" s="1">
        <v>60003760</v>
      </c>
      <c r="CE19" s="1">
        <v>32767</v>
      </c>
      <c r="CF19" s="1">
        <v>13</v>
      </c>
      <c r="CH19" s="1">
        <v>2361446921</v>
      </c>
      <c r="CI19" s="1">
        <v>29668</v>
      </c>
      <c r="CJ19" s="1">
        <v>3</v>
      </c>
      <c r="CK19" s="1">
        <v>3</v>
      </c>
      <c r="CL19" s="1">
        <v>560000000</v>
      </c>
      <c r="CM19" s="1">
        <v>1</v>
      </c>
      <c r="CN19" s="1">
        <v>0</v>
      </c>
      <c r="CO19" s="1">
        <v>90</v>
      </c>
      <c r="CP19" s="1">
        <v>60003760</v>
      </c>
      <c r="CQ19" s="1">
        <v>32767</v>
      </c>
      <c r="CR19" s="1">
        <v>0</v>
      </c>
      <c r="CT19" s="1">
        <v>2387941940</v>
      </c>
      <c r="CU19" s="1">
        <v>16649</v>
      </c>
      <c r="CV19" s="1">
        <v>12848</v>
      </c>
      <c r="CW19" s="1">
        <v>12847</v>
      </c>
      <c r="CX19" s="1">
        <v>113449.92</v>
      </c>
      <c r="CY19" s="1">
        <v>1</v>
      </c>
      <c r="CZ19" s="1">
        <v>0</v>
      </c>
      <c r="DA19" s="1">
        <v>90</v>
      </c>
      <c r="DB19" s="1">
        <v>60003760</v>
      </c>
      <c r="DC19" s="1">
        <v>32767</v>
      </c>
      <c r="DD19" s="1">
        <v>8</v>
      </c>
      <c r="DF19" s="1">
        <v>2412475385</v>
      </c>
      <c r="DG19" s="1">
        <v>17887</v>
      </c>
      <c r="DH19" s="1">
        <v>5000000</v>
      </c>
      <c r="DI19" s="1">
        <v>5000000</v>
      </c>
      <c r="DJ19" s="1">
        <v>1200</v>
      </c>
      <c r="DK19" s="1">
        <v>1</v>
      </c>
      <c r="DL19" s="1">
        <v>0</v>
      </c>
      <c r="DM19" s="1">
        <v>90</v>
      </c>
      <c r="DN19" s="1">
        <v>60003760</v>
      </c>
      <c r="DO19" s="1">
        <v>32767</v>
      </c>
      <c r="DP19" s="1">
        <v>0</v>
      </c>
      <c r="DR19" s="1">
        <v>2858688088</v>
      </c>
      <c r="DS19" s="1">
        <v>17888</v>
      </c>
      <c r="DT19" s="1">
        <v>2063</v>
      </c>
      <c r="DU19" s="1">
        <v>63</v>
      </c>
      <c r="DV19" s="1">
        <v>344</v>
      </c>
      <c r="DW19" s="1">
        <v>1</v>
      </c>
      <c r="DX19" s="1">
        <v>0</v>
      </c>
      <c r="DY19" s="1">
        <v>90</v>
      </c>
      <c r="DZ19" s="1">
        <v>60003244</v>
      </c>
      <c r="EA19" s="1">
        <v>32767</v>
      </c>
      <c r="EB19" s="1">
        <v>7</v>
      </c>
      <c r="ED19" s="1">
        <v>2771440695</v>
      </c>
      <c r="EE19" s="1">
        <v>16273</v>
      </c>
      <c r="EF19" s="1">
        <v>3085234</v>
      </c>
      <c r="EG19" s="1">
        <v>3085234</v>
      </c>
      <c r="EH19" s="1">
        <v>396.46</v>
      </c>
      <c r="EI19" s="1">
        <v>1</v>
      </c>
      <c r="EJ19" s="1">
        <v>0</v>
      </c>
      <c r="EK19" s="1">
        <v>90</v>
      </c>
      <c r="EL19" s="1">
        <v>60003760</v>
      </c>
      <c r="EM19" s="1">
        <v>32767</v>
      </c>
      <c r="EN19" s="1">
        <v>6</v>
      </c>
      <c r="EP19" s="1">
        <v>2798243552</v>
      </c>
      <c r="EQ19" s="1">
        <v>17889</v>
      </c>
      <c r="ER19" s="1">
        <v>1100000</v>
      </c>
      <c r="ES19" s="1">
        <v>1100000</v>
      </c>
      <c r="ET19" s="1">
        <v>392.34</v>
      </c>
      <c r="EU19" s="1">
        <v>1</v>
      </c>
      <c r="EV19" s="1">
        <v>0</v>
      </c>
      <c r="EW19" s="1">
        <v>90</v>
      </c>
      <c r="EX19" s="1">
        <v>60003760</v>
      </c>
      <c r="EY19" s="1">
        <v>32767</v>
      </c>
      <c r="EZ19" s="1">
        <v>7</v>
      </c>
      <c r="FB19" s="1">
        <v>2873547416</v>
      </c>
      <c r="FC19" s="1">
        <v>30259</v>
      </c>
      <c r="FD19" s="1">
        <v>96</v>
      </c>
      <c r="FE19" s="1">
        <v>96</v>
      </c>
      <c r="FF19" s="1">
        <v>6987499.9800000004</v>
      </c>
      <c r="FG19" s="1">
        <v>1</v>
      </c>
      <c r="FH19" s="1">
        <v>0</v>
      </c>
      <c r="FI19" s="1">
        <v>90</v>
      </c>
      <c r="FJ19" s="1">
        <v>60003760</v>
      </c>
      <c r="FK19" s="1">
        <v>32767</v>
      </c>
      <c r="FL19" s="1">
        <v>0</v>
      </c>
      <c r="FN19" s="1">
        <v>2852059258</v>
      </c>
      <c r="FO19" s="1">
        <v>25617</v>
      </c>
      <c r="FP19" s="1">
        <v>13</v>
      </c>
      <c r="FQ19" s="1">
        <v>13</v>
      </c>
      <c r="FR19" s="1">
        <v>5289978</v>
      </c>
      <c r="FS19" s="1">
        <v>1</v>
      </c>
      <c r="FT19" s="1">
        <v>0</v>
      </c>
      <c r="FU19" s="1">
        <v>90</v>
      </c>
      <c r="FV19" s="1">
        <v>60003760</v>
      </c>
      <c r="FW19" s="1">
        <v>32767</v>
      </c>
      <c r="FX19" s="1">
        <v>0</v>
      </c>
      <c r="FZ19" s="1">
        <v>2858328550</v>
      </c>
      <c r="GA19" s="1">
        <v>44</v>
      </c>
      <c r="GB19" s="1">
        <v>24375</v>
      </c>
      <c r="GC19" s="1">
        <v>24375</v>
      </c>
      <c r="GD19" s="1">
        <v>13998.98</v>
      </c>
      <c r="GE19" s="1">
        <v>1</v>
      </c>
      <c r="GF19" s="1">
        <v>0</v>
      </c>
      <c r="GG19" s="1">
        <v>90</v>
      </c>
      <c r="GH19" s="1">
        <v>60003760</v>
      </c>
      <c r="GI19" s="1">
        <v>32767</v>
      </c>
      <c r="GJ19" s="1">
        <v>4</v>
      </c>
      <c r="GL19" s="1">
        <v>2411699145</v>
      </c>
      <c r="GM19" s="1">
        <v>16681</v>
      </c>
      <c r="GN19" s="1">
        <v>200000</v>
      </c>
      <c r="GO19" s="1">
        <v>200000</v>
      </c>
      <c r="GP19" s="1">
        <v>7000</v>
      </c>
      <c r="GQ19" s="1">
        <v>1</v>
      </c>
      <c r="GR19" s="1">
        <v>0</v>
      </c>
      <c r="GS19" s="1">
        <v>30</v>
      </c>
      <c r="GT19" s="1">
        <v>60003760</v>
      </c>
      <c r="GU19" s="1">
        <v>32767</v>
      </c>
      <c r="GV19" s="1">
        <v>0</v>
      </c>
      <c r="GX19" s="1">
        <v>2857189040</v>
      </c>
      <c r="GY19" s="1">
        <v>16683</v>
      </c>
      <c r="GZ19" s="1">
        <v>154000</v>
      </c>
      <c r="HA19" s="1">
        <v>154000</v>
      </c>
      <c r="HB19" s="1">
        <v>9690</v>
      </c>
      <c r="HC19" s="1">
        <v>1</v>
      </c>
      <c r="HD19" s="1">
        <v>0</v>
      </c>
      <c r="HE19" s="1">
        <v>30</v>
      </c>
      <c r="HF19" s="1">
        <v>60003760</v>
      </c>
      <c r="HG19" s="1">
        <v>32767</v>
      </c>
      <c r="HH19" s="1">
        <v>0</v>
      </c>
      <c r="HJ19" s="1">
        <v>2871429994</v>
      </c>
      <c r="HK19" s="1">
        <v>11724</v>
      </c>
      <c r="HL19" s="1">
        <v>47</v>
      </c>
      <c r="HM19" s="1">
        <v>47</v>
      </c>
      <c r="HN19" s="1">
        <v>41379.96</v>
      </c>
      <c r="HO19" s="1">
        <v>1</v>
      </c>
      <c r="HP19" s="1">
        <v>0</v>
      </c>
      <c r="HQ19" s="1">
        <v>90</v>
      </c>
      <c r="HR19" s="1">
        <v>60003466</v>
      </c>
      <c r="HS19" s="1">
        <v>32767</v>
      </c>
      <c r="HT19" s="1">
        <v>0</v>
      </c>
      <c r="HV19" s="1">
        <v>2813974738</v>
      </c>
      <c r="HW19" s="1">
        <v>16274</v>
      </c>
      <c r="HX19" s="1">
        <v>1568222</v>
      </c>
      <c r="HY19" s="1">
        <v>1568222</v>
      </c>
      <c r="HZ19" s="1">
        <v>377</v>
      </c>
      <c r="IA19" s="1">
        <v>1</v>
      </c>
      <c r="IB19" s="1">
        <v>0</v>
      </c>
      <c r="IC19" s="1">
        <v>90</v>
      </c>
      <c r="ID19" s="1">
        <v>60003760</v>
      </c>
      <c r="IE19" s="1">
        <v>32767</v>
      </c>
      <c r="IF19" s="1">
        <v>2</v>
      </c>
      <c r="IH19" s="1">
        <v>2878553586</v>
      </c>
      <c r="II19" s="1">
        <v>10213</v>
      </c>
      <c r="IJ19" s="1">
        <v>6</v>
      </c>
      <c r="IK19" s="1">
        <v>1</v>
      </c>
      <c r="IL19" s="1">
        <v>118999999</v>
      </c>
      <c r="IM19" s="1">
        <v>1</v>
      </c>
      <c r="IN19" s="1">
        <v>0</v>
      </c>
      <c r="IO19" s="1">
        <v>90</v>
      </c>
      <c r="IP19" s="1">
        <v>60003760</v>
      </c>
      <c r="IQ19" s="1">
        <v>32767</v>
      </c>
      <c r="IR19" s="1">
        <v>0</v>
      </c>
      <c r="IT19" s="1">
        <v>2810528629</v>
      </c>
      <c r="IU19" s="1">
        <v>16679</v>
      </c>
      <c r="IV19" s="1">
        <v>720000</v>
      </c>
      <c r="IW19" s="1">
        <v>720000</v>
      </c>
      <c r="IX19" s="1">
        <v>1800</v>
      </c>
      <c r="IY19" s="1">
        <v>1</v>
      </c>
      <c r="IZ19" s="1">
        <v>0</v>
      </c>
      <c r="JA19" s="1">
        <v>90</v>
      </c>
      <c r="JB19" s="1">
        <v>60003760</v>
      </c>
      <c r="JC19" s="1">
        <v>32767</v>
      </c>
      <c r="JD19" s="1">
        <v>0</v>
      </c>
      <c r="JF19" s="1">
        <v>2778065870</v>
      </c>
      <c r="JG19" s="1">
        <v>16272</v>
      </c>
      <c r="JH19" s="1">
        <v>9611</v>
      </c>
      <c r="JI19" s="1">
        <v>9611</v>
      </c>
      <c r="JJ19" s="1">
        <v>86.21</v>
      </c>
      <c r="JK19" s="1">
        <v>1</v>
      </c>
      <c r="JL19" s="1">
        <v>0</v>
      </c>
      <c r="JM19" s="1">
        <v>90</v>
      </c>
      <c r="JN19" s="1">
        <v>60003760</v>
      </c>
      <c r="JO19" s="1">
        <v>32767</v>
      </c>
      <c r="JP19" s="1">
        <v>6</v>
      </c>
      <c r="JR19" s="1">
        <v>2875361128</v>
      </c>
      <c r="JS19" s="1">
        <v>10226</v>
      </c>
      <c r="JT19" s="1">
        <v>3</v>
      </c>
      <c r="JU19" s="1">
        <v>3</v>
      </c>
      <c r="JV19" s="1">
        <v>119000000</v>
      </c>
      <c r="JW19" s="1">
        <v>1</v>
      </c>
      <c r="JX19" s="1">
        <v>0</v>
      </c>
      <c r="JY19" s="1">
        <v>90</v>
      </c>
      <c r="JZ19" s="1">
        <v>60003760</v>
      </c>
      <c r="KA19" s="1">
        <v>32767</v>
      </c>
      <c r="KB19" s="1">
        <v>1</v>
      </c>
      <c r="KD19" s="1">
        <v>2789543414</v>
      </c>
      <c r="KE19" s="1">
        <v>25605</v>
      </c>
      <c r="KF19" s="1">
        <v>45804</v>
      </c>
      <c r="KG19" s="1">
        <v>45804</v>
      </c>
      <c r="KH19" s="1">
        <v>149900</v>
      </c>
      <c r="KI19" s="1">
        <v>1</v>
      </c>
      <c r="KJ19" s="1">
        <v>0</v>
      </c>
      <c r="KK19" s="1">
        <v>90</v>
      </c>
      <c r="KL19" s="1">
        <v>60003760</v>
      </c>
      <c r="KM19" s="1">
        <v>32767</v>
      </c>
      <c r="KN19" s="1">
        <v>6</v>
      </c>
      <c r="KP19" s="1">
        <v>2804765588</v>
      </c>
      <c r="KQ19" s="1">
        <v>25624</v>
      </c>
      <c r="KR19" s="1">
        <v>6</v>
      </c>
      <c r="KS19" s="1">
        <v>6</v>
      </c>
      <c r="KT19" s="1">
        <v>20850000</v>
      </c>
      <c r="KU19" s="1">
        <v>1</v>
      </c>
      <c r="KV19" s="1">
        <v>0</v>
      </c>
      <c r="KW19" s="1">
        <v>90</v>
      </c>
      <c r="KX19" s="1">
        <v>60003760</v>
      </c>
      <c r="KY19" s="1">
        <v>32767</v>
      </c>
      <c r="KZ19" s="1">
        <v>1</v>
      </c>
      <c r="LB19" s="1">
        <v>2776867001</v>
      </c>
      <c r="LC19" s="1">
        <v>9832</v>
      </c>
      <c r="LD19" s="1">
        <v>19526</v>
      </c>
      <c r="LE19" s="1">
        <v>19526</v>
      </c>
      <c r="LF19" s="1">
        <v>11000</v>
      </c>
      <c r="LG19" s="1">
        <v>1</v>
      </c>
      <c r="LH19" s="1">
        <v>0</v>
      </c>
      <c r="LI19" s="1">
        <v>90</v>
      </c>
      <c r="LJ19" s="1">
        <v>60003760</v>
      </c>
      <c r="LK19" s="1">
        <v>32767</v>
      </c>
      <c r="LL19" s="1">
        <v>0</v>
      </c>
      <c r="LN19" s="1">
        <v>2875353068</v>
      </c>
      <c r="LO19" s="1">
        <v>10209</v>
      </c>
      <c r="LP19" s="1">
        <v>3</v>
      </c>
      <c r="LQ19" s="1">
        <v>3</v>
      </c>
      <c r="LR19" s="1">
        <v>119000000</v>
      </c>
      <c r="LS19" s="1">
        <v>1</v>
      </c>
      <c r="LT19" s="1">
        <v>0</v>
      </c>
      <c r="LU19" s="1">
        <v>90</v>
      </c>
      <c r="LV19" s="1">
        <v>60003760</v>
      </c>
      <c r="LW19" s="1">
        <v>32767</v>
      </c>
      <c r="LX19" s="1">
        <v>1</v>
      </c>
      <c r="LZ19" s="1">
        <v>2877216711</v>
      </c>
      <c r="MA19" s="1">
        <v>10217</v>
      </c>
      <c r="MB19" s="1">
        <v>1</v>
      </c>
      <c r="MC19" s="1">
        <v>1</v>
      </c>
      <c r="MD19" s="1">
        <v>121999997.98</v>
      </c>
      <c r="ME19" s="1">
        <v>1</v>
      </c>
      <c r="MF19" s="1">
        <v>0</v>
      </c>
      <c r="MG19" s="1">
        <v>90</v>
      </c>
      <c r="MH19" s="1">
        <v>60003760</v>
      </c>
      <c r="MI19" s="1">
        <v>32767</v>
      </c>
      <c r="MJ19" s="1">
        <v>0</v>
      </c>
      <c r="ML19" s="1">
        <v>2868821063</v>
      </c>
      <c r="MM19" s="1">
        <v>25625</v>
      </c>
      <c r="MN19" s="1">
        <v>1</v>
      </c>
      <c r="MO19" s="1">
        <v>1</v>
      </c>
      <c r="MP19" s="1">
        <v>4598000.3099999996</v>
      </c>
      <c r="MQ19" s="1">
        <v>1</v>
      </c>
      <c r="MR19" s="1">
        <v>0</v>
      </c>
      <c r="MS19" s="1">
        <v>90</v>
      </c>
      <c r="MT19" s="1">
        <v>60003760</v>
      </c>
      <c r="MU19" s="1">
        <v>32767</v>
      </c>
      <c r="MV19" s="1">
        <v>0</v>
      </c>
      <c r="MX19" s="1">
        <v>2862097354</v>
      </c>
      <c r="MY19" s="1">
        <v>16672</v>
      </c>
      <c r="MZ19" s="1">
        <v>5000000</v>
      </c>
      <c r="NA19" s="1">
        <v>5000000</v>
      </c>
      <c r="NB19" s="1">
        <v>178</v>
      </c>
      <c r="NC19" s="1">
        <v>1</v>
      </c>
      <c r="ND19" s="1">
        <v>0</v>
      </c>
      <c r="NE19" s="1">
        <v>90</v>
      </c>
      <c r="NF19" s="1">
        <v>60003760</v>
      </c>
      <c r="NG19" s="1">
        <v>32767</v>
      </c>
      <c r="NH19" s="1">
        <v>0</v>
      </c>
      <c r="NJ19" s="1">
        <v>2810261838</v>
      </c>
      <c r="NK19" s="1">
        <v>16673</v>
      </c>
      <c r="NL19" s="1">
        <v>10000000</v>
      </c>
      <c r="NM19" s="1">
        <v>10000000</v>
      </c>
      <c r="NN19" s="1">
        <v>170</v>
      </c>
      <c r="NO19" s="1">
        <v>1</v>
      </c>
      <c r="NP19" s="1">
        <v>0</v>
      </c>
      <c r="NQ19" s="1">
        <v>90</v>
      </c>
      <c r="NR19" s="1">
        <v>60003760</v>
      </c>
      <c r="NS19" s="1">
        <v>32767</v>
      </c>
      <c r="NT19" s="1">
        <v>6</v>
      </c>
      <c r="NV19" s="1">
        <v>2838089218</v>
      </c>
      <c r="NW19" s="1">
        <v>3689</v>
      </c>
      <c r="NX19" s="1">
        <v>7804</v>
      </c>
      <c r="NY19" s="1">
        <v>7804</v>
      </c>
      <c r="NZ19" s="1">
        <v>11198.98</v>
      </c>
      <c r="OA19" s="1">
        <v>1</v>
      </c>
      <c r="OB19" s="1">
        <v>0</v>
      </c>
      <c r="OC19" s="1">
        <v>90</v>
      </c>
      <c r="OD19" s="1">
        <v>60003760</v>
      </c>
      <c r="OE19" s="1">
        <v>32767</v>
      </c>
      <c r="OF19" s="1">
        <v>0</v>
      </c>
      <c r="OH19" s="1">
        <v>2838245492</v>
      </c>
      <c r="OI19" s="1">
        <v>25598</v>
      </c>
      <c r="OJ19" s="1">
        <v>91</v>
      </c>
      <c r="OK19" s="1">
        <v>1</v>
      </c>
      <c r="OL19" s="1">
        <v>139980</v>
      </c>
      <c r="OM19" s="1">
        <v>1</v>
      </c>
      <c r="ON19" s="1">
        <v>0</v>
      </c>
      <c r="OO19" s="1">
        <v>90</v>
      </c>
      <c r="OP19" s="1">
        <v>60000448</v>
      </c>
      <c r="OQ19" s="1">
        <v>32767</v>
      </c>
      <c r="OR19" s="1">
        <v>2</v>
      </c>
      <c r="OT19" s="1">
        <v>2818698574</v>
      </c>
      <c r="OU19" s="1">
        <v>25600</v>
      </c>
      <c r="OV19" s="1">
        <v>4752</v>
      </c>
      <c r="OW19" s="1">
        <v>4340</v>
      </c>
      <c r="OX19" s="1">
        <v>32495</v>
      </c>
      <c r="OY19" s="1">
        <v>1</v>
      </c>
      <c r="OZ19" s="1">
        <v>0</v>
      </c>
      <c r="PA19" s="1">
        <v>90</v>
      </c>
      <c r="PB19" s="1">
        <v>60003760</v>
      </c>
      <c r="PC19" s="1">
        <v>32767</v>
      </c>
      <c r="PD19" s="1">
        <v>0</v>
      </c>
      <c r="PF19" s="1">
        <v>2840070677</v>
      </c>
      <c r="PG19" s="1">
        <v>16670</v>
      </c>
      <c r="PH19" s="1">
        <v>1000000</v>
      </c>
      <c r="PI19" s="1">
        <v>1000000</v>
      </c>
      <c r="PJ19" s="1">
        <v>138</v>
      </c>
      <c r="PK19" s="1">
        <v>1</v>
      </c>
      <c r="PL19" s="1">
        <v>0</v>
      </c>
      <c r="PM19" s="1">
        <v>90</v>
      </c>
      <c r="PN19" s="1">
        <v>60003760</v>
      </c>
      <c r="PO19" s="1">
        <v>32767</v>
      </c>
      <c r="PP19" s="1">
        <v>7</v>
      </c>
      <c r="PR19" s="1">
        <v>2875350353</v>
      </c>
      <c r="PS19" s="1">
        <v>10222</v>
      </c>
      <c r="PT19" s="1">
        <v>4</v>
      </c>
      <c r="PU19" s="1">
        <v>4</v>
      </c>
      <c r="PV19" s="1">
        <v>119000000</v>
      </c>
      <c r="PW19" s="1">
        <v>1</v>
      </c>
      <c r="PX19" s="1">
        <v>0</v>
      </c>
      <c r="PY19" s="1">
        <v>90</v>
      </c>
      <c r="PZ19" s="1">
        <v>60003760</v>
      </c>
      <c r="QA19" s="1">
        <v>32767</v>
      </c>
      <c r="QB19" s="1">
        <v>0</v>
      </c>
      <c r="QD19" s="1">
        <v>2862008982</v>
      </c>
      <c r="QE19" s="1">
        <v>9830</v>
      </c>
      <c r="QF19" s="1">
        <v>75000</v>
      </c>
      <c r="QG19" s="1">
        <v>19962</v>
      </c>
      <c r="QH19" s="1">
        <v>7649.98</v>
      </c>
      <c r="QI19" s="1">
        <v>1</v>
      </c>
      <c r="QJ19" s="1">
        <v>0</v>
      </c>
      <c r="QK19" s="1">
        <v>90</v>
      </c>
      <c r="QL19" s="1">
        <v>60003760</v>
      </c>
      <c r="QM19" s="1">
        <v>32767</v>
      </c>
      <c r="QN19" s="1">
        <v>0</v>
      </c>
      <c r="QP19" s="1">
        <v>2862108968</v>
      </c>
      <c r="QQ19" s="1">
        <v>16671</v>
      </c>
      <c r="QR19" s="1">
        <v>5497318</v>
      </c>
      <c r="QS19" s="1">
        <v>5497318</v>
      </c>
      <c r="QT19" s="1">
        <v>124.52</v>
      </c>
      <c r="QU19" s="1">
        <v>1</v>
      </c>
      <c r="QV19" s="1">
        <v>0</v>
      </c>
      <c r="QW19" s="1">
        <v>90</v>
      </c>
      <c r="QX19" s="1">
        <v>60003760</v>
      </c>
      <c r="QY19" s="1">
        <v>32767</v>
      </c>
      <c r="QZ19" s="1">
        <v>7</v>
      </c>
      <c r="RB19" s="1">
        <v>2726196495</v>
      </c>
      <c r="RC19" s="1">
        <v>16682</v>
      </c>
      <c r="RD19" s="1">
        <v>50000</v>
      </c>
      <c r="RE19" s="1">
        <v>50000</v>
      </c>
      <c r="RF19" s="1">
        <v>4238.93</v>
      </c>
      <c r="RG19" s="1">
        <v>1</v>
      </c>
      <c r="RH19" s="1">
        <v>0</v>
      </c>
      <c r="RI19" s="1">
        <v>90</v>
      </c>
      <c r="RJ19" s="1">
        <v>60003760</v>
      </c>
      <c r="RK19" s="1">
        <v>32767</v>
      </c>
      <c r="RL19" s="1">
        <v>8</v>
      </c>
      <c r="RN19" s="1">
        <v>2870409552</v>
      </c>
      <c r="RO19" s="1">
        <v>16678</v>
      </c>
      <c r="RP19" s="1">
        <v>12442551</v>
      </c>
      <c r="RQ19" s="1">
        <v>50087</v>
      </c>
      <c r="RR19" s="1">
        <v>297.39999999999998</v>
      </c>
      <c r="RS19" s="1">
        <v>1</v>
      </c>
      <c r="RT19" s="1">
        <v>0</v>
      </c>
      <c r="RU19" s="1">
        <v>90</v>
      </c>
      <c r="RV19" s="1">
        <v>60003760</v>
      </c>
      <c r="RW19" s="1">
        <v>32767</v>
      </c>
      <c r="RX19" s="1">
        <v>6</v>
      </c>
      <c r="RZ19" s="1">
        <v>2749538450</v>
      </c>
      <c r="SA19" s="1">
        <v>30310</v>
      </c>
      <c r="SB19" s="1">
        <v>1161</v>
      </c>
      <c r="SC19" s="1">
        <v>1161</v>
      </c>
      <c r="SD19" s="1">
        <v>1700000.01</v>
      </c>
      <c r="SE19" s="1">
        <v>1</v>
      </c>
      <c r="SF19" s="1">
        <v>0</v>
      </c>
      <c r="SG19" s="1">
        <v>90</v>
      </c>
      <c r="SH19" s="1">
        <v>60003760</v>
      </c>
      <c r="SI19" s="1">
        <v>32767</v>
      </c>
      <c r="SJ19" s="1">
        <v>0</v>
      </c>
      <c r="SL19" s="1">
        <v>2843520038</v>
      </c>
      <c r="SM19" s="1">
        <v>30311</v>
      </c>
      <c r="SN19" s="1">
        <v>548</v>
      </c>
      <c r="SO19" s="1">
        <v>548</v>
      </c>
      <c r="SP19" s="1">
        <v>3399888.69</v>
      </c>
      <c r="SQ19" s="1">
        <v>1</v>
      </c>
      <c r="SR19" s="1">
        <v>0</v>
      </c>
      <c r="SS19" s="1">
        <v>90</v>
      </c>
      <c r="ST19" s="1">
        <v>60003760</v>
      </c>
      <c r="SU19" s="1">
        <v>32767</v>
      </c>
      <c r="SV19" s="1">
        <v>0</v>
      </c>
      <c r="SX19" s="1">
        <v>2761809035</v>
      </c>
      <c r="SY19" s="1">
        <v>25595</v>
      </c>
      <c r="SZ19" s="1">
        <v>687</v>
      </c>
      <c r="TA19" s="1">
        <v>277</v>
      </c>
      <c r="TB19" s="1">
        <v>108676.96</v>
      </c>
      <c r="TC19" s="1">
        <v>1</v>
      </c>
      <c r="TD19" s="1">
        <v>0</v>
      </c>
      <c r="TE19" s="1">
        <v>90</v>
      </c>
      <c r="TF19" s="1">
        <v>60003760</v>
      </c>
      <c r="TG19" s="1">
        <v>32767</v>
      </c>
      <c r="TH19" s="1">
        <v>6</v>
      </c>
      <c r="TJ19" s="1">
        <v>2844846763</v>
      </c>
      <c r="TK19" s="1">
        <v>25606</v>
      </c>
      <c r="TL19" s="1">
        <v>545</v>
      </c>
      <c r="TM19" s="1">
        <v>545</v>
      </c>
      <c r="TN19" s="1">
        <v>30499.99</v>
      </c>
      <c r="TO19" s="1">
        <v>1</v>
      </c>
      <c r="TP19" s="1">
        <v>0</v>
      </c>
      <c r="TQ19" s="1">
        <v>90</v>
      </c>
      <c r="TR19" s="1">
        <v>60003760</v>
      </c>
      <c r="TS19" s="1">
        <v>32767</v>
      </c>
      <c r="TT19" s="1">
        <v>0</v>
      </c>
      <c r="TV19" s="1">
        <v>2854818727</v>
      </c>
      <c r="TW19" s="1">
        <v>25622</v>
      </c>
      <c r="TX19" s="1">
        <v>8</v>
      </c>
      <c r="TY19" s="1">
        <v>8</v>
      </c>
      <c r="TZ19" s="1">
        <v>16800000</v>
      </c>
      <c r="UA19" s="1">
        <v>1</v>
      </c>
      <c r="UB19" s="1">
        <v>0</v>
      </c>
      <c r="UC19" s="1">
        <v>90</v>
      </c>
      <c r="UD19" s="1">
        <v>60003466</v>
      </c>
      <c r="UE19" s="1">
        <v>32767</v>
      </c>
      <c r="UF19" s="1">
        <v>0</v>
      </c>
      <c r="UH19" s="1">
        <v>2861799615</v>
      </c>
      <c r="UI19" s="1">
        <v>16680</v>
      </c>
      <c r="UJ19" s="1">
        <v>1000000</v>
      </c>
      <c r="UK19" s="1">
        <v>959325</v>
      </c>
      <c r="UL19" s="1">
        <v>719</v>
      </c>
      <c r="UM19" s="1">
        <v>1</v>
      </c>
      <c r="UN19" s="1">
        <v>0</v>
      </c>
      <c r="UO19" s="1">
        <v>90</v>
      </c>
      <c r="UP19" s="1">
        <v>60003760</v>
      </c>
      <c r="UQ19" s="1">
        <v>32767</v>
      </c>
      <c r="UR19" s="1">
        <v>6</v>
      </c>
      <c r="UT19" s="1">
        <v>2877229725</v>
      </c>
      <c r="UU19" s="1">
        <v>17317</v>
      </c>
      <c r="UV19" s="1">
        <v>36800</v>
      </c>
      <c r="UW19" s="1">
        <v>36800</v>
      </c>
      <c r="UX19" s="1">
        <v>30939</v>
      </c>
      <c r="UY19" s="1">
        <v>1</v>
      </c>
      <c r="UZ19" s="1">
        <v>0</v>
      </c>
      <c r="VA19" s="1">
        <v>14</v>
      </c>
      <c r="VB19" s="1">
        <v>60003760</v>
      </c>
      <c r="VC19" s="1">
        <v>32767</v>
      </c>
      <c r="VD19" s="1">
        <v>0</v>
      </c>
      <c r="VF19" s="1">
        <v>2782540876</v>
      </c>
      <c r="VG19" s="1">
        <v>11725</v>
      </c>
      <c r="VH19" s="1">
        <v>10000</v>
      </c>
      <c r="VI19" s="1">
        <v>9839</v>
      </c>
      <c r="VJ19" s="1">
        <v>47200</v>
      </c>
      <c r="VK19" s="1">
        <v>1</v>
      </c>
      <c r="VL19" s="1">
        <v>1</v>
      </c>
      <c r="VM19" s="1">
        <v>90</v>
      </c>
      <c r="VN19" s="1">
        <v>60003760</v>
      </c>
      <c r="VO19" s="1">
        <v>-1</v>
      </c>
      <c r="VP19" s="1">
        <v>0</v>
      </c>
    </row>
    <row r="20" spans="2:588" x14ac:dyDescent="0.25">
      <c r="B20" s="1">
        <v>2876129277</v>
      </c>
      <c r="C20" s="1">
        <v>34</v>
      </c>
      <c r="D20" s="1">
        <v>14019</v>
      </c>
      <c r="E20" s="1">
        <v>14019</v>
      </c>
      <c r="F20" s="1">
        <v>5.6</v>
      </c>
      <c r="G20" s="1">
        <v>1</v>
      </c>
      <c r="H20" s="1">
        <v>0</v>
      </c>
      <c r="I20" s="1">
        <v>3</v>
      </c>
      <c r="J20" s="1">
        <v>60004234</v>
      </c>
      <c r="K20" s="1">
        <v>32767</v>
      </c>
      <c r="L20" s="1">
        <v>5</v>
      </c>
      <c r="N20" s="1">
        <v>2876963877</v>
      </c>
      <c r="O20" s="1">
        <v>35</v>
      </c>
      <c r="P20" s="1">
        <v>1094682</v>
      </c>
      <c r="Q20" s="1">
        <v>1094682</v>
      </c>
      <c r="R20" s="1">
        <v>14.75</v>
      </c>
      <c r="S20" s="1">
        <v>1</v>
      </c>
      <c r="T20" s="1">
        <v>0</v>
      </c>
      <c r="U20" s="1">
        <v>90</v>
      </c>
      <c r="V20" s="1">
        <v>60003244</v>
      </c>
      <c r="W20" s="1">
        <v>32767</v>
      </c>
      <c r="X20" s="1">
        <v>5</v>
      </c>
      <c r="Z20" s="1">
        <v>2876377725</v>
      </c>
      <c r="AA20" s="1">
        <v>36</v>
      </c>
      <c r="AB20" s="1">
        <v>2165013</v>
      </c>
      <c r="AC20" s="1">
        <v>1977387</v>
      </c>
      <c r="AD20" s="16">
        <v>47.87</v>
      </c>
      <c r="AE20" s="1">
        <v>1</v>
      </c>
      <c r="AF20" s="1">
        <v>0</v>
      </c>
      <c r="AG20" s="1">
        <v>3</v>
      </c>
      <c r="AH20" s="1">
        <v>60003397</v>
      </c>
      <c r="AI20" s="1">
        <v>32767</v>
      </c>
      <c r="AJ20" s="1">
        <v>12</v>
      </c>
      <c r="AL20" s="1">
        <v>2754215587</v>
      </c>
      <c r="AM20" s="1">
        <v>37</v>
      </c>
      <c r="AN20" s="1">
        <v>967</v>
      </c>
      <c r="AO20" s="1">
        <v>967</v>
      </c>
      <c r="AP20" s="16">
        <v>170</v>
      </c>
      <c r="AQ20" s="1">
        <v>1</v>
      </c>
      <c r="AR20" s="1">
        <v>0</v>
      </c>
      <c r="AS20" s="1">
        <v>90</v>
      </c>
      <c r="AT20" s="1">
        <v>60003760</v>
      </c>
      <c r="AU20" s="1">
        <v>32767</v>
      </c>
      <c r="AV20" s="1">
        <v>9</v>
      </c>
      <c r="AX20" s="1">
        <v>2839929107</v>
      </c>
      <c r="AY20" s="1">
        <v>38</v>
      </c>
      <c r="AZ20" s="1">
        <v>1000000</v>
      </c>
      <c r="BA20" s="1">
        <v>1000000</v>
      </c>
      <c r="BB20" s="1">
        <v>850</v>
      </c>
      <c r="BC20" s="1">
        <v>1</v>
      </c>
      <c r="BD20" s="1">
        <v>0</v>
      </c>
      <c r="BE20" s="1">
        <v>90</v>
      </c>
      <c r="BF20" s="1">
        <v>60003760</v>
      </c>
      <c r="BG20" s="1">
        <v>32767</v>
      </c>
      <c r="BH20" s="1">
        <v>5</v>
      </c>
      <c r="BJ20" s="1">
        <v>2830830844</v>
      </c>
      <c r="BK20" s="1">
        <v>39</v>
      </c>
      <c r="BL20" s="1">
        <v>491749</v>
      </c>
      <c r="BM20" s="1">
        <v>259851</v>
      </c>
      <c r="BN20" s="1">
        <v>847</v>
      </c>
      <c r="BO20" s="1">
        <v>1</v>
      </c>
      <c r="BP20" s="1">
        <v>0</v>
      </c>
      <c r="BQ20" s="1">
        <v>90</v>
      </c>
      <c r="BR20" s="1">
        <v>60003760</v>
      </c>
      <c r="BS20" s="1">
        <v>32767</v>
      </c>
      <c r="BT20" s="1">
        <v>5</v>
      </c>
      <c r="BV20" s="1">
        <v>2374418993</v>
      </c>
      <c r="BW20" s="1">
        <v>40</v>
      </c>
      <c r="BX20" s="1">
        <v>19254</v>
      </c>
      <c r="BY20" s="1">
        <v>19254</v>
      </c>
      <c r="BZ20" s="1">
        <v>2943.65</v>
      </c>
      <c r="CA20" s="1">
        <v>1</v>
      </c>
      <c r="CB20" s="1">
        <v>0</v>
      </c>
      <c r="CC20" s="1">
        <v>90</v>
      </c>
      <c r="CD20" s="1">
        <v>60003760</v>
      </c>
      <c r="CE20" s="1">
        <v>32767</v>
      </c>
      <c r="CF20" s="1">
        <v>13</v>
      </c>
      <c r="CH20" s="1">
        <v>2368921855</v>
      </c>
      <c r="CI20" s="1">
        <v>29668</v>
      </c>
      <c r="CJ20" s="1">
        <v>4</v>
      </c>
      <c r="CK20" s="1">
        <v>4</v>
      </c>
      <c r="CL20" s="1">
        <v>545000000</v>
      </c>
      <c r="CM20" s="1">
        <v>1</v>
      </c>
      <c r="CN20" s="1">
        <v>0</v>
      </c>
      <c r="CO20" s="1">
        <v>90</v>
      </c>
      <c r="CP20" s="1">
        <v>60003760</v>
      </c>
      <c r="CQ20" s="1">
        <v>32767</v>
      </c>
      <c r="CR20" s="1">
        <v>0</v>
      </c>
      <c r="CT20" s="1">
        <v>2389725403</v>
      </c>
      <c r="CU20" s="1">
        <v>16649</v>
      </c>
      <c r="CV20" s="1">
        <v>10000</v>
      </c>
      <c r="CW20" s="1">
        <v>10000</v>
      </c>
      <c r="CX20" s="1">
        <v>111415</v>
      </c>
      <c r="CY20" s="1">
        <v>1</v>
      </c>
      <c r="CZ20" s="1">
        <v>0</v>
      </c>
      <c r="DA20" s="1">
        <v>90</v>
      </c>
      <c r="DB20" s="1">
        <v>60003760</v>
      </c>
      <c r="DC20" s="1">
        <v>32767</v>
      </c>
      <c r="DD20" s="1">
        <v>8</v>
      </c>
      <c r="DF20" s="1">
        <v>2412712496</v>
      </c>
      <c r="DG20" s="1">
        <v>17887</v>
      </c>
      <c r="DH20" s="1">
        <v>1100000</v>
      </c>
      <c r="DI20" s="1">
        <v>1100000</v>
      </c>
      <c r="DJ20" s="1">
        <v>1199.42</v>
      </c>
      <c r="DK20" s="1">
        <v>1</v>
      </c>
      <c r="DL20" s="1">
        <v>0</v>
      </c>
      <c r="DM20" s="1">
        <v>7</v>
      </c>
      <c r="DN20" s="1">
        <v>60003760</v>
      </c>
      <c r="DO20" s="1">
        <v>32767</v>
      </c>
      <c r="DP20" s="1">
        <v>0</v>
      </c>
      <c r="DR20" s="1">
        <v>2819247839</v>
      </c>
      <c r="DS20" s="1">
        <v>17888</v>
      </c>
      <c r="DT20" s="1">
        <v>201600</v>
      </c>
      <c r="DU20" s="1">
        <v>201600</v>
      </c>
      <c r="DV20" s="1">
        <v>373</v>
      </c>
      <c r="DW20" s="1">
        <v>1</v>
      </c>
      <c r="DX20" s="1">
        <v>0</v>
      </c>
      <c r="DY20" s="1">
        <v>90</v>
      </c>
      <c r="DZ20" s="1">
        <v>60004234</v>
      </c>
      <c r="EA20" s="1">
        <v>32767</v>
      </c>
      <c r="EB20" s="1">
        <v>9</v>
      </c>
      <c r="ED20" s="1">
        <v>2771007518</v>
      </c>
      <c r="EE20" s="1">
        <v>16273</v>
      </c>
      <c r="EF20" s="1">
        <v>559225</v>
      </c>
      <c r="EG20" s="1">
        <v>559225</v>
      </c>
      <c r="EH20" s="1">
        <v>397.99</v>
      </c>
      <c r="EI20" s="1">
        <v>1</v>
      </c>
      <c r="EJ20" s="1">
        <v>0</v>
      </c>
      <c r="EK20" s="1">
        <v>90</v>
      </c>
      <c r="EL20" s="1">
        <v>60003760</v>
      </c>
      <c r="EM20" s="1">
        <v>32767</v>
      </c>
      <c r="EN20" s="1">
        <v>6</v>
      </c>
      <c r="EP20" s="1">
        <v>2841552673</v>
      </c>
      <c r="EQ20" s="1">
        <v>17889</v>
      </c>
      <c r="ER20" s="1">
        <v>2000000</v>
      </c>
      <c r="ES20" s="1">
        <v>2000000</v>
      </c>
      <c r="ET20" s="1">
        <v>383.92</v>
      </c>
      <c r="EU20" s="1">
        <v>1</v>
      </c>
      <c r="EV20" s="1">
        <v>0</v>
      </c>
      <c r="EW20" s="1">
        <v>90</v>
      </c>
      <c r="EX20" s="1">
        <v>60003760</v>
      </c>
      <c r="EY20" s="1">
        <v>32767</v>
      </c>
      <c r="EZ20" s="1">
        <v>7</v>
      </c>
      <c r="FB20" s="1">
        <v>2872604834</v>
      </c>
      <c r="FC20" s="1">
        <v>30259</v>
      </c>
      <c r="FD20" s="1">
        <v>25</v>
      </c>
      <c r="FE20" s="1">
        <v>25</v>
      </c>
      <c r="FF20" s="1">
        <v>5898987</v>
      </c>
      <c r="FG20" s="1">
        <v>1</v>
      </c>
      <c r="FH20" s="1">
        <v>0</v>
      </c>
      <c r="FI20" s="1">
        <v>90</v>
      </c>
      <c r="FJ20" s="1">
        <v>60003760</v>
      </c>
      <c r="FK20" s="1">
        <v>32767</v>
      </c>
      <c r="FL20" s="1">
        <v>0</v>
      </c>
      <c r="FN20" s="1">
        <v>2851636062</v>
      </c>
      <c r="FO20" s="1">
        <v>25617</v>
      </c>
      <c r="FP20" s="1">
        <v>32</v>
      </c>
      <c r="FQ20" s="1">
        <v>32</v>
      </c>
      <c r="FR20" s="1">
        <v>5289998.79</v>
      </c>
      <c r="FS20" s="1">
        <v>1</v>
      </c>
      <c r="FT20" s="1">
        <v>0</v>
      </c>
      <c r="FU20" s="1">
        <v>90</v>
      </c>
      <c r="FV20" s="1">
        <v>60003760</v>
      </c>
      <c r="FW20" s="1">
        <v>32767</v>
      </c>
      <c r="FX20" s="1">
        <v>0</v>
      </c>
      <c r="FZ20" s="1">
        <v>2856615052</v>
      </c>
      <c r="GA20" s="1">
        <v>44</v>
      </c>
      <c r="GB20" s="1">
        <v>160000</v>
      </c>
      <c r="GC20" s="1">
        <v>55108</v>
      </c>
      <c r="GD20" s="1">
        <v>14334.96</v>
      </c>
      <c r="GE20" s="1">
        <v>1</v>
      </c>
      <c r="GF20" s="1">
        <v>0</v>
      </c>
      <c r="GG20" s="1">
        <v>90</v>
      </c>
      <c r="GH20" s="1">
        <v>60003760</v>
      </c>
      <c r="GI20" s="1">
        <v>32767</v>
      </c>
      <c r="GJ20" s="1">
        <v>4</v>
      </c>
      <c r="GL20" s="1">
        <v>2411710579</v>
      </c>
      <c r="GM20" s="1">
        <v>16681</v>
      </c>
      <c r="GN20" s="1">
        <v>111639</v>
      </c>
      <c r="GO20" s="1">
        <v>106039</v>
      </c>
      <c r="GP20" s="1">
        <v>6376.28</v>
      </c>
      <c r="GQ20" s="1">
        <v>1</v>
      </c>
      <c r="GR20" s="1">
        <v>0</v>
      </c>
      <c r="GS20" s="1">
        <v>90</v>
      </c>
      <c r="GT20" s="1">
        <v>60003760</v>
      </c>
      <c r="GU20" s="1">
        <v>32767</v>
      </c>
      <c r="GV20" s="1">
        <v>0</v>
      </c>
      <c r="GX20" s="1">
        <v>2857192421</v>
      </c>
      <c r="GY20" s="1">
        <v>16683</v>
      </c>
      <c r="GZ20" s="1">
        <v>146500</v>
      </c>
      <c r="HA20" s="1">
        <v>146500</v>
      </c>
      <c r="HB20" s="1">
        <v>9990</v>
      </c>
      <c r="HC20" s="1">
        <v>1</v>
      </c>
      <c r="HD20" s="1">
        <v>0</v>
      </c>
      <c r="HE20" s="1">
        <v>90</v>
      </c>
      <c r="HF20" s="1">
        <v>60003760</v>
      </c>
      <c r="HG20" s="1">
        <v>32767</v>
      </c>
      <c r="HH20" s="1">
        <v>0</v>
      </c>
      <c r="HJ20" s="1">
        <v>2873454659</v>
      </c>
      <c r="HK20" s="1">
        <v>11724</v>
      </c>
      <c r="HL20" s="1">
        <v>250000</v>
      </c>
      <c r="HM20" s="1">
        <v>215403</v>
      </c>
      <c r="HN20" s="1">
        <v>40500</v>
      </c>
      <c r="HO20" s="1">
        <v>1</v>
      </c>
      <c r="HP20" s="1">
        <v>0</v>
      </c>
      <c r="HQ20" s="1">
        <v>90</v>
      </c>
      <c r="HR20" s="1">
        <v>60003760</v>
      </c>
      <c r="HS20" s="1">
        <v>32767</v>
      </c>
      <c r="HT20" s="1">
        <v>0</v>
      </c>
      <c r="HV20" s="1">
        <v>2804460981</v>
      </c>
      <c r="HW20" s="1">
        <v>16274</v>
      </c>
      <c r="HX20" s="1">
        <v>700000</v>
      </c>
      <c r="HY20" s="1">
        <v>700000</v>
      </c>
      <c r="HZ20" s="1">
        <v>396</v>
      </c>
      <c r="IA20" s="1">
        <v>1</v>
      </c>
      <c r="IB20" s="1">
        <v>0</v>
      </c>
      <c r="IC20" s="1">
        <v>90</v>
      </c>
      <c r="ID20" s="1">
        <v>60003760</v>
      </c>
      <c r="IE20" s="1">
        <v>32767</v>
      </c>
      <c r="IF20" s="1">
        <v>2</v>
      </c>
      <c r="IH20" s="1">
        <v>2879008620</v>
      </c>
      <c r="II20" s="1">
        <v>10213</v>
      </c>
      <c r="IJ20" s="1">
        <v>8</v>
      </c>
      <c r="IK20" s="1">
        <v>5</v>
      </c>
      <c r="IL20" s="1">
        <v>118999998.98999999</v>
      </c>
      <c r="IM20" s="1">
        <v>1</v>
      </c>
      <c r="IN20" s="1">
        <v>0</v>
      </c>
      <c r="IO20" s="1">
        <v>14</v>
      </c>
      <c r="IP20" s="1">
        <v>60003760</v>
      </c>
      <c r="IQ20" s="1">
        <v>32767</v>
      </c>
      <c r="IR20" s="1">
        <v>0</v>
      </c>
      <c r="IT20" s="1">
        <v>2785768889</v>
      </c>
      <c r="IU20" s="1">
        <v>16679</v>
      </c>
      <c r="IV20" s="1">
        <v>1089697</v>
      </c>
      <c r="IW20" s="1">
        <v>1029697</v>
      </c>
      <c r="IX20" s="1">
        <v>1899.99</v>
      </c>
      <c r="IY20" s="1">
        <v>1</v>
      </c>
      <c r="IZ20" s="1">
        <v>0</v>
      </c>
      <c r="JA20" s="1">
        <v>90</v>
      </c>
      <c r="JB20" s="1">
        <v>60003760</v>
      </c>
      <c r="JC20" s="1">
        <v>32767</v>
      </c>
      <c r="JD20" s="1">
        <v>0</v>
      </c>
      <c r="JF20" s="1">
        <v>2780622968</v>
      </c>
      <c r="JG20" s="1">
        <v>16272</v>
      </c>
      <c r="JH20" s="1">
        <v>1464230</v>
      </c>
      <c r="JI20" s="1">
        <v>1464230</v>
      </c>
      <c r="JJ20" s="1">
        <v>90</v>
      </c>
      <c r="JK20" s="1">
        <v>1</v>
      </c>
      <c r="JL20" s="1">
        <v>0</v>
      </c>
      <c r="JM20" s="1">
        <v>90</v>
      </c>
      <c r="JN20" s="1">
        <v>60003760</v>
      </c>
      <c r="JO20" s="1">
        <v>32767</v>
      </c>
      <c r="JP20" s="1">
        <v>6</v>
      </c>
      <c r="JR20" s="1">
        <v>2875361260</v>
      </c>
      <c r="JS20" s="1">
        <v>10226</v>
      </c>
      <c r="JT20" s="1">
        <v>3</v>
      </c>
      <c r="JU20" s="1">
        <v>3</v>
      </c>
      <c r="JV20" s="1">
        <v>119000000</v>
      </c>
      <c r="JW20" s="1">
        <v>1</v>
      </c>
      <c r="JX20" s="1">
        <v>0</v>
      </c>
      <c r="JY20" s="1">
        <v>90</v>
      </c>
      <c r="JZ20" s="1">
        <v>60003760</v>
      </c>
      <c r="KA20" s="1">
        <v>32767</v>
      </c>
      <c r="KB20" s="1">
        <v>1</v>
      </c>
      <c r="KD20" s="1">
        <v>2783776349</v>
      </c>
      <c r="KE20" s="1">
        <v>25605</v>
      </c>
      <c r="KF20" s="1">
        <v>7929</v>
      </c>
      <c r="KG20" s="1">
        <v>357</v>
      </c>
      <c r="KH20" s="1">
        <v>129798</v>
      </c>
      <c r="KI20" s="1">
        <v>1</v>
      </c>
      <c r="KJ20" s="1">
        <v>0</v>
      </c>
      <c r="KK20" s="1">
        <v>90</v>
      </c>
      <c r="KL20" s="1">
        <v>60003760</v>
      </c>
      <c r="KM20" s="1">
        <v>32767</v>
      </c>
      <c r="KN20" s="1">
        <v>6</v>
      </c>
      <c r="KP20" s="1">
        <v>2805250135</v>
      </c>
      <c r="KQ20" s="1">
        <v>25624</v>
      </c>
      <c r="KR20" s="1">
        <v>10</v>
      </c>
      <c r="KS20" s="1">
        <v>10</v>
      </c>
      <c r="KT20" s="1">
        <v>20796999.899999999</v>
      </c>
      <c r="KU20" s="1">
        <v>1</v>
      </c>
      <c r="KV20" s="1">
        <v>0</v>
      </c>
      <c r="KW20" s="1">
        <v>30</v>
      </c>
      <c r="KX20" s="1">
        <v>60003760</v>
      </c>
      <c r="KY20" s="1">
        <v>32767</v>
      </c>
      <c r="KZ20" s="1">
        <v>1</v>
      </c>
      <c r="LB20" s="1">
        <v>2777918668</v>
      </c>
      <c r="LC20" s="1">
        <v>9832</v>
      </c>
      <c r="LD20" s="1">
        <v>113665</v>
      </c>
      <c r="LE20" s="1">
        <v>113665</v>
      </c>
      <c r="LF20" s="1">
        <v>10182.66</v>
      </c>
      <c r="LG20" s="1">
        <v>1</v>
      </c>
      <c r="LH20" s="1">
        <v>0</v>
      </c>
      <c r="LI20" s="1">
        <v>90</v>
      </c>
      <c r="LJ20" s="1">
        <v>60003760</v>
      </c>
      <c r="LK20" s="1">
        <v>32767</v>
      </c>
      <c r="LL20" s="1">
        <v>0</v>
      </c>
      <c r="LN20" s="1">
        <v>2875353253</v>
      </c>
      <c r="LO20" s="1">
        <v>10209</v>
      </c>
      <c r="LP20" s="1">
        <v>3</v>
      </c>
      <c r="LQ20" s="1">
        <v>3</v>
      </c>
      <c r="LR20" s="1">
        <v>119000000</v>
      </c>
      <c r="LS20" s="1">
        <v>1</v>
      </c>
      <c r="LT20" s="1">
        <v>0</v>
      </c>
      <c r="LU20" s="1">
        <v>90</v>
      </c>
      <c r="LV20" s="1">
        <v>60003760</v>
      </c>
      <c r="LW20" s="1">
        <v>32767</v>
      </c>
      <c r="LX20" s="1">
        <v>1</v>
      </c>
      <c r="LZ20" s="1">
        <v>2875265176</v>
      </c>
      <c r="MA20" s="1">
        <v>10217</v>
      </c>
      <c r="MB20" s="1">
        <v>78</v>
      </c>
      <c r="MC20" s="1">
        <v>40</v>
      </c>
      <c r="MD20" s="1">
        <v>120278001</v>
      </c>
      <c r="ME20" s="1">
        <v>1</v>
      </c>
      <c r="MF20" s="1">
        <v>0</v>
      </c>
      <c r="MG20" s="1">
        <v>30</v>
      </c>
      <c r="MH20" s="1">
        <v>60003760</v>
      </c>
      <c r="MI20" s="1">
        <v>32767</v>
      </c>
      <c r="MJ20" s="1">
        <v>0</v>
      </c>
      <c r="ML20" s="1">
        <v>2868497368</v>
      </c>
      <c r="MM20" s="1">
        <v>25625</v>
      </c>
      <c r="MN20" s="1">
        <v>5</v>
      </c>
      <c r="MO20" s="1">
        <v>5</v>
      </c>
      <c r="MP20" s="1">
        <v>4750000</v>
      </c>
      <c r="MQ20" s="1">
        <v>1</v>
      </c>
      <c r="MR20" s="1">
        <v>0</v>
      </c>
      <c r="MS20" s="1">
        <v>90</v>
      </c>
      <c r="MT20" s="1">
        <v>60003760</v>
      </c>
      <c r="MU20" s="1">
        <v>32767</v>
      </c>
      <c r="MV20" s="1">
        <v>0</v>
      </c>
      <c r="MX20" s="1">
        <v>2862157484</v>
      </c>
      <c r="MY20" s="1">
        <v>16672</v>
      </c>
      <c r="MZ20" s="1">
        <v>9610000</v>
      </c>
      <c r="NA20" s="1">
        <v>935420</v>
      </c>
      <c r="NB20" s="1">
        <v>144.54</v>
      </c>
      <c r="NC20" s="1">
        <v>1</v>
      </c>
      <c r="ND20" s="1">
        <v>0</v>
      </c>
      <c r="NE20" s="1">
        <v>90</v>
      </c>
      <c r="NF20" s="1">
        <v>60003760</v>
      </c>
      <c r="NG20" s="1">
        <v>32767</v>
      </c>
      <c r="NH20" s="1">
        <v>0</v>
      </c>
      <c r="NJ20" s="1">
        <v>2798833155</v>
      </c>
      <c r="NK20" s="1">
        <v>16673</v>
      </c>
      <c r="NL20" s="1">
        <v>149673</v>
      </c>
      <c r="NM20" s="1">
        <v>101673</v>
      </c>
      <c r="NN20" s="1">
        <v>122.57</v>
      </c>
      <c r="NO20" s="1">
        <v>1</v>
      </c>
      <c r="NP20" s="1">
        <v>0</v>
      </c>
      <c r="NQ20" s="1">
        <v>90</v>
      </c>
      <c r="NR20" s="1">
        <v>60003760</v>
      </c>
      <c r="NS20" s="1">
        <v>32767</v>
      </c>
      <c r="NT20" s="1">
        <v>6</v>
      </c>
      <c r="NV20" s="1">
        <v>2838285605</v>
      </c>
      <c r="NW20" s="1">
        <v>3689</v>
      </c>
      <c r="NX20" s="1">
        <v>20000</v>
      </c>
      <c r="NY20" s="1">
        <v>20000</v>
      </c>
      <c r="NZ20" s="1">
        <v>11098</v>
      </c>
      <c r="OA20" s="1">
        <v>1</v>
      </c>
      <c r="OB20" s="1">
        <v>0</v>
      </c>
      <c r="OC20" s="1">
        <v>90</v>
      </c>
      <c r="OD20" s="1">
        <v>60003760</v>
      </c>
      <c r="OE20" s="1">
        <v>32767</v>
      </c>
      <c r="OF20" s="1">
        <v>0</v>
      </c>
      <c r="OH20" s="1">
        <v>2874588345</v>
      </c>
      <c r="OI20" s="1">
        <v>25598</v>
      </c>
      <c r="OJ20" s="1">
        <v>138</v>
      </c>
      <c r="OK20" s="1">
        <v>90</v>
      </c>
      <c r="OL20" s="1">
        <v>136823</v>
      </c>
      <c r="OM20" s="1">
        <v>1</v>
      </c>
      <c r="ON20" s="1">
        <v>0</v>
      </c>
      <c r="OO20" s="1">
        <v>30</v>
      </c>
      <c r="OP20" s="1">
        <v>60000448</v>
      </c>
      <c r="OQ20" s="1">
        <v>32767</v>
      </c>
      <c r="OR20" s="1">
        <v>2</v>
      </c>
      <c r="OT20" s="1">
        <v>2819163307</v>
      </c>
      <c r="OU20" s="1">
        <v>25600</v>
      </c>
      <c r="OV20" s="1">
        <v>1722</v>
      </c>
      <c r="OW20" s="1">
        <v>1722</v>
      </c>
      <c r="OX20" s="1">
        <v>32189.97</v>
      </c>
      <c r="OY20" s="1">
        <v>1</v>
      </c>
      <c r="OZ20" s="1">
        <v>0</v>
      </c>
      <c r="PA20" s="1">
        <v>90</v>
      </c>
      <c r="PB20" s="1">
        <v>60003760</v>
      </c>
      <c r="PC20" s="1">
        <v>32767</v>
      </c>
      <c r="PD20" s="1">
        <v>0</v>
      </c>
      <c r="PF20" s="1">
        <v>2840070897</v>
      </c>
      <c r="PG20" s="1">
        <v>16670</v>
      </c>
      <c r="PH20" s="1">
        <v>1000000</v>
      </c>
      <c r="PI20" s="1">
        <v>1000000</v>
      </c>
      <c r="PJ20" s="1">
        <v>140</v>
      </c>
      <c r="PK20" s="1">
        <v>1</v>
      </c>
      <c r="PL20" s="1">
        <v>0</v>
      </c>
      <c r="PM20" s="1">
        <v>90</v>
      </c>
      <c r="PN20" s="1">
        <v>60003760</v>
      </c>
      <c r="PO20" s="1">
        <v>32767</v>
      </c>
      <c r="PP20" s="1">
        <v>7</v>
      </c>
      <c r="PR20" s="1">
        <v>2875350538</v>
      </c>
      <c r="PS20" s="1">
        <v>10222</v>
      </c>
      <c r="PT20" s="1">
        <v>3</v>
      </c>
      <c r="PU20" s="1">
        <v>3</v>
      </c>
      <c r="PV20" s="1">
        <v>119000000</v>
      </c>
      <c r="PW20" s="1">
        <v>1</v>
      </c>
      <c r="PX20" s="1">
        <v>0</v>
      </c>
      <c r="PY20" s="1">
        <v>90</v>
      </c>
      <c r="PZ20" s="1">
        <v>60003760</v>
      </c>
      <c r="QA20" s="1">
        <v>32767</v>
      </c>
      <c r="QB20" s="1">
        <v>0</v>
      </c>
      <c r="QD20" s="1">
        <v>2862319034</v>
      </c>
      <c r="QE20" s="1">
        <v>9830</v>
      </c>
      <c r="QF20" s="1">
        <v>2715</v>
      </c>
      <c r="QG20" s="1">
        <v>2715</v>
      </c>
      <c r="QH20" s="1">
        <v>8149.94</v>
      </c>
      <c r="QI20" s="1">
        <v>1</v>
      </c>
      <c r="QJ20" s="1">
        <v>0</v>
      </c>
      <c r="QK20" s="1">
        <v>90</v>
      </c>
      <c r="QL20" s="1">
        <v>60003760</v>
      </c>
      <c r="QM20" s="1">
        <v>32767</v>
      </c>
      <c r="QN20" s="1">
        <v>0</v>
      </c>
      <c r="QP20" s="1">
        <v>2862109228</v>
      </c>
      <c r="QQ20" s="1">
        <v>16671</v>
      </c>
      <c r="QR20" s="1">
        <v>5419348</v>
      </c>
      <c r="QS20" s="1">
        <v>5419348</v>
      </c>
      <c r="QT20" s="1">
        <v>124.51</v>
      </c>
      <c r="QU20" s="1">
        <v>1</v>
      </c>
      <c r="QV20" s="1">
        <v>0</v>
      </c>
      <c r="QW20" s="1">
        <v>90</v>
      </c>
      <c r="QX20" s="1">
        <v>60003760</v>
      </c>
      <c r="QY20" s="1">
        <v>32767</v>
      </c>
      <c r="QZ20" s="1">
        <v>7</v>
      </c>
      <c r="RB20" s="1">
        <v>2683689025</v>
      </c>
      <c r="RC20" s="1">
        <v>16682</v>
      </c>
      <c r="RD20" s="1">
        <v>261125</v>
      </c>
      <c r="RE20" s="1">
        <v>261125</v>
      </c>
      <c r="RF20" s="1">
        <v>3498.99</v>
      </c>
      <c r="RG20" s="1">
        <v>1</v>
      </c>
      <c r="RH20" s="1">
        <v>0</v>
      </c>
      <c r="RI20" s="1">
        <v>90</v>
      </c>
      <c r="RJ20" s="1">
        <v>60003760</v>
      </c>
      <c r="RK20" s="1">
        <v>32767</v>
      </c>
      <c r="RL20" s="1">
        <v>8</v>
      </c>
      <c r="RN20" s="1">
        <v>2873548349</v>
      </c>
      <c r="RO20" s="1">
        <v>16678</v>
      </c>
      <c r="RP20" s="1">
        <v>2704767</v>
      </c>
      <c r="RQ20" s="1">
        <v>2704767</v>
      </c>
      <c r="RR20" s="1">
        <v>300</v>
      </c>
      <c r="RS20" s="1">
        <v>1</v>
      </c>
      <c r="RT20" s="1">
        <v>0</v>
      </c>
      <c r="RU20" s="1">
        <v>30</v>
      </c>
      <c r="RV20" s="1">
        <v>60003760</v>
      </c>
      <c r="RW20" s="1">
        <v>32767</v>
      </c>
      <c r="RX20" s="1">
        <v>6</v>
      </c>
      <c r="RZ20" s="1">
        <v>2744217818</v>
      </c>
      <c r="SA20" s="1">
        <v>30310</v>
      </c>
      <c r="SB20" s="1">
        <v>1720</v>
      </c>
      <c r="SC20" s="1">
        <v>1720</v>
      </c>
      <c r="SD20" s="1">
        <v>1999999.02</v>
      </c>
      <c r="SE20" s="1">
        <v>1</v>
      </c>
      <c r="SF20" s="1">
        <v>0</v>
      </c>
      <c r="SG20" s="1">
        <v>90</v>
      </c>
      <c r="SH20" s="1">
        <v>60003760</v>
      </c>
      <c r="SI20" s="1">
        <v>32767</v>
      </c>
      <c r="SJ20" s="1">
        <v>0</v>
      </c>
      <c r="SL20" s="1">
        <v>2843547474</v>
      </c>
      <c r="SM20" s="1">
        <v>30311</v>
      </c>
      <c r="SN20" s="1">
        <v>90</v>
      </c>
      <c r="SO20" s="1">
        <v>90</v>
      </c>
      <c r="SP20" s="1">
        <v>3400000</v>
      </c>
      <c r="SQ20" s="1">
        <v>1</v>
      </c>
      <c r="SR20" s="1">
        <v>0</v>
      </c>
      <c r="SS20" s="1">
        <v>90</v>
      </c>
      <c r="ST20" s="1">
        <v>60003760</v>
      </c>
      <c r="SU20" s="1">
        <v>32767</v>
      </c>
      <c r="SV20" s="1">
        <v>0</v>
      </c>
      <c r="SX20" s="1">
        <v>2760367768</v>
      </c>
      <c r="SY20" s="1">
        <v>25595</v>
      </c>
      <c r="SZ20" s="1">
        <v>622</v>
      </c>
      <c r="TA20" s="1">
        <v>622</v>
      </c>
      <c r="TB20" s="1">
        <v>109000</v>
      </c>
      <c r="TC20" s="1">
        <v>1</v>
      </c>
      <c r="TD20" s="1">
        <v>0</v>
      </c>
      <c r="TE20" s="1">
        <v>90</v>
      </c>
      <c r="TF20" s="1">
        <v>60003760</v>
      </c>
      <c r="TG20" s="1">
        <v>32767</v>
      </c>
      <c r="TH20" s="1">
        <v>6</v>
      </c>
      <c r="TJ20" s="1">
        <v>2845366662</v>
      </c>
      <c r="TK20" s="1">
        <v>25606</v>
      </c>
      <c r="TL20" s="1">
        <v>447</v>
      </c>
      <c r="TM20" s="1">
        <v>447</v>
      </c>
      <c r="TN20" s="1">
        <v>30441.99</v>
      </c>
      <c r="TO20" s="1">
        <v>1</v>
      </c>
      <c r="TP20" s="1">
        <v>0</v>
      </c>
      <c r="TQ20" s="1">
        <v>90</v>
      </c>
      <c r="TR20" s="1">
        <v>60003760</v>
      </c>
      <c r="TS20" s="1">
        <v>32767</v>
      </c>
      <c r="TT20" s="1">
        <v>0</v>
      </c>
      <c r="TV20" s="1">
        <v>2854314744</v>
      </c>
      <c r="TW20" s="1">
        <v>25622</v>
      </c>
      <c r="TX20" s="1">
        <v>70</v>
      </c>
      <c r="TY20" s="1">
        <v>27</v>
      </c>
      <c r="TZ20" s="1">
        <v>15224997.970000001</v>
      </c>
      <c r="UA20" s="1">
        <v>1</v>
      </c>
      <c r="UB20" s="1">
        <v>0</v>
      </c>
      <c r="UC20" s="1">
        <v>90</v>
      </c>
      <c r="UD20" s="1">
        <v>60003760</v>
      </c>
      <c r="UE20" s="1">
        <v>32767</v>
      </c>
      <c r="UF20" s="1">
        <v>0</v>
      </c>
      <c r="UH20" s="1">
        <v>2860322407</v>
      </c>
      <c r="UI20" s="1">
        <v>16680</v>
      </c>
      <c r="UJ20" s="1">
        <v>1000000</v>
      </c>
      <c r="UK20" s="1">
        <v>1000000</v>
      </c>
      <c r="UL20" s="1">
        <v>770</v>
      </c>
      <c r="UM20" s="1">
        <v>1</v>
      </c>
      <c r="UN20" s="1">
        <v>0</v>
      </c>
      <c r="UO20" s="1">
        <v>90</v>
      </c>
      <c r="UP20" s="1">
        <v>60003760</v>
      </c>
      <c r="UQ20" s="1">
        <v>32767</v>
      </c>
      <c r="UR20" s="1">
        <v>6</v>
      </c>
      <c r="UT20" s="1">
        <v>2878385762</v>
      </c>
      <c r="UU20" s="1">
        <v>17317</v>
      </c>
      <c r="UV20" s="1">
        <v>25000</v>
      </c>
      <c r="UW20" s="1">
        <v>25000</v>
      </c>
      <c r="UX20" s="1">
        <v>28988.9</v>
      </c>
      <c r="UY20" s="1">
        <v>1</v>
      </c>
      <c r="UZ20" s="1">
        <v>0</v>
      </c>
      <c r="VA20" s="1">
        <v>90</v>
      </c>
      <c r="VB20" s="1">
        <v>60003760</v>
      </c>
      <c r="VC20" s="1">
        <v>32767</v>
      </c>
      <c r="VD20" s="1">
        <v>0</v>
      </c>
      <c r="VF20" s="1">
        <v>2782546735</v>
      </c>
      <c r="VG20" s="1">
        <v>11725</v>
      </c>
      <c r="VH20" s="1">
        <v>10000</v>
      </c>
      <c r="VI20" s="1">
        <v>10000</v>
      </c>
      <c r="VJ20" s="1">
        <v>50555</v>
      </c>
      <c r="VK20" s="1">
        <v>1</v>
      </c>
      <c r="VL20" s="1">
        <v>1</v>
      </c>
      <c r="VM20" s="1">
        <v>90</v>
      </c>
      <c r="VN20" s="1">
        <v>60003760</v>
      </c>
      <c r="VO20" s="1">
        <v>-1</v>
      </c>
      <c r="VP20" s="1">
        <v>0</v>
      </c>
    </row>
    <row r="21" spans="2:588" x14ac:dyDescent="0.25">
      <c r="B21" s="1">
        <v>2818254855</v>
      </c>
      <c r="C21" s="1">
        <v>34</v>
      </c>
      <c r="D21" s="1">
        <v>819989</v>
      </c>
      <c r="E21" s="1">
        <v>765013</v>
      </c>
      <c r="F21" s="1">
        <v>6.3</v>
      </c>
      <c r="G21" s="1">
        <v>1</v>
      </c>
      <c r="H21" s="1">
        <v>0</v>
      </c>
      <c r="I21" s="1">
        <v>90</v>
      </c>
      <c r="J21" s="1">
        <v>60004240</v>
      </c>
      <c r="K21" s="1">
        <v>32767</v>
      </c>
      <c r="L21" s="1">
        <v>5</v>
      </c>
      <c r="N21" s="1">
        <v>2848223507</v>
      </c>
      <c r="O21" s="1">
        <v>35</v>
      </c>
      <c r="P21" s="1">
        <v>244286</v>
      </c>
      <c r="Q21" s="1">
        <v>122985</v>
      </c>
      <c r="R21" s="1">
        <v>15.54</v>
      </c>
      <c r="S21" s="1">
        <v>1</v>
      </c>
      <c r="T21" s="1">
        <v>0</v>
      </c>
      <c r="U21" s="1">
        <v>30</v>
      </c>
      <c r="V21" s="1">
        <v>60003394</v>
      </c>
      <c r="W21" s="1">
        <v>32767</v>
      </c>
      <c r="X21" s="1">
        <v>5</v>
      </c>
      <c r="Z21" s="1">
        <v>2851719973</v>
      </c>
      <c r="AA21" s="1">
        <v>36</v>
      </c>
      <c r="AB21" s="1">
        <v>111338</v>
      </c>
      <c r="AC21" s="1">
        <v>101078</v>
      </c>
      <c r="AD21" s="16">
        <v>51.3</v>
      </c>
      <c r="AE21" s="1">
        <v>1</v>
      </c>
      <c r="AF21" s="1">
        <v>0</v>
      </c>
      <c r="AG21" s="1">
        <v>90</v>
      </c>
      <c r="AH21" s="1">
        <v>60002998</v>
      </c>
      <c r="AI21" s="1">
        <v>32767</v>
      </c>
      <c r="AJ21" s="1">
        <v>12</v>
      </c>
      <c r="AL21" s="1">
        <v>2762130792</v>
      </c>
      <c r="AM21" s="1">
        <v>37</v>
      </c>
      <c r="AN21" s="1">
        <v>3527428</v>
      </c>
      <c r="AO21" s="1">
        <v>1424609</v>
      </c>
      <c r="AP21" s="16">
        <v>159.30000000000001</v>
      </c>
      <c r="AQ21" s="1">
        <v>1</v>
      </c>
      <c r="AR21" s="1">
        <v>0</v>
      </c>
      <c r="AS21" s="1">
        <v>90</v>
      </c>
      <c r="AT21" s="1">
        <v>60003760</v>
      </c>
      <c r="AU21" s="1">
        <v>32767</v>
      </c>
      <c r="AV21" s="1">
        <v>9</v>
      </c>
      <c r="AX21" s="1">
        <v>2839929557</v>
      </c>
      <c r="AY21" s="1">
        <v>38</v>
      </c>
      <c r="AZ21" s="1">
        <v>1000000</v>
      </c>
      <c r="BA21" s="1">
        <v>1000000</v>
      </c>
      <c r="BB21" s="1">
        <v>900</v>
      </c>
      <c r="BC21" s="1">
        <v>1</v>
      </c>
      <c r="BD21" s="1">
        <v>0</v>
      </c>
      <c r="BE21" s="1">
        <v>90</v>
      </c>
      <c r="BF21" s="1">
        <v>60003760</v>
      </c>
      <c r="BG21" s="1">
        <v>32767</v>
      </c>
      <c r="BH21" s="1">
        <v>5</v>
      </c>
      <c r="BJ21" s="1">
        <v>2842461312</v>
      </c>
      <c r="BK21" s="1">
        <v>39</v>
      </c>
      <c r="BL21" s="1">
        <v>16940</v>
      </c>
      <c r="BM21" s="1">
        <v>16940</v>
      </c>
      <c r="BN21" s="1">
        <v>840</v>
      </c>
      <c r="BO21" s="1">
        <v>1</v>
      </c>
      <c r="BP21" s="1">
        <v>0</v>
      </c>
      <c r="BQ21" s="1">
        <v>90</v>
      </c>
      <c r="BR21" s="1">
        <v>60003760</v>
      </c>
      <c r="BS21" s="1">
        <v>32767</v>
      </c>
      <c r="BT21" s="1">
        <v>5</v>
      </c>
      <c r="BV21" s="1">
        <v>2374421105</v>
      </c>
      <c r="BW21" s="1">
        <v>40</v>
      </c>
      <c r="BX21" s="1">
        <v>200000</v>
      </c>
      <c r="BY21" s="1">
        <v>95466</v>
      </c>
      <c r="BZ21" s="1">
        <v>2943</v>
      </c>
      <c r="CA21" s="1">
        <v>1</v>
      </c>
      <c r="CB21" s="1">
        <v>0</v>
      </c>
      <c r="CC21" s="1">
        <v>90</v>
      </c>
      <c r="CD21" s="1">
        <v>60003760</v>
      </c>
      <c r="CE21" s="1">
        <v>32767</v>
      </c>
      <c r="CF21" s="1">
        <v>13</v>
      </c>
      <c r="CH21" s="1">
        <v>2387580504</v>
      </c>
      <c r="CI21" s="1">
        <v>29668</v>
      </c>
      <c r="CJ21" s="1">
        <v>1</v>
      </c>
      <c r="CK21" s="1">
        <v>1</v>
      </c>
      <c r="CL21" s="1">
        <v>510000000</v>
      </c>
      <c r="CM21" s="1">
        <v>1</v>
      </c>
      <c r="CN21" s="1">
        <v>0</v>
      </c>
      <c r="CO21" s="1">
        <v>90</v>
      </c>
      <c r="CP21" s="1">
        <v>60003760</v>
      </c>
      <c r="CQ21" s="1">
        <v>32767</v>
      </c>
      <c r="CR21" s="1">
        <v>0</v>
      </c>
      <c r="CT21" s="1">
        <v>2390206938</v>
      </c>
      <c r="CU21" s="1">
        <v>16649</v>
      </c>
      <c r="CV21" s="1">
        <v>10000</v>
      </c>
      <c r="CW21" s="1">
        <v>10000</v>
      </c>
      <c r="CX21" s="1">
        <v>111415</v>
      </c>
      <c r="CY21" s="1">
        <v>1</v>
      </c>
      <c r="CZ21" s="1">
        <v>0</v>
      </c>
      <c r="DA21" s="1">
        <v>90</v>
      </c>
      <c r="DB21" s="1">
        <v>60003760</v>
      </c>
      <c r="DC21" s="1">
        <v>32767</v>
      </c>
      <c r="DD21" s="1">
        <v>8</v>
      </c>
      <c r="DF21" s="1">
        <v>2414525767</v>
      </c>
      <c r="DG21" s="1">
        <v>17887</v>
      </c>
      <c r="DH21" s="1">
        <v>399999</v>
      </c>
      <c r="DI21" s="1">
        <v>399999</v>
      </c>
      <c r="DJ21" s="1">
        <v>1189.3699999999999</v>
      </c>
      <c r="DK21" s="1">
        <v>1</v>
      </c>
      <c r="DL21" s="1">
        <v>0</v>
      </c>
      <c r="DM21" s="1">
        <v>90</v>
      </c>
      <c r="DN21" s="1">
        <v>60003760</v>
      </c>
      <c r="DO21" s="1">
        <v>32767</v>
      </c>
      <c r="DP21" s="1">
        <v>0</v>
      </c>
      <c r="DR21" s="1">
        <v>2816221824</v>
      </c>
      <c r="DS21" s="1">
        <v>17888</v>
      </c>
      <c r="DT21" s="1">
        <v>1760296</v>
      </c>
      <c r="DU21" s="1">
        <v>1760296</v>
      </c>
      <c r="DV21" s="1">
        <v>380</v>
      </c>
      <c r="DW21" s="1">
        <v>1</v>
      </c>
      <c r="DX21" s="1">
        <v>0</v>
      </c>
      <c r="DY21" s="1">
        <v>90</v>
      </c>
      <c r="DZ21" s="1">
        <v>60003394</v>
      </c>
      <c r="EA21" s="1">
        <v>32767</v>
      </c>
      <c r="EB21" s="1">
        <v>9</v>
      </c>
      <c r="ED21" s="1">
        <v>2778462046</v>
      </c>
      <c r="EE21" s="1">
        <v>16273</v>
      </c>
      <c r="EF21" s="1">
        <v>521247</v>
      </c>
      <c r="EG21" s="1">
        <v>521247</v>
      </c>
      <c r="EH21" s="1">
        <v>450</v>
      </c>
      <c r="EI21" s="1">
        <v>1</v>
      </c>
      <c r="EJ21" s="1">
        <v>0</v>
      </c>
      <c r="EK21" s="1">
        <v>90</v>
      </c>
      <c r="EL21" s="1">
        <v>60003760</v>
      </c>
      <c r="EM21" s="1">
        <v>32767</v>
      </c>
      <c r="EN21" s="1">
        <v>6</v>
      </c>
      <c r="EP21" s="1">
        <v>2843066881</v>
      </c>
      <c r="EQ21" s="1">
        <v>17889</v>
      </c>
      <c r="ER21" s="1">
        <v>1340757</v>
      </c>
      <c r="ES21" s="1">
        <v>1340757</v>
      </c>
      <c r="ET21" s="1">
        <v>398</v>
      </c>
      <c r="EU21" s="1">
        <v>1</v>
      </c>
      <c r="EV21" s="1">
        <v>0</v>
      </c>
      <c r="EW21" s="1">
        <v>90</v>
      </c>
      <c r="EX21" s="1">
        <v>60003760</v>
      </c>
      <c r="EY21" s="1">
        <v>32767</v>
      </c>
      <c r="EZ21" s="1">
        <v>7</v>
      </c>
      <c r="FB21" s="1">
        <v>2872646788</v>
      </c>
      <c r="FC21" s="1">
        <v>30259</v>
      </c>
      <c r="FD21" s="1">
        <v>34</v>
      </c>
      <c r="FE21" s="1">
        <v>34</v>
      </c>
      <c r="FF21" s="1">
        <v>5898981.5899999999</v>
      </c>
      <c r="FG21" s="1">
        <v>1</v>
      </c>
      <c r="FH21" s="1">
        <v>0</v>
      </c>
      <c r="FI21" s="1">
        <v>90</v>
      </c>
      <c r="FJ21" s="1">
        <v>60003760</v>
      </c>
      <c r="FK21" s="1">
        <v>32767</v>
      </c>
      <c r="FL21" s="1">
        <v>0</v>
      </c>
      <c r="FN21" s="1">
        <v>2857830177</v>
      </c>
      <c r="FO21" s="1">
        <v>25617</v>
      </c>
      <c r="FP21" s="1">
        <v>1</v>
      </c>
      <c r="FQ21" s="1">
        <v>1</v>
      </c>
      <c r="FR21" s="1">
        <v>5258898.9000000004</v>
      </c>
      <c r="FS21" s="1">
        <v>1</v>
      </c>
      <c r="FT21" s="1">
        <v>0</v>
      </c>
      <c r="FU21" s="1">
        <v>90</v>
      </c>
      <c r="FV21" s="1">
        <v>60003760</v>
      </c>
      <c r="FW21" s="1">
        <v>32767</v>
      </c>
      <c r="FX21" s="1">
        <v>0</v>
      </c>
      <c r="FZ21" s="1">
        <v>2857087648</v>
      </c>
      <c r="GA21" s="1">
        <v>44</v>
      </c>
      <c r="GB21" s="1">
        <v>10000</v>
      </c>
      <c r="GC21" s="1">
        <v>10000</v>
      </c>
      <c r="GD21" s="1">
        <v>14600</v>
      </c>
      <c r="GE21" s="1">
        <v>1</v>
      </c>
      <c r="GF21" s="1">
        <v>0</v>
      </c>
      <c r="GG21" s="1">
        <v>90</v>
      </c>
      <c r="GH21" s="1">
        <v>60003760</v>
      </c>
      <c r="GI21" s="1">
        <v>32767</v>
      </c>
      <c r="GJ21" s="1">
        <v>4</v>
      </c>
      <c r="GL21" s="1">
        <v>2411701840</v>
      </c>
      <c r="GM21" s="1">
        <v>16681</v>
      </c>
      <c r="GN21" s="1">
        <v>114745</v>
      </c>
      <c r="GO21" s="1">
        <v>99416</v>
      </c>
      <c r="GP21" s="1">
        <v>6376.22</v>
      </c>
      <c r="GQ21" s="1">
        <v>1</v>
      </c>
      <c r="GR21" s="1">
        <v>0</v>
      </c>
      <c r="GS21" s="1">
        <v>90</v>
      </c>
      <c r="GT21" s="1">
        <v>60003760</v>
      </c>
      <c r="GU21" s="1">
        <v>32767</v>
      </c>
      <c r="GV21" s="1">
        <v>0</v>
      </c>
      <c r="GX21" s="1">
        <v>2856023835</v>
      </c>
      <c r="GY21" s="1">
        <v>16683</v>
      </c>
      <c r="GZ21" s="1">
        <v>22400</v>
      </c>
      <c r="HA21" s="1">
        <v>22400</v>
      </c>
      <c r="HB21" s="1">
        <v>9298.4</v>
      </c>
      <c r="HC21" s="1">
        <v>1</v>
      </c>
      <c r="HD21" s="1">
        <v>0</v>
      </c>
      <c r="HE21" s="1">
        <v>90</v>
      </c>
      <c r="HF21" s="1">
        <v>60003760</v>
      </c>
      <c r="HG21" s="1">
        <v>32767</v>
      </c>
      <c r="HH21" s="1">
        <v>0</v>
      </c>
      <c r="HJ21" s="1">
        <v>2875958070</v>
      </c>
      <c r="HK21" s="1">
        <v>11724</v>
      </c>
      <c r="HL21" s="1">
        <v>472</v>
      </c>
      <c r="HM21" s="1">
        <v>380</v>
      </c>
      <c r="HN21" s="1">
        <v>40028</v>
      </c>
      <c r="HO21" s="1">
        <v>1</v>
      </c>
      <c r="HP21" s="1">
        <v>0</v>
      </c>
      <c r="HQ21" s="1">
        <v>30</v>
      </c>
      <c r="HR21" s="1">
        <v>60003760</v>
      </c>
      <c r="HS21" s="1">
        <v>32767</v>
      </c>
      <c r="HT21" s="1">
        <v>0</v>
      </c>
      <c r="HV21" s="1">
        <v>2799378135</v>
      </c>
      <c r="HW21" s="1">
        <v>16274</v>
      </c>
      <c r="HX21" s="1">
        <v>21097</v>
      </c>
      <c r="HY21" s="1">
        <v>97</v>
      </c>
      <c r="HZ21" s="1">
        <v>410</v>
      </c>
      <c r="IA21" s="1">
        <v>1</v>
      </c>
      <c r="IB21" s="1">
        <v>0</v>
      </c>
      <c r="IC21" s="1">
        <v>90</v>
      </c>
      <c r="ID21" s="1">
        <v>60000361</v>
      </c>
      <c r="IE21" s="1">
        <v>32767</v>
      </c>
      <c r="IF21" s="1">
        <v>2</v>
      </c>
      <c r="IH21" s="1">
        <v>2878167150</v>
      </c>
      <c r="II21" s="1">
        <v>10213</v>
      </c>
      <c r="IJ21" s="1">
        <v>10</v>
      </c>
      <c r="IK21" s="1">
        <v>8</v>
      </c>
      <c r="IL21" s="1">
        <v>119093856.28</v>
      </c>
      <c r="IM21" s="1">
        <v>1</v>
      </c>
      <c r="IN21" s="1">
        <v>0</v>
      </c>
      <c r="IO21" s="1">
        <v>14</v>
      </c>
      <c r="IP21" s="1">
        <v>60003760</v>
      </c>
      <c r="IQ21" s="1">
        <v>32767</v>
      </c>
      <c r="IR21" s="1">
        <v>0</v>
      </c>
      <c r="IT21" s="1">
        <v>2790121517</v>
      </c>
      <c r="IU21" s="1">
        <v>16679</v>
      </c>
      <c r="IV21" s="1">
        <v>5000000</v>
      </c>
      <c r="IW21" s="1">
        <v>5000000</v>
      </c>
      <c r="IX21" s="1">
        <v>1971</v>
      </c>
      <c r="IY21" s="1">
        <v>1</v>
      </c>
      <c r="IZ21" s="1">
        <v>0</v>
      </c>
      <c r="JA21" s="1">
        <v>90</v>
      </c>
      <c r="JB21" s="1">
        <v>60003760</v>
      </c>
      <c r="JC21" s="1">
        <v>32767</v>
      </c>
      <c r="JD21" s="1">
        <v>0</v>
      </c>
      <c r="JF21" s="1">
        <v>2830885849</v>
      </c>
      <c r="JG21" s="1">
        <v>16272</v>
      </c>
      <c r="JH21" s="1">
        <v>166397</v>
      </c>
      <c r="JI21" s="1">
        <v>166397</v>
      </c>
      <c r="JJ21" s="1">
        <v>90</v>
      </c>
      <c r="JK21" s="1">
        <v>1</v>
      </c>
      <c r="JL21" s="1">
        <v>0</v>
      </c>
      <c r="JM21" s="1">
        <v>90</v>
      </c>
      <c r="JN21" s="1">
        <v>60003760</v>
      </c>
      <c r="JO21" s="1">
        <v>32767</v>
      </c>
      <c r="JP21" s="1">
        <v>6</v>
      </c>
      <c r="JR21" s="1">
        <v>2875361370</v>
      </c>
      <c r="JS21" s="1">
        <v>10226</v>
      </c>
      <c r="JT21" s="1">
        <v>3</v>
      </c>
      <c r="JU21" s="1">
        <v>3</v>
      </c>
      <c r="JV21" s="1">
        <v>119000000</v>
      </c>
      <c r="JW21" s="1">
        <v>1</v>
      </c>
      <c r="JX21" s="1">
        <v>0</v>
      </c>
      <c r="JY21" s="1">
        <v>90</v>
      </c>
      <c r="JZ21" s="1">
        <v>60003760</v>
      </c>
      <c r="KA21" s="1">
        <v>32767</v>
      </c>
      <c r="KB21" s="1">
        <v>1</v>
      </c>
      <c r="KD21" s="1">
        <v>2783035829</v>
      </c>
      <c r="KE21" s="1">
        <v>25605</v>
      </c>
      <c r="KF21" s="1">
        <v>5000</v>
      </c>
      <c r="KG21" s="1">
        <v>4090</v>
      </c>
      <c r="KH21" s="1">
        <v>115699.99</v>
      </c>
      <c r="KI21" s="1">
        <v>1</v>
      </c>
      <c r="KJ21" s="1">
        <v>0</v>
      </c>
      <c r="KK21" s="1">
        <v>90</v>
      </c>
      <c r="KL21" s="1">
        <v>60003760</v>
      </c>
      <c r="KM21" s="1">
        <v>32767</v>
      </c>
      <c r="KN21" s="1">
        <v>6</v>
      </c>
      <c r="KP21" s="1">
        <v>2805310628</v>
      </c>
      <c r="KQ21" s="1">
        <v>25624</v>
      </c>
      <c r="KR21" s="1">
        <v>16</v>
      </c>
      <c r="KS21" s="1">
        <v>16</v>
      </c>
      <c r="KT21" s="1">
        <v>20848999.969999999</v>
      </c>
      <c r="KU21" s="1">
        <v>1</v>
      </c>
      <c r="KV21" s="1">
        <v>0</v>
      </c>
      <c r="KW21" s="1">
        <v>30</v>
      </c>
      <c r="KX21" s="1">
        <v>60003760</v>
      </c>
      <c r="KY21" s="1">
        <v>32767</v>
      </c>
      <c r="KZ21" s="1">
        <v>1</v>
      </c>
      <c r="LB21" s="1">
        <v>2813591073</v>
      </c>
      <c r="LC21" s="1">
        <v>9832</v>
      </c>
      <c r="LD21" s="1">
        <v>11880</v>
      </c>
      <c r="LE21" s="1">
        <v>11880</v>
      </c>
      <c r="LF21" s="1">
        <v>10000</v>
      </c>
      <c r="LG21" s="1">
        <v>1</v>
      </c>
      <c r="LH21" s="1">
        <v>0</v>
      </c>
      <c r="LI21" s="1">
        <v>90</v>
      </c>
      <c r="LJ21" s="1">
        <v>60003760</v>
      </c>
      <c r="LK21" s="1">
        <v>32767</v>
      </c>
      <c r="LL21" s="1">
        <v>0</v>
      </c>
      <c r="LN21" s="1">
        <v>2875353381</v>
      </c>
      <c r="LO21" s="1">
        <v>10209</v>
      </c>
      <c r="LP21" s="1">
        <v>3</v>
      </c>
      <c r="LQ21" s="1">
        <v>3</v>
      </c>
      <c r="LR21" s="1">
        <v>119000000</v>
      </c>
      <c r="LS21" s="1">
        <v>1</v>
      </c>
      <c r="LT21" s="1">
        <v>0</v>
      </c>
      <c r="LU21" s="1">
        <v>90</v>
      </c>
      <c r="LV21" s="1">
        <v>60003760</v>
      </c>
      <c r="LW21" s="1">
        <v>32767</v>
      </c>
      <c r="LX21" s="1">
        <v>1</v>
      </c>
      <c r="LZ21" s="1">
        <v>2878696153</v>
      </c>
      <c r="MA21" s="1">
        <v>10217</v>
      </c>
      <c r="MB21" s="1">
        <v>1</v>
      </c>
      <c r="MC21" s="1">
        <v>1</v>
      </c>
      <c r="MD21" s="1">
        <v>119899999.95</v>
      </c>
      <c r="ME21" s="1">
        <v>1</v>
      </c>
      <c r="MF21" s="1">
        <v>0</v>
      </c>
      <c r="MG21" s="1">
        <v>30</v>
      </c>
      <c r="MH21" s="1">
        <v>60003760</v>
      </c>
      <c r="MI21" s="1">
        <v>32767</v>
      </c>
      <c r="MJ21" s="1">
        <v>0</v>
      </c>
      <c r="ML21" s="1">
        <v>2868485401</v>
      </c>
      <c r="MM21" s="1">
        <v>25625</v>
      </c>
      <c r="MN21" s="1">
        <v>2</v>
      </c>
      <c r="MO21" s="1">
        <v>2</v>
      </c>
      <c r="MP21" s="1">
        <v>4888888</v>
      </c>
      <c r="MQ21" s="1">
        <v>1</v>
      </c>
      <c r="MR21" s="1">
        <v>0</v>
      </c>
      <c r="MS21" s="1">
        <v>90</v>
      </c>
      <c r="MT21" s="1">
        <v>60003760</v>
      </c>
      <c r="MU21" s="1">
        <v>32767</v>
      </c>
      <c r="MV21" s="1">
        <v>0</v>
      </c>
      <c r="MX21" s="1">
        <v>2860574416</v>
      </c>
      <c r="MY21" s="1">
        <v>16672</v>
      </c>
      <c r="MZ21" s="1">
        <v>3410805</v>
      </c>
      <c r="NA21" s="1">
        <v>3410805</v>
      </c>
      <c r="NB21" s="1">
        <v>144.12</v>
      </c>
      <c r="NC21" s="1">
        <v>1</v>
      </c>
      <c r="ND21" s="1">
        <v>0</v>
      </c>
      <c r="NE21" s="1">
        <v>90</v>
      </c>
      <c r="NF21" s="1">
        <v>60003760</v>
      </c>
      <c r="NG21" s="1">
        <v>32767</v>
      </c>
      <c r="NH21" s="1">
        <v>0</v>
      </c>
      <c r="NJ21" s="1">
        <v>2788868042</v>
      </c>
      <c r="NK21" s="1">
        <v>16673</v>
      </c>
      <c r="NL21" s="1">
        <v>3390000</v>
      </c>
      <c r="NM21" s="1">
        <v>3390000</v>
      </c>
      <c r="NN21" s="1">
        <v>128.83000000000001</v>
      </c>
      <c r="NO21" s="1">
        <v>1</v>
      </c>
      <c r="NP21" s="1">
        <v>0</v>
      </c>
      <c r="NQ21" s="1">
        <v>90</v>
      </c>
      <c r="NR21" s="1">
        <v>60003760</v>
      </c>
      <c r="NS21" s="1">
        <v>32767</v>
      </c>
      <c r="NT21" s="1">
        <v>6</v>
      </c>
      <c r="NV21" s="1">
        <v>2838513675</v>
      </c>
      <c r="NW21" s="1">
        <v>3689</v>
      </c>
      <c r="NX21" s="1">
        <v>6840</v>
      </c>
      <c r="NY21" s="1">
        <v>6840</v>
      </c>
      <c r="NZ21" s="1">
        <v>11124</v>
      </c>
      <c r="OA21" s="1">
        <v>1</v>
      </c>
      <c r="OB21" s="1">
        <v>0</v>
      </c>
      <c r="OC21" s="1">
        <v>90</v>
      </c>
      <c r="OD21" s="1">
        <v>60003760</v>
      </c>
      <c r="OE21" s="1">
        <v>32767</v>
      </c>
      <c r="OF21" s="1">
        <v>0</v>
      </c>
      <c r="OH21" s="1">
        <v>2864561625</v>
      </c>
      <c r="OI21" s="1">
        <v>25598</v>
      </c>
      <c r="OJ21" s="1">
        <v>42</v>
      </c>
      <c r="OK21" s="1">
        <v>42</v>
      </c>
      <c r="OL21" s="1">
        <v>139999</v>
      </c>
      <c r="OM21" s="1">
        <v>1</v>
      </c>
      <c r="ON21" s="1">
        <v>0</v>
      </c>
      <c r="OO21" s="1">
        <v>90</v>
      </c>
      <c r="OP21" s="1">
        <v>60000448</v>
      </c>
      <c r="OQ21" s="1">
        <v>32767</v>
      </c>
      <c r="OR21" s="1">
        <v>2</v>
      </c>
      <c r="OT21" s="1">
        <v>2819172905</v>
      </c>
      <c r="OU21" s="1">
        <v>25600</v>
      </c>
      <c r="OV21" s="1">
        <v>46</v>
      </c>
      <c r="OW21" s="1">
        <v>46</v>
      </c>
      <c r="OX21" s="1">
        <v>32189.96</v>
      </c>
      <c r="OY21" s="1">
        <v>1</v>
      </c>
      <c r="OZ21" s="1">
        <v>0</v>
      </c>
      <c r="PA21" s="1">
        <v>90</v>
      </c>
      <c r="PB21" s="1">
        <v>60003760</v>
      </c>
      <c r="PC21" s="1">
        <v>32767</v>
      </c>
      <c r="PD21" s="1">
        <v>0</v>
      </c>
      <c r="PF21" s="1">
        <v>2848298898</v>
      </c>
      <c r="PG21" s="1">
        <v>16670</v>
      </c>
      <c r="PH21" s="1">
        <v>17665000</v>
      </c>
      <c r="PI21" s="1">
        <v>17665000</v>
      </c>
      <c r="PJ21" s="1">
        <v>135</v>
      </c>
      <c r="PK21" s="1">
        <v>1</v>
      </c>
      <c r="PL21" s="1">
        <v>0</v>
      </c>
      <c r="PM21" s="1">
        <v>90</v>
      </c>
      <c r="PN21" s="1">
        <v>60003760</v>
      </c>
      <c r="PO21" s="1">
        <v>32767</v>
      </c>
      <c r="PP21" s="1">
        <v>7</v>
      </c>
      <c r="PR21" s="1">
        <v>2875350682</v>
      </c>
      <c r="PS21" s="1">
        <v>10222</v>
      </c>
      <c r="PT21" s="1">
        <v>3</v>
      </c>
      <c r="PU21" s="1">
        <v>3</v>
      </c>
      <c r="PV21" s="1">
        <v>119000000</v>
      </c>
      <c r="PW21" s="1">
        <v>1</v>
      </c>
      <c r="PX21" s="1">
        <v>0</v>
      </c>
      <c r="PY21" s="1">
        <v>90</v>
      </c>
      <c r="PZ21" s="1">
        <v>60003760</v>
      </c>
      <c r="QA21" s="1">
        <v>32767</v>
      </c>
      <c r="QB21" s="1">
        <v>0</v>
      </c>
      <c r="QD21" s="1">
        <v>2868263493</v>
      </c>
      <c r="QE21" s="1">
        <v>9830</v>
      </c>
      <c r="QF21" s="1">
        <v>20000</v>
      </c>
      <c r="QG21" s="1">
        <v>20000</v>
      </c>
      <c r="QH21" s="1">
        <v>8000</v>
      </c>
      <c r="QI21" s="1">
        <v>1</v>
      </c>
      <c r="QJ21" s="1">
        <v>0</v>
      </c>
      <c r="QK21" s="1">
        <v>90</v>
      </c>
      <c r="QL21" s="1">
        <v>60003760</v>
      </c>
      <c r="QM21" s="1">
        <v>32767</v>
      </c>
      <c r="QN21" s="1">
        <v>0</v>
      </c>
      <c r="QP21" s="1">
        <v>2862109395</v>
      </c>
      <c r="QQ21" s="1">
        <v>16671</v>
      </c>
      <c r="QR21" s="1">
        <v>5628518</v>
      </c>
      <c r="QS21" s="1">
        <v>5628518</v>
      </c>
      <c r="QT21" s="1">
        <v>124.5</v>
      </c>
      <c r="QU21" s="1">
        <v>1</v>
      </c>
      <c r="QV21" s="1">
        <v>0</v>
      </c>
      <c r="QW21" s="1">
        <v>90</v>
      </c>
      <c r="QX21" s="1">
        <v>60003760</v>
      </c>
      <c r="QY21" s="1">
        <v>32767</v>
      </c>
      <c r="QZ21" s="1">
        <v>7</v>
      </c>
      <c r="RB21" s="1">
        <v>2746444648</v>
      </c>
      <c r="RC21" s="1">
        <v>16682</v>
      </c>
      <c r="RD21" s="1">
        <v>153750</v>
      </c>
      <c r="RE21" s="1">
        <v>153750</v>
      </c>
      <c r="RF21" s="1">
        <v>3586.01</v>
      </c>
      <c r="RG21" s="1">
        <v>1</v>
      </c>
      <c r="RH21" s="1">
        <v>0</v>
      </c>
      <c r="RI21" s="1">
        <v>90</v>
      </c>
      <c r="RJ21" s="1">
        <v>60003760</v>
      </c>
      <c r="RK21" s="1">
        <v>32767</v>
      </c>
      <c r="RL21" s="1">
        <v>8</v>
      </c>
      <c r="RN21" s="1">
        <v>2874059241</v>
      </c>
      <c r="RO21" s="1">
        <v>16678</v>
      </c>
      <c r="RP21" s="1">
        <v>4499580</v>
      </c>
      <c r="RQ21" s="1">
        <v>2879700</v>
      </c>
      <c r="RR21" s="1">
        <v>297.41000000000003</v>
      </c>
      <c r="RS21" s="1">
        <v>1</v>
      </c>
      <c r="RT21" s="1">
        <v>0</v>
      </c>
      <c r="RU21" s="1">
        <v>90</v>
      </c>
      <c r="RV21" s="1">
        <v>60003760</v>
      </c>
      <c r="RW21" s="1">
        <v>32767</v>
      </c>
      <c r="RX21" s="1">
        <v>6</v>
      </c>
      <c r="RZ21" s="1">
        <v>2868071115</v>
      </c>
      <c r="SA21" s="1">
        <v>30310</v>
      </c>
      <c r="SB21" s="1">
        <v>1450</v>
      </c>
      <c r="SC21" s="1">
        <v>1450</v>
      </c>
      <c r="SD21" s="1">
        <v>1600000</v>
      </c>
      <c r="SE21" s="1">
        <v>1</v>
      </c>
      <c r="SF21" s="1">
        <v>0</v>
      </c>
      <c r="SG21" s="1">
        <v>90</v>
      </c>
      <c r="SH21" s="1">
        <v>60003760</v>
      </c>
      <c r="SI21" s="1">
        <v>32767</v>
      </c>
      <c r="SJ21" s="1">
        <v>0</v>
      </c>
      <c r="SL21" s="1">
        <v>2845291334</v>
      </c>
      <c r="SM21" s="1">
        <v>30311</v>
      </c>
      <c r="SN21" s="1">
        <v>428</v>
      </c>
      <c r="SO21" s="1">
        <v>428</v>
      </c>
      <c r="SP21" s="1">
        <v>4149999.11</v>
      </c>
      <c r="SQ21" s="1">
        <v>1</v>
      </c>
      <c r="SR21" s="1">
        <v>0</v>
      </c>
      <c r="SS21" s="1">
        <v>90</v>
      </c>
      <c r="ST21" s="1">
        <v>60003760</v>
      </c>
      <c r="SU21" s="1">
        <v>32767</v>
      </c>
      <c r="SV21" s="1">
        <v>0</v>
      </c>
      <c r="SX21" s="1">
        <v>2772894729</v>
      </c>
      <c r="SY21" s="1">
        <v>25595</v>
      </c>
      <c r="SZ21" s="1">
        <v>62</v>
      </c>
      <c r="TA21" s="1">
        <v>62</v>
      </c>
      <c r="TB21" s="1">
        <v>160052.04</v>
      </c>
      <c r="TC21" s="1">
        <v>1</v>
      </c>
      <c r="TD21" s="1">
        <v>0</v>
      </c>
      <c r="TE21" s="1">
        <v>90</v>
      </c>
      <c r="TF21" s="1">
        <v>60003760</v>
      </c>
      <c r="TG21" s="1">
        <v>32767</v>
      </c>
      <c r="TH21" s="1">
        <v>6</v>
      </c>
      <c r="TJ21" s="1">
        <v>2852336646</v>
      </c>
      <c r="TK21" s="1">
        <v>25606</v>
      </c>
      <c r="TL21" s="1">
        <v>15000</v>
      </c>
      <c r="TM21" s="1">
        <v>14692</v>
      </c>
      <c r="TN21" s="1">
        <v>27899</v>
      </c>
      <c r="TO21" s="1">
        <v>1</v>
      </c>
      <c r="TP21" s="1">
        <v>0</v>
      </c>
      <c r="TQ21" s="1">
        <v>90</v>
      </c>
      <c r="TR21" s="1">
        <v>60003760</v>
      </c>
      <c r="TS21" s="1">
        <v>32767</v>
      </c>
      <c r="TT21" s="1">
        <v>0</v>
      </c>
      <c r="TV21" s="1">
        <v>2853975810</v>
      </c>
      <c r="TW21" s="1">
        <v>25622</v>
      </c>
      <c r="TX21" s="1">
        <v>74</v>
      </c>
      <c r="TY21" s="1">
        <v>66</v>
      </c>
      <c r="TZ21" s="1">
        <v>15224997.99</v>
      </c>
      <c r="UA21" s="1">
        <v>1</v>
      </c>
      <c r="UB21" s="1">
        <v>0</v>
      </c>
      <c r="UC21" s="1">
        <v>90</v>
      </c>
      <c r="UD21" s="1">
        <v>60003760</v>
      </c>
      <c r="UE21" s="1">
        <v>32767</v>
      </c>
      <c r="UF21" s="1">
        <v>0</v>
      </c>
      <c r="UH21" s="1">
        <v>2666873288</v>
      </c>
      <c r="UI21" s="1">
        <v>16680</v>
      </c>
      <c r="UJ21" s="1">
        <v>1172600</v>
      </c>
      <c r="UK21" s="1">
        <v>1172600</v>
      </c>
      <c r="UL21" s="1">
        <v>935.95</v>
      </c>
      <c r="UM21" s="1">
        <v>1</v>
      </c>
      <c r="UN21" s="1">
        <v>0</v>
      </c>
      <c r="UO21" s="1">
        <v>90</v>
      </c>
      <c r="UP21" s="1">
        <v>60003760</v>
      </c>
      <c r="UQ21" s="1">
        <v>32767</v>
      </c>
      <c r="UR21" s="1">
        <v>6</v>
      </c>
      <c r="UT21" s="1">
        <v>2876943241</v>
      </c>
      <c r="UU21" s="1">
        <v>17317</v>
      </c>
      <c r="UV21" s="1">
        <v>100400</v>
      </c>
      <c r="UW21" s="1">
        <v>98377</v>
      </c>
      <c r="UX21" s="1">
        <v>28988.84</v>
      </c>
      <c r="UY21" s="1">
        <v>1</v>
      </c>
      <c r="UZ21" s="1">
        <v>0</v>
      </c>
      <c r="VA21" s="1">
        <v>90</v>
      </c>
      <c r="VB21" s="1">
        <v>60003760</v>
      </c>
      <c r="VC21" s="1">
        <v>32767</v>
      </c>
      <c r="VD21" s="1">
        <v>0</v>
      </c>
      <c r="VF21" s="1">
        <v>2782423423</v>
      </c>
      <c r="VG21" s="1">
        <v>11725</v>
      </c>
      <c r="VH21" s="1">
        <v>150000</v>
      </c>
      <c r="VI21" s="1">
        <v>6116</v>
      </c>
      <c r="VJ21" s="1">
        <v>47214.01</v>
      </c>
      <c r="VK21" s="1">
        <v>10</v>
      </c>
      <c r="VL21" s="1">
        <v>1</v>
      </c>
      <c r="VM21" s="1">
        <v>90</v>
      </c>
      <c r="VN21" s="1">
        <v>60003760</v>
      </c>
      <c r="VO21" s="1">
        <v>-1</v>
      </c>
      <c r="VP21" s="1">
        <v>0</v>
      </c>
    </row>
    <row r="22" spans="2:588" x14ac:dyDescent="0.25">
      <c r="B22" s="1">
        <v>2830095951</v>
      </c>
      <c r="C22" s="1">
        <v>34</v>
      </c>
      <c r="D22" s="1">
        <v>132682</v>
      </c>
      <c r="E22" s="1">
        <v>67742</v>
      </c>
      <c r="F22" s="1">
        <v>5.9</v>
      </c>
      <c r="G22" s="1">
        <v>1</v>
      </c>
      <c r="H22" s="1">
        <v>0</v>
      </c>
      <c r="I22" s="1">
        <v>90</v>
      </c>
      <c r="J22" s="1">
        <v>60005458</v>
      </c>
      <c r="K22" s="1">
        <v>32767</v>
      </c>
      <c r="L22" s="1">
        <v>5</v>
      </c>
      <c r="N22" s="1">
        <v>2868315940</v>
      </c>
      <c r="O22" s="1">
        <v>35</v>
      </c>
      <c r="P22" s="1">
        <v>297940</v>
      </c>
      <c r="Q22" s="1">
        <v>297940</v>
      </c>
      <c r="R22" s="1">
        <v>15</v>
      </c>
      <c r="S22" s="1">
        <v>1</v>
      </c>
      <c r="T22" s="1">
        <v>0</v>
      </c>
      <c r="U22" s="1">
        <v>14</v>
      </c>
      <c r="V22" s="1">
        <v>60004234</v>
      </c>
      <c r="W22" s="1">
        <v>32767</v>
      </c>
      <c r="X22" s="1">
        <v>5</v>
      </c>
      <c r="Z22" s="1">
        <v>2878135499</v>
      </c>
      <c r="AA22" s="1">
        <v>36</v>
      </c>
      <c r="AB22" s="1">
        <v>2129</v>
      </c>
      <c r="AC22" s="1">
        <v>2129</v>
      </c>
      <c r="AD22" s="16">
        <v>50</v>
      </c>
      <c r="AE22" s="1">
        <v>1</v>
      </c>
      <c r="AF22" s="1">
        <v>0</v>
      </c>
      <c r="AG22" s="1">
        <v>1</v>
      </c>
      <c r="AH22" s="1">
        <v>60004369</v>
      </c>
      <c r="AI22" s="1">
        <v>32767</v>
      </c>
      <c r="AJ22" s="1">
        <v>14</v>
      </c>
      <c r="AL22" s="1">
        <v>2761845593</v>
      </c>
      <c r="AM22" s="1">
        <v>37</v>
      </c>
      <c r="AN22" s="1">
        <v>3657285</v>
      </c>
      <c r="AO22" s="1">
        <v>3657285</v>
      </c>
      <c r="AP22" s="16">
        <v>159.30000000000001</v>
      </c>
      <c r="AQ22" s="1">
        <v>1</v>
      </c>
      <c r="AR22" s="1">
        <v>0</v>
      </c>
      <c r="AS22" s="1">
        <v>90</v>
      </c>
      <c r="AT22" s="1">
        <v>60003760</v>
      </c>
      <c r="AU22" s="1">
        <v>32767</v>
      </c>
      <c r="AV22" s="1">
        <v>9</v>
      </c>
      <c r="AX22" s="1">
        <v>2839930016</v>
      </c>
      <c r="AY22" s="1">
        <v>38</v>
      </c>
      <c r="AZ22" s="1">
        <v>1000000</v>
      </c>
      <c r="BA22" s="1">
        <v>1000000</v>
      </c>
      <c r="BB22" s="1">
        <v>950</v>
      </c>
      <c r="BC22" s="1">
        <v>1</v>
      </c>
      <c r="BD22" s="1">
        <v>0</v>
      </c>
      <c r="BE22" s="1">
        <v>90</v>
      </c>
      <c r="BF22" s="1">
        <v>60003760</v>
      </c>
      <c r="BG22" s="1">
        <v>32767</v>
      </c>
      <c r="BH22" s="1">
        <v>5</v>
      </c>
      <c r="BJ22" s="1">
        <v>2841181531</v>
      </c>
      <c r="BK22" s="1">
        <v>39</v>
      </c>
      <c r="BL22" s="1">
        <v>4061</v>
      </c>
      <c r="BM22" s="1">
        <v>4061</v>
      </c>
      <c r="BN22" s="1">
        <v>840</v>
      </c>
      <c r="BO22" s="1">
        <v>1</v>
      </c>
      <c r="BP22" s="1">
        <v>0</v>
      </c>
      <c r="BQ22" s="1">
        <v>90</v>
      </c>
      <c r="BR22" s="1">
        <v>60003760</v>
      </c>
      <c r="BS22" s="1">
        <v>32767</v>
      </c>
      <c r="BT22" s="1">
        <v>5</v>
      </c>
      <c r="BV22" s="1">
        <v>2375237388</v>
      </c>
      <c r="BW22" s="1">
        <v>40</v>
      </c>
      <c r="BX22" s="1">
        <v>100000</v>
      </c>
      <c r="BY22" s="1">
        <v>98000</v>
      </c>
      <c r="BZ22" s="1">
        <v>2928.98</v>
      </c>
      <c r="CA22" s="1">
        <v>1</v>
      </c>
      <c r="CB22" s="1">
        <v>0</v>
      </c>
      <c r="CC22" s="1">
        <v>90</v>
      </c>
      <c r="CD22" s="1">
        <v>60003760</v>
      </c>
      <c r="CE22" s="1">
        <v>32767</v>
      </c>
      <c r="CF22" s="1">
        <v>13</v>
      </c>
      <c r="CH22" s="1">
        <v>2385524314</v>
      </c>
      <c r="CI22" s="1">
        <v>29668</v>
      </c>
      <c r="CJ22" s="1">
        <v>1</v>
      </c>
      <c r="CK22" s="1">
        <v>1</v>
      </c>
      <c r="CL22" s="1">
        <v>495000000</v>
      </c>
      <c r="CM22" s="1">
        <v>1</v>
      </c>
      <c r="CN22" s="1">
        <v>0</v>
      </c>
      <c r="CO22" s="1">
        <v>90</v>
      </c>
      <c r="CP22" s="1">
        <v>60003760</v>
      </c>
      <c r="CQ22" s="1">
        <v>32767</v>
      </c>
      <c r="CR22" s="1">
        <v>0</v>
      </c>
      <c r="CT22" s="1">
        <v>2390055010</v>
      </c>
      <c r="CU22" s="1">
        <v>16649</v>
      </c>
      <c r="CV22" s="1">
        <v>27367</v>
      </c>
      <c r="CW22" s="1">
        <v>367</v>
      </c>
      <c r="CX22" s="1">
        <v>111419.99</v>
      </c>
      <c r="CY22" s="1">
        <v>1</v>
      </c>
      <c r="CZ22" s="1">
        <v>0</v>
      </c>
      <c r="DA22" s="1">
        <v>30</v>
      </c>
      <c r="DB22" s="1">
        <v>60003760</v>
      </c>
      <c r="DC22" s="1">
        <v>32767</v>
      </c>
      <c r="DD22" s="1">
        <v>8</v>
      </c>
      <c r="DF22" s="1">
        <v>2414396562</v>
      </c>
      <c r="DG22" s="1">
        <v>17887</v>
      </c>
      <c r="DH22" s="1">
        <v>3398400</v>
      </c>
      <c r="DI22" s="1">
        <v>3398400</v>
      </c>
      <c r="DJ22" s="1">
        <v>942.19</v>
      </c>
      <c r="DK22" s="1">
        <v>1</v>
      </c>
      <c r="DL22" s="1">
        <v>0</v>
      </c>
      <c r="DM22" s="1">
        <v>90</v>
      </c>
      <c r="DN22" s="1">
        <v>60003760</v>
      </c>
      <c r="DO22" s="1">
        <v>32767</v>
      </c>
      <c r="DP22" s="1">
        <v>0</v>
      </c>
      <c r="DR22" s="1">
        <v>2826867316</v>
      </c>
      <c r="DS22" s="1">
        <v>17888</v>
      </c>
      <c r="DT22" s="1">
        <v>112800</v>
      </c>
      <c r="DU22" s="1">
        <v>112800</v>
      </c>
      <c r="DV22" s="1">
        <v>363</v>
      </c>
      <c r="DW22" s="1">
        <v>1</v>
      </c>
      <c r="DX22" s="1">
        <v>0</v>
      </c>
      <c r="DY22" s="1">
        <v>90</v>
      </c>
      <c r="DZ22" s="1">
        <v>60004234</v>
      </c>
      <c r="EA22" s="1">
        <v>32767</v>
      </c>
      <c r="EB22" s="1">
        <v>9</v>
      </c>
      <c r="ED22" s="1">
        <v>2839839426</v>
      </c>
      <c r="EE22" s="1">
        <v>16273</v>
      </c>
      <c r="EF22" s="1">
        <v>1645</v>
      </c>
      <c r="EG22" s="1">
        <v>1645</v>
      </c>
      <c r="EH22" s="1">
        <v>425</v>
      </c>
      <c r="EI22" s="1">
        <v>1</v>
      </c>
      <c r="EJ22" s="1">
        <v>0</v>
      </c>
      <c r="EK22" s="1">
        <v>90</v>
      </c>
      <c r="EL22" s="1">
        <v>60003760</v>
      </c>
      <c r="EM22" s="1">
        <v>32767</v>
      </c>
      <c r="EN22" s="1">
        <v>6</v>
      </c>
      <c r="EP22" s="1">
        <v>2857724454</v>
      </c>
      <c r="EQ22" s="1">
        <v>17889</v>
      </c>
      <c r="ER22" s="1">
        <v>539001</v>
      </c>
      <c r="ES22" s="1">
        <v>539001</v>
      </c>
      <c r="ET22" s="1">
        <v>380</v>
      </c>
      <c r="EU22" s="1">
        <v>1</v>
      </c>
      <c r="EV22" s="1">
        <v>0</v>
      </c>
      <c r="EW22" s="1">
        <v>30</v>
      </c>
      <c r="EX22" s="1">
        <v>60003760</v>
      </c>
      <c r="EY22" s="1">
        <v>32767</v>
      </c>
      <c r="EZ22" s="1">
        <v>7</v>
      </c>
      <c r="FB22" s="1">
        <v>2872784191</v>
      </c>
      <c r="FC22" s="1">
        <v>30259</v>
      </c>
      <c r="FD22" s="1">
        <v>50</v>
      </c>
      <c r="FE22" s="1">
        <v>50</v>
      </c>
      <c r="FF22" s="1">
        <v>5939989.9699999997</v>
      </c>
      <c r="FG22" s="1">
        <v>1</v>
      </c>
      <c r="FH22" s="1">
        <v>0</v>
      </c>
      <c r="FI22" s="1">
        <v>90</v>
      </c>
      <c r="FJ22" s="1">
        <v>60003760</v>
      </c>
      <c r="FK22" s="1">
        <v>32767</v>
      </c>
      <c r="FL22" s="1">
        <v>0</v>
      </c>
      <c r="FN22" s="1">
        <v>2856634617</v>
      </c>
      <c r="FO22" s="1">
        <v>25617</v>
      </c>
      <c r="FP22" s="1">
        <v>2</v>
      </c>
      <c r="FQ22" s="1">
        <v>2</v>
      </c>
      <c r="FR22" s="1">
        <v>5289797.9000000004</v>
      </c>
      <c r="FS22" s="1">
        <v>1</v>
      </c>
      <c r="FT22" s="1">
        <v>0</v>
      </c>
      <c r="FU22" s="1">
        <v>30</v>
      </c>
      <c r="FV22" s="1">
        <v>60003760</v>
      </c>
      <c r="FW22" s="1">
        <v>32767</v>
      </c>
      <c r="FX22" s="1">
        <v>0</v>
      </c>
      <c r="FZ22" s="1">
        <v>2863341664</v>
      </c>
      <c r="GA22" s="1">
        <v>44</v>
      </c>
      <c r="GB22" s="1">
        <v>10282</v>
      </c>
      <c r="GC22" s="1">
        <v>10282</v>
      </c>
      <c r="GD22" s="1">
        <v>13800</v>
      </c>
      <c r="GE22" s="1">
        <v>1</v>
      </c>
      <c r="GF22" s="1">
        <v>0</v>
      </c>
      <c r="GG22" s="1">
        <v>90</v>
      </c>
      <c r="GH22" s="1">
        <v>60003760</v>
      </c>
      <c r="GI22" s="1">
        <v>32767</v>
      </c>
      <c r="GJ22" s="1">
        <v>4</v>
      </c>
      <c r="GL22" s="1">
        <v>2411528245</v>
      </c>
      <c r="GM22" s="1">
        <v>16681</v>
      </c>
      <c r="GN22" s="1">
        <v>1000000</v>
      </c>
      <c r="GO22" s="1">
        <v>1000000</v>
      </c>
      <c r="GP22" s="1">
        <v>6376.11</v>
      </c>
      <c r="GQ22" s="1">
        <v>1</v>
      </c>
      <c r="GR22" s="1">
        <v>0</v>
      </c>
      <c r="GS22" s="1">
        <v>90</v>
      </c>
      <c r="GT22" s="1">
        <v>60003760</v>
      </c>
      <c r="GU22" s="1">
        <v>32767</v>
      </c>
      <c r="GV22" s="1">
        <v>0</v>
      </c>
      <c r="GX22" s="1">
        <v>2855425212</v>
      </c>
      <c r="GY22" s="1">
        <v>16683</v>
      </c>
      <c r="GZ22" s="1">
        <v>10921</v>
      </c>
      <c r="HA22" s="1">
        <v>10871</v>
      </c>
      <c r="HB22" s="1">
        <v>8698.39</v>
      </c>
      <c r="HC22" s="1">
        <v>1</v>
      </c>
      <c r="HD22" s="1">
        <v>0</v>
      </c>
      <c r="HE22" s="1">
        <v>90</v>
      </c>
      <c r="HF22" s="1">
        <v>60003760</v>
      </c>
      <c r="HG22" s="1">
        <v>32767</v>
      </c>
      <c r="HH22" s="1">
        <v>0</v>
      </c>
      <c r="HJ22" s="1">
        <v>2812917410</v>
      </c>
      <c r="HK22" s="1">
        <v>11724</v>
      </c>
      <c r="HL22" s="1">
        <v>952</v>
      </c>
      <c r="HM22" s="1">
        <v>952</v>
      </c>
      <c r="HN22" s="1">
        <v>41500</v>
      </c>
      <c r="HO22" s="1">
        <v>1</v>
      </c>
      <c r="HP22" s="1">
        <v>0</v>
      </c>
      <c r="HQ22" s="1">
        <v>90</v>
      </c>
      <c r="HR22" s="1">
        <v>60004459</v>
      </c>
      <c r="HS22" s="1">
        <v>32767</v>
      </c>
      <c r="HT22" s="1">
        <v>6</v>
      </c>
      <c r="HV22" s="1">
        <v>2801518776</v>
      </c>
      <c r="HW22" s="1">
        <v>16274</v>
      </c>
      <c r="HX22" s="1">
        <v>772961</v>
      </c>
      <c r="HY22" s="1">
        <v>772961</v>
      </c>
      <c r="HZ22" s="1">
        <v>384</v>
      </c>
      <c r="IA22" s="1">
        <v>1</v>
      </c>
      <c r="IB22" s="1">
        <v>0</v>
      </c>
      <c r="IC22" s="1">
        <v>90</v>
      </c>
      <c r="ID22" s="1">
        <v>60003760</v>
      </c>
      <c r="IE22" s="1">
        <v>32767</v>
      </c>
      <c r="IF22" s="1">
        <v>2</v>
      </c>
      <c r="IH22" s="1">
        <v>2860562138</v>
      </c>
      <c r="II22" s="1">
        <v>10213</v>
      </c>
      <c r="IJ22" s="1">
        <v>1</v>
      </c>
      <c r="IK22" s="1">
        <v>1</v>
      </c>
      <c r="IL22" s="1">
        <v>110000018.01000001</v>
      </c>
      <c r="IM22" s="1">
        <v>1</v>
      </c>
      <c r="IN22" s="1">
        <v>1</v>
      </c>
      <c r="IO22" s="1">
        <v>90</v>
      </c>
      <c r="IP22" s="1">
        <v>60003337</v>
      </c>
      <c r="IQ22" s="1">
        <v>10</v>
      </c>
      <c r="IR22" s="1">
        <v>0</v>
      </c>
      <c r="IT22" s="1">
        <v>2790160389</v>
      </c>
      <c r="IU22" s="1">
        <v>16679</v>
      </c>
      <c r="IV22" s="1">
        <v>653131</v>
      </c>
      <c r="IW22" s="1">
        <v>653131</v>
      </c>
      <c r="IX22" s="1">
        <v>1950.44</v>
      </c>
      <c r="IY22" s="1">
        <v>1</v>
      </c>
      <c r="IZ22" s="1">
        <v>0</v>
      </c>
      <c r="JA22" s="1">
        <v>90</v>
      </c>
      <c r="JB22" s="1">
        <v>60003760</v>
      </c>
      <c r="JC22" s="1">
        <v>32767</v>
      </c>
      <c r="JD22" s="1">
        <v>0</v>
      </c>
      <c r="JF22" s="1">
        <v>2839855522</v>
      </c>
      <c r="JG22" s="1">
        <v>16272</v>
      </c>
      <c r="JH22" s="1">
        <v>3290</v>
      </c>
      <c r="JI22" s="1">
        <v>3290</v>
      </c>
      <c r="JJ22" s="1">
        <v>550</v>
      </c>
      <c r="JK22" s="1">
        <v>1</v>
      </c>
      <c r="JL22" s="1">
        <v>0</v>
      </c>
      <c r="JM22" s="1">
        <v>90</v>
      </c>
      <c r="JN22" s="1">
        <v>60003760</v>
      </c>
      <c r="JO22" s="1">
        <v>32767</v>
      </c>
      <c r="JP22" s="1">
        <v>6</v>
      </c>
      <c r="JR22" s="1">
        <v>2878557944</v>
      </c>
      <c r="JS22" s="1">
        <v>10226</v>
      </c>
      <c r="JT22" s="1">
        <v>5</v>
      </c>
      <c r="JU22" s="1">
        <v>5</v>
      </c>
      <c r="JV22" s="1">
        <v>118993999.98999999</v>
      </c>
      <c r="JW22" s="1">
        <v>1</v>
      </c>
      <c r="JX22" s="1">
        <v>0</v>
      </c>
      <c r="JY22" s="1">
        <v>90</v>
      </c>
      <c r="JZ22" s="1">
        <v>60003760</v>
      </c>
      <c r="KA22" s="1">
        <v>32767</v>
      </c>
      <c r="KB22" s="1">
        <v>0</v>
      </c>
      <c r="KD22" s="1">
        <v>2785624120</v>
      </c>
      <c r="KE22" s="1">
        <v>25605</v>
      </c>
      <c r="KF22" s="1">
        <v>2777</v>
      </c>
      <c r="KG22" s="1">
        <v>2777</v>
      </c>
      <c r="KH22" s="1">
        <v>130000</v>
      </c>
      <c r="KI22" s="1">
        <v>1</v>
      </c>
      <c r="KJ22" s="1">
        <v>0</v>
      </c>
      <c r="KK22" s="1">
        <v>90</v>
      </c>
      <c r="KL22" s="1">
        <v>60003760</v>
      </c>
      <c r="KM22" s="1">
        <v>32767</v>
      </c>
      <c r="KN22" s="1">
        <v>6</v>
      </c>
      <c r="KP22" s="1">
        <v>2806299916</v>
      </c>
      <c r="KQ22" s="1">
        <v>25624</v>
      </c>
      <c r="KR22" s="1">
        <v>58</v>
      </c>
      <c r="KS22" s="1">
        <v>58</v>
      </c>
      <c r="KT22" s="1">
        <v>20045000</v>
      </c>
      <c r="KU22" s="1">
        <v>1</v>
      </c>
      <c r="KV22" s="1">
        <v>0</v>
      </c>
      <c r="KW22" s="1">
        <v>90</v>
      </c>
      <c r="KX22" s="1">
        <v>60003760</v>
      </c>
      <c r="KY22" s="1">
        <v>32767</v>
      </c>
      <c r="KZ22" s="1">
        <v>1</v>
      </c>
      <c r="LB22" s="1">
        <v>2807178246</v>
      </c>
      <c r="LC22" s="1">
        <v>9832</v>
      </c>
      <c r="LD22" s="1">
        <v>26150</v>
      </c>
      <c r="LE22" s="1">
        <v>26150</v>
      </c>
      <c r="LF22" s="1">
        <v>10049.99</v>
      </c>
      <c r="LG22" s="1">
        <v>1</v>
      </c>
      <c r="LH22" s="1">
        <v>0</v>
      </c>
      <c r="LI22" s="1">
        <v>90</v>
      </c>
      <c r="LJ22" s="1">
        <v>60003760</v>
      </c>
      <c r="LK22" s="1">
        <v>32767</v>
      </c>
      <c r="LL22" s="1">
        <v>0</v>
      </c>
      <c r="LN22" s="1">
        <v>2875353530</v>
      </c>
      <c r="LO22" s="1">
        <v>10209</v>
      </c>
      <c r="LP22" s="1">
        <v>3</v>
      </c>
      <c r="LQ22" s="1">
        <v>3</v>
      </c>
      <c r="LR22" s="1">
        <v>119000000</v>
      </c>
      <c r="LS22" s="1">
        <v>1</v>
      </c>
      <c r="LT22" s="1">
        <v>0</v>
      </c>
      <c r="LU22" s="1">
        <v>90</v>
      </c>
      <c r="LV22" s="1">
        <v>60003760</v>
      </c>
      <c r="LW22" s="1">
        <v>32767</v>
      </c>
      <c r="LX22" s="1">
        <v>1</v>
      </c>
      <c r="LZ22" s="1">
        <v>2878676070</v>
      </c>
      <c r="MA22" s="1">
        <v>10217</v>
      </c>
      <c r="MB22" s="1">
        <v>3</v>
      </c>
      <c r="MC22" s="1">
        <v>3</v>
      </c>
      <c r="MD22" s="1">
        <v>118200000</v>
      </c>
      <c r="ME22" s="1">
        <v>1</v>
      </c>
      <c r="MF22" s="1">
        <v>0</v>
      </c>
      <c r="MG22" s="1">
        <v>90</v>
      </c>
      <c r="MH22" s="1">
        <v>60003760</v>
      </c>
      <c r="MI22" s="1">
        <v>32767</v>
      </c>
      <c r="MJ22" s="1">
        <v>0</v>
      </c>
      <c r="ML22" s="1">
        <v>2868579120</v>
      </c>
      <c r="MM22" s="1">
        <v>25625</v>
      </c>
      <c r="MN22" s="1">
        <v>1</v>
      </c>
      <c r="MO22" s="1">
        <v>1</v>
      </c>
      <c r="MP22" s="1">
        <v>4614000</v>
      </c>
      <c r="MQ22" s="1">
        <v>1</v>
      </c>
      <c r="MR22" s="1">
        <v>0</v>
      </c>
      <c r="MS22" s="1">
        <v>7</v>
      </c>
      <c r="MT22" s="1">
        <v>60003760</v>
      </c>
      <c r="MU22" s="1">
        <v>32767</v>
      </c>
      <c r="MV22" s="1">
        <v>0</v>
      </c>
      <c r="MX22" s="1">
        <v>2868759597</v>
      </c>
      <c r="MY22" s="1">
        <v>16672</v>
      </c>
      <c r="MZ22" s="1">
        <v>4290000</v>
      </c>
      <c r="NA22" s="1">
        <v>4290000</v>
      </c>
      <c r="NB22" s="1">
        <v>151.15</v>
      </c>
      <c r="NC22" s="1">
        <v>1</v>
      </c>
      <c r="ND22" s="1">
        <v>0</v>
      </c>
      <c r="NE22" s="1">
        <v>14</v>
      </c>
      <c r="NF22" s="1">
        <v>60003760</v>
      </c>
      <c r="NG22" s="1">
        <v>32767</v>
      </c>
      <c r="NH22" s="1">
        <v>0</v>
      </c>
      <c r="NJ22" s="1">
        <v>2788902910</v>
      </c>
      <c r="NK22" s="1">
        <v>16673</v>
      </c>
      <c r="NL22" s="1">
        <v>2940000</v>
      </c>
      <c r="NM22" s="1">
        <v>2940000</v>
      </c>
      <c r="NN22" s="1">
        <v>125.31</v>
      </c>
      <c r="NO22" s="1">
        <v>1</v>
      </c>
      <c r="NP22" s="1">
        <v>0</v>
      </c>
      <c r="NQ22" s="1">
        <v>90</v>
      </c>
      <c r="NR22" s="1">
        <v>60003760</v>
      </c>
      <c r="NS22" s="1">
        <v>32767</v>
      </c>
      <c r="NT22" s="1">
        <v>6</v>
      </c>
      <c r="NV22" s="1">
        <v>2837570352</v>
      </c>
      <c r="NW22" s="1">
        <v>3689</v>
      </c>
      <c r="NX22" s="1">
        <v>3635</v>
      </c>
      <c r="NY22" s="1">
        <v>3635</v>
      </c>
      <c r="NZ22" s="1">
        <v>11200</v>
      </c>
      <c r="OA22" s="1">
        <v>1</v>
      </c>
      <c r="OB22" s="1">
        <v>0</v>
      </c>
      <c r="OC22" s="1">
        <v>90</v>
      </c>
      <c r="OD22" s="1">
        <v>60003760</v>
      </c>
      <c r="OE22" s="1">
        <v>32767</v>
      </c>
      <c r="OF22" s="1">
        <v>0</v>
      </c>
      <c r="OH22" s="1">
        <v>2817506694</v>
      </c>
      <c r="OI22" s="1">
        <v>25598</v>
      </c>
      <c r="OJ22" s="1">
        <v>119</v>
      </c>
      <c r="OK22" s="1">
        <v>92</v>
      </c>
      <c r="OL22" s="1">
        <v>164997.97</v>
      </c>
      <c r="OM22" s="1">
        <v>1</v>
      </c>
      <c r="ON22" s="1">
        <v>0</v>
      </c>
      <c r="OO22" s="1">
        <v>90</v>
      </c>
      <c r="OP22" s="1">
        <v>60003760</v>
      </c>
      <c r="OQ22" s="1">
        <v>32767</v>
      </c>
      <c r="OR22" s="1">
        <v>0</v>
      </c>
      <c r="OT22" s="1">
        <v>2822501642</v>
      </c>
      <c r="OU22" s="1">
        <v>25600</v>
      </c>
      <c r="OV22" s="1">
        <v>1365</v>
      </c>
      <c r="OW22" s="1">
        <v>1365</v>
      </c>
      <c r="OX22" s="1">
        <v>32000</v>
      </c>
      <c r="OY22" s="1">
        <v>1</v>
      </c>
      <c r="OZ22" s="1">
        <v>0</v>
      </c>
      <c r="PA22" s="1">
        <v>90</v>
      </c>
      <c r="PB22" s="1">
        <v>60003760</v>
      </c>
      <c r="PC22" s="1">
        <v>32767</v>
      </c>
      <c r="PD22" s="1">
        <v>0</v>
      </c>
      <c r="PF22" s="1">
        <v>2857612026</v>
      </c>
      <c r="PG22" s="1">
        <v>16670</v>
      </c>
      <c r="PH22" s="1">
        <v>14100000</v>
      </c>
      <c r="PI22" s="1">
        <v>13825600</v>
      </c>
      <c r="PJ22" s="1">
        <v>126</v>
      </c>
      <c r="PK22" s="1">
        <v>1</v>
      </c>
      <c r="PL22" s="1">
        <v>0</v>
      </c>
      <c r="PM22" s="1">
        <v>90</v>
      </c>
      <c r="PN22" s="1">
        <v>60003760</v>
      </c>
      <c r="PO22" s="1">
        <v>32767</v>
      </c>
      <c r="PP22" s="1">
        <v>7</v>
      </c>
      <c r="PR22" s="1">
        <v>2875350817</v>
      </c>
      <c r="PS22" s="1">
        <v>10222</v>
      </c>
      <c r="PT22" s="1">
        <v>3</v>
      </c>
      <c r="PU22" s="1">
        <v>3</v>
      </c>
      <c r="PV22" s="1">
        <v>119000000</v>
      </c>
      <c r="PW22" s="1">
        <v>1</v>
      </c>
      <c r="PX22" s="1">
        <v>0</v>
      </c>
      <c r="PY22" s="1">
        <v>90</v>
      </c>
      <c r="PZ22" s="1">
        <v>60003760</v>
      </c>
      <c r="QA22" s="1">
        <v>32767</v>
      </c>
      <c r="QB22" s="1">
        <v>0</v>
      </c>
      <c r="QD22" s="1">
        <v>2868014723</v>
      </c>
      <c r="QE22" s="1">
        <v>9830</v>
      </c>
      <c r="QF22" s="1">
        <v>7560</v>
      </c>
      <c r="QG22" s="1">
        <v>7560</v>
      </c>
      <c r="QH22" s="1">
        <v>7985</v>
      </c>
      <c r="QI22" s="1">
        <v>1</v>
      </c>
      <c r="QJ22" s="1">
        <v>0</v>
      </c>
      <c r="QK22" s="1">
        <v>90</v>
      </c>
      <c r="QL22" s="1">
        <v>60003760</v>
      </c>
      <c r="QM22" s="1">
        <v>32767</v>
      </c>
      <c r="QN22" s="1">
        <v>0</v>
      </c>
      <c r="QP22" s="1">
        <v>2859226239</v>
      </c>
      <c r="QQ22" s="1">
        <v>16671</v>
      </c>
      <c r="QR22" s="1">
        <v>1113320</v>
      </c>
      <c r="QS22" s="1">
        <v>1111120</v>
      </c>
      <c r="QT22" s="1">
        <v>107.08</v>
      </c>
      <c r="QU22" s="1">
        <v>1</v>
      </c>
      <c r="QV22" s="1">
        <v>0</v>
      </c>
      <c r="QW22" s="1">
        <v>90</v>
      </c>
      <c r="QX22" s="1">
        <v>60003760</v>
      </c>
      <c r="QY22" s="1">
        <v>32767</v>
      </c>
      <c r="QZ22" s="1">
        <v>7</v>
      </c>
      <c r="RB22" s="1">
        <v>2747568945</v>
      </c>
      <c r="RC22" s="1">
        <v>16682</v>
      </c>
      <c r="RD22" s="1">
        <v>50000</v>
      </c>
      <c r="RE22" s="1">
        <v>39360</v>
      </c>
      <c r="RF22" s="1">
        <v>3585.84</v>
      </c>
      <c r="RG22" s="1">
        <v>1</v>
      </c>
      <c r="RH22" s="1">
        <v>0</v>
      </c>
      <c r="RI22" s="1">
        <v>90</v>
      </c>
      <c r="RJ22" s="1">
        <v>60003760</v>
      </c>
      <c r="RK22" s="1">
        <v>32767</v>
      </c>
      <c r="RL22" s="1">
        <v>8</v>
      </c>
      <c r="RN22" s="1">
        <v>2875400501</v>
      </c>
      <c r="RO22" s="1">
        <v>16678</v>
      </c>
      <c r="RP22" s="1">
        <v>588000</v>
      </c>
      <c r="RQ22" s="1">
        <v>588000</v>
      </c>
      <c r="RR22" s="1">
        <v>298.91000000000003</v>
      </c>
      <c r="RS22" s="1">
        <v>1</v>
      </c>
      <c r="RT22" s="1">
        <v>0</v>
      </c>
      <c r="RU22" s="1">
        <v>90</v>
      </c>
      <c r="RV22" s="1">
        <v>60003760</v>
      </c>
      <c r="RW22" s="1">
        <v>32767</v>
      </c>
      <c r="RX22" s="1">
        <v>6</v>
      </c>
      <c r="RZ22" s="1">
        <v>2864353810</v>
      </c>
      <c r="SA22" s="1">
        <v>30310</v>
      </c>
      <c r="SB22" s="1">
        <v>360</v>
      </c>
      <c r="SC22" s="1">
        <v>60</v>
      </c>
      <c r="SD22" s="1">
        <v>1308887.3400000001</v>
      </c>
      <c r="SE22" s="1">
        <v>1</v>
      </c>
      <c r="SF22" s="1">
        <v>0</v>
      </c>
      <c r="SG22" s="1">
        <v>90</v>
      </c>
      <c r="SH22" s="1">
        <v>60003760</v>
      </c>
      <c r="SI22" s="1">
        <v>32767</v>
      </c>
      <c r="SJ22" s="1">
        <v>0</v>
      </c>
      <c r="SL22" s="1">
        <v>2844971151</v>
      </c>
      <c r="SM22" s="1">
        <v>30311</v>
      </c>
      <c r="SN22" s="1">
        <v>110</v>
      </c>
      <c r="SO22" s="1">
        <v>22</v>
      </c>
      <c r="SP22" s="1">
        <v>3301011.38</v>
      </c>
      <c r="SQ22" s="1">
        <v>1</v>
      </c>
      <c r="SR22" s="1">
        <v>0</v>
      </c>
      <c r="SS22" s="1">
        <v>90</v>
      </c>
      <c r="ST22" s="1">
        <v>60003760</v>
      </c>
      <c r="SU22" s="1">
        <v>32767</v>
      </c>
      <c r="SV22" s="1">
        <v>0</v>
      </c>
      <c r="SX22" s="1">
        <v>2776086763</v>
      </c>
      <c r="SY22" s="1">
        <v>25595</v>
      </c>
      <c r="SZ22" s="1">
        <v>5385</v>
      </c>
      <c r="TA22" s="1">
        <v>4387</v>
      </c>
      <c r="TB22" s="1">
        <v>108598.99</v>
      </c>
      <c r="TC22" s="1">
        <v>1</v>
      </c>
      <c r="TD22" s="1">
        <v>0</v>
      </c>
      <c r="TE22" s="1">
        <v>90</v>
      </c>
      <c r="TF22" s="1">
        <v>60003760</v>
      </c>
      <c r="TG22" s="1">
        <v>32767</v>
      </c>
      <c r="TH22" s="1">
        <v>6</v>
      </c>
      <c r="TJ22" s="1">
        <v>2851410606</v>
      </c>
      <c r="TK22" s="1">
        <v>25606</v>
      </c>
      <c r="TL22" s="1">
        <v>1698</v>
      </c>
      <c r="TM22" s="1">
        <v>1698</v>
      </c>
      <c r="TN22" s="1">
        <v>27998</v>
      </c>
      <c r="TO22" s="1">
        <v>1</v>
      </c>
      <c r="TP22" s="1">
        <v>0</v>
      </c>
      <c r="TQ22" s="1">
        <v>90</v>
      </c>
      <c r="TR22" s="1">
        <v>60003760</v>
      </c>
      <c r="TS22" s="1">
        <v>32767</v>
      </c>
      <c r="TT22" s="1">
        <v>0</v>
      </c>
      <c r="TV22" s="1">
        <v>2854096356</v>
      </c>
      <c r="TW22" s="1">
        <v>25622</v>
      </c>
      <c r="TX22" s="1">
        <v>78</v>
      </c>
      <c r="TY22" s="1">
        <v>55</v>
      </c>
      <c r="TZ22" s="1">
        <v>15224997.98</v>
      </c>
      <c r="UA22" s="1">
        <v>1</v>
      </c>
      <c r="UB22" s="1">
        <v>0</v>
      </c>
      <c r="UC22" s="1">
        <v>90</v>
      </c>
      <c r="UD22" s="1">
        <v>60003760</v>
      </c>
      <c r="UE22" s="1">
        <v>32767</v>
      </c>
      <c r="UF22" s="1">
        <v>0</v>
      </c>
      <c r="UH22" s="1">
        <v>2727558059</v>
      </c>
      <c r="UI22" s="1">
        <v>16680</v>
      </c>
      <c r="UJ22" s="1">
        <v>1113200</v>
      </c>
      <c r="UK22" s="1">
        <v>490663</v>
      </c>
      <c r="UL22" s="1">
        <v>849.99</v>
      </c>
      <c r="UM22" s="1">
        <v>1</v>
      </c>
      <c r="UN22" s="1">
        <v>0</v>
      </c>
      <c r="UO22" s="1">
        <v>90</v>
      </c>
      <c r="UP22" s="1">
        <v>60003760</v>
      </c>
      <c r="UQ22" s="1">
        <v>32767</v>
      </c>
      <c r="UR22" s="1">
        <v>6</v>
      </c>
      <c r="UT22" s="1">
        <v>2874297628</v>
      </c>
      <c r="UU22" s="1">
        <v>17317</v>
      </c>
      <c r="UV22" s="1">
        <v>38400</v>
      </c>
      <c r="UW22" s="1">
        <v>33894</v>
      </c>
      <c r="UX22" s="1">
        <v>28980</v>
      </c>
      <c r="UY22" s="1">
        <v>1</v>
      </c>
      <c r="UZ22" s="1">
        <v>0</v>
      </c>
      <c r="VA22" s="1">
        <v>90</v>
      </c>
      <c r="VB22" s="1">
        <v>60003760</v>
      </c>
      <c r="VC22" s="1">
        <v>32767</v>
      </c>
      <c r="VD22" s="1">
        <v>0</v>
      </c>
      <c r="VF22" s="1">
        <v>2841065178</v>
      </c>
      <c r="VG22" s="1">
        <v>11725</v>
      </c>
      <c r="VH22" s="1">
        <v>135</v>
      </c>
      <c r="VI22" s="1">
        <v>111</v>
      </c>
      <c r="VJ22" s="1">
        <v>24001</v>
      </c>
      <c r="VK22" s="1">
        <v>1</v>
      </c>
      <c r="VL22" s="1">
        <v>1</v>
      </c>
      <c r="VM22" s="1">
        <v>90</v>
      </c>
      <c r="VN22" s="1">
        <v>60003760</v>
      </c>
      <c r="VO22" s="1">
        <v>32767</v>
      </c>
      <c r="VP22" s="1">
        <v>0</v>
      </c>
    </row>
    <row r="23" spans="2:588" x14ac:dyDescent="0.25">
      <c r="B23" s="1">
        <v>2838867491</v>
      </c>
      <c r="C23" s="1">
        <v>34</v>
      </c>
      <c r="D23" s="1">
        <v>12000274</v>
      </c>
      <c r="E23" s="1">
        <v>12000274</v>
      </c>
      <c r="F23" s="1">
        <v>6.3</v>
      </c>
      <c r="G23" s="1">
        <v>1</v>
      </c>
      <c r="H23" s="1">
        <v>0</v>
      </c>
      <c r="I23" s="1">
        <v>90</v>
      </c>
      <c r="J23" s="1">
        <v>60004240</v>
      </c>
      <c r="K23" s="1">
        <v>32767</v>
      </c>
      <c r="L23" s="1">
        <v>5</v>
      </c>
      <c r="N23" s="1">
        <v>2874242426</v>
      </c>
      <c r="O23" s="1">
        <v>35</v>
      </c>
      <c r="P23" s="1">
        <v>11804</v>
      </c>
      <c r="Q23" s="1">
        <v>461</v>
      </c>
      <c r="R23" s="1">
        <v>16.22</v>
      </c>
      <c r="S23" s="1">
        <v>1</v>
      </c>
      <c r="T23" s="1">
        <v>0</v>
      </c>
      <c r="U23" s="1">
        <v>30</v>
      </c>
      <c r="V23" s="1">
        <v>60004237</v>
      </c>
      <c r="W23" s="1">
        <v>32767</v>
      </c>
      <c r="X23" s="1">
        <v>3</v>
      </c>
      <c r="Z23" s="1">
        <v>2851176358</v>
      </c>
      <c r="AA23" s="1">
        <v>36</v>
      </c>
      <c r="AB23" s="1">
        <v>55734</v>
      </c>
      <c r="AC23" s="1">
        <v>19734</v>
      </c>
      <c r="AD23" s="16">
        <v>55</v>
      </c>
      <c r="AE23" s="1">
        <v>1</v>
      </c>
      <c r="AF23" s="1">
        <v>0</v>
      </c>
      <c r="AG23" s="1">
        <v>90</v>
      </c>
      <c r="AH23" s="1">
        <v>60004069</v>
      </c>
      <c r="AI23" s="1">
        <v>32767</v>
      </c>
      <c r="AJ23" s="1">
        <v>15</v>
      </c>
      <c r="AL23" s="1">
        <v>2760594148</v>
      </c>
      <c r="AM23" s="1">
        <v>37</v>
      </c>
      <c r="AN23" s="1">
        <v>75</v>
      </c>
      <c r="AO23" s="1">
        <v>75</v>
      </c>
      <c r="AP23" s="16">
        <v>169</v>
      </c>
      <c r="AQ23" s="1">
        <v>1</v>
      </c>
      <c r="AR23" s="1">
        <v>0</v>
      </c>
      <c r="AS23" s="1">
        <v>90</v>
      </c>
      <c r="AT23" s="1">
        <v>60003760</v>
      </c>
      <c r="AU23" s="1">
        <v>32767</v>
      </c>
      <c r="AV23" s="1">
        <v>9</v>
      </c>
      <c r="AX23" s="1">
        <v>2846292475</v>
      </c>
      <c r="AY23" s="1">
        <v>38</v>
      </c>
      <c r="AZ23" s="1">
        <v>521257</v>
      </c>
      <c r="BA23" s="1">
        <v>521257</v>
      </c>
      <c r="BB23" s="1">
        <v>1400</v>
      </c>
      <c r="BC23" s="1">
        <v>1</v>
      </c>
      <c r="BD23" s="1">
        <v>0</v>
      </c>
      <c r="BE23" s="1">
        <v>90</v>
      </c>
      <c r="BF23" s="1">
        <v>60003760</v>
      </c>
      <c r="BG23" s="1">
        <v>32767</v>
      </c>
      <c r="BH23" s="1">
        <v>5</v>
      </c>
      <c r="BJ23" s="1">
        <v>2840376647</v>
      </c>
      <c r="BK23" s="1">
        <v>39</v>
      </c>
      <c r="BL23" s="1">
        <v>3500000</v>
      </c>
      <c r="BM23" s="1">
        <v>1698798</v>
      </c>
      <c r="BN23" s="1">
        <v>834</v>
      </c>
      <c r="BO23" s="1">
        <v>1</v>
      </c>
      <c r="BP23" s="1">
        <v>0</v>
      </c>
      <c r="BQ23" s="1">
        <v>90</v>
      </c>
      <c r="BR23" s="1">
        <v>60003760</v>
      </c>
      <c r="BS23" s="1">
        <v>32767</v>
      </c>
      <c r="BT23" s="1">
        <v>5</v>
      </c>
      <c r="BV23" s="1">
        <v>2375239277</v>
      </c>
      <c r="BW23" s="1">
        <v>40</v>
      </c>
      <c r="BX23" s="1">
        <v>56352</v>
      </c>
      <c r="BY23" s="1">
        <v>46352</v>
      </c>
      <c r="BZ23" s="1">
        <v>2928.88</v>
      </c>
      <c r="CA23" s="1">
        <v>1</v>
      </c>
      <c r="CB23" s="1">
        <v>0</v>
      </c>
      <c r="CC23" s="1">
        <v>90</v>
      </c>
      <c r="CD23" s="1">
        <v>60003760</v>
      </c>
      <c r="CE23" s="1">
        <v>32767</v>
      </c>
      <c r="CF23" s="1">
        <v>13</v>
      </c>
      <c r="CH23" s="1">
        <v>2395111170</v>
      </c>
      <c r="CI23" s="1">
        <v>29668</v>
      </c>
      <c r="CJ23" s="1">
        <v>1</v>
      </c>
      <c r="CK23" s="1">
        <v>1</v>
      </c>
      <c r="CL23" s="1">
        <v>4420008000.9799995</v>
      </c>
      <c r="CM23" s="1">
        <v>1</v>
      </c>
      <c r="CN23" s="1">
        <v>0</v>
      </c>
      <c r="CO23" s="1">
        <v>30</v>
      </c>
      <c r="CP23" s="1">
        <v>60003760</v>
      </c>
      <c r="CQ23" s="1">
        <v>32767</v>
      </c>
      <c r="CR23" s="1">
        <v>0</v>
      </c>
      <c r="CT23" s="1">
        <v>2388758190</v>
      </c>
      <c r="CU23" s="1">
        <v>16649</v>
      </c>
      <c r="CV23" s="1">
        <v>10000</v>
      </c>
      <c r="CW23" s="1">
        <v>10000</v>
      </c>
      <c r="CX23" s="1">
        <v>113438.87</v>
      </c>
      <c r="CY23" s="1">
        <v>1</v>
      </c>
      <c r="CZ23" s="1">
        <v>0</v>
      </c>
      <c r="DA23" s="1">
        <v>30</v>
      </c>
      <c r="DB23" s="1">
        <v>60003760</v>
      </c>
      <c r="DC23" s="1">
        <v>32767</v>
      </c>
      <c r="DD23" s="1">
        <v>8</v>
      </c>
      <c r="DF23" s="1">
        <v>2399522483</v>
      </c>
      <c r="DG23" s="1">
        <v>17887</v>
      </c>
      <c r="DH23" s="1">
        <v>938595</v>
      </c>
      <c r="DI23" s="1">
        <v>763379</v>
      </c>
      <c r="DJ23" s="1">
        <v>1118.8900000000001</v>
      </c>
      <c r="DK23" s="1">
        <v>1</v>
      </c>
      <c r="DL23" s="1">
        <v>0</v>
      </c>
      <c r="DM23" s="1">
        <v>90</v>
      </c>
      <c r="DN23" s="1">
        <v>60003760</v>
      </c>
      <c r="DO23" s="1">
        <v>32767</v>
      </c>
      <c r="DP23" s="1">
        <v>0</v>
      </c>
      <c r="DR23" s="1">
        <v>2790902244</v>
      </c>
      <c r="DS23" s="1">
        <v>17888</v>
      </c>
      <c r="DT23" s="1">
        <v>200000</v>
      </c>
      <c r="DU23" s="1">
        <v>200000</v>
      </c>
      <c r="DV23" s="1">
        <v>412</v>
      </c>
      <c r="DW23" s="1">
        <v>1</v>
      </c>
      <c r="DX23" s="1">
        <v>0</v>
      </c>
      <c r="DY23" s="1">
        <v>90</v>
      </c>
      <c r="DZ23" s="1">
        <v>60003394</v>
      </c>
      <c r="EA23" s="1">
        <v>32767</v>
      </c>
      <c r="EB23" s="1">
        <v>9</v>
      </c>
      <c r="ED23" s="1">
        <v>2839463970</v>
      </c>
      <c r="EE23" s="1">
        <v>16273</v>
      </c>
      <c r="EF23" s="1">
        <v>131689</v>
      </c>
      <c r="EG23" s="1">
        <v>131689</v>
      </c>
      <c r="EH23" s="1">
        <v>400</v>
      </c>
      <c r="EI23" s="1">
        <v>1</v>
      </c>
      <c r="EJ23" s="1">
        <v>0</v>
      </c>
      <c r="EK23" s="1">
        <v>90</v>
      </c>
      <c r="EL23" s="1">
        <v>60003760</v>
      </c>
      <c r="EM23" s="1">
        <v>32767</v>
      </c>
      <c r="EN23" s="1">
        <v>6</v>
      </c>
      <c r="EP23" s="1">
        <v>2857828901</v>
      </c>
      <c r="EQ23" s="1">
        <v>17889</v>
      </c>
      <c r="ER23" s="1">
        <v>2000000</v>
      </c>
      <c r="ES23" s="1">
        <v>2000000</v>
      </c>
      <c r="ET23" s="1">
        <v>376.16</v>
      </c>
      <c r="EU23" s="1">
        <v>1</v>
      </c>
      <c r="EV23" s="1">
        <v>0</v>
      </c>
      <c r="EW23" s="1">
        <v>90</v>
      </c>
      <c r="EX23" s="1">
        <v>60003760</v>
      </c>
      <c r="EY23" s="1">
        <v>32767</v>
      </c>
      <c r="EZ23" s="1">
        <v>7</v>
      </c>
      <c r="FB23" s="1">
        <v>2872889205</v>
      </c>
      <c r="FC23" s="1">
        <v>30259</v>
      </c>
      <c r="FD23" s="1">
        <v>153</v>
      </c>
      <c r="FE23" s="1">
        <v>153</v>
      </c>
      <c r="FF23" s="1">
        <v>5999000</v>
      </c>
      <c r="FG23" s="1">
        <v>1</v>
      </c>
      <c r="FH23" s="1">
        <v>0</v>
      </c>
      <c r="FI23" s="1">
        <v>90</v>
      </c>
      <c r="FJ23" s="1">
        <v>60003760</v>
      </c>
      <c r="FK23" s="1">
        <v>32767</v>
      </c>
      <c r="FL23" s="1">
        <v>0</v>
      </c>
      <c r="FN23" s="1">
        <v>2856433799</v>
      </c>
      <c r="FO23" s="1">
        <v>25617</v>
      </c>
      <c r="FP23" s="1">
        <v>4</v>
      </c>
      <c r="FQ23" s="1">
        <v>4</v>
      </c>
      <c r="FR23" s="1">
        <v>5289799</v>
      </c>
      <c r="FS23" s="1">
        <v>1</v>
      </c>
      <c r="FT23" s="1">
        <v>0</v>
      </c>
      <c r="FU23" s="1">
        <v>30</v>
      </c>
      <c r="FV23" s="1">
        <v>60003760</v>
      </c>
      <c r="FW23" s="1">
        <v>32767</v>
      </c>
      <c r="FX23" s="1">
        <v>0</v>
      </c>
      <c r="FZ23" s="1">
        <v>2860923707</v>
      </c>
      <c r="GA23" s="1">
        <v>44</v>
      </c>
      <c r="GB23" s="1">
        <v>3000</v>
      </c>
      <c r="GC23" s="1">
        <v>3000</v>
      </c>
      <c r="GD23" s="1">
        <v>13387.98</v>
      </c>
      <c r="GE23" s="1">
        <v>1</v>
      </c>
      <c r="GF23" s="1">
        <v>0</v>
      </c>
      <c r="GG23" s="1">
        <v>90</v>
      </c>
      <c r="GH23" s="1">
        <v>60003760</v>
      </c>
      <c r="GI23" s="1">
        <v>32767</v>
      </c>
      <c r="GJ23" s="1">
        <v>4</v>
      </c>
      <c r="GL23" s="1">
        <v>2411528578</v>
      </c>
      <c r="GM23" s="1">
        <v>16681</v>
      </c>
      <c r="GN23" s="1">
        <v>1000000</v>
      </c>
      <c r="GO23" s="1">
        <v>506091</v>
      </c>
      <c r="GP23" s="1">
        <v>6376.1</v>
      </c>
      <c r="GQ23" s="1">
        <v>1</v>
      </c>
      <c r="GR23" s="1">
        <v>0</v>
      </c>
      <c r="GS23" s="1">
        <v>90</v>
      </c>
      <c r="GT23" s="1">
        <v>60003760</v>
      </c>
      <c r="GU23" s="1">
        <v>32767</v>
      </c>
      <c r="GV23" s="1">
        <v>0</v>
      </c>
      <c r="GX23" s="1">
        <v>2855428464</v>
      </c>
      <c r="GY23" s="1">
        <v>16683</v>
      </c>
      <c r="GZ23" s="1">
        <v>16459</v>
      </c>
      <c r="HA23" s="1">
        <v>4279</v>
      </c>
      <c r="HB23" s="1">
        <v>8698.4</v>
      </c>
      <c r="HC23" s="1">
        <v>1</v>
      </c>
      <c r="HD23" s="1">
        <v>0</v>
      </c>
      <c r="HE23" s="1">
        <v>90</v>
      </c>
      <c r="HF23" s="1">
        <v>60003760</v>
      </c>
      <c r="HG23" s="1">
        <v>32767</v>
      </c>
      <c r="HH23" s="1">
        <v>0</v>
      </c>
      <c r="HJ23" s="1">
        <v>2818344106</v>
      </c>
      <c r="HK23" s="1">
        <v>11724</v>
      </c>
      <c r="HL23" s="1">
        <v>10000</v>
      </c>
      <c r="HM23" s="1">
        <v>9994</v>
      </c>
      <c r="HN23" s="1">
        <v>38355.919999999998</v>
      </c>
      <c r="HO23" s="1">
        <v>1</v>
      </c>
      <c r="HP23" s="1">
        <v>1</v>
      </c>
      <c r="HQ23" s="1">
        <v>90</v>
      </c>
      <c r="HR23" s="1">
        <v>60003760</v>
      </c>
      <c r="HS23" s="1">
        <v>0</v>
      </c>
      <c r="HT23" s="1">
        <v>0</v>
      </c>
      <c r="HV23" s="1">
        <v>2789461526</v>
      </c>
      <c r="HW23" s="1">
        <v>16274</v>
      </c>
      <c r="HX23" s="1">
        <v>1472618</v>
      </c>
      <c r="HY23" s="1">
        <v>1472618</v>
      </c>
      <c r="HZ23" s="1">
        <v>386.89</v>
      </c>
      <c r="IA23" s="1">
        <v>1</v>
      </c>
      <c r="IB23" s="1">
        <v>0</v>
      </c>
      <c r="IC23" s="1">
        <v>90</v>
      </c>
      <c r="ID23" s="1">
        <v>60003760</v>
      </c>
      <c r="IE23" s="1">
        <v>32767</v>
      </c>
      <c r="IF23" s="1">
        <v>2</v>
      </c>
      <c r="IH23" s="1">
        <v>2824181282</v>
      </c>
      <c r="II23" s="1">
        <v>10213</v>
      </c>
      <c r="IJ23" s="1">
        <v>1</v>
      </c>
      <c r="IK23" s="1">
        <v>1</v>
      </c>
      <c r="IL23" s="1">
        <v>13598799</v>
      </c>
      <c r="IM23" s="1">
        <v>1</v>
      </c>
      <c r="IN23" s="1">
        <v>1</v>
      </c>
      <c r="IO23" s="1">
        <v>90</v>
      </c>
      <c r="IP23" s="1">
        <v>60003760</v>
      </c>
      <c r="IQ23" s="1">
        <v>32767</v>
      </c>
      <c r="IR23" s="1">
        <v>0</v>
      </c>
      <c r="IT23" s="1">
        <v>2790162179</v>
      </c>
      <c r="IU23" s="1">
        <v>16679</v>
      </c>
      <c r="IV23" s="1">
        <v>653131</v>
      </c>
      <c r="IW23" s="1">
        <v>653131</v>
      </c>
      <c r="IX23" s="1">
        <v>1911.44</v>
      </c>
      <c r="IY23" s="1">
        <v>1</v>
      </c>
      <c r="IZ23" s="1">
        <v>0</v>
      </c>
      <c r="JA23" s="1">
        <v>90</v>
      </c>
      <c r="JB23" s="1">
        <v>60003760</v>
      </c>
      <c r="JC23" s="1">
        <v>32767</v>
      </c>
      <c r="JD23" s="1">
        <v>0</v>
      </c>
      <c r="JF23" s="1">
        <v>2749420091</v>
      </c>
      <c r="JG23" s="1">
        <v>16272</v>
      </c>
      <c r="JH23" s="1">
        <v>366</v>
      </c>
      <c r="JI23" s="1">
        <v>366</v>
      </c>
      <c r="JJ23" s="1">
        <v>446</v>
      </c>
      <c r="JK23" s="1">
        <v>1</v>
      </c>
      <c r="JL23" s="1">
        <v>0</v>
      </c>
      <c r="JM23" s="1">
        <v>90</v>
      </c>
      <c r="JN23" s="1">
        <v>60003760</v>
      </c>
      <c r="JO23" s="1">
        <v>32767</v>
      </c>
      <c r="JP23" s="1">
        <v>6</v>
      </c>
      <c r="JR23" s="1">
        <v>2876870422</v>
      </c>
      <c r="JS23" s="1">
        <v>10226</v>
      </c>
      <c r="JT23" s="1">
        <v>16</v>
      </c>
      <c r="JU23" s="1">
        <v>11</v>
      </c>
      <c r="JV23" s="1">
        <v>118993000</v>
      </c>
      <c r="JW23" s="1">
        <v>1</v>
      </c>
      <c r="JX23" s="1">
        <v>0</v>
      </c>
      <c r="JY23" s="1">
        <v>90</v>
      </c>
      <c r="JZ23" s="1">
        <v>60003760</v>
      </c>
      <c r="KA23" s="1">
        <v>32767</v>
      </c>
      <c r="KB23" s="1">
        <v>1</v>
      </c>
      <c r="KD23" s="1">
        <v>2784593626</v>
      </c>
      <c r="KE23" s="1">
        <v>25605</v>
      </c>
      <c r="KF23" s="1">
        <v>302</v>
      </c>
      <c r="KG23" s="1">
        <v>302</v>
      </c>
      <c r="KH23" s="1">
        <v>155000</v>
      </c>
      <c r="KI23" s="1">
        <v>1</v>
      </c>
      <c r="KJ23" s="1">
        <v>0</v>
      </c>
      <c r="KK23" s="1">
        <v>90</v>
      </c>
      <c r="KL23" s="1">
        <v>60003760</v>
      </c>
      <c r="KM23" s="1">
        <v>32767</v>
      </c>
      <c r="KN23" s="1">
        <v>6</v>
      </c>
      <c r="KP23" s="1">
        <v>2805573440</v>
      </c>
      <c r="KQ23" s="1">
        <v>25624</v>
      </c>
      <c r="KR23" s="1">
        <v>3</v>
      </c>
      <c r="KS23" s="1">
        <v>3</v>
      </c>
      <c r="KT23" s="1">
        <v>20448999.600000001</v>
      </c>
      <c r="KU23" s="1">
        <v>1</v>
      </c>
      <c r="KV23" s="1">
        <v>0</v>
      </c>
      <c r="KW23" s="1">
        <v>30</v>
      </c>
      <c r="KX23" s="1">
        <v>60003760</v>
      </c>
      <c r="KY23" s="1">
        <v>32767</v>
      </c>
      <c r="KZ23" s="1">
        <v>1</v>
      </c>
      <c r="LB23" s="1">
        <v>2800135832</v>
      </c>
      <c r="LC23" s="1">
        <v>9832</v>
      </c>
      <c r="LD23" s="1">
        <v>30000</v>
      </c>
      <c r="LE23" s="1">
        <v>30000</v>
      </c>
      <c r="LF23" s="1">
        <v>10498</v>
      </c>
      <c r="LG23" s="1">
        <v>1</v>
      </c>
      <c r="LH23" s="1">
        <v>0</v>
      </c>
      <c r="LI23" s="1">
        <v>90</v>
      </c>
      <c r="LJ23" s="1">
        <v>60003760</v>
      </c>
      <c r="LK23" s="1">
        <v>32767</v>
      </c>
      <c r="LL23" s="1">
        <v>0</v>
      </c>
      <c r="LN23" s="1">
        <v>2875353674</v>
      </c>
      <c r="LO23" s="1">
        <v>10209</v>
      </c>
      <c r="LP23" s="1">
        <v>3</v>
      </c>
      <c r="LQ23" s="1">
        <v>3</v>
      </c>
      <c r="LR23" s="1">
        <v>119000000</v>
      </c>
      <c r="LS23" s="1">
        <v>1</v>
      </c>
      <c r="LT23" s="1">
        <v>0</v>
      </c>
      <c r="LU23" s="1">
        <v>90</v>
      </c>
      <c r="LV23" s="1">
        <v>60003760</v>
      </c>
      <c r="LW23" s="1">
        <v>32767</v>
      </c>
      <c r="LX23" s="1">
        <v>1</v>
      </c>
      <c r="LZ23" s="1">
        <v>2877566444</v>
      </c>
      <c r="MA23" s="1">
        <v>10217</v>
      </c>
      <c r="MB23" s="1">
        <v>3</v>
      </c>
      <c r="MC23" s="1">
        <v>3</v>
      </c>
      <c r="MD23" s="1">
        <v>120277999</v>
      </c>
      <c r="ME23" s="1">
        <v>1</v>
      </c>
      <c r="MF23" s="1">
        <v>0</v>
      </c>
      <c r="MG23" s="1">
        <v>90</v>
      </c>
      <c r="MH23" s="1">
        <v>60003760</v>
      </c>
      <c r="MI23" s="1">
        <v>32767</v>
      </c>
      <c r="MJ23" s="1">
        <v>0</v>
      </c>
      <c r="ML23" s="1">
        <v>2869336058</v>
      </c>
      <c r="MM23" s="1">
        <v>25625</v>
      </c>
      <c r="MN23" s="1">
        <v>16</v>
      </c>
      <c r="MO23" s="1">
        <v>10</v>
      </c>
      <c r="MP23" s="1">
        <v>4597999.9400000004</v>
      </c>
      <c r="MQ23" s="1">
        <v>1</v>
      </c>
      <c r="MR23" s="1">
        <v>0</v>
      </c>
      <c r="MS23" s="1">
        <v>30</v>
      </c>
      <c r="MT23" s="1">
        <v>60003760</v>
      </c>
      <c r="MU23" s="1">
        <v>32767</v>
      </c>
      <c r="MV23" s="1">
        <v>0</v>
      </c>
      <c r="MX23" s="1">
        <v>2868497501</v>
      </c>
      <c r="MY23" s="1">
        <v>16672</v>
      </c>
      <c r="MZ23" s="1">
        <v>3473452</v>
      </c>
      <c r="NA23" s="1">
        <v>3473452</v>
      </c>
      <c r="NB23" s="1">
        <v>144.11000000000001</v>
      </c>
      <c r="NC23" s="1">
        <v>1</v>
      </c>
      <c r="ND23" s="1">
        <v>0</v>
      </c>
      <c r="NE23" s="1">
        <v>90</v>
      </c>
      <c r="NF23" s="1">
        <v>60003760</v>
      </c>
      <c r="NG23" s="1">
        <v>32767</v>
      </c>
      <c r="NH23" s="1">
        <v>0</v>
      </c>
      <c r="NJ23" s="1">
        <v>2788950906</v>
      </c>
      <c r="NK23" s="1">
        <v>16673</v>
      </c>
      <c r="NL23" s="1">
        <v>1000000</v>
      </c>
      <c r="NM23" s="1">
        <v>1000000</v>
      </c>
      <c r="NN23" s="1">
        <v>120.08</v>
      </c>
      <c r="NO23" s="1">
        <v>1</v>
      </c>
      <c r="NP23" s="1">
        <v>0</v>
      </c>
      <c r="NQ23" s="1">
        <v>30</v>
      </c>
      <c r="NR23" s="1">
        <v>60003760</v>
      </c>
      <c r="NS23" s="1">
        <v>32767</v>
      </c>
      <c r="NT23" s="1">
        <v>6</v>
      </c>
      <c r="NV23" s="1">
        <v>2833638107</v>
      </c>
      <c r="NW23" s="1">
        <v>3689</v>
      </c>
      <c r="NX23" s="1">
        <v>89343</v>
      </c>
      <c r="NY23" s="1">
        <v>83450</v>
      </c>
      <c r="NZ23" s="1">
        <v>11079.59</v>
      </c>
      <c r="OA23" s="1">
        <v>1</v>
      </c>
      <c r="OB23" s="1">
        <v>0</v>
      </c>
      <c r="OC23" s="1">
        <v>90</v>
      </c>
      <c r="OD23" s="1">
        <v>60003760</v>
      </c>
      <c r="OE23" s="1">
        <v>32767</v>
      </c>
      <c r="OF23" s="1">
        <v>0</v>
      </c>
      <c r="OH23" s="1">
        <v>2817419926</v>
      </c>
      <c r="OI23" s="1">
        <v>25598</v>
      </c>
      <c r="OJ23" s="1">
        <v>25000</v>
      </c>
      <c r="OK23" s="1">
        <v>25000</v>
      </c>
      <c r="OL23" s="1">
        <v>164999</v>
      </c>
      <c r="OM23" s="1">
        <v>1</v>
      </c>
      <c r="ON23" s="1">
        <v>0</v>
      </c>
      <c r="OO23" s="1">
        <v>90</v>
      </c>
      <c r="OP23" s="1">
        <v>60003760</v>
      </c>
      <c r="OQ23" s="1">
        <v>32767</v>
      </c>
      <c r="OR23" s="1">
        <v>0</v>
      </c>
      <c r="OT23" s="1">
        <v>2758231278</v>
      </c>
      <c r="OU23" s="1">
        <v>25600</v>
      </c>
      <c r="OV23" s="1">
        <v>23392</v>
      </c>
      <c r="OW23" s="1">
        <v>22465</v>
      </c>
      <c r="OX23" s="1">
        <v>54399.03</v>
      </c>
      <c r="OY23" s="1">
        <v>1</v>
      </c>
      <c r="OZ23" s="1">
        <v>0</v>
      </c>
      <c r="PA23" s="1">
        <v>90</v>
      </c>
      <c r="PB23" s="1">
        <v>60003760</v>
      </c>
      <c r="PC23" s="1">
        <v>32767</v>
      </c>
      <c r="PD23" s="1">
        <v>0</v>
      </c>
      <c r="PF23" s="1">
        <v>2857402964</v>
      </c>
      <c r="PG23" s="1">
        <v>16670</v>
      </c>
      <c r="PH23" s="1">
        <v>18200000</v>
      </c>
      <c r="PI23" s="1">
        <v>18200000</v>
      </c>
      <c r="PJ23" s="1">
        <v>130.01</v>
      </c>
      <c r="PK23" s="1">
        <v>1</v>
      </c>
      <c r="PL23" s="1">
        <v>0</v>
      </c>
      <c r="PM23" s="1">
        <v>90</v>
      </c>
      <c r="PN23" s="1">
        <v>60003760</v>
      </c>
      <c r="PO23" s="1">
        <v>32767</v>
      </c>
      <c r="PP23" s="1">
        <v>7</v>
      </c>
      <c r="PR23" s="1">
        <v>2875350968</v>
      </c>
      <c r="PS23" s="1">
        <v>10222</v>
      </c>
      <c r="PT23" s="1">
        <v>3</v>
      </c>
      <c r="PU23" s="1">
        <v>3</v>
      </c>
      <c r="PV23" s="1">
        <v>119000000</v>
      </c>
      <c r="PW23" s="1">
        <v>1</v>
      </c>
      <c r="PX23" s="1">
        <v>0</v>
      </c>
      <c r="PY23" s="1">
        <v>90</v>
      </c>
      <c r="PZ23" s="1">
        <v>60003760</v>
      </c>
      <c r="QA23" s="1">
        <v>32767</v>
      </c>
      <c r="QB23" s="1">
        <v>0</v>
      </c>
      <c r="QD23" s="1">
        <v>2868366151</v>
      </c>
      <c r="QE23" s="1">
        <v>9830</v>
      </c>
      <c r="QF23" s="1">
        <v>150578</v>
      </c>
      <c r="QG23" s="1">
        <v>75421</v>
      </c>
      <c r="QH23" s="1">
        <v>7980</v>
      </c>
      <c r="QI23" s="1">
        <v>1</v>
      </c>
      <c r="QJ23" s="1">
        <v>0</v>
      </c>
      <c r="QK23" s="1">
        <v>90</v>
      </c>
      <c r="QL23" s="1">
        <v>60003760</v>
      </c>
      <c r="QM23" s="1">
        <v>32767</v>
      </c>
      <c r="QN23" s="1">
        <v>0</v>
      </c>
      <c r="QP23" s="1">
        <v>2859563954</v>
      </c>
      <c r="QQ23" s="1">
        <v>16671</v>
      </c>
      <c r="QR23" s="1">
        <v>15989330</v>
      </c>
      <c r="QS23" s="1">
        <v>15989330</v>
      </c>
      <c r="QT23" s="1">
        <v>105.94</v>
      </c>
      <c r="QU23" s="1">
        <v>1</v>
      </c>
      <c r="QV23" s="1">
        <v>0</v>
      </c>
      <c r="QW23" s="1">
        <v>14</v>
      </c>
      <c r="QX23" s="1">
        <v>60003760</v>
      </c>
      <c r="QY23" s="1">
        <v>32767</v>
      </c>
      <c r="QZ23" s="1">
        <v>7</v>
      </c>
      <c r="RB23" s="1">
        <v>2748460249</v>
      </c>
      <c r="RC23" s="1">
        <v>16682</v>
      </c>
      <c r="RD23" s="1">
        <v>200000</v>
      </c>
      <c r="RE23" s="1">
        <v>200000</v>
      </c>
      <c r="RF23" s="1">
        <v>3600</v>
      </c>
      <c r="RG23" s="1">
        <v>1</v>
      </c>
      <c r="RH23" s="1">
        <v>0</v>
      </c>
      <c r="RI23" s="1">
        <v>90</v>
      </c>
      <c r="RJ23" s="1">
        <v>60003760</v>
      </c>
      <c r="RK23" s="1">
        <v>32767</v>
      </c>
      <c r="RL23" s="1">
        <v>8</v>
      </c>
      <c r="RN23" s="1">
        <v>2874572594</v>
      </c>
      <c r="RO23" s="1">
        <v>16678</v>
      </c>
      <c r="RP23" s="1">
        <v>8196000</v>
      </c>
      <c r="RQ23" s="1">
        <v>7947331</v>
      </c>
      <c r="RR23" s="1">
        <v>297.44</v>
      </c>
      <c r="RS23" s="1">
        <v>1</v>
      </c>
      <c r="RT23" s="1">
        <v>0</v>
      </c>
      <c r="RU23" s="1">
        <v>90</v>
      </c>
      <c r="RV23" s="1">
        <v>60003760</v>
      </c>
      <c r="RW23" s="1">
        <v>32767</v>
      </c>
      <c r="RX23" s="1">
        <v>6</v>
      </c>
      <c r="RZ23" s="1">
        <v>2864329103</v>
      </c>
      <c r="SA23" s="1">
        <v>30310</v>
      </c>
      <c r="SB23" s="1">
        <v>1468</v>
      </c>
      <c r="SC23" s="1">
        <v>1388</v>
      </c>
      <c r="SD23" s="1">
        <v>1308891</v>
      </c>
      <c r="SE23" s="1">
        <v>1</v>
      </c>
      <c r="SF23" s="1">
        <v>0</v>
      </c>
      <c r="SG23" s="1">
        <v>90</v>
      </c>
      <c r="SH23" s="1">
        <v>60003760</v>
      </c>
      <c r="SI23" s="1">
        <v>32767</v>
      </c>
      <c r="SJ23" s="1">
        <v>0</v>
      </c>
      <c r="SL23" s="1">
        <v>2850682510</v>
      </c>
      <c r="SM23" s="1">
        <v>30311</v>
      </c>
      <c r="SN23" s="1">
        <v>340</v>
      </c>
      <c r="SO23" s="1">
        <v>45</v>
      </c>
      <c r="SP23" s="1">
        <v>3298999.96</v>
      </c>
      <c r="SQ23" s="1">
        <v>1</v>
      </c>
      <c r="SR23" s="1">
        <v>0</v>
      </c>
      <c r="SS23" s="1">
        <v>90</v>
      </c>
      <c r="ST23" s="1">
        <v>60003760</v>
      </c>
      <c r="SU23" s="1">
        <v>32767</v>
      </c>
      <c r="SV23" s="1">
        <v>0</v>
      </c>
      <c r="SX23" s="1">
        <v>2774900767</v>
      </c>
      <c r="SY23" s="1">
        <v>25595</v>
      </c>
      <c r="SZ23" s="1">
        <v>1663</v>
      </c>
      <c r="TA23" s="1">
        <v>1663</v>
      </c>
      <c r="TB23" s="1">
        <v>102499.96</v>
      </c>
      <c r="TC23" s="1">
        <v>1</v>
      </c>
      <c r="TD23" s="1">
        <v>0</v>
      </c>
      <c r="TE23" s="1">
        <v>90</v>
      </c>
      <c r="TF23" s="1">
        <v>60003760</v>
      </c>
      <c r="TG23" s="1">
        <v>32767</v>
      </c>
      <c r="TH23" s="1">
        <v>6</v>
      </c>
      <c r="TJ23" s="1">
        <v>2851356835</v>
      </c>
      <c r="TK23" s="1">
        <v>25606</v>
      </c>
      <c r="TL23" s="1">
        <v>11</v>
      </c>
      <c r="TM23" s="1">
        <v>11</v>
      </c>
      <c r="TN23" s="1">
        <v>28400</v>
      </c>
      <c r="TO23" s="1">
        <v>1</v>
      </c>
      <c r="TP23" s="1">
        <v>0</v>
      </c>
      <c r="TQ23" s="1">
        <v>90</v>
      </c>
      <c r="TR23" s="1">
        <v>60003760</v>
      </c>
      <c r="TS23" s="1">
        <v>32767</v>
      </c>
      <c r="TT23" s="1">
        <v>0</v>
      </c>
      <c r="TV23" s="1">
        <v>2741008995</v>
      </c>
      <c r="TW23" s="1">
        <v>25622</v>
      </c>
      <c r="TX23" s="1">
        <v>210</v>
      </c>
      <c r="TY23" s="1">
        <v>160</v>
      </c>
      <c r="TZ23" s="1">
        <v>16889747.84</v>
      </c>
      <c r="UA23" s="1">
        <v>1</v>
      </c>
      <c r="UB23" s="1">
        <v>0</v>
      </c>
      <c r="UC23" s="1">
        <v>90</v>
      </c>
      <c r="UD23" s="1">
        <v>60003760</v>
      </c>
      <c r="UE23" s="1">
        <v>32767</v>
      </c>
      <c r="UF23" s="1">
        <v>0</v>
      </c>
      <c r="UH23" s="1">
        <v>2868014545</v>
      </c>
      <c r="UI23" s="1">
        <v>16680</v>
      </c>
      <c r="UJ23" s="1">
        <v>6720</v>
      </c>
      <c r="UK23" s="1">
        <v>6720</v>
      </c>
      <c r="UL23" s="1">
        <v>734</v>
      </c>
      <c r="UM23" s="1">
        <v>1</v>
      </c>
      <c r="UN23" s="1">
        <v>0</v>
      </c>
      <c r="UO23" s="1">
        <v>90</v>
      </c>
      <c r="UP23" s="1">
        <v>60003760</v>
      </c>
      <c r="UQ23" s="1">
        <v>32767</v>
      </c>
      <c r="UR23" s="1">
        <v>6</v>
      </c>
      <c r="UT23" s="1">
        <v>2874884591</v>
      </c>
      <c r="UU23" s="1">
        <v>17317</v>
      </c>
      <c r="UV23" s="1">
        <v>72400</v>
      </c>
      <c r="UW23" s="1">
        <v>72400</v>
      </c>
      <c r="UX23" s="1">
        <v>28979.94</v>
      </c>
      <c r="UY23" s="1">
        <v>1</v>
      </c>
      <c r="UZ23" s="1">
        <v>0</v>
      </c>
      <c r="VA23" s="1">
        <v>90</v>
      </c>
      <c r="VB23" s="1">
        <v>60003760</v>
      </c>
      <c r="VC23" s="1">
        <v>32767</v>
      </c>
      <c r="VD23" s="1">
        <v>0</v>
      </c>
      <c r="VF23" s="1">
        <v>2840110484</v>
      </c>
      <c r="VG23" s="1">
        <v>11725</v>
      </c>
      <c r="VH23" s="1">
        <v>50000</v>
      </c>
      <c r="VI23" s="1">
        <v>32687</v>
      </c>
      <c r="VJ23" s="1">
        <v>50700.42</v>
      </c>
      <c r="VK23" s="1">
        <v>1</v>
      </c>
      <c r="VL23" s="1">
        <v>1</v>
      </c>
      <c r="VM23" s="1">
        <v>90</v>
      </c>
      <c r="VN23" s="1">
        <v>60003760</v>
      </c>
      <c r="VO23" s="1">
        <v>-1</v>
      </c>
      <c r="VP23" s="1">
        <v>0</v>
      </c>
    </row>
    <row r="24" spans="2:588" x14ac:dyDescent="0.25">
      <c r="B24" s="1">
        <v>2850866334</v>
      </c>
      <c r="C24" s="1">
        <v>34</v>
      </c>
      <c r="D24" s="1">
        <v>1000000</v>
      </c>
      <c r="E24" s="1">
        <v>119852</v>
      </c>
      <c r="F24" s="1">
        <v>5.9</v>
      </c>
      <c r="G24" s="1">
        <v>1</v>
      </c>
      <c r="H24" s="1">
        <v>0</v>
      </c>
      <c r="I24" s="1">
        <v>90</v>
      </c>
      <c r="J24" s="1">
        <v>60005455</v>
      </c>
      <c r="K24" s="1">
        <v>32767</v>
      </c>
      <c r="L24" s="1">
        <v>5</v>
      </c>
      <c r="N24" s="1">
        <v>2877190461</v>
      </c>
      <c r="O24" s="1">
        <v>35</v>
      </c>
      <c r="P24" s="1">
        <v>1700</v>
      </c>
      <c r="Q24" s="1">
        <v>1700</v>
      </c>
      <c r="R24" s="1">
        <v>14.5</v>
      </c>
      <c r="S24" s="1">
        <v>1</v>
      </c>
      <c r="T24" s="1">
        <v>0</v>
      </c>
      <c r="U24" s="1">
        <v>1</v>
      </c>
      <c r="V24" s="1">
        <v>60005464</v>
      </c>
      <c r="W24" s="1">
        <v>32767</v>
      </c>
      <c r="X24" s="1">
        <v>3</v>
      </c>
      <c r="Z24" s="1">
        <v>2877174349</v>
      </c>
      <c r="AA24" s="1">
        <v>36</v>
      </c>
      <c r="AB24" s="1">
        <v>66</v>
      </c>
      <c r="AC24" s="1">
        <v>66</v>
      </c>
      <c r="AD24" s="16">
        <v>50.5</v>
      </c>
      <c r="AE24" s="1">
        <v>1</v>
      </c>
      <c r="AF24" s="1">
        <v>0</v>
      </c>
      <c r="AG24" s="1">
        <v>7</v>
      </c>
      <c r="AH24" s="1">
        <v>60004072</v>
      </c>
      <c r="AI24" s="1">
        <v>32767</v>
      </c>
      <c r="AJ24" s="1">
        <v>15</v>
      </c>
      <c r="AL24" s="1">
        <v>2760806028</v>
      </c>
      <c r="AM24" s="1">
        <v>37</v>
      </c>
      <c r="AN24" s="1">
        <v>2645773</v>
      </c>
      <c r="AO24" s="1">
        <v>2645773</v>
      </c>
      <c r="AP24" s="16">
        <v>160</v>
      </c>
      <c r="AQ24" s="1">
        <v>1</v>
      </c>
      <c r="AR24" s="1">
        <v>0</v>
      </c>
      <c r="AS24" s="1">
        <v>90</v>
      </c>
      <c r="AT24" s="1">
        <v>60003760</v>
      </c>
      <c r="AU24" s="1">
        <v>32767</v>
      </c>
      <c r="AV24" s="1">
        <v>9</v>
      </c>
      <c r="AX24" s="1">
        <v>2849485271</v>
      </c>
      <c r="AY24" s="1">
        <v>38</v>
      </c>
      <c r="AZ24" s="1">
        <v>166161</v>
      </c>
      <c r="BA24" s="1">
        <v>166161</v>
      </c>
      <c r="BB24" s="1">
        <v>890.24</v>
      </c>
      <c r="BC24" s="1">
        <v>1</v>
      </c>
      <c r="BD24" s="1">
        <v>0</v>
      </c>
      <c r="BE24" s="1">
        <v>90</v>
      </c>
      <c r="BF24" s="1">
        <v>60003760</v>
      </c>
      <c r="BG24" s="1">
        <v>32767</v>
      </c>
      <c r="BH24" s="1">
        <v>5</v>
      </c>
      <c r="BJ24" s="1">
        <v>2840209997</v>
      </c>
      <c r="BK24" s="1">
        <v>39</v>
      </c>
      <c r="BL24" s="1">
        <v>6947</v>
      </c>
      <c r="BM24" s="1">
        <v>6947</v>
      </c>
      <c r="BN24" s="1">
        <v>880</v>
      </c>
      <c r="BO24" s="1">
        <v>1</v>
      </c>
      <c r="BP24" s="1">
        <v>0</v>
      </c>
      <c r="BQ24" s="1">
        <v>30</v>
      </c>
      <c r="BR24" s="1">
        <v>60003760</v>
      </c>
      <c r="BS24" s="1">
        <v>32767</v>
      </c>
      <c r="BT24" s="1">
        <v>5</v>
      </c>
      <c r="BV24" s="1">
        <v>2375039502</v>
      </c>
      <c r="BW24" s="1">
        <v>40</v>
      </c>
      <c r="BX24" s="1">
        <v>127</v>
      </c>
      <c r="BY24" s="1">
        <v>127</v>
      </c>
      <c r="BZ24" s="1">
        <v>3000</v>
      </c>
      <c r="CA24" s="1">
        <v>1</v>
      </c>
      <c r="CB24" s="1">
        <v>0</v>
      </c>
      <c r="CC24" s="1">
        <v>90</v>
      </c>
      <c r="CD24" s="1">
        <v>60003760</v>
      </c>
      <c r="CE24" s="1">
        <v>32767</v>
      </c>
      <c r="CF24" s="1">
        <v>13</v>
      </c>
      <c r="CH24" s="1">
        <v>2315194273</v>
      </c>
      <c r="CI24" s="1">
        <v>29668</v>
      </c>
      <c r="CJ24" s="1">
        <v>1</v>
      </c>
      <c r="CK24" s="1">
        <v>1</v>
      </c>
      <c r="CL24" s="1">
        <v>749999999.99000001</v>
      </c>
      <c r="CM24" s="1">
        <v>1</v>
      </c>
      <c r="CN24" s="1">
        <v>0</v>
      </c>
      <c r="CO24" s="1">
        <v>90</v>
      </c>
      <c r="CP24" s="1">
        <v>60003760</v>
      </c>
      <c r="CQ24" s="1">
        <v>32767</v>
      </c>
      <c r="CR24" s="1">
        <v>0</v>
      </c>
      <c r="CT24" s="1">
        <v>2391911437</v>
      </c>
      <c r="CU24" s="1">
        <v>16649</v>
      </c>
      <c r="CV24" s="1">
        <v>14929</v>
      </c>
      <c r="CW24" s="1">
        <v>3275</v>
      </c>
      <c r="CX24" s="1">
        <v>107796.13</v>
      </c>
      <c r="CY24" s="1">
        <v>1</v>
      </c>
      <c r="CZ24" s="1">
        <v>0</v>
      </c>
      <c r="DA24" s="1">
        <v>90</v>
      </c>
      <c r="DB24" s="1">
        <v>60003760</v>
      </c>
      <c r="DC24" s="1">
        <v>32767</v>
      </c>
      <c r="DD24" s="1">
        <v>8</v>
      </c>
      <c r="DF24" s="1">
        <v>2399544150</v>
      </c>
      <c r="DG24" s="1">
        <v>17887</v>
      </c>
      <c r="DH24" s="1">
        <v>270216</v>
      </c>
      <c r="DI24" s="1">
        <v>270216</v>
      </c>
      <c r="DJ24" s="1">
        <v>1118.9000000000001</v>
      </c>
      <c r="DK24" s="1">
        <v>1</v>
      </c>
      <c r="DL24" s="1">
        <v>0</v>
      </c>
      <c r="DM24" s="1">
        <v>90</v>
      </c>
      <c r="DN24" s="1">
        <v>60003760</v>
      </c>
      <c r="DO24" s="1">
        <v>32767</v>
      </c>
      <c r="DP24" s="1">
        <v>0</v>
      </c>
      <c r="DR24" s="1">
        <v>2779484206</v>
      </c>
      <c r="DS24" s="1">
        <v>17888</v>
      </c>
      <c r="DT24" s="1">
        <v>49625</v>
      </c>
      <c r="DU24" s="1">
        <v>49625</v>
      </c>
      <c r="DV24" s="1">
        <v>410</v>
      </c>
      <c r="DW24" s="1">
        <v>1</v>
      </c>
      <c r="DX24" s="1">
        <v>0</v>
      </c>
      <c r="DY24" s="1">
        <v>90</v>
      </c>
      <c r="DZ24" s="1">
        <v>60004234</v>
      </c>
      <c r="EA24" s="1">
        <v>32767</v>
      </c>
      <c r="EB24" s="1">
        <v>9</v>
      </c>
      <c r="ED24" s="1">
        <v>2844778335</v>
      </c>
      <c r="EE24" s="1">
        <v>16273</v>
      </c>
      <c r="EF24" s="1">
        <v>2481</v>
      </c>
      <c r="EG24" s="1">
        <v>2481</v>
      </c>
      <c r="EH24" s="1">
        <v>995.76</v>
      </c>
      <c r="EI24" s="1">
        <v>1</v>
      </c>
      <c r="EJ24" s="1">
        <v>0</v>
      </c>
      <c r="EK24" s="1">
        <v>30</v>
      </c>
      <c r="EL24" s="1">
        <v>60003760</v>
      </c>
      <c r="EM24" s="1">
        <v>32767</v>
      </c>
      <c r="EN24" s="1">
        <v>6</v>
      </c>
      <c r="EP24" s="1">
        <v>2856397982</v>
      </c>
      <c r="EQ24" s="1">
        <v>17889</v>
      </c>
      <c r="ER24" s="1">
        <v>2444035</v>
      </c>
      <c r="ES24" s="1">
        <v>2444035</v>
      </c>
      <c r="ET24" s="1">
        <v>399.9</v>
      </c>
      <c r="EU24" s="1">
        <v>1</v>
      </c>
      <c r="EV24" s="1">
        <v>0</v>
      </c>
      <c r="EW24" s="1">
        <v>90</v>
      </c>
      <c r="EX24" s="1">
        <v>60003760</v>
      </c>
      <c r="EY24" s="1">
        <v>32767</v>
      </c>
      <c r="EZ24" s="1">
        <v>7</v>
      </c>
      <c r="FB24" s="1">
        <v>2873258980</v>
      </c>
      <c r="FC24" s="1">
        <v>30259</v>
      </c>
      <c r="FD24" s="1">
        <v>175</v>
      </c>
      <c r="FE24" s="1">
        <v>175</v>
      </c>
      <c r="FF24" s="1">
        <v>6000000</v>
      </c>
      <c r="FG24" s="1">
        <v>1</v>
      </c>
      <c r="FH24" s="1">
        <v>0</v>
      </c>
      <c r="FI24" s="1">
        <v>90</v>
      </c>
      <c r="FJ24" s="1">
        <v>60003760</v>
      </c>
      <c r="FK24" s="1">
        <v>32767</v>
      </c>
      <c r="FL24" s="1">
        <v>0</v>
      </c>
      <c r="FN24" s="1">
        <v>2734582255</v>
      </c>
      <c r="FO24" s="1">
        <v>25617</v>
      </c>
      <c r="FP24" s="1">
        <v>1064</v>
      </c>
      <c r="FQ24" s="1">
        <v>1064</v>
      </c>
      <c r="FR24" s="1">
        <v>5257893.78</v>
      </c>
      <c r="FS24" s="1">
        <v>1</v>
      </c>
      <c r="FT24" s="1">
        <v>0</v>
      </c>
      <c r="FU24" s="1">
        <v>90</v>
      </c>
      <c r="FV24" s="1">
        <v>60003760</v>
      </c>
      <c r="FW24" s="1">
        <v>32767</v>
      </c>
      <c r="FX24" s="1">
        <v>0</v>
      </c>
      <c r="FZ24" s="1">
        <v>2859566334</v>
      </c>
      <c r="GA24" s="1">
        <v>44</v>
      </c>
      <c r="GB24" s="1">
        <v>525</v>
      </c>
      <c r="GC24" s="1">
        <v>525</v>
      </c>
      <c r="GD24" s="1">
        <v>13800</v>
      </c>
      <c r="GE24" s="1">
        <v>1</v>
      </c>
      <c r="GF24" s="1">
        <v>0</v>
      </c>
      <c r="GG24" s="1">
        <v>14</v>
      </c>
      <c r="GH24" s="1">
        <v>60003760</v>
      </c>
      <c r="GI24" s="1">
        <v>32767</v>
      </c>
      <c r="GJ24" s="1">
        <v>4</v>
      </c>
      <c r="GL24" s="1">
        <v>2411449312</v>
      </c>
      <c r="GM24" s="1">
        <v>16681</v>
      </c>
      <c r="GN24" s="1">
        <v>386000</v>
      </c>
      <c r="GO24" s="1">
        <v>254800</v>
      </c>
      <c r="GP24" s="1">
        <v>6377.81</v>
      </c>
      <c r="GQ24" s="1">
        <v>1</v>
      </c>
      <c r="GR24" s="1">
        <v>0</v>
      </c>
      <c r="GS24" s="1">
        <v>90</v>
      </c>
      <c r="GT24" s="1">
        <v>60003760</v>
      </c>
      <c r="GU24" s="1">
        <v>32767</v>
      </c>
      <c r="GV24" s="1">
        <v>0</v>
      </c>
      <c r="GX24" s="1">
        <v>2861348283</v>
      </c>
      <c r="GY24" s="1">
        <v>16683</v>
      </c>
      <c r="GZ24" s="1">
        <v>814138</v>
      </c>
      <c r="HA24" s="1">
        <v>508536</v>
      </c>
      <c r="HB24" s="1">
        <v>8699.92</v>
      </c>
      <c r="HC24" s="1">
        <v>1</v>
      </c>
      <c r="HD24" s="1">
        <v>0</v>
      </c>
      <c r="HE24" s="1">
        <v>90</v>
      </c>
      <c r="HF24" s="1">
        <v>60003760</v>
      </c>
      <c r="HG24" s="1">
        <v>32767</v>
      </c>
      <c r="HH24" s="1">
        <v>0</v>
      </c>
      <c r="HJ24" s="1">
        <v>2777487682</v>
      </c>
      <c r="HK24" s="1">
        <v>11724</v>
      </c>
      <c r="HL24" s="1">
        <v>10000</v>
      </c>
      <c r="HM24" s="1">
        <v>10000</v>
      </c>
      <c r="HN24" s="1">
        <v>17000.009999999998</v>
      </c>
      <c r="HO24" s="1">
        <v>1</v>
      </c>
      <c r="HP24" s="1">
        <v>1</v>
      </c>
      <c r="HQ24" s="1">
        <v>90</v>
      </c>
      <c r="HR24" s="1">
        <v>60003760</v>
      </c>
      <c r="HS24" s="1">
        <v>-1</v>
      </c>
      <c r="HT24" s="1">
        <v>0</v>
      </c>
      <c r="HV24" s="1">
        <v>2789461704</v>
      </c>
      <c r="HW24" s="1">
        <v>16274</v>
      </c>
      <c r="HX24" s="1">
        <v>1633582</v>
      </c>
      <c r="HY24" s="1">
        <v>1633582</v>
      </c>
      <c r="HZ24" s="1">
        <v>386.89</v>
      </c>
      <c r="IA24" s="1">
        <v>1</v>
      </c>
      <c r="IB24" s="1">
        <v>0</v>
      </c>
      <c r="IC24" s="1">
        <v>90</v>
      </c>
      <c r="ID24" s="1">
        <v>60003760</v>
      </c>
      <c r="IE24" s="1">
        <v>32767</v>
      </c>
      <c r="IF24" s="1">
        <v>2</v>
      </c>
      <c r="IH24" s="1">
        <v>2757942890</v>
      </c>
      <c r="II24" s="1">
        <v>10213</v>
      </c>
      <c r="IJ24" s="1">
        <v>10</v>
      </c>
      <c r="IK24" s="1">
        <v>10</v>
      </c>
      <c r="IL24" s="1">
        <v>96000000</v>
      </c>
      <c r="IM24" s="1">
        <v>1</v>
      </c>
      <c r="IN24" s="1">
        <v>1</v>
      </c>
      <c r="IO24" s="1">
        <v>90</v>
      </c>
      <c r="IP24" s="1">
        <v>60003760</v>
      </c>
      <c r="IQ24" s="1">
        <v>-1</v>
      </c>
      <c r="IR24" s="1">
        <v>0</v>
      </c>
      <c r="IT24" s="1">
        <v>2790163106</v>
      </c>
      <c r="IU24" s="1">
        <v>16679</v>
      </c>
      <c r="IV24" s="1">
        <v>653131</v>
      </c>
      <c r="IW24" s="1">
        <v>653131</v>
      </c>
      <c r="IX24" s="1">
        <v>1900.44</v>
      </c>
      <c r="IY24" s="1">
        <v>1</v>
      </c>
      <c r="IZ24" s="1">
        <v>0</v>
      </c>
      <c r="JA24" s="1">
        <v>90</v>
      </c>
      <c r="JB24" s="1">
        <v>60003760</v>
      </c>
      <c r="JC24" s="1">
        <v>32767</v>
      </c>
      <c r="JD24" s="1">
        <v>0</v>
      </c>
      <c r="JF24" s="1">
        <v>2867500572</v>
      </c>
      <c r="JG24" s="1">
        <v>16272</v>
      </c>
      <c r="JH24" s="1">
        <v>100000</v>
      </c>
      <c r="JI24" s="1">
        <v>100000</v>
      </c>
      <c r="JJ24" s="1">
        <v>90</v>
      </c>
      <c r="JK24" s="1">
        <v>1</v>
      </c>
      <c r="JL24" s="1">
        <v>0</v>
      </c>
      <c r="JM24" s="1">
        <v>90</v>
      </c>
      <c r="JN24" s="1">
        <v>60003760</v>
      </c>
      <c r="JO24" s="1">
        <v>32767</v>
      </c>
      <c r="JP24" s="1">
        <v>6</v>
      </c>
      <c r="JR24" s="1">
        <v>2879010421</v>
      </c>
      <c r="JS24" s="1">
        <v>10226</v>
      </c>
      <c r="JT24" s="1">
        <v>1</v>
      </c>
      <c r="JU24" s="1">
        <v>1</v>
      </c>
      <c r="JV24" s="1">
        <v>118992999.69</v>
      </c>
      <c r="JW24" s="1">
        <v>1</v>
      </c>
      <c r="JX24" s="1">
        <v>0</v>
      </c>
      <c r="JY24" s="1">
        <v>90</v>
      </c>
      <c r="JZ24" s="1">
        <v>60003760</v>
      </c>
      <c r="KA24" s="1">
        <v>32767</v>
      </c>
      <c r="KB24" s="1">
        <v>0</v>
      </c>
      <c r="KD24" s="1">
        <v>2798294956</v>
      </c>
      <c r="KE24" s="1">
        <v>25605</v>
      </c>
      <c r="KF24" s="1">
        <v>39070</v>
      </c>
      <c r="KG24" s="1">
        <v>39070</v>
      </c>
      <c r="KH24" s="1">
        <v>140999</v>
      </c>
      <c r="KI24" s="1">
        <v>1</v>
      </c>
      <c r="KJ24" s="1">
        <v>0</v>
      </c>
      <c r="KK24" s="1">
        <v>90</v>
      </c>
      <c r="KL24" s="1">
        <v>60003760</v>
      </c>
      <c r="KM24" s="1">
        <v>32767</v>
      </c>
      <c r="KN24" s="1">
        <v>6</v>
      </c>
      <c r="KP24" s="1">
        <v>2805481297</v>
      </c>
      <c r="KQ24" s="1">
        <v>25624</v>
      </c>
      <c r="KR24" s="1">
        <v>38</v>
      </c>
      <c r="KS24" s="1">
        <v>38</v>
      </c>
      <c r="KT24" s="1">
        <v>20796999.989999998</v>
      </c>
      <c r="KU24" s="1">
        <v>1</v>
      </c>
      <c r="KV24" s="1">
        <v>0</v>
      </c>
      <c r="KW24" s="1">
        <v>90</v>
      </c>
      <c r="KX24" s="1">
        <v>60003760</v>
      </c>
      <c r="KY24" s="1">
        <v>32767</v>
      </c>
      <c r="KZ24" s="1">
        <v>1</v>
      </c>
      <c r="LB24" s="1">
        <v>2785435325</v>
      </c>
      <c r="LC24" s="1">
        <v>9832</v>
      </c>
      <c r="LD24" s="1">
        <v>920</v>
      </c>
      <c r="LE24" s="1">
        <v>920</v>
      </c>
      <c r="LF24" s="1">
        <v>10000</v>
      </c>
      <c r="LG24" s="1">
        <v>1</v>
      </c>
      <c r="LH24" s="1">
        <v>0</v>
      </c>
      <c r="LI24" s="1">
        <v>90</v>
      </c>
      <c r="LJ24" s="1">
        <v>60003760</v>
      </c>
      <c r="LK24" s="1">
        <v>32767</v>
      </c>
      <c r="LL24" s="1">
        <v>0</v>
      </c>
      <c r="LN24" s="1">
        <v>2875353785</v>
      </c>
      <c r="LO24" s="1">
        <v>10209</v>
      </c>
      <c r="LP24" s="1">
        <v>3</v>
      </c>
      <c r="LQ24" s="1">
        <v>3</v>
      </c>
      <c r="LR24" s="1">
        <v>119000000</v>
      </c>
      <c r="LS24" s="1">
        <v>1</v>
      </c>
      <c r="LT24" s="1">
        <v>0</v>
      </c>
      <c r="LU24" s="1">
        <v>90</v>
      </c>
      <c r="LV24" s="1">
        <v>60003760</v>
      </c>
      <c r="LW24" s="1">
        <v>32767</v>
      </c>
      <c r="LX24" s="1">
        <v>1</v>
      </c>
      <c r="LZ24" s="1">
        <v>2878790374</v>
      </c>
      <c r="MA24" s="1">
        <v>10217</v>
      </c>
      <c r="MB24" s="1">
        <v>5</v>
      </c>
      <c r="MC24" s="1">
        <v>5</v>
      </c>
      <c r="MD24" s="1">
        <v>118199999.94</v>
      </c>
      <c r="ME24" s="1">
        <v>1</v>
      </c>
      <c r="MF24" s="1">
        <v>0</v>
      </c>
      <c r="MG24" s="1">
        <v>90</v>
      </c>
      <c r="MH24" s="1">
        <v>60003760</v>
      </c>
      <c r="MI24" s="1">
        <v>32767</v>
      </c>
      <c r="MJ24" s="1">
        <v>0</v>
      </c>
      <c r="ML24" s="1">
        <v>2869385777</v>
      </c>
      <c r="MM24" s="1">
        <v>25625</v>
      </c>
      <c r="MN24" s="1">
        <v>22</v>
      </c>
      <c r="MO24" s="1">
        <v>12</v>
      </c>
      <c r="MP24" s="1">
        <v>4597000</v>
      </c>
      <c r="MQ24" s="1">
        <v>1</v>
      </c>
      <c r="MR24" s="1">
        <v>0</v>
      </c>
      <c r="MS24" s="1">
        <v>90</v>
      </c>
      <c r="MT24" s="1">
        <v>60003760</v>
      </c>
      <c r="MU24" s="1">
        <v>32767</v>
      </c>
      <c r="MV24" s="1">
        <v>0</v>
      </c>
      <c r="MX24" s="1">
        <v>2869080724</v>
      </c>
      <c r="MY24" s="1">
        <v>16672</v>
      </c>
      <c r="MZ24" s="1">
        <v>5000000</v>
      </c>
      <c r="NA24" s="1">
        <v>5000000</v>
      </c>
      <c r="NB24" s="1">
        <v>165</v>
      </c>
      <c r="NC24" s="1">
        <v>1</v>
      </c>
      <c r="ND24" s="1">
        <v>0</v>
      </c>
      <c r="NE24" s="1">
        <v>90</v>
      </c>
      <c r="NF24" s="1">
        <v>60003760</v>
      </c>
      <c r="NG24" s="1">
        <v>32767</v>
      </c>
      <c r="NH24" s="1">
        <v>0</v>
      </c>
      <c r="NJ24" s="1">
        <v>2791176756</v>
      </c>
      <c r="NK24" s="1">
        <v>16673</v>
      </c>
      <c r="NL24" s="1">
        <v>16610000</v>
      </c>
      <c r="NM24" s="1">
        <v>15669442</v>
      </c>
      <c r="NN24" s="1">
        <v>120.09</v>
      </c>
      <c r="NO24" s="1">
        <v>1</v>
      </c>
      <c r="NP24" s="1">
        <v>0</v>
      </c>
      <c r="NQ24" s="1">
        <v>90</v>
      </c>
      <c r="NR24" s="1">
        <v>60003760</v>
      </c>
      <c r="NS24" s="1">
        <v>32767</v>
      </c>
      <c r="NT24" s="1">
        <v>6</v>
      </c>
      <c r="NV24" s="1">
        <v>2833638747</v>
      </c>
      <c r="NW24" s="1">
        <v>3689</v>
      </c>
      <c r="NX24" s="1">
        <v>98456</v>
      </c>
      <c r="NY24" s="1">
        <v>81582</v>
      </c>
      <c r="NZ24" s="1">
        <v>11079.02</v>
      </c>
      <c r="OA24" s="1">
        <v>1</v>
      </c>
      <c r="OB24" s="1">
        <v>0</v>
      </c>
      <c r="OC24" s="1">
        <v>90</v>
      </c>
      <c r="OD24" s="1">
        <v>60003760</v>
      </c>
      <c r="OE24" s="1">
        <v>32767</v>
      </c>
      <c r="OF24" s="1">
        <v>0</v>
      </c>
      <c r="OH24" s="1">
        <v>2817460457</v>
      </c>
      <c r="OI24" s="1">
        <v>25598</v>
      </c>
      <c r="OJ24" s="1">
        <v>98</v>
      </c>
      <c r="OK24" s="1">
        <v>98</v>
      </c>
      <c r="OL24" s="1">
        <v>164998.99</v>
      </c>
      <c r="OM24" s="1">
        <v>1</v>
      </c>
      <c r="ON24" s="1">
        <v>0</v>
      </c>
      <c r="OO24" s="1">
        <v>90</v>
      </c>
      <c r="OP24" s="1">
        <v>60003760</v>
      </c>
      <c r="OQ24" s="1">
        <v>32767</v>
      </c>
      <c r="OR24" s="1">
        <v>0</v>
      </c>
      <c r="OT24" s="1">
        <v>2767756631</v>
      </c>
      <c r="OU24" s="1">
        <v>25600</v>
      </c>
      <c r="OV24" s="1">
        <v>71</v>
      </c>
      <c r="OW24" s="1">
        <v>71</v>
      </c>
      <c r="OX24" s="1">
        <v>44509.11</v>
      </c>
      <c r="OY24" s="1">
        <v>1</v>
      </c>
      <c r="OZ24" s="1">
        <v>0</v>
      </c>
      <c r="PA24" s="1">
        <v>90</v>
      </c>
      <c r="PB24" s="1">
        <v>60003760</v>
      </c>
      <c r="PC24" s="1">
        <v>32767</v>
      </c>
      <c r="PD24" s="1">
        <v>0</v>
      </c>
      <c r="PF24" s="1">
        <v>2855512692</v>
      </c>
      <c r="PG24" s="1">
        <v>16670</v>
      </c>
      <c r="PH24" s="1">
        <v>8000000</v>
      </c>
      <c r="PI24" s="1">
        <v>8000000</v>
      </c>
      <c r="PJ24" s="1">
        <v>131.77000000000001</v>
      </c>
      <c r="PK24" s="1">
        <v>1</v>
      </c>
      <c r="PL24" s="1">
        <v>0</v>
      </c>
      <c r="PM24" s="1">
        <v>30</v>
      </c>
      <c r="PN24" s="1">
        <v>60003760</v>
      </c>
      <c r="PO24" s="1">
        <v>32767</v>
      </c>
      <c r="PP24" s="1">
        <v>7</v>
      </c>
      <c r="PR24" s="1">
        <v>2875351097</v>
      </c>
      <c r="PS24" s="1">
        <v>10222</v>
      </c>
      <c r="PT24" s="1">
        <v>3</v>
      </c>
      <c r="PU24" s="1">
        <v>3</v>
      </c>
      <c r="PV24" s="1">
        <v>119000000</v>
      </c>
      <c r="PW24" s="1">
        <v>1</v>
      </c>
      <c r="PX24" s="1">
        <v>0</v>
      </c>
      <c r="PY24" s="1">
        <v>90</v>
      </c>
      <c r="PZ24" s="1">
        <v>60003760</v>
      </c>
      <c r="QA24" s="1">
        <v>32767</v>
      </c>
      <c r="QB24" s="1">
        <v>0</v>
      </c>
      <c r="QD24" s="1">
        <v>2868895102</v>
      </c>
      <c r="QE24" s="1">
        <v>9830</v>
      </c>
      <c r="QF24" s="1">
        <v>17495</v>
      </c>
      <c r="QG24" s="1">
        <v>17495</v>
      </c>
      <c r="QH24" s="1">
        <v>7921.99</v>
      </c>
      <c r="QI24" s="1">
        <v>1</v>
      </c>
      <c r="QJ24" s="1">
        <v>0</v>
      </c>
      <c r="QK24" s="1">
        <v>90</v>
      </c>
      <c r="QL24" s="1">
        <v>60003760</v>
      </c>
      <c r="QM24" s="1">
        <v>32767</v>
      </c>
      <c r="QN24" s="1">
        <v>0</v>
      </c>
      <c r="QP24" s="1">
        <v>2859565204</v>
      </c>
      <c r="QQ24" s="1">
        <v>16671</v>
      </c>
      <c r="QR24" s="1">
        <v>12654896</v>
      </c>
      <c r="QS24" s="1">
        <v>11185176</v>
      </c>
      <c r="QT24" s="1">
        <v>105.93</v>
      </c>
      <c r="QU24" s="1">
        <v>1</v>
      </c>
      <c r="QV24" s="1">
        <v>0</v>
      </c>
      <c r="QW24" s="1">
        <v>14</v>
      </c>
      <c r="QX24" s="1">
        <v>60003760</v>
      </c>
      <c r="QY24" s="1">
        <v>32767</v>
      </c>
      <c r="QZ24" s="1">
        <v>7</v>
      </c>
      <c r="RB24" s="1">
        <v>2748460396</v>
      </c>
      <c r="RC24" s="1">
        <v>16682</v>
      </c>
      <c r="RD24" s="1">
        <v>200000</v>
      </c>
      <c r="RE24" s="1">
        <v>200000</v>
      </c>
      <c r="RF24" s="1">
        <v>3900</v>
      </c>
      <c r="RG24" s="1">
        <v>1</v>
      </c>
      <c r="RH24" s="1">
        <v>0</v>
      </c>
      <c r="RI24" s="1">
        <v>90</v>
      </c>
      <c r="RJ24" s="1">
        <v>60003760</v>
      </c>
      <c r="RK24" s="1">
        <v>32767</v>
      </c>
      <c r="RL24" s="1">
        <v>8</v>
      </c>
      <c r="RN24" s="1">
        <v>2874243524</v>
      </c>
      <c r="RO24" s="1">
        <v>16678</v>
      </c>
      <c r="RP24" s="1">
        <v>4963540</v>
      </c>
      <c r="RQ24" s="1">
        <v>3227540</v>
      </c>
      <c r="RR24" s="1">
        <v>288.87</v>
      </c>
      <c r="RS24" s="1">
        <v>1</v>
      </c>
      <c r="RT24" s="1">
        <v>0</v>
      </c>
      <c r="RU24" s="1">
        <v>90</v>
      </c>
      <c r="RV24" s="1">
        <v>60003760</v>
      </c>
      <c r="RW24" s="1">
        <v>32767</v>
      </c>
      <c r="RX24" s="1">
        <v>6</v>
      </c>
      <c r="RZ24" s="1">
        <v>2870807444</v>
      </c>
      <c r="SA24" s="1">
        <v>30310</v>
      </c>
      <c r="SB24" s="1">
        <v>104</v>
      </c>
      <c r="SC24" s="1">
        <v>54</v>
      </c>
      <c r="SD24" s="1">
        <v>1289974.01</v>
      </c>
      <c r="SE24" s="1">
        <v>1</v>
      </c>
      <c r="SF24" s="1">
        <v>0</v>
      </c>
      <c r="SG24" s="1">
        <v>90</v>
      </c>
      <c r="SH24" s="1">
        <v>60003760</v>
      </c>
      <c r="SI24" s="1">
        <v>32767</v>
      </c>
      <c r="SJ24" s="1">
        <v>0</v>
      </c>
      <c r="SL24" s="1">
        <v>2849566334</v>
      </c>
      <c r="SM24" s="1">
        <v>30311</v>
      </c>
      <c r="SN24" s="1">
        <v>20</v>
      </c>
      <c r="SO24" s="1">
        <v>20</v>
      </c>
      <c r="SP24" s="1">
        <v>3395986.78</v>
      </c>
      <c r="SQ24" s="1">
        <v>1</v>
      </c>
      <c r="SR24" s="1">
        <v>0</v>
      </c>
      <c r="SS24" s="1">
        <v>90</v>
      </c>
      <c r="ST24" s="1">
        <v>60003760</v>
      </c>
      <c r="SU24" s="1">
        <v>32767</v>
      </c>
      <c r="SV24" s="1">
        <v>0</v>
      </c>
      <c r="SX24" s="1">
        <v>2777285550</v>
      </c>
      <c r="SY24" s="1">
        <v>25595</v>
      </c>
      <c r="SZ24" s="1">
        <v>4132</v>
      </c>
      <c r="TA24" s="1">
        <v>3634</v>
      </c>
      <c r="TB24" s="1">
        <v>108598.93</v>
      </c>
      <c r="TC24" s="1">
        <v>1</v>
      </c>
      <c r="TD24" s="1">
        <v>0</v>
      </c>
      <c r="TE24" s="1">
        <v>90</v>
      </c>
      <c r="TF24" s="1">
        <v>60003760</v>
      </c>
      <c r="TG24" s="1">
        <v>32767</v>
      </c>
      <c r="TH24" s="1">
        <v>6</v>
      </c>
      <c r="TJ24" s="1">
        <v>2851305224</v>
      </c>
      <c r="TK24" s="1">
        <v>25606</v>
      </c>
      <c r="TL24" s="1">
        <v>714</v>
      </c>
      <c r="TM24" s="1">
        <v>269</v>
      </c>
      <c r="TN24" s="1">
        <v>26400</v>
      </c>
      <c r="TO24" s="1">
        <v>1</v>
      </c>
      <c r="TP24" s="1">
        <v>0</v>
      </c>
      <c r="TQ24" s="1">
        <v>90</v>
      </c>
      <c r="TR24" s="1">
        <v>60003760</v>
      </c>
      <c r="TS24" s="1">
        <v>32767</v>
      </c>
      <c r="TT24" s="1">
        <v>0</v>
      </c>
      <c r="TV24" s="1">
        <v>2869385373</v>
      </c>
      <c r="TW24" s="1">
        <v>25622</v>
      </c>
      <c r="TX24" s="1">
        <v>4</v>
      </c>
      <c r="TY24" s="1">
        <v>4</v>
      </c>
      <c r="TZ24" s="1">
        <v>15890000</v>
      </c>
      <c r="UA24" s="1">
        <v>1</v>
      </c>
      <c r="UB24" s="1">
        <v>0</v>
      </c>
      <c r="UC24" s="1">
        <v>90</v>
      </c>
      <c r="UD24" s="1">
        <v>60003760</v>
      </c>
      <c r="UE24" s="1">
        <v>32767</v>
      </c>
      <c r="UF24" s="1">
        <v>0</v>
      </c>
      <c r="UH24" s="1">
        <v>2869676287</v>
      </c>
      <c r="UI24" s="1">
        <v>16680</v>
      </c>
      <c r="UJ24" s="1">
        <v>83580</v>
      </c>
      <c r="UK24" s="1">
        <v>16162</v>
      </c>
      <c r="UL24" s="1">
        <v>728</v>
      </c>
      <c r="UM24" s="1">
        <v>1</v>
      </c>
      <c r="UN24" s="1">
        <v>0</v>
      </c>
      <c r="UO24" s="1">
        <v>90</v>
      </c>
      <c r="UP24" s="1">
        <v>60003760</v>
      </c>
      <c r="UQ24" s="1">
        <v>32767</v>
      </c>
      <c r="UR24" s="1">
        <v>6</v>
      </c>
      <c r="UT24" s="1">
        <v>2877642129</v>
      </c>
      <c r="UU24" s="1">
        <v>17317</v>
      </c>
      <c r="UV24" s="1">
        <v>2000</v>
      </c>
      <c r="UW24" s="1">
        <v>909</v>
      </c>
      <c r="UX24" s="1">
        <v>28979.93</v>
      </c>
      <c r="UY24" s="1">
        <v>1</v>
      </c>
      <c r="UZ24" s="1">
        <v>0</v>
      </c>
      <c r="VA24" s="1">
        <v>1</v>
      </c>
      <c r="VB24" s="1">
        <v>60003760</v>
      </c>
      <c r="VC24" s="1">
        <v>32767</v>
      </c>
      <c r="VD24" s="1">
        <v>0</v>
      </c>
      <c r="VF24" s="1">
        <v>2716651591</v>
      </c>
      <c r="VG24" s="1">
        <v>11725</v>
      </c>
      <c r="VH24" s="1">
        <v>20000</v>
      </c>
      <c r="VI24" s="1">
        <v>20000</v>
      </c>
      <c r="VJ24" s="1">
        <v>23600.04</v>
      </c>
      <c r="VK24" s="1">
        <v>1</v>
      </c>
      <c r="VL24" s="1">
        <v>1</v>
      </c>
      <c r="VM24" s="1">
        <v>90</v>
      </c>
      <c r="VN24" s="1">
        <v>60003760</v>
      </c>
      <c r="VO24" s="1">
        <v>-1</v>
      </c>
      <c r="VP24" s="1">
        <v>0</v>
      </c>
    </row>
    <row r="25" spans="2:588" x14ac:dyDescent="0.25">
      <c r="B25" s="1">
        <v>2862441584</v>
      </c>
      <c r="C25" s="1">
        <v>34</v>
      </c>
      <c r="D25" s="1">
        <v>10137693</v>
      </c>
      <c r="E25" s="1">
        <v>988773</v>
      </c>
      <c r="F25" s="1">
        <v>5.85</v>
      </c>
      <c r="G25" s="1">
        <v>1</v>
      </c>
      <c r="H25" s="1">
        <v>0</v>
      </c>
      <c r="I25" s="1">
        <v>90</v>
      </c>
      <c r="J25" s="1">
        <v>60004237</v>
      </c>
      <c r="K25" s="1">
        <v>32767</v>
      </c>
      <c r="L25" s="1">
        <v>3</v>
      </c>
      <c r="N25" s="1">
        <v>2878135227</v>
      </c>
      <c r="O25" s="1">
        <v>35</v>
      </c>
      <c r="P25" s="1">
        <v>28478</v>
      </c>
      <c r="Q25" s="1">
        <v>28478</v>
      </c>
      <c r="R25" s="1">
        <v>15</v>
      </c>
      <c r="S25" s="1">
        <v>1</v>
      </c>
      <c r="T25" s="1">
        <v>0</v>
      </c>
      <c r="U25" s="1">
        <v>1</v>
      </c>
      <c r="V25" s="1">
        <v>60004369</v>
      </c>
      <c r="W25" s="1">
        <v>32767</v>
      </c>
      <c r="X25" s="1">
        <v>4</v>
      </c>
      <c r="Z25" s="1">
        <v>2751671720</v>
      </c>
      <c r="AA25" s="1">
        <v>36</v>
      </c>
      <c r="AB25" s="1">
        <v>10670</v>
      </c>
      <c r="AC25" s="1">
        <v>3250</v>
      </c>
      <c r="AD25" s="16">
        <v>58</v>
      </c>
      <c r="AE25" s="1">
        <v>1</v>
      </c>
      <c r="AF25" s="1">
        <v>0</v>
      </c>
      <c r="AG25" s="1">
        <v>90</v>
      </c>
      <c r="AH25" s="1">
        <v>60000448</v>
      </c>
      <c r="AI25" s="1">
        <v>32767</v>
      </c>
      <c r="AJ25" s="1">
        <v>13</v>
      </c>
      <c r="AL25" s="1">
        <v>2763346489</v>
      </c>
      <c r="AM25" s="1">
        <v>37</v>
      </c>
      <c r="AN25" s="1">
        <v>431823</v>
      </c>
      <c r="AO25" s="1">
        <v>165360</v>
      </c>
      <c r="AP25" s="16">
        <v>158.71</v>
      </c>
      <c r="AQ25" s="1">
        <v>1</v>
      </c>
      <c r="AR25" s="1">
        <v>0</v>
      </c>
      <c r="AS25" s="1">
        <v>90</v>
      </c>
      <c r="AT25" s="1">
        <v>60003760</v>
      </c>
      <c r="AU25" s="1">
        <v>32767</v>
      </c>
      <c r="AV25" s="1">
        <v>9</v>
      </c>
      <c r="AX25" s="1">
        <v>2505838149</v>
      </c>
      <c r="AY25" s="1">
        <v>38</v>
      </c>
      <c r="AZ25" s="1">
        <v>1105648</v>
      </c>
      <c r="BA25" s="1">
        <v>885648</v>
      </c>
      <c r="BB25" s="1">
        <v>1227.4000000000001</v>
      </c>
      <c r="BC25" s="1">
        <v>1</v>
      </c>
      <c r="BD25" s="1">
        <v>0</v>
      </c>
      <c r="BE25" s="1">
        <v>90</v>
      </c>
      <c r="BF25" s="1">
        <v>60003760</v>
      </c>
      <c r="BG25" s="1">
        <v>32767</v>
      </c>
      <c r="BH25" s="1">
        <v>5</v>
      </c>
      <c r="BJ25" s="1">
        <v>2839835710</v>
      </c>
      <c r="BK25" s="1">
        <v>39</v>
      </c>
      <c r="BL25" s="1">
        <v>890000</v>
      </c>
      <c r="BM25" s="1">
        <v>890000</v>
      </c>
      <c r="BN25" s="1">
        <v>888.87</v>
      </c>
      <c r="BO25" s="1">
        <v>1</v>
      </c>
      <c r="BP25" s="1">
        <v>0</v>
      </c>
      <c r="BQ25" s="1">
        <v>90</v>
      </c>
      <c r="BR25" s="1">
        <v>60003760</v>
      </c>
      <c r="BS25" s="1">
        <v>32767</v>
      </c>
      <c r="BT25" s="1">
        <v>5</v>
      </c>
      <c r="BV25" s="1">
        <v>2375027014</v>
      </c>
      <c r="BW25" s="1">
        <v>40</v>
      </c>
      <c r="BX25" s="1">
        <v>736</v>
      </c>
      <c r="BY25" s="1">
        <v>736</v>
      </c>
      <c r="BZ25" s="1">
        <v>2962</v>
      </c>
      <c r="CA25" s="1">
        <v>1</v>
      </c>
      <c r="CB25" s="1">
        <v>0</v>
      </c>
      <c r="CC25" s="1">
        <v>90</v>
      </c>
      <c r="CD25" s="1">
        <v>60003760</v>
      </c>
      <c r="CE25" s="1">
        <v>32767</v>
      </c>
      <c r="CF25" s="1">
        <v>13</v>
      </c>
      <c r="CH25" s="1">
        <v>2335783017</v>
      </c>
      <c r="CI25" s="1">
        <v>29668</v>
      </c>
      <c r="CJ25" s="1">
        <v>5</v>
      </c>
      <c r="CK25" s="1">
        <v>5</v>
      </c>
      <c r="CL25" s="1">
        <v>600000000</v>
      </c>
      <c r="CM25" s="1">
        <v>1</v>
      </c>
      <c r="CN25" s="1">
        <v>0</v>
      </c>
      <c r="CO25" s="1">
        <v>90</v>
      </c>
      <c r="CP25" s="1">
        <v>60003760</v>
      </c>
      <c r="CQ25" s="1">
        <v>32767</v>
      </c>
      <c r="CR25" s="1">
        <v>0</v>
      </c>
      <c r="CT25" s="1">
        <v>2391533974</v>
      </c>
      <c r="CU25" s="1">
        <v>16649</v>
      </c>
      <c r="CV25" s="1">
        <v>20000</v>
      </c>
      <c r="CW25" s="1">
        <v>20000</v>
      </c>
      <c r="CX25" s="1">
        <v>109999.97</v>
      </c>
      <c r="CY25" s="1">
        <v>1</v>
      </c>
      <c r="CZ25" s="1">
        <v>0</v>
      </c>
      <c r="DA25" s="1">
        <v>90</v>
      </c>
      <c r="DB25" s="1">
        <v>60003760</v>
      </c>
      <c r="DC25" s="1">
        <v>32767</v>
      </c>
      <c r="DD25" s="1">
        <v>8</v>
      </c>
      <c r="DF25" s="1">
        <v>2375901850</v>
      </c>
      <c r="DG25" s="1">
        <v>17887</v>
      </c>
      <c r="DH25" s="1">
        <v>5733</v>
      </c>
      <c r="DI25" s="1">
        <v>5733</v>
      </c>
      <c r="DJ25" s="1">
        <v>1639.98</v>
      </c>
      <c r="DK25" s="1">
        <v>1</v>
      </c>
      <c r="DL25" s="1">
        <v>0</v>
      </c>
      <c r="DM25" s="1">
        <v>90</v>
      </c>
      <c r="DN25" s="1">
        <v>60003760</v>
      </c>
      <c r="DO25" s="1">
        <v>32767</v>
      </c>
      <c r="DP25" s="1">
        <v>0</v>
      </c>
      <c r="DR25" s="1">
        <v>2776887596</v>
      </c>
      <c r="DS25" s="1">
        <v>17888</v>
      </c>
      <c r="DT25" s="1">
        <v>3324</v>
      </c>
      <c r="DU25" s="1">
        <v>3324</v>
      </c>
      <c r="DV25" s="1">
        <v>410</v>
      </c>
      <c r="DW25" s="1">
        <v>1</v>
      </c>
      <c r="DX25" s="1">
        <v>0</v>
      </c>
      <c r="DY25" s="1">
        <v>90</v>
      </c>
      <c r="DZ25" s="1">
        <v>60004234</v>
      </c>
      <c r="EA25" s="1">
        <v>32767</v>
      </c>
      <c r="EB25" s="1">
        <v>9</v>
      </c>
      <c r="ED25" s="1">
        <v>2845465919</v>
      </c>
      <c r="EE25" s="1">
        <v>16273</v>
      </c>
      <c r="EF25" s="1">
        <v>500000</v>
      </c>
      <c r="EG25" s="1">
        <v>500000</v>
      </c>
      <c r="EH25" s="1">
        <v>391.49</v>
      </c>
      <c r="EI25" s="1">
        <v>1</v>
      </c>
      <c r="EJ25" s="1">
        <v>0</v>
      </c>
      <c r="EK25" s="1">
        <v>90</v>
      </c>
      <c r="EL25" s="1">
        <v>60003760</v>
      </c>
      <c r="EM25" s="1">
        <v>32767</v>
      </c>
      <c r="EN25" s="1">
        <v>6</v>
      </c>
      <c r="EP25" s="1">
        <v>2856949458</v>
      </c>
      <c r="EQ25" s="1">
        <v>17889</v>
      </c>
      <c r="ER25" s="1">
        <v>2300000</v>
      </c>
      <c r="ES25" s="1">
        <v>530000</v>
      </c>
      <c r="ET25" s="1">
        <v>377.04</v>
      </c>
      <c r="EU25" s="1">
        <v>1</v>
      </c>
      <c r="EV25" s="1">
        <v>0</v>
      </c>
      <c r="EW25" s="1">
        <v>90</v>
      </c>
      <c r="EX25" s="1">
        <v>60003760</v>
      </c>
      <c r="EY25" s="1">
        <v>32767</v>
      </c>
      <c r="EZ25" s="1">
        <v>7</v>
      </c>
      <c r="FB25" s="1">
        <v>2873262246</v>
      </c>
      <c r="FC25" s="1">
        <v>30259</v>
      </c>
      <c r="FD25" s="1">
        <v>1292</v>
      </c>
      <c r="FE25" s="1">
        <v>315</v>
      </c>
      <c r="FF25" s="1">
        <v>5804999</v>
      </c>
      <c r="FG25" s="1">
        <v>1</v>
      </c>
      <c r="FH25" s="1">
        <v>0</v>
      </c>
      <c r="FI25" s="1">
        <v>90</v>
      </c>
      <c r="FJ25" s="1">
        <v>60003760</v>
      </c>
      <c r="FK25" s="1">
        <v>32767</v>
      </c>
      <c r="FL25" s="1">
        <v>0</v>
      </c>
      <c r="FN25" s="1">
        <v>2868119655</v>
      </c>
      <c r="FO25" s="1">
        <v>25617</v>
      </c>
      <c r="FP25" s="1">
        <v>162</v>
      </c>
      <c r="FQ25" s="1">
        <v>162</v>
      </c>
      <c r="FR25" s="1">
        <v>5174000</v>
      </c>
      <c r="FS25" s="1">
        <v>1</v>
      </c>
      <c r="FT25" s="1">
        <v>0</v>
      </c>
      <c r="FU25" s="1">
        <v>90</v>
      </c>
      <c r="FV25" s="1">
        <v>60003760</v>
      </c>
      <c r="FW25" s="1">
        <v>32767</v>
      </c>
      <c r="FX25" s="1">
        <v>0</v>
      </c>
      <c r="FZ25" s="1">
        <v>2859560377</v>
      </c>
      <c r="GA25" s="1">
        <v>44</v>
      </c>
      <c r="GB25" s="1">
        <v>2295</v>
      </c>
      <c r="GC25" s="1">
        <v>1295</v>
      </c>
      <c r="GD25" s="1">
        <v>13942.07</v>
      </c>
      <c r="GE25" s="1">
        <v>1</v>
      </c>
      <c r="GF25" s="1">
        <v>0</v>
      </c>
      <c r="GG25" s="1">
        <v>14</v>
      </c>
      <c r="GH25" s="1">
        <v>60003760</v>
      </c>
      <c r="GI25" s="1">
        <v>32767</v>
      </c>
      <c r="GJ25" s="1">
        <v>4</v>
      </c>
      <c r="GL25" s="1">
        <v>2411440932</v>
      </c>
      <c r="GM25" s="1">
        <v>16681</v>
      </c>
      <c r="GN25" s="1">
        <v>500000</v>
      </c>
      <c r="GO25" s="1">
        <v>500000</v>
      </c>
      <c r="GP25" s="1">
        <v>6398</v>
      </c>
      <c r="GQ25" s="1">
        <v>1</v>
      </c>
      <c r="GR25" s="1">
        <v>0</v>
      </c>
      <c r="GS25" s="1">
        <v>90</v>
      </c>
      <c r="GT25" s="1">
        <v>60003760</v>
      </c>
      <c r="GU25" s="1">
        <v>32767</v>
      </c>
      <c r="GV25" s="1">
        <v>0</v>
      </c>
      <c r="GX25" s="1">
        <v>2861381751</v>
      </c>
      <c r="GY25" s="1">
        <v>16683</v>
      </c>
      <c r="GZ25" s="1">
        <v>39200</v>
      </c>
      <c r="HA25" s="1">
        <v>39200</v>
      </c>
      <c r="HB25" s="1">
        <v>8900.25</v>
      </c>
      <c r="HC25" s="1">
        <v>1</v>
      </c>
      <c r="HD25" s="1">
        <v>0</v>
      </c>
      <c r="HE25" s="1">
        <v>90</v>
      </c>
      <c r="HF25" s="1">
        <v>60003760</v>
      </c>
      <c r="HG25" s="1">
        <v>32767</v>
      </c>
      <c r="HH25" s="1">
        <v>0</v>
      </c>
      <c r="HJ25" s="1">
        <v>2781743277</v>
      </c>
      <c r="HK25" s="1">
        <v>11724</v>
      </c>
      <c r="HL25" s="1">
        <v>10000</v>
      </c>
      <c r="HM25" s="1">
        <v>10000</v>
      </c>
      <c r="HN25" s="1">
        <v>10000</v>
      </c>
      <c r="HO25" s="1">
        <v>100</v>
      </c>
      <c r="HP25" s="1">
        <v>1</v>
      </c>
      <c r="HQ25" s="1">
        <v>90</v>
      </c>
      <c r="HR25" s="1">
        <v>60003760</v>
      </c>
      <c r="HS25" s="1">
        <v>32767</v>
      </c>
      <c r="HT25" s="1">
        <v>0</v>
      </c>
      <c r="HV25" s="1">
        <v>2789429754</v>
      </c>
      <c r="HW25" s="1">
        <v>16274</v>
      </c>
      <c r="HX25" s="1">
        <v>119700</v>
      </c>
      <c r="HY25" s="1">
        <v>119700</v>
      </c>
      <c r="HZ25" s="1">
        <v>386.97</v>
      </c>
      <c r="IA25" s="1">
        <v>1</v>
      </c>
      <c r="IB25" s="1">
        <v>0</v>
      </c>
      <c r="IC25" s="1">
        <v>90</v>
      </c>
      <c r="ID25" s="1">
        <v>60003760</v>
      </c>
      <c r="IE25" s="1">
        <v>32767</v>
      </c>
      <c r="IF25" s="1">
        <v>2</v>
      </c>
      <c r="IH25" s="1">
        <v>2758669884</v>
      </c>
      <c r="II25" s="1">
        <v>10213</v>
      </c>
      <c r="IJ25" s="1">
        <v>2</v>
      </c>
      <c r="IK25" s="1">
        <v>2</v>
      </c>
      <c r="IL25" s="1">
        <v>103000100</v>
      </c>
      <c r="IM25" s="1">
        <v>1</v>
      </c>
      <c r="IN25" s="1">
        <v>1</v>
      </c>
      <c r="IO25" s="1">
        <v>90</v>
      </c>
      <c r="IP25" s="1">
        <v>60003760</v>
      </c>
      <c r="IQ25" s="1">
        <v>-1</v>
      </c>
      <c r="IR25" s="1">
        <v>0</v>
      </c>
      <c r="IT25" s="1">
        <v>2790164207</v>
      </c>
      <c r="IU25" s="1">
        <v>16679</v>
      </c>
      <c r="IV25" s="1">
        <v>653131</v>
      </c>
      <c r="IW25" s="1">
        <v>653131</v>
      </c>
      <c r="IX25" s="1">
        <v>1891.44</v>
      </c>
      <c r="IY25" s="1">
        <v>1</v>
      </c>
      <c r="IZ25" s="1">
        <v>0</v>
      </c>
      <c r="JA25" s="1">
        <v>90</v>
      </c>
      <c r="JB25" s="1">
        <v>60003760</v>
      </c>
      <c r="JC25" s="1">
        <v>32767</v>
      </c>
      <c r="JD25" s="1">
        <v>0</v>
      </c>
      <c r="JF25" s="1">
        <v>2868684055</v>
      </c>
      <c r="JG25" s="1">
        <v>16272</v>
      </c>
      <c r="JH25" s="1">
        <v>3897100</v>
      </c>
      <c r="JI25" s="1">
        <v>2999100</v>
      </c>
      <c r="JJ25" s="1">
        <v>79.94</v>
      </c>
      <c r="JK25" s="1">
        <v>1</v>
      </c>
      <c r="JL25" s="1">
        <v>0</v>
      </c>
      <c r="JM25" s="1">
        <v>90</v>
      </c>
      <c r="JN25" s="1">
        <v>60003760</v>
      </c>
      <c r="JO25" s="1">
        <v>32767</v>
      </c>
      <c r="JP25" s="1">
        <v>6</v>
      </c>
      <c r="JR25" s="1">
        <v>2878957582</v>
      </c>
      <c r="JS25" s="1">
        <v>10226</v>
      </c>
      <c r="JT25" s="1">
        <v>1</v>
      </c>
      <c r="JU25" s="1">
        <v>1</v>
      </c>
      <c r="JV25" s="1">
        <v>118992999.67</v>
      </c>
      <c r="JW25" s="1">
        <v>1</v>
      </c>
      <c r="JX25" s="1">
        <v>0</v>
      </c>
      <c r="JY25" s="1">
        <v>90</v>
      </c>
      <c r="JZ25" s="1">
        <v>60003760</v>
      </c>
      <c r="KA25" s="1">
        <v>32767</v>
      </c>
      <c r="KB25" s="1">
        <v>0</v>
      </c>
      <c r="KD25" s="1">
        <v>2837813340</v>
      </c>
      <c r="KE25" s="1">
        <v>25605</v>
      </c>
      <c r="KF25" s="1">
        <v>28</v>
      </c>
      <c r="KG25" s="1">
        <v>28</v>
      </c>
      <c r="KH25" s="1">
        <v>120110.49</v>
      </c>
      <c r="KI25" s="1">
        <v>1</v>
      </c>
      <c r="KJ25" s="1">
        <v>0</v>
      </c>
      <c r="KK25" s="1">
        <v>90</v>
      </c>
      <c r="KL25" s="1">
        <v>60003757</v>
      </c>
      <c r="KM25" s="1">
        <v>32767</v>
      </c>
      <c r="KN25" s="1">
        <v>6</v>
      </c>
      <c r="KP25" s="1">
        <v>2804100082</v>
      </c>
      <c r="KQ25" s="1">
        <v>25624</v>
      </c>
      <c r="KR25" s="1">
        <v>2</v>
      </c>
      <c r="KS25" s="1">
        <v>2</v>
      </c>
      <c r="KT25" s="1">
        <v>20991001</v>
      </c>
      <c r="KU25" s="1">
        <v>1</v>
      </c>
      <c r="KV25" s="1">
        <v>0</v>
      </c>
      <c r="KW25" s="1">
        <v>90</v>
      </c>
      <c r="KX25" s="1">
        <v>60003760</v>
      </c>
      <c r="KY25" s="1">
        <v>32767</v>
      </c>
      <c r="KZ25" s="1">
        <v>1</v>
      </c>
      <c r="LB25" s="1">
        <v>2835851697</v>
      </c>
      <c r="LC25" s="1">
        <v>9832</v>
      </c>
      <c r="LD25" s="1">
        <v>15120</v>
      </c>
      <c r="LE25" s="1">
        <v>15120</v>
      </c>
      <c r="LF25" s="1">
        <v>9985</v>
      </c>
      <c r="LG25" s="1">
        <v>1</v>
      </c>
      <c r="LH25" s="1">
        <v>0</v>
      </c>
      <c r="LI25" s="1">
        <v>90</v>
      </c>
      <c r="LJ25" s="1">
        <v>60003760</v>
      </c>
      <c r="LK25" s="1">
        <v>32767</v>
      </c>
      <c r="LL25" s="1">
        <v>0</v>
      </c>
      <c r="LN25" s="1">
        <v>2875353921</v>
      </c>
      <c r="LO25" s="1">
        <v>10209</v>
      </c>
      <c r="LP25" s="1">
        <v>3</v>
      </c>
      <c r="LQ25" s="1">
        <v>3</v>
      </c>
      <c r="LR25" s="1">
        <v>119000000</v>
      </c>
      <c r="LS25" s="1">
        <v>1</v>
      </c>
      <c r="LT25" s="1">
        <v>0</v>
      </c>
      <c r="LU25" s="1">
        <v>90</v>
      </c>
      <c r="LV25" s="1">
        <v>60003760</v>
      </c>
      <c r="LW25" s="1">
        <v>32767</v>
      </c>
      <c r="LX25" s="1">
        <v>1</v>
      </c>
      <c r="LZ25" s="1">
        <v>2826491085</v>
      </c>
      <c r="MA25" s="1">
        <v>10217</v>
      </c>
      <c r="MB25" s="1">
        <v>15</v>
      </c>
      <c r="MC25" s="1">
        <v>10</v>
      </c>
      <c r="MD25" s="1">
        <v>108505692.19</v>
      </c>
      <c r="ME25" s="1">
        <v>1</v>
      </c>
      <c r="MF25" s="1">
        <v>1</v>
      </c>
      <c r="MG25" s="1">
        <v>90</v>
      </c>
      <c r="MH25" s="1">
        <v>60003760</v>
      </c>
      <c r="MI25" s="1">
        <v>-1</v>
      </c>
      <c r="MJ25" s="1">
        <v>0</v>
      </c>
      <c r="ML25" s="1">
        <v>2869627446</v>
      </c>
      <c r="MM25" s="1">
        <v>25625</v>
      </c>
      <c r="MN25" s="1">
        <v>76</v>
      </c>
      <c r="MO25" s="1">
        <v>76</v>
      </c>
      <c r="MP25" s="1">
        <v>4900000</v>
      </c>
      <c r="MQ25" s="1">
        <v>1</v>
      </c>
      <c r="MR25" s="1">
        <v>0</v>
      </c>
      <c r="MS25" s="1">
        <v>90</v>
      </c>
      <c r="MT25" s="1">
        <v>60003760</v>
      </c>
      <c r="MU25" s="1">
        <v>32767</v>
      </c>
      <c r="MV25" s="1">
        <v>0</v>
      </c>
      <c r="MX25" s="1">
        <v>2869081089</v>
      </c>
      <c r="MY25" s="1">
        <v>16672</v>
      </c>
      <c r="MZ25" s="1">
        <v>5000000</v>
      </c>
      <c r="NA25" s="1">
        <v>5000000</v>
      </c>
      <c r="NB25" s="1">
        <v>165</v>
      </c>
      <c r="NC25" s="1">
        <v>1</v>
      </c>
      <c r="ND25" s="1">
        <v>0</v>
      </c>
      <c r="NE25" s="1">
        <v>90</v>
      </c>
      <c r="NF25" s="1">
        <v>60003760</v>
      </c>
      <c r="NG25" s="1">
        <v>32767</v>
      </c>
      <c r="NH25" s="1">
        <v>0</v>
      </c>
      <c r="NJ25" s="1">
        <v>2793656535</v>
      </c>
      <c r="NK25" s="1">
        <v>16673</v>
      </c>
      <c r="NL25" s="1">
        <v>3080000</v>
      </c>
      <c r="NM25" s="1">
        <v>3080000</v>
      </c>
      <c r="NN25" s="1">
        <v>127.99</v>
      </c>
      <c r="NO25" s="1">
        <v>1</v>
      </c>
      <c r="NP25" s="1">
        <v>0</v>
      </c>
      <c r="NQ25" s="1">
        <v>90</v>
      </c>
      <c r="NR25" s="1">
        <v>60003760</v>
      </c>
      <c r="NS25" s="1">
        <v>32767</v>
      </c>
      <c r="NT25" s="1">
        <v>6</v>
      </c>
      <c r="NV25" s="1">
        <v>2834363172</v>
      </c>
      <c r="NW25" s="1">
        <v>3689</v>
      </c>
      <c r="NX25" s="1">
        <v>24990</v>
      </c>
      <c r="NY25" s="1">
        <v>24990</v>
      </c>
      <c r="NZ25" s="1">
        <v>11580</v>
      </c>
      <c r="OA25" s="1">
        <v>1</v>
      </c>
      <c r="OB25" s="1">
        <v>0</v>
      </c>
      <c r="OC25" s="1">
        <v>90</v>
      </c>
      <c r="OD25" s="1">
        <v>60003760</v>
      </c>
      <c r="OE25" s="1">
        <v>32767</v>
      </c>
      <c r="OF25" s="1">
        <v>0</v>
      </c>
      <c r="OH25" s="1">
        <v>2817476402</v>
      </c>
      <c r="OI25" s="1">
        <v>25598</v>
      </c>
      <c r="OJ25" s="1">
        <v>771</v>
      </c>
      <c r="OK25" s="1">
        <v>771</v>
      </c>
      <c r="OL25" s="1">
        <v>164997.99</v>
      </c>
      <c r="OM25" s="1">
        <v>1</v>
      </c>
      <c r="ON25" s="1">
        <v>0</v>
      </c>
      <c r="OO25" s="1">
        <v>90</v>
      </c>
      <c r="OP25" s="1">
        <v>60003760</v>
      </c>
      <c r="OQ25" s="1">
        <v>32767</v>
      </c>
      <c r="OR25" s="1">
        <v>0</v>
      </c>
      <c r="OT25" s="1">
        <v>2772464117</v>
      </c>
      <c r="OU25" s="1">
        <v>25600</v>
      </c>
      <c r="OV25" s="1">
        <v>22</v>
      </c>
      <c r="OW25" s="1">
        <v>22</v>
      </c>
      <c r="OX25" s="1">
        <v>35599.879999999997</v>
      </c>
      <c r="OY25" s="1">
        <v>1</v>
      </c>
      <c r="OZ25" s="1">
        <v>0</v>
      </c>
      <c r="PA25" s="1">
        <v>90</v>
      </c>
      <c r="PB25" s="1">
        <v>60003760</v>
      </c>
      <c r="PC25" s="1">
        <v>32767</v>
      </c>
      <c r="PD25" s="1">
        <v>0</v>
      </c>
      <c r="PF25" s="1">
        <v>2855290673</v>
      </c>
      <c r="PG25" s="1">
        <v>16670</v>
      </c>
      <c r="PH25" s="1">
        <v>5000000</v>
      </c>
      <c r="PI25" s="1">
        <v>5000000</v>
      </c>
      <c r="PJ25" s="1">
        <v>132</v>
      </c>
      <c r="PK25" s="1">
        <v>1</v>
      </c>
      <c r="PL25" s="1">
        <v>0</v>
      </c>
      <c r="PM25" s="1">
        <v>90</v>
      </c>
      <c r="PN25" s="1">
        <v>60003760</v>
      </c>
      <c r="PO25" s="1">
        <v>32767</v>
      </c>
      <c r="PP25" s="1">
        <v>7</v>
      </c>
      <c r="PR25" s="1">
        <v>2877991077</v>
      </c>
      <c r="PS25" s="1">
        <v>10222</v>
      </c>
      <c r="PT25" s="1">
        <v>1</v>
      </c>
      <c r="PU25" s="1">
        <v>1</v>
      </c>
      <c r="PV25" s="1">
        <v>117800000.01000001</v>
      </c>
      <c r="PW25" s="1">
        <v>1</v>
      </c>
      <c r="PX25" s="1">
        <v>0</v>
      </c>
      <c r="PY25" s="1">
        <v>3</v>
      </c>
      <c r="PZ25" s="1">
        <v>60003760</v>
      </c>
      <c r="QA25" s="1">
        <v>32767</v>
      </c>
      <c r="QB25" s="1">
        <v>0</v>
      </c>
      <c r="QD25" s="1">
        <v>2869085128</v>
      </c>
      <c r="QE25" s="1">
        <v>9830</v>
      </c>
      <c r="QF25" s="1">
        <v>9999</v>
      </c>
      <c r="QG25" s="1">
        <v>8999</v>
      </c>
      <c r="QH25" s="1">
        <v>7949.98</v>
      </c>
      <c r="QI25" s="1">
        <v>1</v>
      </c>
      <c r="QJ25" s="1">
        <v>0</v>
      </c>
      <c r="QK25" s="1">
        <v>90</v>
      </c>
      <c r="QL25" s="1">
        <v>60003760</v>
      </c>
      <c r="QM25" s="1">
        <v>32767</v>
      </c>
      <c r="QN25" s="1">
        <v>0</v>
      </c>
      <c r="QP25" s="1">
        <v>2732823968</v>
      </c>
      <c r="QQ25" s="1">
        <v>16671</v>
      </c>
      <c r="QR25" s="1">
        <v>10110000</v>
      </c>
      <c r="QS25" s="1">
        <v>10110000</v>
      </c>
      <c r="QT25" s="1">
        <v>169.84</v>
      </c>
      <c r="QU25" s="1">
        <v>1</v>
      </c>
      <c r="QV25" s="1">
        <v>0</v>
      </c>
      <c r="QW25" s="1">
        <v>90</v>
      </c>
      <c r="QX25" s="1">
        <v>60003760</v>
      </c>
      <c r="QY25" s="1">
        <v>32767</v>
      </c>
      <c r="QZ25" s="1">
        <v>7</v>
      </c>
      <c r="RB25" s="1">
        <v>2749104246</v>
      </c>
      <c r="RC25" s="1">
        <v>16682</v>
      </c>
      <c r="RD25" s="1">
        <v>7812</v>
      </c>
      <c r="RE25" s="1">
        <v>6612</v>
      </c>
      <c r="RF25" s="1">
        <v>3580</v>
      </c>
      <c r="RG25" s="1">
        <v>1</v>
      </c>
      <c r="RH25" s="1">
        <v>0</v>
      </c>
      <c r="RI25" s="1">
        <v>90</v>
      </c>
      <c r="RJ25" s="1">
        <v>60003760</v>
      </c>
      <c r="RK25" s="1">
        <v>32767</v>
      </c>
      <c r="RL25" s="1">
        <v>8</v>
      </c>
      <c r="RN25" s="1">
        <v>2875626013</v>
      </c>
      <c r="RO25" s="1">
        <v>16678</v>
      </c>
      <c r="RP25" s="1">
        <v>1285884</v>
      </c>
      <c r="RQ25" s="1">
        <v>1285884</v>
      </c>
      <c r="RR25" s="1">
        <v>297.58</v>
      </c>
      <c r="RS25" s="1">
        <v>1</v>
      </c>
      <c r="RT25" s="1">
        <v>0</v>
      </c>
      <c r="RU25" s="1">
        <v>90</v>
      </c>
      <c r="RV25" s="1">
        <v>60003760</v>
      </c>
      <c r="RW25" s="1">
        <v>32767</v>
      </c>
      <c r="RX25" s="1">
        <v>6</v>
      </c>
      <c r="RZ25" s="1">
        <v>2870664854</v>
      </c>
      <c r="SA25" s="1">
        <v>30310</v>
      </c>
      <c r="SB25" s="1">
        <v>27</v>
      </c>
      <c r="SC25" s="1">
        <v>27</v>
      </c>
      <c r="SD25" s="1">
        <v>1723400.06</v>
      </c>
      <c r="SE25" s="1">
        <v>1</v>
      </c>
      <c r="SF25" s="1">
        <v>0</v>
      </c>
      <c r="SG25" s="1">
        <v>90</v>
      </c>
      <c r="SH25" s="1">
        <v>60003760</v>
      </c>
      <c r="SI25" s="1">
        <v>32767</v>
      </c>
      <c r="SJ25" s="1">
        <v>0</v>
      </c>
      <c r="SL25" s="1">
        <v>2856544200</v>
      </c>
      <c r="SM25" s="1">
        <v>30311</v>
      </c>
      <c r="SN25" s="1">
        <v>60</v>
      </c>
      <c r="SO25" s="1">
        <v>60</v>
      </c>
      <c r="SP25" s="1">
        <v>3925000.05</v>
      </c>
      <c r="SQ25" s="1">
        <v>1</v>
      </c>
      <c r="SR25" s="1">
        <v>0</v>
      </c>
      <c r="SS25" s="1">
        <v>90</v>
      </c>
      <c r="ST25" s="1">
        <v>60003760</v>
      </c>
      <c r="SU25" s="1">
        <v>32767</v>
      </c>
      <c r="SV25" s="1">
        <v>0</v>
      </c>
      <c r="SX25" s="1">
        <v>2777048718</v>
      </c>
      <c r="SY25" s="1">
        <v>25595</v>
      </c>
      <c r="SZ25" s="1">
        <v>28</v>
      </c>
      <c r="TA25" s="1">
        <v>28</v>
      </c>
      <c r="TB25" s="1">
        <v>108669</v>
      </c>
      <c r="TC25" s="1">
        <v>1</v>
      </c>
      <c r="TD25" s="1">
        <v>0</v>
      </c>
      <c r="TE25" s="1">
        <v>90</v>
      </c>
      <c r="TF25" s="1">
        <v>60003760</v>
      </c>
      <c r="TG25" s="1">
        <v>32767</v>
      </c>
      <c r="TH25" s="1">
        <v>6</v>
      </c>
      <c r="TJ25" s="1">
        <v>2848384980</v>
      </c>
      <c r="TK25" s="1">
        <v>25606</v>
      </c>
      <c r="TL25" s="1">
        <v>78617</v>
      </c>
      <c r="TM25" s="1">
        <v>4189</v>
      </c>
      <c r="TN25" s="1">
        <v>23984</v>
      </c>
      <c r="TO25" s="1">
        <v>1</v>
      </c>
      <c r="TP25" s="1">
        <v>0</v>
      </c>
      <c r="TQ25" s="1">
        <v>90</v>
      </c>
      <c r="TR25" s="1">
        <v>60003760</v>
      </c>
      <c r="TS25" s="1">
        <v>32767</v>
      </c>
      <c r="TT25" s="1">
        <v>0</v>
      </c>
      <c r="TV25" s="1">
        <v>2866189455</v>
      </c>
      <c r="TW25" s="1">
        <v>25622</v>
      </c>
      <c r="TX25" s="1">
        <v>39</v>
      </c>
      <c r="TY25" s="1">
        <v>39</v>
      </c>
      <c r="TZ25" s="1">
        <v>15225000</v>
      </c>
      <c r="UA25" s="1">
        <v>1</v>
      </c>
      <c r="UB25" s="1">
        <v>0</v>
      </c>
      <c r="UC25" s="1">
        <v>30</v>
      </c>
      <c r="UD25" s="1">
        <v>60003760</v>
      </c>
      <c r="UE25" s="1">
        <v>32767</v>
      </c>
      <c r="UF25" s="1">
        <v>0</v>
      </c>
      <c r="UH25" s="1">
        <v>2867336126</v>
      </c>
      <c r="UI25" s="1">
        <v>16680</v>
      </c>
      <c r="UJ25" s="1">
        <v>863010</v>
      </c>
      <c r="UK25" s="1">
        <v>3290</v>
      </c>
      <c r="UL25" s="1">
        <v>712.96</v>
      </c>
      <c r="UM25" s="1">
        <v>1</v>
      </c>
      <c r="UN25" s="1">
        <v>0</v>
      </c>
      <c r="UO25" s="1">
        <v>90</v>
      </c>
      <c r="UP25" s="1">
        <v>60003760</v>
      </c>
      <c r="UQ25" s="1">
        <v>32767</v>
      </c>
      <c r="UR25" s="1">
        <v>6</v>
      </c>
      <c r="UT25" s="1">
        <v>2874885141</v>
      </c>
      <c r="UU25" s="1">
        <v>17317</v>
      </c>
      <c r="UV25" s="1">
        <v>63100</v>
      </c>
      <c r="UW25" s="1">
        <v>43453</v>
      </c>
      <c r="UX25" s="1">
        <v>28979.89</v>
      </c>
      <c r="UY25" s="1">
        <v>1</v>
      </c>
      <c r="UZ25" s="1">
        <v>0</v>
      </c>
      <c r="VA25" s="1">
        <v>90</v>
      </c>
      <c r="VB25" s="1">
        <v>60003760</v>
      </c>
      <c r="VC25" s="1">
        <v>32767</v>
      </c>
      <c r="VD25" s="1">
        <v>0</v>
      </c>
      <c r="VF25" s="1">
        <v>2683867119</v>
      </c>
      <c r="VG25" s="1">
        <v>11725</v>
      </c>
      <c r="VH25" s="1">
        <v>25000</v>
      </c>
      <c r="VI25" s="1">
        <v>11969</v>
      </c>
      <c r="VJ25" s="1">
        <v>47213.07</v>
      </c>
      <c r="VK25" s="1">
        <v>1</v>
      </c>
      <c r="VL25" s="1">
        <v>1</v>
      </c>
      <c r="VM25" s="1">
        <v>90</v>
      </c>
      <c r="VN25" s="1">
        <v>60003760</v>
      </c>
      <c r="VO25" s="1">
        <v>-1</v>
      </c>
      <c r="VP25" s="1">
        <v>0</v>
      </c>
    </row>
    <row r="26" spans="2:588" x14ac:dyDescent="0.25">
      <c r="B26" s="1">
        <v>2837555954</v>
      </c>
      <c r="C26" s="1">
        <v>34</v>
      </c>
      <c r="D26" s="1">
        <v>799637</v>
      </c>
      <c r="E26" s="1">
        <v>68982</v>
      </c>
      <c r="F26" s="1">
        <v>5.91</v>
      </c>
      <c r="G26" s="1">
        <v>1</v>
      </c>
      <c r="H26" s="1">
        <v>0</v>
      </c>
      <c r="I26" s="1">
        <v>90</v>
      </c>
      <c r="J26" s="1">
        <v>60000298</v>
      </c>
      <c r="K26" s="1">
        <v>32767</v>
      </c>
      <c r="L26" s="1">
        <v>3</v>
      </c>
      <c r="N26" s="1">
        <v>2877175610</v>
      </c>
      <c r="O26" s="1">
        <v>35</v>
      </c>
      <c r="P26" s="1">
        <v>264</v>
      </c>
      <c r="Q26" s="1">
        <v>264</v>
      </c>
      <c r="R26" s="1">
        <v>14.4</v>
      </c>
      <c r="S26" s="1">
        <v>1</v>
      </c>
      <c r="T26" s="1">
        <v>0</v>
      </c>
      <c r="U26" s="1">
        <v>7</v>
      </c>
      <c r="V26" s="1">
        <v>60004072</v>
      </c>
      <c r="W26" s="1">
        <v>32767</v>
      </c>
      <c r="X26" s="1">
        <v>5</v>
      </c>
      <c r="Z26" s="1">
        <v>2778988865</v>
      </c>
      <c r="AA26" s="1">
        <v>36</v>
      </c>
      <c r="AB26" s="1">
        <v>469969</v>
      </c>
      <c r="AC26" s="1">
        <v>288233</v>
      </c>
      <c r="AD26" s="16">
        <v>115.99</v>
      </c>
      <c r="AE26" s="1">
        <v>1</v>
      </c>
      <c r="AF26" s="1">
        <v>0</v>
      </c>
      <c r="AG26" s="1">
        <v>90</v>
      </c>
      <c r="AH26" s="1">
        <v>60014659</v>
      </c>
      <c r="AI26" s="1">
        <v>32767</v>
      </c>
      <c r="AJ26" s="1">
        <v>14</v>
      </c>
      <c r="AL26" s="1">
        <v>2763767407</v>
      </c>
      <c r="AM26" s="1">
        <v>37</v>
      </c>
      <c r="AN26" s="1">
        <v>92253</v>
      </c>
      <c r="AO26" s="1">
        <v>92253</v>
      </c>
      <c r="AP26" s="16">
        <v>157.26</v>
      </c>
      <c r="AQ26" s="1">
        <v>1</v>
      </c>
      <c r="AR26" s="1">
        <v>0</v>
      </c>
      <c r="AS26" s="1">
        <v>90</v>
      </c>
      <c r="AT26" s="1">
        <v>60003760</v>
      </c>
      <c r="AU26" s="1">
        <v>32767</v>
      </c>
      <c r="AV26" s="1">
        <v>9</v>
      </c>
      <c r="AX26" s="1">
        <v>2505840772</v>
      </c>
      <c r="AY26" s="1">
        <v>38</v>
      </c>
      <c r="AZ26" s="1">
        <v>2512404</v>
      </c>
      <c r="BA26" s="1">
        <v>2512404</v>
      </c>
      <c r="BB26" s="1">
        <v>1157.5</v>
      </c>
      <c r="BC26" s="1">
        <v>1</v>
      </c>
      <c r="BD26" s="1">
        <v>0</v>
      </c>
      <c r="BE26" s="1">
        <v>90</v>
      </c>
      <c r="BF26" s="1">
        <v>60003760</v>
      </c>
      <c r="BG26" s="1">
        <v>32767</v>
      </c>
      <c r="BH26" s="1">
        <v>5</v>
      </c>
      <c r="BJ26" s="1">
        <v>2839807021</v>
      </c>
      <c r="BK26" s="1">
        <v>39</v>
      </c>
      <c r="BL26" s="1">
        <v>470000</v>
      </c>
      <c r="BM26" s="1">
        <v>470000</v>
      </c>
      <c r="BN26" s="1">
        <v>864.7</v>
      </c>
      <c r="BO26" s="1">
        <v>1</v>
      </c>
      <c r="BP26" s="1">
        <v>0</v>
      </c>
      <c r="BQ26" s="1">
        <v>90</v>
      </c>
      <c r="BR26" s="1">
        <v>60003760</v>
      </c>
      <c r="BS26" s="1">
        <v>32767</v>
      </c>
      <c r="BT26" s="1">
        <v>5</v>
      </c>
      <c r="BV26" s="1">
        <v>2373802129</v>
      </c>
      <c r="BW26" s="1">
        <v>40</v>
      </c>
      <c r="BX26" s="1">
        <v>87444</v>
      </c>
      <c r="BY26" s="1">
        <v>87444</v>
      </c>
      <c r="BZ26" s="1">
        <v>2950</v>
      </c>
      <c r="CA26" s="1">
        <v>1</v>
      </c>
      <c r="CB26" s="1">
        <v>0</v>
      </c>
      <c r="CC26" s="1">
        <v>90</v>
      </c>
      <c r="CD26" s="1">
        <v>60003760</v>
      </c>
      <c r="CE26" s="1">
        <v>32767</v>
      </c>
      <c r="CF26" s="1">
        <v>13</v>
      </c>
      <c r="CH26" s="1">
        <v>2341665912</v>
      </c>
      <c r="CI26" s="1">
        <v>29668</v>
      </c>
      <c r="CJ26" s="1">
        <v>1</v>
      </c>
      <c r="CK26" s="1">
        <v>1</v>
      </c>
      <c r="CL26" s="1">
        <v>600000000</v>
      </c>
      <c r="CM26" s="1">
        <v>1</v>
      </c>
      <c r="CN26" s="1">
        <v>0</v>
      </c>
      <c r="CO26" s="1">
        <v>90</v>
      </c>
      <c r="CP26" s="1">
        <v>60003760</v>
      </c>
      <c r="CQ26" s="1">
        <v>32767</v>
      </c>
      <c r="CR26" s="1">
        <v>0</v>
      </c>
      <c r="CT26" s="1">
        <v>2391490337</v>
      </c>
      <c r="CU26" s="1">
        <v>16649</v>
      </c>
      <c r="CV26" s="1">
        <v>7500</v>
      </c>
      <c r="CW26" s="1">
        <v>500</v>
      </c>
      <c r="CX26" s="1">
        <v>107996.33</v>
      </c>
      <c r="CY26" s="1">
        <v>1</v>
      </c>
      <c r="CZ26" s="1">
        <v>0</v>
      </c>
      <c r="DA26" s="1">
        <v>90</v>
      </c>
      <c r="DB26" s="1">
        <v>60003760</v>
      </c>
      <c r="DC26" s="1">
        <v>32767</v>
      </c>
      <c r="DD26" s="1">
        <v>8</v>
      </c>
      <c r="DF26" s="1">
        <v>2374548567</v>
      </c>
      <c r="DG26" s="1">
        <v>17887</v>
      </c>
      <c r="DH26" s="1">
        <v>1277500</v>
      </c>
      <c r="DI26" s="1">
        <v>1277500</v>
      </c>
      <c r="DJ26" s="1">
        <v>1642.8</v>
      </c>
      <c r="DK26" s="1">
        <v>1</v>
      </c>
      <c r="DL26" s="1">
        <v>0</v>
      </c>
      <c r="DM26" s="1">
        <v>90</v>
      </c>
      <c r="DN26" s="1">
        <v>60003760</v>
      </c>
      <c r="DO26" s="1">
        <v>32767</v>
      </c>
      <c r="DP26" s="1">
        <v>0</v>
      </c>
      <c r="DR26" s="1">
        <v>2777120919</v>
      </c>
      <c r="DS26" s="1">
        <v>17888</v>
      </c>
      <c r="DT26" s="1">
        <v>9925</v>
      </c>
      <c r="DU26" s="1">
        <v>9925</v>
      </c>
      <c r="DV26" s="1">
        <v>410</v>
      </c>
      <c r="DW26" s="1">
        <v>1</v>
      </c>
      <c r="DX26" s="1">
        <v>0</v>
      </c>
      <c r="DY26" s="1">
        <v>90</v>
      </c>
      <c r="DZ26" s="1">
        <v>60004234</v>
      </c>
      <c r="EA26" s="1">
        <v>32767</v>
      </c>
      <c r="EB26" s="1">
        <v>9</v>
      </c>
      <c r="ED26" s="1">
        <v>2845475400</v>
      </c>
      <c r="EE26" s="1">
        <v>16273</v>
      </c>
      <c r="EF26" s="1">
        <v>176389</v>
      </c>
      <c r="EG26" s="1">
        <v>176389</v>
      </c>
      <c r="EH26" s="1">
        <v>391.46</v>
      </c>
      <c r="EI26" s="1">
        <v>1</v>
      </c>
      <c r="EJ26" s="1">
        <v>0</v>
      </c>
      <c r="EK26" s="1">
        <v>90</v>
      </c>
      <c r="EL26" s="1">
        <v>60003760</v>
      </c>
      <c r="EM26" s="1">
        <v>32767</v>
      </c>
      <c r="EN26" s="1">
        <v>6</v>
      </c>
      <c r="EP26" s="1">
        <v>2731852598</v>
      </c>
      <c r="EQ26" s="1">
        <v>17889</v>
      </c>
      <c r="ER26" s="1">
        <v>275988</v>
      </c>
      <c r="ES26" s="1">
        <v>275988</v>
      </c>
      <c r="ET26" s="1">
        <v>435</v>
      </c>
      <c r="EU26" s="1">
        <v>1</v>
      </c>
      <c r="EV26" s="1">
        <v>0</v>
      </c>
      <c r="EW26" s="1">
        <v>90</v>
      </c>
      <c r="EX26" s="1">
        <v>60003760</v>
      </c>
      <c r="EY26" s="1">
        <v>32767</v>
      </c>
      <c r="EZ26" s="1">
        <v>7</v>
      </c>
      <c r="FB26" s="1">
        <v>2875401293</v>
      </c>
      <c r="FC26" s="1">
        <v>30259</v>
      </c>
      <c r="FD26" s="1">
        <v>82</v>
      </c>
      <c r="FE26" s="1">
        <v>82</v>
      </c>
      <c r="FF26" s="1">
        <v>5845000</v>
      </c>
      <c r="FG26" s="1">
        <v>1</v>
      </c>
      <c r="FH26" s="1">
        <v>0</v>
      </c>
      <c r="FI26" s="1">
        <v>90</v>
      </c>
      <c r="FJ26" s="1">
        <v>60003760</v>
      </c>
      <c r="FK26" s="1">
        <v>32767</v>
      </c>
      <c r="FL26" s="1">
        <v>0</v>
      </c>
      <c r="FN26" s="1">
        <v>2868236901</v>
      </c>
      <c r="FO26" s="1">
        <v>25617</v>
      </c>
      <c r="FP26" s="1">
        <v>62</v>
      </c>
      <c r="FQ26" s="1">
        <v>17</v>
      </c>
      <c r="FR26" s="1">
        <v>5160000.18</v>
      </c>
      <c r="FS26" s="1">
        <v>1</v>
      </c>
      <c r="FT26" s="1">
        <v>0</v>
      </c>
      <c r="FU26" s="1">
        <v>90</v>
      </c>
      <c r="FV26" s="1">
        <v>60003760</v>
      </c>
      <c r="FW26" s="1">
        <v>32767</v>
      </c>
      <c r="FX26" s="1">
        <v>0</v>
      </c>
      <c r="FZ26" s="1">
        <v>2859569095</v>
      </c>
      <c r="GA26" s="1">
        <v>44</v>
      </c>
      <c r="GB26" s="1">
        <v>645</v>
      </c>
      <c r="GC26" s="1">
        <v>645</v>
      </c>
      <c r="GD26" s="1">
        <v>13799.99</v>
      </c>
      <c r="GE26" s="1">
        <v>1</v>
      </c>
      <c r="GF26" s="1">
        <v>0</v>
      </c>
      <c r="GG26" s="1">
        <v>90</v>
      </c>
      <c r="GH26" s="1">
        <v>60003760</v>
      </c>
      <c r="GI26" s="1">
        <v>32767</v>
      </c>
      <c r="GJ26" s="1">
        <v>4</v>
      </c>
      <c r="GL26" s="1">
        <v>2401176145</v>
      </c>
      <c r="GM26" s="1">
        <v>16681</v>
      </c>
      <c r="GN26" s="1">
        <v>1428000</v>
      </c>
      <c r="GO26" s="1">
        <v>401268</v>
      </c>
      <c r="GP26" s="1">
        <v>6376.16</v>
      </c>
      <c r="GQ26" s="1">
        <v>1</v>
      </c>
      <c r="GR26" s="1">
        <v>0</v>
      </c>
      <c r="GS26" s="1">
        <v>90</v>
      </c>
      <c r="GT26" s="1">
        <v>60003760</v>
      </c>
      <c r="GU26" s="1">
        <v>32767</v>
      </c>
      <c r="GV26" s="1">
        <v>0</v>
      </c>
      <c r="GX26" s="1">
        <v>2862469660</v>
      </c>
      <c r="GY26" s="1">
        <v>16683</v>
      </c>
      <c r="GZ26" s="1">
        <v>407200</v>
      </c>
      <c r="HA26" s="1">
        <v>407200</v>
      </c>
      <c r="HB26" s="1">
        <v>9499.99</v>
      </c>
      <c r="HC26" s="1">
        <v>1</v>
      </c>
      <c r="HD26" s="1">
        <v>0</v>
      </c>
      <c r="HE26" s="1">
        <v>90</v>
      </c>
      <c r="HF26" s="1">
        <v>60003760</v>
      </c>
      <c r="HG26" s="1">
        <v>32767</v>
      </c>
      <c r="HH26" s="1">
        <v>0</v>
      </c>
      <c r="HJ26" s="1">
        <v>2781851580</v>
      </c>
      <c r="HK26" s="1">
        <v>11724</v>
      </c>
      <c r="HL26" s="1">
        <v>15000</v>
      </c>
      <c r="HM26" s="1">
        <v>14706</v>
      </c>
      <c r="HN26" s="1">
        <v>34500.269999999997</v>
      </c>
      <c r="HO26" s="1">
        <v>1</v>
      </c>
      <c r="HP26" s="1">
        <v>1</v>
      </c>
      <c r="HQ26" s="1">
        <v>90</v>
      </c>
      <c r="HR26" s="1">
        <v>60003760</v>
      </c>
      <c r="HS26" s="1">
        <v>-1</v>
      </c>
      <c r="HT26" s="1">
        <v>0</v>
      </c>
      <c r="HV26" s="1">
        <v>2785229131</v>
      </c>
      <c r="HW26" s="1">
        <v>16274</v>
      </c>
      <c r="HX26" s="1">
        <v>1895221</v>
      </c>
      <c r="HY26" s="1">
        <v>1895221</v>
      </c>
      <c r="HZ26" s="1">
        <v>389</v>
      </c>
      <c r="IA26" s="1">
        <v>1</v>
      </c>
      <c r="IB26" s="1">
        <v>0</v>
      </c>
      <c r="IC26" s="1">
        <v>90</v>
      </c>
      <c r="ID26" s="1">
        <v>60003760</v>
      </c>
      <c r="IE26" s="1">
        <v>32767</v>
      </c>
      <c r="IF26" s="1">
        <v>2</v>
      </c>
      <c r="IH26" s="1">
        <v>2761391998</v>
      </c>
      <c r="II26" s="1">
        <v>10213</v>
      </c>
      <c r="IJ26" s="1">
        <v>5</v>
      </c>
      <c r="IK26" s="1">
        <v>5</v>
      </c>
      <c r="IL26" s="1">
        <v>100300000</v>
      </c>
      <c r="IM26" s="1">
        <v>1</v>
      </c>
      <c r="IN26" s="1">
        <v>1</v>
      </c>
      <c r="IO26" s="1">
        <v>90</v>
      </c>
      <c r="IP26" s="1">
        <v>60003760</v>
      </c>
      <c r="IQ26" s="1">
        <v>-1</v>
      </c>
      <c r="IR26" s="1">
        <v>0</v>
      </c>
      <c r="IT26" s="1">
        <v>2790203726</v>
      </c>
      <c r="IU26" s="1">
        <v>16679</v>
      </c>
      <c r="IV26" s="1">
        <v>5000000</v>
      </c>
      <c r="IW26" s="1">
        <v>5000000</v>
      </c>
      <c r="IX26" s="1">
        <v>1971</v>
      </c>
      <c r="IY26" s="1">
        <v>1</v>
      </c>
      <c r="IZ26" s="1">
        <v>0</v>
      </c>
      <c r="JA26" s="1">
        <v>90</v>
      </c>
      <c r="JB26" s="1">
        <v>60003760</v>
      </c>
      <c r="JC26" s="1">
        <v>32767</v>
      </c>
      <c r="JD26" s="1">
        <v>0</v>
      </c>
      <c r="JF26" s="1">
        <v>2868799013</v>
      </c>
      <c r="JG26" s="1">
        <v>16272</v>
      </c>
      <c r="JH26" s="1">
        <v>28109938</v>
      </c>
      <c r="JI26" s="1">
        <v>22373178</v>
      </c>
      <c r="JJ26" s="1">
        <v>74.88</v>
      </c>
      <c r="JK26" s="1">
        <v>1</v>
      </c>
      <c r="JL26" s="1">
        <v>0</v>
      </c>
      <c r="JM26" s="1">
        <v>30</v>
      </c>
      <c r="JN26" s="1">
        <v>60003760</v>
      </c>
      <c r="JO26" s="1">
        <v>32767</v>
      </c>
      <c r="JP26" s="1">
        <v>6</v>
      </c>
      <c r="JR26" s="1">
        <v>2878792084</v>
      </c>
      <c r="JS26" s="1">
        <v>10226</v>
      </c>
      <c r="JT26" s="1">
        <v>4</v>
      </c>
      <c r="JU26" s="1">
        <v>1</v>
      </c>
      <c r="JV26" s="1">
        <v>118992999.66</v>
      </c>
      <c r="JW26" s="1">
        <v>1</v>
      </c>
      <c r="JX26" s="1">
        <v>0</v>
      </c>
      <c r="JY26" s="1">
        <v>1</v>
      </c>
      <c r="JZ26" s="1">
        <v>60003760</v>
      </c>
      <c r="KA26" s="1">
        <v>32767</v>
      </c>
      <c r="KB26" s="1">
        <v>0</v>
      </c>
      <c r="KD26" s="1">
        <v>2833763485</v>
      </c>
      <c r="KE26" s="1">
        <v>25605</v>
      </c>
      <c r="KF26" s="1">
        <v>15</v>
      </c>
      <c r="KG26" s="1">
        <v>15</v>
      </c>
      <c r="KH26" s="1">
        <v>128000.34</v>
      </c>
      <c r="KI26" s="1">
        <v>1</v>
      </c>
      <c r="KJ26" s="1">
        <v>0</v>
      </c>
      <c r="KK26" s="1">
        <v>90</v>
      </c>
      <c r="KL26" s="1">
        <v>60003469</v>
      </c>
      <c r="KM26" s="1">
        <v>32767</v>
      </c>
      <c r="KN26" s="1">
        <v>6</v>
      </c>
      <c r="KP26" s="1">
        <v>2796813957</v>
      </c>
      <c r="KQ26" s="1">
        <v>25624</v>
      </c>
      <c r="KR26" s="1">
        <v>64</v>
      </c>
      <c r="KS26" s="1">
        <v>59</v>
      </c>
      <c r="KT26" s="1">
        <v>21570999</v>
      </c>
      <c r="KU26" s="1">
        <v>1</v>
      </c>
      <c r="KV26" s="1">
        <v>0</v>
      </c>
      <c r="KW26" s="1">
        <v>90</v>
      </c>
      <c r="KX26" s="1">
        <v>60003760</v>
      </c>
      <c r="KY26" s="1">
        <v>32767</v>
      </c>
      <c r="KZ26" s="1">
        <v>1</v>
      </c>
      <c r="LB26" s="1">
        <v>2836441542</v>
      </c>
      <c r="LC26" s="1">
        <v>9832</v>
      </c>
      <c r="LD26" s="1">
        <v>73570</v>
      </c>
      <c r="LE26" s="1">
        <v>39228</v>
      </c>
      <c r="LF26" s="1">
        <v>9739.9500000000007</v>
      </c>
      <c r="LG26" s="1">
        <v>1</v>
      </c>
      <c r="LH26" s="1">
        <v>0</v>
      </c>
      <c r="LI26" s="1">
        <v>90</v>
      </c>
      <c r="LJ26" s="1">
        <v>60003760</v>
      </c>
      <c r="LK26" s="1">
        <v>32767</v>
      </c>
      <c r="LL26" s="1">
        <v>0</v>
      </c>
      <c r="LN26" s="1">
        <v>2875354042</v>
      </c>
      <c r="LO26" s="1">
        <v>10209</v>
      </c>
      <c r="LP26" s="1">
        <v>3</v>
      </c>
      <c r="LQ26" s="1">
        <v>3</v>
      </c>
      <c r="LR26" s="1">
        <v>119000000</v>
      </c>
      <c r="LS26" s="1">
        <v>1</v>
      </c>
      <c r="LT26" s="1">
        <v>0</v>
      </c>
      <c r="LU26" s="1">
        <v>90</v>
      </c>
      <c r="LV26" s="1">
        <v>60003760</v>
      </c>
      <c r="LW26" s="1">
        <v>32767</v>
      </c>
      <c r="LX26" s="1">
        <v>1</v>
      </c>
      <c r="LZ26" s="1">
        <v>2824179545</v>
      </c>
      <c r="MA26" s="1">
        <v>10217</v>
      </c>
      <c r="MB26" s="1">
        <v>1</v>
      </c>
      <c r="MC26" s="1">
        <v>1</v>
      </c>
      <c r="MD26" s="1">
        <v>12580499</v>
      </c>
      <c r="ME26" s="1">
        <v>1</v>
      </c>
      <c r="MF26" s="1">
        <v>1</v>
      </c>
      <c r="MG26" s="1">
        <v>90</v>
      </c>
      <c r="MH26" s="1">
        <v>60003760</v>
      </c>
      <c r="MI26" s="1">
        <v>32767</v>
      </c>
      <c r="MJ26" s="1">
        <v>0</v>
      </c>
      <c r="ML26" s="1">
        <v>2866918905</v>
      </c>
      <c r="MM26" s="1">
        <v>25625</v>
      </c>
      <c r="MN26" s="1">
        <v>103</v>
      </c>
      <c r="MO26" s="1">
        <v>41</v>
      </c>
      <c r="MP26" s="1">
        <v>4937998.96</v>
      </c>
      <c r="MQ26" s="1">
        <v>1</v>
      </c>
      <c r="MR26" s="1">
        <v>0</v>
      </c>
      <c r="MS26" s="1">
        <v>90</v>
      </c>
      <c r="MT26" s="1">
        <v>60003760</v>
      </c>
      <c r="MU26" s="1">
        <v>32767</v>
      </c>
      <c r="MV26" s="1">
        <v>0</v>
      </c>
      <c r="MX26" s="1">
        <v>2869081235</v>
      </c>
      <c r="MY26" s="1">
        <v>16672</v>
      </c>
      <c r="MZ26" s="1">
        <v>5000000</v>
      </c>
      <c r="NA26" s="1">
        <v>5000000</v>
      </c>
      <c r="NB26" s="1">
        <v>160</v>
      </c>
      <c r="NC26" s="1">
        <v>1</v>
      </c>
      <c r="ND26" s="1">
        <v>0</v>
      </c>
      <c r="NE26" s="1">
        <v>90</v>
      </c>
      <c r="NF26" s="1">
        <v>60003760</v>
      </c>
      <c r="NG26" s="1">
        <v>32767</v>
      </c>
      <c r="NH26" s="1">
        <v>0</v>
      </c>
      <c r="NJ26" s="1">
        <v>2834792052</v>
      </c>
      <c r="NK26" s="1">
        <v>16673</v>
      </c>
      <c r="NL26" s="1">
        <v>7837000</v>
      </c>
      <c r="NM26" s="1">
        <v>7837000</v>
      </c>
      <c r="NN26" s="1">
        <v>135</v>
      </c>
      <c r="NO26" s="1">
        <v>1</v>
      </c>
      <c r="NP26" s="1">
        <v>0</v>
      </c>
      <c r="NQ26" s="1">
        <v>90</v>
      </c>
      <c r="NR26" s="1">
        <v>60003760</v>
      </c>
      <c r="NS26" s="1">
        <v>32767</v>
      </c>
      <c r="NT26" s="1">
        <v>6</v>
      </c>
      <c r="NV26" s="1">
        <v>2834042331</v>
      </c>
      <c r="NW26" s="1">
        <v>3689</v>
      </c>
      <c r="NX26" s="1">
        <v>70195</v>
      </c>
      <c r="NY26" s="1">
        <v>70195</v>
      </c>
      <c r="NZ26" s="1">
        <v>12690</v>
      </c>
      <c r="OA26" s="1">
        <v>1</v>
      </c>
      <c r="OB26" s="1">
        <v>0</v>
      </c>
      <c r="OC26" s="1">
        <v>90</v>
      </c>
      <c r="OD26" s="1">
        <v>60003760</v>
      </c>
      <c r="OE26" s="1">
        <v>32767</v>
      </c>
      <c r="OF26" s="1">
        <v>0</v>
      </c>
      <c r="OH26" s="1">
        <v>2817477401</v>
      </c>
      <c r="OI26" s="1">
        <v>25598</v>
      </c>
      <c r="OJ26" s="1">
        <v>110</v>
      </c>
      <c r="OK26" s="1">
        <v>110</v>
      </c>
      <c r="OL26" s="1">
        <v>164997.98000000001</v>
      </c>
      <c r="OM26" s="1">
        <v>1</v>
      </c>
      <c r="ON26" s="1">
        <v>0</v>
      </c>
      <c r="OO26" s="1">
        <v>90</v>
      </c>
      <c r="OP26" s="1">
        <v>60000364</v>
      </c>
      <c r="OQ26" s="1">
        <v>32767</v>
      </c>
      <c r="OR26" s="1">
        <v>0</v>
      </c>
      <c r="OT26" s="1">
        <v>2772539565</v>
      </c>
      <c r="OU26" s="1">
        <v>25600</v>
      </c>
      <c r="OV26" s="1">
        <v>428</v>
      </c>
      <c r="OW26" s="1">
        <v>428</v>
      </c>
      <c r="OX26" s="1">
        <v>35598.97</v>
      </c>
      <c r="OY26" s="1">
        <v>1</v>
      </c>
      <c r="OZ26" s="1">
        <v>0</v>
      </c>
      <c r="PA26" s="1">
        <v>90</v>
      </c>
      <c r="PB26" s="1">
        <v>60003760</v>
      </c>
      <c r="PC26" s="1">
        <v>32767</v>
      </c>
      <c r="PD26" s="1">
        <v>0</v>
      </c>
      <c r="PF26" s="1">
        <v>2855290923</v>
      </c>
      <c r="PG26" s="1">
        <v>16670</v>
      </c>
      <c r="PH26" s="1">
        <v>5000000</v>
      </c>
      <c r="PI26" s="1">
        <v>5000000</v>
      </c>
      <c r="PJ26" s="1">
        <v>132</v>
      </c>
      <c r="PK26" s="1">
        <v>1</v>
      </c>
      <c r="PL26" s="1">
        <v>0</v>
      </c>
      <c r="PM26" s="1">
        <v>90</v>
      </c>
      <c r="PN26" s="1">
        <v>60003760</v>
      </c>
      <c r="PO26" s="1">
        <v>32767</v>
      </c>
      <c r="PP26" s="1">
        <v>7</v>
      </c>
      <c r="PR26" s="1">
        <v>2877962850</v>
      </c>
      <c r="PS26" s="1">
        <v>10222</v>
      </c>
      <c r="PT26" s="1">
        <v>4</v>
      </c>
      <c r="PU26" s="1">
        <v>3</v>
      </c>
      <c r="PV26" s="1">
        <v>117988999</v>
      </c>
      <c r="PW26" s="1">
        <v>1</v>
      </c>
      <c r="PX26" s="1">
        <v>0</v>
      </c>
      <c r="PY26" s="1">
        <v>90</v>
      </c>
      <c r="PZ26" s="1">
        <v>60003760</v>
      </c>
      <c r="QA26" s="1">
        <v>32767</v>
      </c>
      <c r="QB26" s="1">
        <v>0</v>
      </c>
      <c r="QD26" s="1">
        <v>2869081687</v>
      </c>
      <c r="QE26" s="1">
        <v>9830</v>
      </c>
      <c r="QF26" s="1">
        <v>25000</v>
      </c>
      <c r="QG26" s="1">
        <v>25000</v>
      </c>
      <c r="QH26" s="1">
        <v>7979.76</v>
      </c>
      <c r="QI26" s="1">
        <v>1</v>
      </c>
      <c r="QJ26" s="1">
        <v>0</v>
      </c>
      <c r="QK26" s="1">
        <v>90</v>
      </c>
      <c r="QL26" s="1">
        <v>60003760</v>
      </c>
      <c r="QM26" s="1">
        <v>32767</v>
      </c>
      <c r="QN26" s="1">
        <v>0</v>
      </c>
      <c r="QP26" s="1">
        <v>2747658313</v>
      </c>
      <c r="QQ26" s="1">
        <v>16671</v>
      </c>
      <c r="QR26" s="1">
        <v>1760000</v>
      </c>
      <c r="QS26" s="1">
        <v>1760000</v>
      </c>
      <c r="QT26" s="1">
        <v>128</v>
      </c>
      <c r="QU26" s="1">
        <v>1</v>
      </c>
      <c r="QV26" s="1">
        <v>0</v>
      </c>
      <c r="QW26" s="1">
        <v>90</v>
      </c>
      <c r="QX26" s="1">
        <v>60003760</v>
      </c>
      <c r="QY26" s="1">
        <v>32767</v>
      </c>
      <c r="QZ26" s="1">
        <v>7</v>
      </c>
      <c r="RB26" s="1">
        <v>2867854866</v>
      </c>
      <c r="RC26" s="1">
        <v>16682</v>
      </c>
      <c r="RD26" s="1">
        <v>700000</v>
      </c>
      <c r="RE26" s="1">
        <v>497197</v>
      </c>
      <c r="RF26" s="1">
        <v>3351.39</v>
      </c>
      <c r="RG26" s="1">
        <v>1</v>
      </c>
      <c r="RH26" s="1">
        <v>0</v>
      </c>
      <c r="RI26" s="1">
        <v>14</v>
      </c>
      <c r="RJ26" s="1">
        <v>60003760</v>
      </c>
      <c r="RK26" s="1">
        <v>32767</v>
      </c>
      <c r="RL26" s="1">
        <v>8</v>
      </c>
      <c r="RN26" s="1">
        <v>2875626262</v>
      </c>
      <c r="RO26" s="1">
        <v>16678</v>
      </c>
      <c r="RP26" s="1">
        <v>1000000</v>
      </c>
      <c r="RQ26" s="1">
        <v>1000000</v>
      </c>
      <c r="RR26" s="1">
        <v>284.64999999999998</v>
      </c>
      <c r="RS26" s="1">
        <v>1</v>
      </c>
      <c r="RT26" s="1">
        <v>0</v>
      </c>
      <c r="RU26" s="1">
        <v>90</v>
      </c>
      <c r="RV26" s="1">
        <v>60003760</v>
      </c>
      <c r="RW26" s="1">
        <v>32767</v>
      </c>
      <c r="RX26" s="1">
        <v>6</v>
      </c>
      <c r="RZ26" s="1">
        <v>2871556717</v>
      </c>
      <c r="SA26" s="1">
        <v>30310</v>
      </c>
      <c r="SB26" s="1">
        <v>1308</v>
      </c>
      <c r="SC26" s="1">
        <v>908</v>
      </c>
      <c r="SD26" s="1">
        <v>1296998.5</v>
      </c>
      <c r="SE26" s="1">
        <v>1</v>
      </c>
      <c r="SF26" s="1">
        <v>0</v>
      </c>
      <c r="SG26" s="1">
        <v>90</v>
      </c>
      <c r="SH26" s="1">
        <v>60003760</v>
      </c>
      <c r="SI26" s="1">
        <v>32767</v>
      </c>
      <c r="SJ26" s="1">
        <v>0</v>
      </c>
      <c r="SL26" s="1">
        <v>2855377860</v>
      </c>
      <c r="SM26" s="1">
        <v>30311</v>
      </c>
      <c r="SN26" s="1">
        <v>86</v>
      </c>
      <c r="SO26" s="1">
        <v>86</v>
      </c>
      <c r="SP26" s="1">
        <v>3295989.99</v>
      </c>
      <c r="SQ26" s="1">
        <v>1</v>
      </c>
      <c r="SR26" s="1">
        <v>0</v>
      </c>
      <c r="SS26" s="1">
        <v>90</v>
      </c>
      <c r="ST26" s="1">
        <v>60003760</v>
      </c>
      <c r="SU26" s="1">
        <v>32767</v>
      </c>
      <c r="SV26" s="1">
        <v>0</v>
      </c>
      <c r="SX26" s="1">
        <v>2777152384</v>
      </c>
      <c r="SY26" s="1">
        <v>25595</v>
      </c>
      <c r="SZ26" s="1">
        <v>5000</v>
      </c>
      <c r="TA26" s="1">
        <v>5000</v>
      </c>
      <c r="TB26" s="1">
        <v>108599</v>
      </c>
      <c r="TC26" s="1">
        <v>1</v>
      </c>
      <c r="TD26" s="1">
        <v>0</v>
      </c>
      <c r="TE26" s="1">
        <v>90</v>
      </c>
      <c r="TF26" s="1">
        <v>60003760</v>
      </c>
      <c r="TG26" s="1">
        <v>32767</v>
      </c>
      <c r="TH26" s="1">
        <v>6</v>
      </c>
      <c r="TJ26" s="1">
        <v>2848802165</v>
      </c>
      <c r="TK26" s="1">
        <v>25606</v>
      </c>
      <c r="TL26" s="1">
        <v>6061</v>
      </c>
      <c r="TM26" s="1">
        <v>6061</v>
      </c>
      <c r="TN26" s="1">
        <v>30000</v>
      </c>
      <c r="TO26" s="1">
        <v>1</v>
      </c>
      <c r="TP26" s="1">
        <v>0</v>
      </c>
      <c r="TQ26" s="1">
        <v>90</v>
      </c>
      <c r="TR26" s="1">
        <v>60003760</v>
      </c>
      <c r="TS26" s="1">
        <v>32767</v>
      </c>
      <c r="TT26" s="1">
        <v>0</v>
      </c>
      <c r="TV26" s="1">
        <v>2875461591</v>
      </c>
      <c r="TW26" s="1">
        <v>25622</v>
      </c>
      <c r="TX26" s="1">
        <v>4</v>
      </c>
      <c r="TY26" s="1">
        <v>4</v>
      </c>
      <c r="TZ26" s="1">
        <v>15123996.23</v>
      </c>
      <c r="UA26" s="1">
        <v>1</v>
      </c>
      <c r="UB26" s="1">
        <v>0</v>
      </c>
      <c r="UC26" s="1">
        <v>90</v>
      </c>
      <c r="UD26" s="1">
        <v>60003760</v>
      </c>
      <c r="UE26" s="1">
        <v>32767</v>
      </c>
      <c r="UF26" s="1">
        <v>0</v>
      </c>
      <c r="UH26" s="1">
        <v>2866512415</v>
      </c>
      <c r="UI26" s="1">
        <v>16680</v>
      </c>
      <c r="UJ26" s="1">
        <v>1380775</v>
      </c>
      <c r="UK26" s="1">
        <v>1380775</v>
      </c>
      <c r="UL26" s="1">
        <v>736.98</v>
      </c>
      <c r="UM26" s="1">
        <v>1</v>
      </c>
      <c r="UN26" s="1">
        <v>0</v>
      </c>
      <c r="UO26" s="1">
        <v>30</v>
      </c>
      <c r="UP26" s="1">
        <v>60003760</v>
      </c>
      <c r="UQ26" s="1">
        <v>32767</v>
      </c>
      <c r="UR26" s="1">
        <v>6</v>
      </c>
      <c r="UT26" s="1">
        <v>2875608462</v>
      </c>
      <c r="UU26" s="1">
        <v>17317</v>
      </c>
      <c r="UV26" s="1">
        <v>58212</v>
      </c>
      <c r="UW26" s="1">
        <v>58212</v>
      </c>
      <c r="UX26" s="1">
        <v>28979.89</v>
      </c>
      <c r="UY26" s="1">
        <v>1</v>
      </c>
      <c r="UZ26" s="1">
        <v>0</v>
      </c>
      <c r="VA26" s="1">
        <v>90</v>
      </c>
      <c r="VB26" s="1">
        <v>60003760</v>
      </c>
      <c r="VC26" s="1">
        <v>32767</v>
      </c>
      <c r="VD26" s="1">
        <v>0</v>
      </c>
      <c r="VF26" s="1">
        <v>2865593612</v>
      </c>
      <c r="VG26" s="1">
        <v>11725</v>
      </c>
      <c r="VH26" s="1">
        <v>55555</v>
      </c>
      <c r="VI26" s="1">
        <v>55555</v>
      </c>
      <c r="VJ26" s="1">
        <v>47214.07</v>
      </c>
      <c r="VK26" s="1">
        <v>1</v>
      </c>
      <c r="VL26" s="1">
        <v>1</v>
      </c>
      <c r="VM26" s="1">
        <v>90</v>
      </c>
      <c r="VN26" s="1">
        <v>60003760</v>
      </c>
      <c r="VO26" s="1">
        <v>-1</v>
      </c>
      <c r="VP26" s="1">
        <v>0</v>
      </c>
    </row>
    <row r="27" spans="2:588" x14ac:dyDescent="0.25">
      <c r="B27" s="1">
        <v>2867839861</v>
      </c>
      <c r="C27" s="1">
        <v>34</v>
      </c>
      <c r="D27" s="1">
        <v>132044</v>
      </c>
      <c r="E27" s="1">
        <v>132044</v>
      </c>
      <c r="F27" s="1">
        <v>5.9</v>
      </c>
      <c r="G27" s="1">
        <v>1</v>
      </c>
      <c r="H27" s="1">
        <v>0</v>
      </c>
      <c r="I27" s="1">
        <v>30</v>
      </c>
      <c r="J27" s="1">
        <v>60000298</v>
      </c>
      <c r="K27" s="1">
        <v>32767</v>
      </c>
      <c r="L27" s="1">
        <v>3</v>
      </c>
      <c r="N27" s="1">
        <v>2778988127</v>
      </c>
      <c r="O27" s="1">
        <v>35</v>
      </c>
      <c r="P27" s="1">
        <v>36505</v>
      </c>
      <c r="Q27" s="1">
        <v>4086</v>
      </c>
      <c r="R27" s="1">
        <v>25</v>
      </c>
      <c r="S27" s="1">
        <v>1</v>
      </c>
      <c r="T27" s="1">
        <v>0</v>
      </c>
      <c r="U27" s="1">
        <v>90</v>
      </c>
      <c r="V27" s="1">
        <v>60014659</v>
      </c>
      <c r="W27" s="1">
        <v>32767</v>
      </c>
      <c r="X27" s="1">
        <v>3</v>
      </c>
      <c r="Z27" s="1">
        <v>2857662845</v>
      </c>
      <c r="AA27" s="1">
        <v>36</v>
      </c>
      <c r="AB27" s="1">
        <v>94721</v>
      </c>
      <c r="AC27" s="1">
        <v>28619</v>
      </c>
      <c r="AD27" s="16">
        <v>99.99</v>
      </c>
      <c r="AE27" s="1">
        <v>1</v>
      </c>
      <c r="AF27" s="1">
        <v>0</v>
      </c>
      <c r="AG27" s="1">
        <v>90</v>
      </c>
      <c r="AH27" s="1">
        <v>60014659</v>
      </c>
      <c r="AI27" s="1">
        <v>32767</v>
      </c>
      <c r="AJ27" s="1">
        <v>14</v>
      </c>
      <c r="AL27" s="1">
        <v>2763785212</v>
      </c>
      <c r="AM27" s="1">
        <v>37</v>
      </c>
      <c r="AN27" s="1">
        <v>1179</v>
      </c>
      <c r="AO27" s="1">
        <v>1179</v>
      </c>
      <c r="AP27" s="16">
        <v>160</v>
      </c>
      <c r="AQ27" s="1">
        <v>1</v>
      </c>
      <c r="AR27" s="1">
        <v>0</v>
      </c>
      <c r="AS27" s="1">
        <v>90</v>
      </c>
      <c r="AT27" s="1">
        <v>60003760</v>
      </c>
      <c r="AU27" s="1">
        <v>32767</v>
      </c>
      <c r="AV27" s="1">
        <v>9</v>
      </c>
      <c r="AX27" s="1">
        <v>2505843720</v>
      </c>
      <c r="AY27" s="1">
        <v>38</v>
      </c>
      <c r="AZ27" s="1">
        <v>1250000</v>
      </c>
      <c r="BA27" s="1">
        <v>1250000</v>
      </c>
      <c r="BB27" s="1">
        <v>1227.46</v>
      </c>
      <c r="BC27" s="1">
        <v>1</v>
      </c>
      <c r="BD27" s="1">
        <v>0</v>
      </c>
      <c r="BE27" s="1">
        <v>90</v>
      </c>
      <c r="BF27" s="1">
        <v>60003760</v>
      </c>
      <c r="BG27" s="1">
        <v>32767</v>
      </c>
      <c r="BH27" s="1">
        <v>5</v>
      </c>
      <c r="BJ27" s="1">
        <v>2846291518</v>
      </c>
      <c r="BK27" s="1">
        <v>39</v>
      </c>
      <c r="BL27" s="1">
        <v>657987</v>
      </c>
      <c r="BM27" s="1">
        <v>657987</v>
      </c>
      <c r="BN27" s="1">
        <v>1600</v>
      </c>
      <c r="BO27" s="1">
        <v>1</v>
      </c>
      <c r="BP27" s="1">
        <v>0</v>
      </c>
      <c r="BQ27" s="1">
        <v>90</v>
      </c>
      <c r="BR27" s="1">
        <v>60003760</v>
      </c>
      <c r="BS27" s="1">
        <v>32767</v>
      </c>
      <c r="BT27" s="1">
        <v>5</v>
      </c>
      <c r="BV27" s="1">
        <v>2382513728</v>
      </c>
      <c r="BW27" s="1">
        <v>40</v>
      </c>
      <c r="BX27" s="1">
        <v>524951</v>
      </c>
      <c r="BY27" s="1">
        <v>524951</v>
      </c>
      <c r="BZ27" s="1">
        <v>2907.89</v>
      </c>
      <c r="CA27" s="1">
        <v>1</v>
      </c>
      <c r="CB27" s="1">
        <v>0</v>
      </c>
      <c r="CC27" s="1">
        <v>90</v>
      </c>
      <c r="CD27" s="1">
        <v>60003760</v>
      </c>
      <c r="CE27" s="1">
        <v>32767</v>
      </c>
      <c r="CF27" s="1">
        <v>13</v>
      </c>
      <c r="CH27" s="1">
        <v>2343036360</v>
      </c>
      <c r="CI27" s="1">
        <v>29668</v>
      </c>
      <c r="CJ27" s="1">
        <v>1</v>
      </c>
      <c r="CK27" s="1">
        <v>1</v>
      </c>
      <c r="CL27" s="1">
        <v>3425000005</v>
      </c>
      <c r="CM27" s="1">
        <v>1</v>
      </c>
      <c r="CN27" s="1">
        <v>0</v>
      </c>
      <c r="CO27" s="1">
        <v>90</v>
      </c>
      <c r="CP27" s="1">
        <v>60003760</v>
      </c>
      <c r="CQ27" s="1">
        <v>32767</v>
      </c>
      <c r="CR27" s="1">
        <v>0</v>
      </c>
      <c r="CT27" s="1">
        <v>2390774310</v>
      </c>
      <c r="CU27" s="1">
        <v>16649</v>
      </c>
      <c r="CV27" s="1">
        <v>10000</v>
      </c>
      <c r="CW27" s="1">
        <v>10000</v>
      </c>
      <c r="CX27" s="1">
        <v>110997.9</v>
      </c>
      <c r="CY27" s="1">
        <v>1</v>
      </c>
      <c r="CZ27" s="1">
        <v>0</v>
      </c>
      <c r="DA27" s="1">
        <v>90</v>
      </c>
      <c r="DB27" s="1">
        <v>60003760</v>
      </c>
      <c r="DC27" s="1">
        <v>32767</v>
      </c>
      <c r="DD27" s="1">
        <v>8</v>
      </c>
      <c r="DF27" s="1">
        <v>2374414115</v>
      </c>
      <c r="DG27" s="1">
        <v>17887</v>
      </c>
      <c r="DH27" s="1">
        <v>156517</v>
      </c>
      <c r="DI27" s="1">
        <v>156517</v>
      </c>
      <c r="DJ27" s="1">
        <v>1644.8</v>
      </c>
      <c r="DK27" s="1">
        <v>1</v>
      </c>
      <c r="DL27" s="1">
        <v>0</v>
      </c>
      <c r="DM27" s="1">
        <v>90</v>
      </c>
      <c r="DN27" s="1">
        <v>60003760</v>
      </c>
      <c r="DO27" s="1">
        <v>32767</v>
      </c>
      <c r="DP27" s="1">
        <v>0</v>
      </c>
      <c r="DR27" s="1">
        <v>2777898736</v>
      </c>
      <c r="DS27" s="1">
        <v>17888</v>
      </c>
      <c r="DT27" s="1">
        <v>23556</v>
      </c>
      <c r="DU27" s="1">
        <v>23556</v>
      </c>
      <c r="DV27" s="1">
        <v>410</v>
      </c>
      <c r="DW27" s="1">
        <v>1</v>
      </c>
      <c r="DX27" s="1">
        <v>0</v>
      </c>
      <c r="DY27" s="1">
        <v>90</v>
      </c>
      <c r="DZ27" s="1">
        <v>60004234</v>
      </c>
      <c r="EA27" s="1">
        <v>32767</v>
      </c>
      <c r="EB27" s="1">
        <v>9</v>
      </c>
      <c r="ED27" s="1">
        <v>2851665089</v>
      </c>
      <c r="EE27" s="1">
        <v>16273</v>
      </c>
      <c r="EF27" s="1">
        <v>400000</v>
      </c>
      <c r="EG27" s="1">
        <v>328636</v>
      </c>
      <c r="EH27" s="1">
        <v>388.19</v>
      </c>
      <c r="EI27" s="1">
        <v>1</v>
      </c>
      <c r="EJ27" s="1">
        <v>0</v>
      </c>
      <c r="EK27" s="1">
        <v>90</v>
      </c>
      <c r="EL27" s="1">
        <v>60003760</v>
      </c>
      <c r="EM27" s="1">
        <v>32767</v>
      </c>
      <c r="EN27" s="1">
        <v>6</v>
      </c>
      <c r="EP27" s="1">
        <v>2712620639</v>
      </c>
      <c r="EQ27" s="1">
        <v>17889</v>
      </c>
      <c r="ER27" s="1">
        <v>230000</v>
      </c>
      <c r="ES27" s="1">
        <v>230000</v>
      </c>
      <c r="ET27" s="1">
        <v>473.45</v>
      </c>
      <c r="EU27" s="1">
        <v>1</v>
      </c>
      <c r="EV27" s="1">
        <v>0</v>
      </c>
      <c r="EW27" s="1">
        <v>90</v>
      </c>
      <c r="EX27" s="1">
        <v>60003760</v>
      </c>
      <c r="EY27" s="1">
        <v>32767</v>
      </c>
      <c r="EZ27" s="1">
        <v>7</v>
      </c>
      <c r="FB27" s="1">
        <v>2875446721</v>
      </c>
      <c r="FC27" s="1">
        <v>30259</v>
      </c>
      <c r="FD27" s="1">
        <v>100</v>
      </c>
      <c r="FE27" s="1">
        <v>20</v>
      </c>
      <c r="FF27" s="1">
        <v>5842450</v>
      </c>
      <c r="FG27" s="1">
        <v>1</v>
      </c>
      <c r="FH27" s="1">
        <v>0</v>
      </c>
      <c r="FI27" s="1">
        <v>90</v>
      </c>
      <c r="FJ27" s="1">
        <v>60003760</v>
      </c>
      <c r="FK27" s="1">
        <v>32767</v>
      </c>
      <c r="FL27" s="1">
        <v>0</v>
      </c>
      <c r="FN27" s="1">
        <v>2867593637</v>
      </c>
      <c r="FO27" s="1">
        <v>25617</v>
      </c>
      <c r="FP27" s="1">
        <v>83</v>
      </c>
      <c r="FQ27" s="1">
        <v>80</v>
      </c>
      <c r="FR27" s="1">
        <v>5157886.99</v>
      </c>
      <c r="FS27" s="1">
        <v>1</v>
      </c>
      <c r="FT27" s="1">
        <v>0</v>
      </c>
      <c r="FU27" s="1">
        <v>90</v>
      </c>
      <c r="FV27" s="1">
        <v>60003760</v>
      </c>
      <c r="FW27" s="1">
        <v>32767</v>
      </c>
      <c r="FX27" s="1">
        <v>0</v>
      </c>
      <c r="FZ27" s="1">
        <v>2859613663</v>
      </c>
      <c r="GA27" s="1">
        <v>44</v>
      </c>
      <c r="GB27" s="1">
        <v>40345</v>
      </c>
      <c r="GC27" s="1">
        <v>40345</v>
      </c>
      <c r="GD27" s="1">
        <v>13494.9</v>
      </c>
      <c r="GE27" s="1">
        <v>1</v>
      </c>
      <c r="GF27" s="1">
        <v>0</v>
      </c>
      <c r="GG27" s="1">
        <v>90</v>
      </c>
      <c r="GH27" s="1">
        <v>60003760</v>
      </c>
      <c r="GI27" s="1">
        <v>32767</v>
      </c>
      <c r="GJ27" s="1">
        <v>4</v>
      </c>
      <c r="GL27" s="1">
        <v>2402578721</v>
      </c>
      <c r="GM27" s="1">
        <v>16681</v>
      </c>
      <c r="GN27" s="1">
        <v>209000</v>
      </c>
      <c r="GO27" s="1">
        <v>209000</v>
      </c>
      <c r="GP27" s="1">
        <v>6409.47</v>
      </c>
      <c r="GQ27" s="1">
        <v>1</v>
      </c>
      <c r="GR27" s="1">
        <v>0</v>
      </c>
      <c r="GS27" s="1">
        <v>90</v>
      </c>
      <c r="GT27" s="1">
        <v>60003760</v>
      </c>
      <c r="GU27" s="1">
        <v>32767</v>
      </c>
      <c r="GV27" s="1">
        <v>0</v>
      </c>
      <c r="GX27" s="1">
        <v>2859073936</v>
      </c>
      <c r="GY27" s="1">
        <v>16683</v>
      </c>
      <c r="GZ27" s="1">
        <v>560800</v>
      </c>
      <c r="HA27" s="1">
        <v>122336</v>
      </c>
      <c r="HB27" s="1">
        <v>8611.93</v>
      </c>
      <c r="HC27" s="1">
        <v>1</v>
      </c>
      <c r="HD27" s="1">
        <v>0</v>
      </c>
      <c r="HE27" s="1">
        <v>90</v>
      </c>
      <c r="HF27" s="1">
        <v>60003760</v>
      </c>
      <c r="HG27" s="1">
        <v>32767</v>
      </c>
      <c r="HH27" s="1">
        <v>0</v>
      </c>
      <c r="HJ27" s="1">
        <v>2781393507</v>
      </c>
      <c r="HK27" s="1">
        <v>11724</v>
      </c>
      <c r="HL27" s="1">
        <v>10000</v>
      </c>
      <c r="HM27" s="1">
        <v>9984</v>
      </c>
      <c r="HN27" s="1">
        <v>12000</v>
      </c>
      <c r="HO27" s="1">
        <v>1</v>
      </c>
      <c r="HP27" s="1">
        <v>1</v>
      </c>
      <c r="HQ27" s="1">
        <v>90</v>
      </c>
      <c r="HR27" s="1">
        <v>60003760</v>
      </c>
      <c r="HS27" s="1">
        <v>3</v>
      </c>
      <c r="HT27" s="1">
        <v>0</v>
      </c>
      <c r="HV27" s="1">
        <v>2794291224</v>
      </c>
      <c r="HW27" s="1">
        <v>16274</v>
      </c>
      <c r="HX27" s="1">
        <v>30900</v>
      </c>
      <c r="HY27" s="1">
        <v>30900</v>
      </c>
      <c r="HZ27" s="1">
        <v>400</v>
      </c>
      <c r="IA27" s="1">
        <v>1</v>
      </c>
      <c r="IB27" s="1">
        <v>0</v>
      </c>
      <c r="IC27" s="1">
        <v>90</v>
      </c>
      <c r="ID27" s="1">
        <v>60003760</v>
      </c>
      <c r="IE27" s="1">
        <v>32767</v>
      </c>
      <c r="IF27" s="1">
        <v>2</v>
      </c>
      <c r="IH27" s="1">
        <v>2760972926</v>
      </c>
      <c r="II27" s="1">
        <v>10213</v>
      </c>
      <c r="IJ27" s="1">
        <v>1</v>
      </c>
      <c r="IK27" s="1">
        <v>1</v>
      </c>
      <c r="IL27" s="1">
        <v>90000000.010000005</v>
      </c>
      <c r="IM27" s="1">
        <v>1</v>
      </c>
      <c r="IN27" s="1">
        <v>1</v>
      </c>
      <c r="IO27" s="1">
        <v>90</v>
      </c>
      <c r="IP27" s="1">
        <v>60003760</v>
      </c>
      <c r="IQ27" s="1">
        <v>-1</v>
      </c>
      <c r="IR27" s="1">
        <v>0</v>
      </c>
      <c r="IT27" s="1">
        <v>2790204185</v>
      </c>
      <c r="IU27" s="1">
        <v>16679</v>
      </c>
      <c r="IV27" s="1">
        <v>5000000</v>
      </c>
      <c r="IW27" s="1">
        <v>5000000</v>
      </c>
      <c r="IX27" s="1">
        <v>1971</v>
      </c>
      <c r="IY27" s="1">
        <v>1</v>
      </c>
      <c r="IZ27" s="1">
        <v>0</v>
      </c>
      <c r="JA27" s="1">
        <v>90</v>
      </c>
      <c r="JB27" s="1">
        <v>60003760</v>
      </c>
      <c r="JC27" s="1">
        <v>32767</v>
      </c>
      <c r="JD27" s="1">
        <v>0</v>
      </c>
      <c r="JF27" s="1">
        <v>2869691962</v>
      </c>
      <c r="JG27" s="1">
        <v>16272</v>
      </c>
      <c r="JH27" s="1">
        <v>358750</v>
      </c>
      <c r="JI27" s="1">
        <v>358750</v>
      </c>
      <c r="JJ27" s="1">
        <v>80.97</v>
      </c>
      <c r="JK27" s="1">
        <v>1</v>
      </c>
      <c r="JL27" s="1">
        <v>0</v>
      </c>
      <c r="JM27" s="1">
        <v>90</v>
      </c>
      <c r="JN27" s="1">
        <v>60003760</v>
      </c>
      <c r="JO27" s="1">
        <v>32767</v>
      </c>
      <c r="JP27" s="1">
        <v>6</v>
      </c>
      <c r="JR27" s="1">
        <v>2860562711</v>
      </c>
      <c r="JS27" s="1">
        <v>10226</v>
      </c>
      <c r="JT27" s="1">
        <v>1</v>
      </c>
      <c r="JU27" s="1">
        <v>1</v>
      </c>
      <c r="JV27" s="1">
        <v>106000011.2</v>
      </c>
      <c r="JW27" s="1">
        <v>1</v>
      </c>
      <c r="JX27" s="1">
        <v>1</v>
      </c>
      <c r="JY27" s="1">
        <v>90</v>
      </c>
      <c r="JZ27" s="1">
        <v>60003337</v>
      </c>
      <c r="KA27" s="1">
        <v>10</v>
      </c>
      <c r="KB27" s="1">
        <v>0</v>
      </c>
      <c r="KD27" s="1">
        <v>2849275993</v>
      </c>
      <c r="KE27" s="1">
        <v>25605</v>
      </c>
      <c r="KF27" s="1">
        <v>210</v>
      </c>
      <c r="KG27" s="1">
        <v>210</v>
      </c>
      <c r="KH27" s="1">
        <v>120000</v>
      </c>
      <c r="KI27" s="1">
        <v>1</v>
      </c>
      <c r="KJ27" s="1">
        <v>0</v>
      </c>
      <c r="KK27" s="1">
        <v>90</v>
      </c>
      <c r="KL27" s="1">
        <v>60003760</v>
      </c>
      <c r="KM27" s="1">
        <v>32767</v>
      </c>
      <c r="KN27" s="1">
        <v>6</v>
      </c>
      <c r="KP27" s="1">
        <v>2797136127</v>
      </c>
      <c r="KQ27" s="1">
        <v>25624</v>
      </c>
      <c r="KR27" s="1">
        <v>230</v>
      </c>
      <c r="KS27" s="1">
        <v>181</v>
      </c>
      <c r="KT27" s="1">
        <v>21000000</v>
      </c>
      <c r="KU27" s="1">
        <v>1</v>
      </c>
      <c r="KV27" s="1">
        <v>0</v>
      </c>
      <c r="KW27" s="1">
        <v>90</v>
      </c>
      <c r="KX27" s="1">
        <v>60003760</v>
      </c>
      <c r="KY27" s="1">
        <v>32767</v>
      </c>
      <c r="KZ27" s="1">
        <v>1</v>
      </c>
      <c r="LB27" s="1">
        <v>2836421995</v>
      </c>
      <c r="LC27" s="1">
        <v>9832</v>
      </c>
      <c r="LD27" s="1">
        <v>7680</v>
      </c>
      <c r="LE27" s="1">
        <v>7280</v>
      </c>
      <c r="LF27" s="1">
        <v>9979.85</v>
      </c>
      <c r="LG27" s="1">
        <v>1</v>
      </c>
      <c r="LH27" s="1">
        <v>0</v>
      </c>
      <c r="LI27" s="1">
        <v>90</v>
      </c>
      <c r="LJ27" s="1">
        <v>60003760</v>
      </c>
      <c r="LK27" s="1">
        <v>32767</v>
      </c>
      <c r="LL27" s="1">
        <v>0</v>
      </c>
      <c r="LN27" s="1">
        <v>2874325041</v>
      </c>
      <c r="LO27" s="1">
        <v>10209</v>
      </c>
      <c r="LP27" s="1">
        <v>2</v>
      </c>
      <c r="LQ27" s="1">
        <v>2</v>
      </c>
      <c r="LR27" s="1">
        <v>121000000</v>
      </c>
      <c r="LS27" s="1">
        <v>1</v>
      </c>
      <c r="LT27" s="1">
        <v>0</v>
      </c>
      <c r="LU27" s="1">
        <v>90</v>
      </c>
      <c r="LV27" s="1">
        <v>60003760</v>
      </c>
      <c r="LW27" s="1">
        <v>32767</v>
      </c>
      <c r="LX27" s="1">
        <v>1</v>
      </c>
      <c r="LZ27" s="1">
        <v>2763934924</v>
      </c>
      <c r="MA27" s="1">
        <v>10217</v>
      </c>
      <c r="MB27" s="1">
        <v>1</v>
      </c>
      <c r="MC27" s="1">
        <v>1</v>
      </c>
      <c r="MD27" s="1">
        <v>98130000</v>
      </c>
      <c r="ME27" s="1">
        <v>1</v>
      </c>
      <c r="MF27" s="1">
        <v>1</v>
      </c>
      <c r="MG27" s="1">
        <v>90</v>
      </c>
      <c r="MH27" s="1">
        <v>60003760</v>
      </c>
      <c r="MI27" s="1">
        <v>20</v>
      </c>
      <c r="MJ27" s="1">
        <v>0</v>
      </c>
      <c r="ML27" s="1">
        <v>2866684910</v>
      </c>
      <c r="MM27" s="1">
        <v>25625</v>
      </c>
      <c r="MN27" s="1">
        <v>70</v>
      </c>
      <c r="MO27" s="1">
        <v>70</v>
      </c>
      <c r="MP27" s="1">
        <v>4938000</v>
      </c>
      <c r="MQ27" s="1">
        <v>1</v>
      </c>
      <c r="MR27" s="1">
        <v>0</v>
      </c>
      <c r="MS27" s="1">
        <v>90</v>
      </c>
      <c r="MT27" s="1">
        <v>60003760</v>
      </c>
      <c r="MU27" s="1">
        <v>32767</v>
      </c>
      <c r="MV27" s="1">
        <v>0</v>
      </c>
      <c r="MX27" s="1">
        <v>2869081423</v>
      </c>
      <c r="MY27" s="1">
        <v>16672</v>
      </c>
      <c r="MZ27" s="1">
        <v>5000000</v>
      </c>
      <c r="NA27" s="1">
        <v>5000000</v>
      </c>
      <c r="NB27" s="1">
        <v>160</v>
      </c>
      <c r="NC27" s="1">
        <v>1</v>
      </c>
      <c r="ND27" s="1">
        <v>0</v>
      </c>
      <c r="NE27" s="1">
        <v>90</v>
      </c>
      <c r="NF27" s="1">
        <v>60003760</v>
      </c>
      <c r="NG27" s="1">
        <v>32767</v>
      </c>
      <c r="NH27" s="1">
        <v>0</v>
      </c>
      <c r="NJ27" s="1">
        <v>2833517279</v>
      </c>
      <c r="NK27" s="1">
        <v>16673</v>
      </c>
      <c r="NL27" s="1">
        <v>2772085</v>
      </c>
      <c r="NM27" s="1">
        <v>333685</v>
      </c>
      <c r="NN27" s="1">
        <v>116.99</v>
      </c>
      <c r="NO27" s="1">
        <v>1</v>
      </c>
      <c r="NP27" s="1">
        <v>0</v>
      </c>
      <c r="NQ27" s="1">
        <v>90</v>
      </c>
      <c r="NR27" s="1">
        <v>60003760</v>
      </c>
      <c r="NS27" s="1">
        <v>32767</v>
      </c>
      <c r="NT27" s="1">
        <v>6</v>
      </c>
      <c r="NV27" s="1">
        <v>2833157653</v>
      </c>
      <c r="NW27" s="1">
        <v>3689</v>
      </c>
      <c r="NX27" s="1">
        <v>8583</v>
      </c>
      <c r="NY27" s="1">
        <v>8583</v>
      </c>
      <c r="NZ27" s="1">
        <v>11899.92</v>
      </c>
      <c r="OA27" s="1">
        <v>1</v>
      </c>
      <c r="OB27" s="1">
        <v>0</v>
      </c>
      <c r="OC27" s="1">
        <v>90</v>
      </c>
      <c r="OD27" s="1">
        <v>60003760</v>
      </c>
      <c r="OE27" s="1">
        <v>32767</v>
      </c>
      <c r="OF27" s="1">
        <v>0</v>
      </c>
      <c r="OH27" s="1">
        <v>2821804912</v>
      </c>
      <c r="OI27" s="1">
        <v>25598</v>
      </c>
      <c r="OJ27" s="1">
        <v>30377</v>
      </c>
      <c r="OK27" s="1">
        <v>17642</v>
      </c>
      <c r="OL27" s="1">
        <v>164997.89000000001</v>
      </c>
      <c r="OM27" s="1">
        <v>1</v>
      </c>
      <c r="ON27" s="1">
        <v>0</v>
      </c>
      <c r="OO27" s="1">
        <v>90</v>
      </c>
      <c r="OP27" s="1">
        <v>60003760</v>
      </c>
      <c r="OQ27" s="1">
        <v>32767</v>
      </c>
      <c r="OR27" s="1">
        <v>0</v>
      </c>
      <c r="OT27" s="1">
        <v>2772543053</v>
      </c>
      <c r="OU27" s="1">
        <v>25600</v>
      </c>
      <c r="OV27" s="1">
        <v>760</v>
      </c>
      <c r="OW27" s="1">
        <v>760</v>
      </c>
      <c r="OX27" s="1">
        <v>35598.93</v>
      </c>
      <c r="OY27" s="1">
        <v>1</v>
      </c>
      <c r="OZ27" s="1">
        <v>0</v>
      </c>
      <c r="PA27" s="1">
        <v>90</v>
      </c>
      <c r="PB27" s="1">
        <v>60003760</v>
      </c>
      <c r="PC27" s="1">
        <v>32767</v>
      </c>
      <c r="PD27" s="1">
        <v>0</v>
      </c>
      <c r="PF27" s="1">
        <v>2855291118</v>
      </c>
      <c r="PG27" s="1">
        <v>16670</v>
      </c>
      <c r="PH27" s="1">
        <v>5000000</v>
      </c>
      <c r="PI27" s="1">
        <v>5000000</v>
      </c>
      <c r="PJ27" s="1">
        <v>133</v>
      </c>
      <c r="PK27" s="1">
        <v>1</v>
      </c>
      <c r="PL27" s="1">
        <v>0</v>
      </c>
      <c r="PM27" s="1">
        <v>90</v>
      </c>
      <c r="PN27" s="1">
        <v>60003760</v>
      </c>
      <c r="PO27" s="1">
        <v>32767</v>
      </c>
      <c r="PP27" s="1">
        <v>7</v>
      </c>
      <c r="PR27" s="1">
        <v>2875975962</v>
      </c>
      <c r="PS27" s="1">
        <v>10222</v>
      </c>
      <c r="PT27" s="1">
        <v>37</v>
      </c>
      <c r="PU27" s="1">
        <v>37</v>
      </c>
      <c r="PV27" s="1">
        <v>120888502</v>
      </c>
      <c r="PW27" s="1">
        <v>1</v>
      </c>
      <c r="PX27" s="1">
        <v>0</v>
      </c>
      <c r="PY27" s="1">
        <v>30</v>
      </c>
      <c r="PZ27" s="1">
        <v>60003760</v>
      </c>
      <c r="QA27" s="1">
        <v>32767</v>
      </c>
      <c r="QB27" s="1">
        <v>0</v>
      </c>
      <c r="QD27" s="1">
        <v>2869722702</v>
      </c>
      <c r="QE27" s="1">
        <v>9830</v>
      </c>
      <c r="QF27" s="1">
        <v>339</v>
      </c>
      <c r="QG27" s="1">
        <v>339</v>
      </c>
      <c r="QH27" s="1">
        <v>9002.16</v>
      </c>
      <c r="QI27" s="1">
        <v>1</v>
      </c>
      <c r="QJ27" s="1">
        <v>0</v>
      </c>
      <c r="QK27" s="1">
        <v>90</v>
      </c>
      <c r="QL27" s="1">
        <v>60002953</v>
      </c>
      <c r="QM27" s="1">
        <v>32767</v>
      </c>
      <c r="QN27" s="1">
        <v>0</v>
      </c>
      <c r="QP27" s="1">
        <v>2747843844</v>
      </c>
      <c r="QQ27" s="1">
        <v>16671</v>
      </c>
      <c r="QR27" s="1">
        <v>7120000</v>
      </c>
      <c r="QS27" s="1">
        <v>5934640</v>
      </c>
      <c r="QT27" s="1">
        <v>150</v>
      </c>
      <c r="QU27" s="1">
        <v>1</v>
      </c>
      <c r="QV27" s="1">
        <v>0</v>
      </c>
      <c r="QW27" s="1">
        <v>90</v>
      </c>
      <c r="QX27" s="1">
        <v>60003760</v>
      </c>
      <c r="QY27" s="1">
        <v>32767</v>
      </c>
      <c r="QZ27" s="1">
        <v>7</v>
      </c>
      <c r="RB27" s="1">
        <v>2868677155</v>
      </c>
      <c r="RC27" s="1">
        <v>16682</v>
      </c>
      <c r="RD27" s="1">
        <v>59750</v>
      </c>
      <c r="RE27" s="1">
        <v>39930</v>
      </c>
      <c r="RF27" s="1">
        <v>3352.84</v>
      </c>
      <c r="RG27" s="1">
        <v>1</v>
      </c>
      <c r="RH27" s="1">
        <v>0</v>
      </c>
      <c r="RI27" s="1">
        <v>90</v>
      </c>
      <c r="RJ27" s="1">
        <v>60003760</v>
      </c>
      <c r="RK27" s="1">
        <v>32767</v>
      </c>
      <c r="RL27" s="1">
        <v>8</v>
      </c>
      <c r="RN27" s="1">
        <v>2875626502</v>
      </c>
      <c r="RO27" s="1">
        <v>16678</v>
      </c>
      <c r="RP27" s="1">
        <v>1230000</v>
      </c>
      <c r="RQ27" s="1">
        <v>1230000</v>
      </c>
      <c r="RR27" s="1">
        <v>297.58</v>
      </c>
      <c r="RS27" s="1">
        <v>1</v>
      </c>
      <c r="RT27" s="1">
        <v>0</v>
      </c>
      <c r="RU27" s="1">
        <v>90</v>
      </c>
      <c r="RV27" s="1">
        <v>60003760</v>
      </c>
      <c r="RW27" s="1">
        <v>32767</v>
      </c>
      <c r="RX27" s="1">
        <v>6</v>
      </c>
      <c r="RZ27" s="1">
        <v>2872188143</v>
      </c>
      <c r="SA27" s="1">
        <v>30310</v>
      </c>
      <c r="SB27" s="1">
        <v>320</v>
      </c>
      <c r="SC27" s="1">
        <v>44</v>
      </c>
      <c r="SD27" s="1">
        <v>1289972.79</v>
      </c>
      <c r="SE27" s="1">
        <v>1</v>
      </c>
      <c r="SF27" s="1">
        <v>0</v>
      </c>
      <c r="SG27" s="1">
        <v>30</v>
      </c>
      <c r="SH27" s="1">
        <v>60003760</v>
      </c>
      <c r="SI27" s="1">
        <v>32767</v>
      </c>
      <c r="SJ27" s="1">
        <v>0</v>
      </c>
      <c r="SL27" s="1">
        <v>2855341142</v>
      </c>
      <c r="SM27" s="1">
        <v>30311</v>
      </c>
      <c r="SN27" s="1">
        <v>561</v>
      </c>
      <c r="SO27" s="1">
        <v>561</v>
      </c>
      <c r="SP27" s="1">
        <v>3800000</v>
      </c>
      <c r="SQ27" s="1">
        <v>1</v>
      </c>
      <c r="SR27" s="1">
        <v>0</v>
      </c>
      <c r="SS27" s="1">
        <v>90</v>
      </c>
      <c r="ST27" s="1">
        <v>60003760</v>
      </c>
      <c r="SU27" s="1">
        <v>32767</v>
      </c>
      <c r="SV27" s="1">
        <v>0</v>
      </c>
      <c r="SX27" s="1">
        <v>2779883433</v>
      </c>
      <c r="SY27" s="1">
        <v>25595</v>
      </c>
      <c r="SZ27" s="1">
        <v>152</v>
      </c>
      <c r="TA27" s="1">
        <v>152</v>
      </c>
      <c r="TB27" s="1">
        <v>127688.98</v>
      </c>
      <c r="TC27" s="1">
        <v>1</v>
      </c>
      <c r="TD27" s="1">
        <v>0</v>
      </c>
      <c r="TE27" s="1">
        <v>90</v>
      </c>
      <c r="TF27" s="1">
        <v>60003760</v>
      </c>
      <c r="TG27" s="1">
        <v>32767</v>
      </c>
      <c r="TH27" s="1">
        <v>6</v>
      </c>
      <c r="TJ27" s="1">
        <v>2848923330</v>
      </c>
      <c r="TK27" s="1">
        <v>25606</v>
      </c>
      <c r="TL27" s="1">
        <v>15649</v>
      </c>
      <c r="TM27" s="1">
        <v>15649</v>
      </c>
      <c r="TN27" s="1">
        <v>29327.63</v>
      </c>
      <c r="TO27" s="1">
        <v>1</v>
      </c>
      <c r="TP27" s="1">
        <v>0</v>
      </c>
      <c r="TQ27" s="1">
        <v>90</v>
      </c>
      <c r="TR27" s="1">
        <v>60003760</v>
      </c>
      <c r="TS27" s="1">
        <v>32767</v>
      </c>
      <c r="TT27" s="1">
        <v>0</v>
      </c>
      <c r="TV27" s="1">
        <v>2875612524</v>
      </c>
      <c r="TW27" s="1">
        <v>25622</v>
      </c>
      <c r="TX27" s="1">
        <v>4</v>
      </c>
      <c r="TY27" s="1">
        <v>4</v>
      </c>
      <c r="TZ27" s="1">
        <v>15223996.199999999</v>
      </c>
      <c r="UA27" s="1">
        <v>1</v>
      </c>
      <c r="UB27" s="1">
        <v>0</v>
      </c>
      <c r="UC27" s="1">
        <v>90</v>
      </c>
      <c r="UD27" s="1">
        <v>60003760</v>
      </c>
      <c r="UE27" s="1">
        <v>32767</v>
      </c>
      <c r="UF27" s="1">
        <v>0</v>
      </c>
      <c r="UH27" s="1">
        <v>2866004137</v>
      </c>
      <c r="UI27" s="1">
        <v>16680</v>
      </c>
      <c r="UJ27" s="1">
        <v>963600</v>
      </c>
      <c r="UK27" s="1">
        <v>963600</v>
      </c>
      <c r="UL27" s="1">
        <v>737.49</v>
      </c>
      <c r="UM27" s="1">
        <v>1</v>
      </c>
      <c r="UN27" s="1">
        <v>0</v>
      </c>
      <c r="UO27" s="1">
        <v>90</v>
      </c>
      <c r="UP27" s="1">
        <v>60003760</v>
      </c>
      <c r="UQ27" s="1">
        <v>32767</v>
      </c>
      <c r="UR27" s="1">
        <v>6</v>
      </c>
      <c r="UT27" s="1">
        <v>2877797663</v>
      </c>
      <c r="UU27" s="1">
        <v>17317</v>
      </c>
      <c r="UV27" s="1">
        <v>25000</v>
      </c>
      <c r="UW27" s="1">
        <v>20043</v>
      </c>
      <c r="UX27" s="1">
        <v>29979.89</v>
      </c>
      <c r="UY27" s="1">
        <v>1</v>
      </c>
      <c r="UZ27" s="1">
        <v>0</v>
      </c>
      <c r="VA27" s="1">
        <v>90</v>
      </c>
      <c r="VB27" s="1">
        <v>60003760</v>
      </c>
      <c r="VC27" s="1">
        <v>32767</v>
      </c>
      <c r="VD27" s="1">
        <v>0</v>
      </c>
      <c r="VF27" s="1">
        <v>2870980459</v>
      </c>
      <c r="VG27" s="1">
        <v>11725</v>
      </c>
      <c r="VH27" s="1">
        <v>50000</v>
      </c>
      <c r="VI27" s="1">
        <v>17810</v>
      </c>
      <c r="VJ27" s="1">
        <v>50700.43</v>
      </c>
      <c r="VK27" s="1">
        <v>1</v>
      </c>
      <c r="VL27" s="1">
        <v>1</v>
      </c>
      <c r="VM27" s="1">
        <v>90</v>
      </c>
      <c r="VN27" s="1">
        <v>60003760</v>
      </c>
      <c r="VO27" s="1">
        <v>-1</v>
      </c>
      <c r="VP27" s="1">
        <v>0</v>
      </c>
    </row>
    <row r="28" spans="2:588" x14ac:dyDescent="0.25">
      <c r="B28" s="1">
        <v>2877266273</v>
      </c>
      <c r="C28" s="1">
        <v>34</v>
      </c>
      <c r="D28" s="1">
        <v>684782</v>
      </c>
      <c r="E28" s="1">
        <v>684782</v>
      </c>
      <c r="F28" s="1">
        <v>6</v>
      </c>
      <c r="G28" s="1">
        <v>1</v>
      </c>
      <c r="H28" s="1">
        <v>0</v>
      </c>
      <c r="I28" s="1">
        <v>1</v>
      </c>
      <c r="J28" s="1">
        <v>60004228</v>
      </c>
      <c r="K28" s="1">
        <v>32767</v>
      </c>
      <c r="L28" s="1">
        <v>3</v>
      </c>
      <c r="N28" s="1">
        <v>2857663692</v>
      </c>
      <c r="O28" s="1">
        <v>35</v>
      </c>
      <c r="P28" s="1">
        <v>313600</v>
      </c>
      <c r="Q28" s="1">
        <v>313600</v>
      </c>
      <c r="R28" s="1">
        <v>27.9</v>
      </c>
      <c r="S28" s="1">
        <v>1</v>
      </c>
      <c r="T28" s="1">
        <v>0</v>
      </c>
      <c r="U28" s="1">
        <v>90</v>
      </c>
      <c r="V28" s="1">
        <v>60014659</v>
      </c>
      <c r="W28" s="1">
        <v>32767</v>
      </c>
      <c r="X28" s="1">
        <v>3</v>
      </c>
      <c r="Z28" s="1">
        <v>2827679258</v>
      </c>
      <c r="AA28" s="1">
        <v>36</v>
      </c>
      <c r="AB28" s="1">
        <v>693270</v>
      </c>
      <c r="AC28" s="1">
        <v>693270</v>
      </c>
      <c r="AD28" s="16">
        <v>53.5</v>
      </c>
      <c r="AE28" s="1">
        <v>1</v>
      </c>
      <c r="AF28" s="1">
        <v>0</v>
      </c>
      <c r="AG28" s="1">
        <v>90</v>
      </c>
      <c r="AH28" s="1">
        <v>60003760</v>
      </c>
      <c r="AI28" s="1">
        <v>32767</v>
      </c>
      <c r="AJ28" s="1">
        <v>11</v>
      </c>
      <c r="AL28" s="1">
        <v>2766339823</v>
      </c>
      <c r="AM28" s="1">
        <v>37</v>
      </c>
      <c r="AN28" s="1">
        <v>214</v>
      </c>
      <c r="AO28" s="1">
        <v>214</v>
      </c>
      <c r="AP28" s="16">
        <v>389.95</v>
      </c>
      <c r="AQ28" s="1">
        <v>1</v>
      </c>
      <c r="AR28" s="1">
        <v>0</v>
      </c>
      <c r="AS28" s="1">
        <v>90</v>
      </c>
      <c r="AT28" s="1">
        <v>60003760</v>
      </c>
      <c r="AU28" s="1">
        <v>32767</v>
      </c>
      <c r="AV28" s="1">
        <v>9</v>
      </c>
      <c r="AX28" s="1">
        <v>2505846991</v>
      </c>
      <c r="AY28" s="1">
        <v>38</v>
      </c>
      <c r="AZ28" s="1">
        <v>2154121</v>
      </c>
      <c r="BA28" s="1">
        <v>2154121</v>
      </c>
      <c r="BB28" s="1">
        <v>1227.5999999999999</v>
      </c>
      <c r="BC28" s="1">
        <v>1</v>
      </c>
      <c r="BD28" s="1">
        <v>0</v>
      </c>
      <c r="BE28" s="1">
        <v>90</v>
      </c>
      <c r="BF28" s="1">
        <v>60003760</v>
      </c>
      <c r="BG28" s="1">
        <v>32767</v>
      </c>
      <c r="BH28" s="1">
        <v>5</v>
      </c>
      <c r="BJ28" s="1">
        <v>2846332902</v>
      </c>
      <c r="BK28" s="1">
        <v>39</v>
      </c>
      <c r="BL28" s="1">
        <v>12267</v>
      </c>
      <c r="BM28" s="1">
        <v>12267</v>
      </c>
      <c r="BN28" s="1">
        <v>833.82</v>
      </c>
      <c r="BO28" s="1">
        <v>1</v>
      </c>
      <c r="BP28" s="1">
        <v>0</v>
      </c>
      <c r="BQ28" s="1">
        <v>30</v>
      </c>
      <c r="BR28" s="1">
        <v>60003760</v>
      </c>
      <c r="BS28" s="1">
        <v>32767</v>
      </c>
      <c r="BT28" s="1">
        <v>5</v>
      </c>
      <c r="BV28" s="1">
        <v>2381123207</v>
      </c>
      <c r="BW28" s="1">
        <v>40</v>
      </c>
      <c r="BX28" s="1">
        <v>330313</v>
      </c>
      <c r="BY28" s="1">
        <v>319380</v>
      </c>
      <c r="BZ28" s="1">
        <v>2908</v>
      </c>
      <c r="CA28" s="1">
        <v>1</v>
      </c>
      <c r="CB28" s="1">
        <v>0</v>
      </c>
      <c r="CC28" s="1">
        <v>90</v>
      </c>
      <c r="CD28" s="1">
        <v>60003760</v>
      </c>
      <c r="CE28" s="1">
        <v>32767</v>
      </c>
      <c r="CF28" s="1">
        <v>13</v>
      </c>
      <c r="CH28" s="1">
        <v>2356598836</v>
      </c>
      <c r="CI28" s="1">
        <v>29668</v>
      </c>
      <c r="CJ28" s="1">
        <v>3</v>
      </c>
      <c r="CK28" s="1">
        <v>3</v>
      </c>
      <c r="CL28" s="1">
        <v>548151623.41999996</v>
      </c>
      <c r="CM28" s="1">
        <v>1</v>
      </c>
      <c r="CN28" s="1">
        <v>0</v>
      </c>
      <c r="CO28" s="1">
        <v>90</v>
      </c>
      <c r="CP28" s="1">
        <v>60003760</v>
      </c>
      <c r="CQ28" s="1">
        <v>32767</v>
      </c>
      <c r="CR28" s="1">
        <v>0</v>
      </c>
      <c r="CT28" s="1">
        <v>2390791407</v>
      </c>
      <c r="CU28" s="1">
        <v>16649</v>
      </c>
      <c r="CV28" s="1">
        <v>10000</v>
      </c>
      <c r="CW28" s="1">
        <v>10000</v>
      </c>
      <c r="CX28" s="1">
        <v>110996.7</v>
      </c>
      <c r="CY28" s="1">
        <v>1</v>
      </c>
      <c r="CZ28" s="1">
        <v>0</v>
      </c>
      <c r="DA28" s="1">
        <v>90</v>
      </c>
      <c r="DB28" s="1">
        <v>60003760</v>
      </c>
      <c r="DC28" s="1">
        <v>32767</v>
      </c>
      <c r="DD28" s="1">
        <v>8</v>
      </c>
      <c r="DF28" s="1">
        <v>2373871135</v>
      </c>
      <c r="DG28" s="1">
        <v>17887</v>
      </c>
      <c r="DH28" s="1">
        <v>199998</v>
      </c>
      <c r="DI28" s="1">
        <v>199998</v>
      </c>
      <c r="DJ28" s="1">
        <v>1644.76</v>
      </c>
      <c r="DK28" s="1">
        <v>1</v>
      </c>
      <c r="DL28" s="1">
        <v>0</v>
      </c>
      <c r="DM28" s="1">
        <v>90</v>
      </c>
      <c r="DN28" s="1">
        <v>60003760</v>
      </c>
      <c r="DO28" s="1">
        <v>32767</v>
      </c>
      <c r="DP28" s="1">
        <v>0</v>
      </c>
      <c r="DR28" s="1">
        <v>2778293870</v>
      </c>
      <c r="DS28" s="1">
        <v>17888</v>
      </c>
      <c r="DT28" s="1">
        <v>9925</v>
      </c>
      <c r="DU28" s="1">
        <v>9925</v>
      </c>
      <c r="DV28" s="1">
        <v>420</v>
      </c>
      <c r="DW28" s="1">
        <v>1</v>
      </c>
      <c r="DX28" s="1">
        <v>0</v>
      </c>
      <c r="DY28" s="1">
        <v>90</v>
      </c>
      <c r="DZ28" s="1">
        <v>60004234</v>
      </c>
      <c r="EA28" s="1">
        <v>32767</v>
      </c>
      <c r="EB28" s="1">
        <v>9</v>
      </c>
      <c r="ED28" s="1">
        <v>2851841152</v>
      </c>
      <c r="EE28" s="1">
        <v>16273</v>
      </c>
      <c r="EF28" s="1">
        <v>29700</v>
      </c>
      <c r="EG28" s="1">
        <v>29700</v>
      </c>
      <c r="EH28" s="1">
        <v>387.5</v>
      </c>
      <c r="EI28" s="1">
        <v>1</v>
      </c>
      <c r="EJ28" s="1">
        <v>0</v>
      </c>
      <c r="EK28" s="1">
        <v>90</v>
      </c>
      <c r="EL28" s="1">
        <v>60003760</v>
      </c>
      <c r="EM28" s="1">
        <v>32767</v>
      </c>
      <c r="EN28" s="1">
        <v>6</v>
      </c>
      <c r="EP28" s="1">
        <v>2746710892</v>
      </c>
      <c r="EQ28" s="1">
        <v>17889</v>
      </c>
      <c r="ER28" s="1">
        <v>2000000</v>
      </c>
      <c r="ES28" s="1">
        <v>111529</v>
      </c>
      <c r="ET28" s="1">
        <v>436.39</v>
      </c>
      <c r="EU28" s="1">
        <v>1</v>
      </c>
      <c r="EV28" s="1">
        <v>0</v>
      </c>
      <c r="EW28" s="1">
        <v>90</v>
      </c>
      <c r="EX28" s="1">
        <v>60003760</v>
      </c>
      <c r="EY28" s="1">
        <v>32767</v>
      </c>
      <c r="EZ28" s="1">
        <v>7</v>
      </c>
      <c r="FB28" s="1">
        <v>2875463572</v>
      </c>
      <c r="FC28" s="1">
        <v>30259</v>
      </c>
      <c r="FD28" s="1">
        <v>133</v>
      </c>
      <c r="FE28" s="1">
        <v>55</v>
      </c>
      <c r="FF28" s="1">
        <v>5844999.8399999999</v>
      </c>
      <c r="FG28" s="1">
        <v>1</v>
      </c>
      <c r="FH28" s="1">
        <v>0</v>
      </c>
      <c r="FI28" s="1">
        <v>90</v>
      </c>
      <c r="FJ28" s="1">
        <v>60003760</v>
      </c>
      <c r="FK28" s="1">
        <v>32767</v>
      </c>
      <c r="FL28" s="1">
        <v>0</v>
      </c>
      <c r="FN28" s="1">
        <v>2867325385</v>
      </c>
      <c r="FO28" s="1">
        <v>25617</v>
      </c>
      <c r="FP28" s="1">
        <v>387</v>
      </c>
      <c r="FQ28" s="1">
        <v>387</v>
      </c>
      <c r="FR28" s="1">
        <v>5159999.97</v>
      </c>
      <c r="FS28" s="1">
        <v>1</v>
      </c>
      <c r="FT28" s="1">
        <v>0</v>
      </c>
      <c r="FU28" s="1">
        <v>90</v>
      </c>
      <c r="FV28" s="1">
        <v>60003760</v>
      </c>
      <c r="FW28" s="1">
        <v>32767</v>
      </c>
      <c r="FX28" s="1">
        <v>0</v>
      </c>
      <c r="FZ28" s="1">
        <v>2858784781</v>
      </c>
      <c r="GA28" s="1">
        <v>44</v>
      </c>
      <c r="GB28" s="1">
        <v>80000</v>
      </c>
      <c r="GC28" s="1">
        <v>46774</v>
      </c>
      <c r="GD28" s="1">
        <v>13998.56</v>
      </c>
      <c r="GE28" s="1">
        <v>1</v>
      </c>
      <c r="GF28" s="1">
        <v>0</v>
      </c>
      <c r="GG28" s="1">
        <v>90</v>
      </c>
      <c r="GH28" s="1">
        <v>60003760</v>
      </c>
      <c r="GI28" s="1">
        <v>32767</v>
      </c>
      <c r="GJ28" s="1">
        <v>4</v>
      </c>
      <c r="GL28" s="1">
        <v>2409246333</v>
      </c>
      <c r="GM28" s="1">
        <v>16681</v>
      </c>
      <c r="GN28" s="1">
        <v>2000</v>
      </c>
      <c r="GO28" s="1">
        <v>2000</v>
      </c>
      <c r="GP28" s="1">
        <v>6399</v>
      </c>
      <c r="GQ28" s="1">
        <v>1</v>
      </c>
      <c r="GR28" s="1">
        <v>0</v>
      </c>
      <c r="GS28" s="1">
        <v>90</v>
      </c>
      <c r="GT28" s="1">
        <v>60003760</v>
      </c>
      <c r="GU28" s="1">
        <v>32767</v>
      </c>
      <c r="GV28" s="1">
        <v>0</v>
      </c>
      <c r="GX28" s="1">
        <v>2867883964</v>
      </c>
      <c r="GY28" s="1">
        <v>16683</v>
      </c>
      <c r="GZ28" s="1">
        <v>20000</v>
      </c>
      <c r="HA28" s="1">
        <v>19180</v>
      </c>
      <c r="HB28" s="1">
        <v>8727.9599999999991</v>
      </c>
      <c r="HC28" s="1">
        <v>1</v>
      </c>
      <c r="HD28" s="1">
        <v>0</v>
      </c>
      <c r="HE28" s="1">
        <v>30</v>
      </c>
      <c r="HF28" s="1">
        <v>60003760</v>
      </c>
      <c r="HG28" s="1">
        <v>32767</v>
      </c>
      <c r="HH28" s="1">
        <v>0</v>
      </c>
      <c r="HJ28" s="1">
        <v>2807233891</v>
      </c>
      <c r="HK28" s="1">
        <v>11724</v>
      </c>
      <c r="HL28" s="1">
        <v>25000</v>
      </c>
      <c r="HM28" s="1">
        <v>946</v>
      </c>
      <c r="HN28" s="1">
        <v>38102.78</v>
      </c>
      <c r="HO28" s="1">
        <v>1</v>
      </c>
      <c r="HP28" s="1">
        <v>1</v>
      </c>
      <c r="HQ28" s="1">
        <v>90</v>
      </c>
      <c r="HR28" s="1">
        <v>60003760</v>
      </c>
      <c r="HS28" s="1">
        <v>-1</v>
      </c>
      <c r="HT28" s="1">
        <v>0</v>
      </c>
      <c r="HV28" s="1">
        <v>2838509624</v>
      </c>
      <c r="HW28" s="1">
        <v>16274</v>
      </c>
      <c r="HX28" s="1">
        <v>1500000</v>
      </c>
      <c r="HY28" s="1">
        <v>1500000</v>
      </c>
      <c r="HZ28" s="1">
        <v>389</v>
      </c>
      <c r="IA28" s="1">
        <v>1</v>
      </c>
      <c r="IB28" s="1">
        <v>0</v>
      </c>
      <c r="IC28" s="1">
        <v>90</v>
      </c>
      <c r="ID28" s="1">
        <v>60003760</v>
      </c>
      <c r="IE28" s="1">
        <v>32767</v>
      </c>
      <c r="IF28" s="1">
        <v>2</v>
      </c>
      <c r="IH28" s="1">
        <v>2760634773</v>
      </c>
      <c r="II28" s="1">
        <v>10213</v>
      </c>
      <c r="IJ28" s="1">
        <v>1</v>
      </c>
      <c r="IK28" s="1">
        <v>1</v>
      </c>
      <c r="IL28" s="1">
        <v>100116112</v>
      </c>
      <c r="IM28" s="1">
        <v>1</v>
      </c>
      <c r="IN28" s="1">
        <v>1</v>
      </c>
      <c r="IO28" s="1">
        <v>90</v>
      </c>
      <c r="IP28" s="1">
        <v>60003760</v>
      </c>
      <c r="IQ28" s="1">
        <v>-1</v>
      </c>
      <c r="IR28" s="1">
        <v>0</v>
      </c>
      <c r="IT28" s="1">
        <v>2790204453</v>
      </c>
      <c r="IU28" s="1">
        <v>16679</v>
      </c>
      <c r="IV28" s="1">
        <v>5000000</v>
      </c>
      <c r="IW28" s="1">
        <v>5000000</v>
      </c>
      <c r="IX28" s="1">
        <v>1971</v>
      </c>
      <c r="IY28" s="1">
        <v>1</v>
      </c>
      <c r="IZ28" s="1">
        <v>0</v>
      </c>
      <c r="JA28" s="1">
        <v>90</v>
      </c>
      <c r="JB28" s="1">
        <v>60003760</v>
      </c>
      <c r="JC28" s="1">
        <v>32767</v>
      </c>
      <c r="JD28" s="1">
        <v>0</v>
      </c>
      <c r="JF28" s="1">
        <v>2869720881</v>
      </c>
      <c r="JG28" s="1">
        <v>16272</v>
      </c>
      <c r="JH28" s="1">
        <v>505250</v>
      </c>
      <c r="JI28" s="1">
        <v>505250</v>
      </c>
      <c r="JJ28" s="1">
        <v>84.1</v>
      </c>
      <c r="JK28" s="1">
        <v>1</v>
      </c>
      <c r="JL28" s="1">
        <v>0</v>
      </c>
      <c r="JM28" s="1">
        <v>90</v>
      </c>
      <c r="JN28" s="1">
        <v>60003760</v>
      </c>
      <c r="JO28" s="1">
        <v>32767</v>
      </c>
      <c r="JP28" s="1">
        <v>6</v>
      </c>
      <c r="JR28" s="1">
        <v>2771345805</v>
      </c>
      <c r="JS28" s="1">
        <v>10226</v>
      </c>
      <c r="JT28" s="1">
        <v>3</v>
      </c>
      <c r="JU28" s="1">
        <v>1</v>
      </c>
      <c r="JV28" s="1">
        <v>106000011</v>
      </c>
      <c r="JW28" s="1">
        <v>1</v>
      </c>
      <c r="JX28" s="1">
        <v>1</v>
      </c>
      <c r="JY28" s="1">
        <v>90</v>
      </c>
      <c r="JZ28" s="1">
        <v>60014659</v>
      </c>
      <c r="KA28" s="1">
        <v>32767</v>
      </c>
      <c r="KB28" s="1">
        <v>0</v>
      </c>
      <c r="KD28" s="1">
        <v>2847384771</v>
      </c>
      <c r="KE28" s="1">
        <v>25605</v>
      </c>
      <c r="KF28" s="1">
        <v>1568</v>
      </c>
      <c r="KG28" s="1">
        <v>1568</v>
      </c>
      <c r="KH28" s="1">
        <v>120000</v>
      </c>
      <c r="KI28" s="1">
        <v>1</v>
      </c>
      <c r="KJ28" s="1">
        <v>0</v>
      </c>
      <c r="KK28" s="1">
        <v>90</v>
      </c>
      <c r="KL28" s="1">
        <v>60003760</v>
      </c>
      <c r="KM28" s="1">
        <v>32767</v>
      </c>
      <c r="KN28" s="1">
        <v>6</v>
      </c>
      <c r="KP28" s="1">
        <v>2836016444</v>
      </c>
      <c r="KQ28" s="1">
        <v>25624</v>
      </c>
      <c r="KR28" s="1">
        <v>24</v>
      </c>
      <c r="KS28" s="1">
        <v>24</v>
      </c>
      <c r="KT28" s="1">
        <v>19800000</v>
      </c>
      <c r="KU28" s="1">
        <v>1</v>
      </c>
      <c r="KV28" s="1">
        <v>0</v>
      </c>
      <c r="KW28" s="1">
        <v>90</v>
      </c>
      <c r="KX28" s="1">
        <v>60003760</v>
      </c>
      <c r="KY28" s="1">
        <v>32767</v>
      </c>
      <c r="KZ28" s="1">
        <v>1</v>
      </c>
      <c r="LB28" s="1">
        <v>2836497906</v>
      </c>
      <c r="LC28" s="1">
        <v>9832</v>
      </c>
      <c r="LD28" s="1">
        <v>3045</v>
      </c>
      <c r="LE28" s="1">
        <v>3045</v>
      </c>
      <c r="LF28" s="1">
        <v>9979.7999999999993</v>
      </c>
      <c r="LG28" s="1">
        <v>1</v>
      </c>
      <c r="LH28" s="1">
        <v>0</v>
      </c>
      <c r="LI28" s="1">
        <v>90</v>
      </c>
      <c r="LJ28" s="1">
        <v>60003760</v>
      </c>
      <c r="LK28" s="1">
        <v>32767</v>
      </c>
      <c r="LL28" s="1">
        <v>0</v>
      </c>
      <c r="LN28" s="1">
        <v>2876853918</v>
      </c>
      <c r="LO28" s="1">
        <v>10209</v>
      </c>
      <c r="LP28" s="1">
        <v>5</v>
      </c>
      <c r="LQ28" s="1">
        <v>5</v>
      </c>
      <c r="LR28" s="1">
        <v>120898000</v>
      </c>
      <c r="LS28" s="1">
        <v>1</v>
      </c>
      <c r="LT28" s="1">
        <v>0</v>
      </c>
      <c r="LU28" s="1">
        <v>90</v>
      </c>
      <c r="LV28" s="1">
        <v>60003760</v>
      </c>
      <c r="LW28" s="1">
        <v>32767</v>
      </c>
      <c r="LX28" s="1">
        <v>1</v>
      </c>
      <c r="LZ28" s="1">
        <v>2764530556</v>
      </c>
      <c r="MA28" s="1">
        <v>10217</v>
      </c>
      <c r="MB28" s="1">
        <v>3</v>
      </c>
      <c r="MC28" s="1">
        <v>3</v>
      </c>
      <c r="MD28" s="1">
        <v>91200000.060000002</v>
      </c>
      <c r="ME28" s="1">
        <v>1</v>
      </c>
      <c r="MF28" s="1">
        <v>1</v>
      </c>
      <c r="MG28" s="1">
        <v>90</v>
      </c>
      <c r="MH28" s="1">
        <v>60003760</v>
      </c>
      <c r="MI28" s="1">
        <v>-1</v>
      </c>
      <c r="MJ28" s="1">
        <v>0</v>
      </c>
      <c r="ML28" s="1">
        <v>2865980872</v>
      </c>
      <c r="MM28" s="1">
        <v>25625</v>
      </c>
      <c r="MN28" s="1">
        <v>101</v>
      </c>
      <c r="MO28" s="1">
        <v>90</v>
      </c>
      <c r="MP28" s="1">
        <v>4928998.99</v>
      </c>
      <c r="MQ28" s="1">
        <v>1</v>
      </c>
      <c r="MR28" s="1">
        <v>0</v>
      </c>
      <c r="MS28" s="1">
        <v>90</v>
      </c>
      <c r="MT28" s="1">
        <v>60003760</v>
      </c>
      <c r="MU28" s="1">
        <v>32767</v>
      </c>
      <c r="MV28" s="1">
        <v>0</v>
      </c>
      <c r="MX28" s="1">
        <v>2869081576</v>
      </c>
      <c r="MY28" s="1">
        <v>16672</v>
      </c>
      <c r="MZ28" s="1">
        <v>6865000</v>
      </c>
      <c r="NA28" s="1">
        <v>6865000</v>
      </c>
      <c r="NB28" s="1">
        <v>165</v>
      </c>
      <c r="NC28" s="1">
        <v>1</v>
      </c>
      <c r="ND28" s="1">
        <v>0</v>
      </c>
      <c r="NE28" s="1">
        <v>90</v>
      </c>
      <c r="NF28" s="1">
        <v>60003760</v>
      </c>
      <c r="NG28" s="1">
        <v>32767</v>
      </c>
      <c r="NH28" s="1">
        <v>0</v>
      </c>
      <c r="NJ28" s="1">
        <v>2833389195</v>
      </c>
      <c r="NK28" s="1">
        <v>16673</v>
      </c>
      <c r="NL28" s="1">
        <v>3806384</v>
      </c>
      <c r="NM28" s="1">
        <v>3436440</v>
      </c>
      <c r="NN28" s="1">
        <v>117.02</v>
      </c>
      <c r="NO28" s="1">
        <v>1</v>
      </c>
      <c r="NP28" s="1">
        <v>0</v>
      </c>
      <c r="NQ28" s="1">
        <v>30</v>
      </c>
      <c r="NR28" s="1">
        <v>60003760</v>
      </c>
      <c r="NS28" s="1">
        <v>32767</v>
      </c>
      <c r="NT28" s="1">
        <v>6</v>
      </c>
      <c r="NV28" s="1">
        <v>2832765192</v>
      </c>
      <c r="NW28" s="1">
        <v>3689</v>
      </c>
      <c r="NX28" s="1">
        <v>98560</v>
      </c>
      <c r="NY28" s="1">
        <v>98560</v>
      </c>
      <c r="NZ28" s="1">
        <v>12174.98</v>
      </c>
      <c r="OA28" s="1">
        <v>1</v>
      </c>
      <c r="OB28" s="1">
        <v>0</v>
      </c>
      <c r="OC28" s="1">
        <v>90</v>
      </c>
      <c r="OD28" s="1">
        <v>60003760</v>
      </c>
      <c r="OE28" s="1">
        <v>32767</v>
      </c>
      <c r="OF28" s="1">
        <v>0</v>
      </c>
      <c r="OH28" s="1">
        <v>2822005663</v>
      </c>
      <c r="OI28" s="1">
        <v>25598</v>
      </c>
      <c r="OJ28" s="1">
        <v>271</v>
      </c>
      <c r="OK28" s="1">
        <v>271</v>
      </c>
      <c r="OL28" s="1">
        <v>166000</v>
      </c>
      <c r="OM28" s="1">
        <v>1</v>
      </c>
      <c r="ON28" s="1">
        <v>0</v>
      </c>
      <c r="OO28" s="1">
        <v>90</v>
      </c>
      <c r="OP28" s="1">
        <v>60003760</v>
      </c>
      <c r="OQ28" s="1">
        <v>32767</v>
      </c>
      <c r="OR28" s="1">
        <v>0</v>
      </c>
      <c r="OT28" s="1">
        <v>2774985664</v>
      </c>
      <c r="OU28" s="1">
        <v>25600</v>
      </c>
      <c r="OV28" s="1">
        <v>187</v>
      </c>
      <c r="OW28" s="1">
        <v>187</v>
      </c>
      <c r="OX28" s="1">
        <v>35999.99</v>
      </c>
      <c r="OY28" s="1">
        <v>1</v>
      </c>
      <c r="OZ28" s="1">
        <v>0</v>
      </c>
      <c r="PA28" s="1">
        <v>90</v>
      </c>
      <c r="PB28" s="1">
        <v>60003760</v>
      </c>
      <c r="PC28" s="1">
        <v>32767</v>
      </c>
      <c r="PD28" s="1">
        <v>0</v>
      </c>
      <c r="PF28" s="1">
        <v>2855291439</v>
      </c>
      <c r="PG28" s="1">
        <v>16670</v>
      </c>
      <c r="PH28" s="1">
        <v>5000000</v>
      </c>
      <c r="PI28" s="1">
        <v>5000000</v>
      </c>
      <c r="PJ28" s="1">
        <v>133</v>
      </c>
      <c r="PK28" s="1">
        <v>1</v>
      </c>
      <c r="PL28" s="1">
        <v>0</v>
      </c>
      <c r="PM28" s="1">
        <v>90</v>
      </c>
      <c r="PN28" s="1">
        <v>60003760</v>
      </c>
      <c r="PO28" s="1">
        <v>32767</v>
      </c>
      <c r="PP28" s="1">
        <v>7</v>
      </c>
      <c r="PR28" s="1">
        <v>2877008892</v>
      </c>
      <c r="PS28" s="1">
        <v>10222</v>
      </c>
      <c r="PT28" s="1">
        <v>64</v>
      </c>
      <c r="PU28" s="1">
        <v>64</v>
      </c>
      <c r="PV28" s="1">
        <v>118900000.05</v>
      </c>
      <c r="PW28" s="1">
        <v>1</v>
      </c>
      <c r="PX28" s="1">
        <v>0</v>
      </c>
      <c r="PY28" s="1">
        <v>90</v>
      </c>
      <c r="PZ28" s="1">
        <v>60003760</v>
      </c>
      <c r="QA28" s="1">
        <v>32767</v>
      </c>
      <c r="QB28" s="1">
        <v>0</v>
      </c>
      <c r="QD28" s="1">
        <v>2866550196</v>
      </c>
      <c r="QE28" s="1">
        <v>9830</v>
      </c>
      <c r="QF28" s="1">
        <v>1395</v>
      </c>
      <c r="QG28" s="1">
        <v>1395</v>
      </c>
      <c r="QH28" s="1">
        <v>7999.99</v>
      </c>
      <c r="QI28" s="1">
        <v>1</v>
      </c>
      <c r="QJ28" s="1">
        <v>0</v>
      </c>
      <c r="QK28" s="1">
        <v>90</v>
      </c>
      <c r="QL28" s="1">
        <v>60003469</v>
      </c>
      <c r="QM28" s="1">
        <v>32767</v>
      </c>
      <c r="QN28" s="1">
        <v>0</v>
      </c>
      <c r="QP28" s="1">
        <v>2748929620</v>
      </c>
      <c r="QQ28" s="1">
        <v>16671</v>
      </c>
      <c r="QR28" s="1">
        <v>6660000</v>
      </c>
      <c r="QS28" s="1">
        <v>6475720</v>
      </c>
      <c r="QT28" s="1">
        <v>147.22999999999999</v>
      </c>
      <c r="QU28" s="1">
        <v>1</v>
      </c>
      <c r="QV28" s="1">
        <v>0</v>
      </c>
      <c r="QW28" s="1">
        <v>90</v>
      </c>
      <c r="QX28" s="1">
        <v>60003760</v>
      </c>
      <c r="QY28" s="1">
        <v>32767</v>
      </c>
      <c r="QZ28" s="1">
        <v>7</v>
      </c>
      <c r="RB28" s="1">
        <v>2867313883</v>
      </c>
      <c r="RC28" s="1">
        <v>16682</v>
      </c>
      <c r="RD28" s="1">
        <v>75000</v>
      </c>
      <c r="RE28" s="1">
        <v>74200</v>
      </c>
      <c r="RF28" s="1">
        <v>3397.84</v>
      </c>
      <c r="RG28" s="1">
        <v>1</v>
      </c>
      <c r="RH28" s="1">
        <v>0</v>
      </c>
      <c r="RI28" s="1">
        <v>90</v>
      </c>
      <c r="RJ28" s="1">
        <v>60003760</v>
      </c>
      <c r="RK28" s="1">
        <v>32767</v>
      </c>
      <c r="RL28" s="1">
        <v>8</v>
      </c>
      <c r="RN28" s="1">
        <v>2875626702</v>
      </c>
      <c r="RO28" s="1">
        <v>16678</v>
      </c>
      <c r="RP28" s="1">
        <v>1000000</v>
      </c>
      <c r="RQ28" s="1">
        <v>1000000</v>
      </c>
      <c r="RR28" s="1">
        <v>284.64999999999998</v>
      </c>
      <c r="RS28" s="1">
        <v>1</v>
      </c>
      <c r="RT28" s="1">
        <v>0</v>
      </c>
      <c r="RU28" s="1">
        <v>90</v>
      </c>
      <c r="RV28" s="1">
        <v>60003760</v>
      </c>
      <c r="RW28" s="1">
        <v>32767</v>
      </c>
      <c r="RX28" s="1">
        <v>6</v>
      </c>
      <c r="RZ28" s="1">
        <v>2873559657</v>
      </c>
      <c r="SA28" s="1">
        <v>30310</v>
      </c>
      <c r="SB28" s="1">
        <v>95</v>
      </c>
      <c r="SC28" s="1">
        <v>95</v>
      </c>
      <c r="SD28" s="1">
        <v>1297999.6299999999</v>
      </c>
      <c r="SE28" s="1">
        <v>1</v>
      </c>
      <c r="SF28" s="1">
        <v>0</v>
      </c>
      <c r="SG28" s="1">
        <v>30</v>
      </c>
      <c r="SH28" s="1">
        <v>60003760</v>
      </c>
      <c r="SI28" s="1">
        <v>32767</v>
      </c>
      <c r="SJ28" s="1">
        <v>0</v>
      </c>
      <c r="SL28" s="1">
        <v>2853935627</v>
      </c>
      <c r="SM28" s="1">
        <v>30311</v>
      </c>
      <c r="SN28" s="1">
        <v>58</v>
      </c>
      <c r="SO28" s="1">
        <v>28</v>
      </c>
      <c r="SP28" s="1">
        <v>3297999.42</v>
      </c>
      <c r="SQ28" s="1">
        <v>1</v>
      </c>
      <c r="SR28" s="1">
        <v>0</v>
      </c>
      <c r="SS28" s="1">
        <v>90</v>
      </c>
      <c r="ST28" s="1">
        <v>60003760</v>
      </c>
      <c r="SU28" s="1">
        <v>32767</v>
      </c>
      <c r="SV28" s="1">
        <v>0</v>
      </c>
      <c r="SX28" s="1">
        <v>2779783022</v>
      </c>
      <c r="SY28" s="1">
        <v>25595</v>
      </c>
      <c r="SZ28" s="1">
        <v>32</v>
      </c>
      <c r="TA28" s="1">
        <v>32</v>
      </c>
      <c r="TB28" s="1">
        <v>105000</v>
      </c>
      <c r="TC28" s="1">
        <v>1</v>
      </c>
      <c r="TD28" s="1">
        <v>0</v>
      </c>
      <c r="TE28" s="1">
        <v>90</v>
      </c>
      <c r="TF28" s="1">
        <v>60000364</v>
      </c>
      <c r="TG28" s="1">
        <v>32767</v>
      </c>
      <c r="TH28" s="1">
        <v>6</v>
      </c>
      <c r="TJ28" s="1">
        <v>2848639903</v>
      </c>
      <c r="TK28" s="1">
        <v>25606</v>
      </c>
      <c r="TL28" s="1">
        <v>10828</v>
      </c>
      <c r="TM28" s="1">
        <v>10828</v>
      </c>
      <c r="TN28" s="1">
        <v>30379.99</v>
      </c>
      <c r="TO28" s="1">
        <v>1</v>
      </c>
      <c r="TP28" s="1">
        <v>0</v>
      </c>
      <c r="TQ28" s="1">
        <v>90</v>
      </c>
      <c r="TR28" s="1">
        <v>60003760</v>
      </c>
      <c r="TS28" s="1">
        <v>32767</v>
      </c>
      <c r="TT28" s="1">
        <v>0</v>
      </c>
      <c r="TV28" s="1">
        <v>2875499290</v>
      </c>
      <c r="TW28" s="1">
        <v>25622</v>
      </c>
      <c r="TX28" s="1">
        <v>181</v>
      </c>
      <c r="TY28" s="1">
        <v>177</v>
      </c>
      <c r="TZ28" s="1">
        <v>15223996.189999999</v>
      </c>
      <c r="UA28" s="1">
        <v>1</v>
      </c>
      <c r="UB28" s="1">
        <v>0</v>
      </c>
      <c r="UC28" s="1">
        <v>90</v>
      </c>
      <c r="UD28" s="1">
        <v>60003760</v>
      </c>
      <c r="UE28" s="1">
        <v>32767</v>
      </c>
      <c r="UF28" s="1">
        <v>0</v>
      </c>
      <c r="UH28" s="1">
        <v>2865067681</v>
      </c>
      <c r="UI28" s="1">
        <v>16680</v>
      </c>
      <c r="UJ28" s="1">
        <v>426800</v>
      </c>
      <c r="UK28" s="1">
        <v>179588</v>
      </c>
      <c r="UL28" s="1">
        <v>736.98</v>
      </c>
      <c r="UM28" s="1">
        <v>1</v>
      </c>
      <c r="UN28" s="1">
        <v>0</v>
      </c>
      <c r="UO28" s="1">
        <v>90</v>
      </c>
      <c r="UP28" s="1">
        <v>60003760</v>
      </c>
      <c r="UQ28" s="1">
        <v>32767</v>
      </c>
      <c r="UR28" s="1">
        <v>6</v>
      </c>
      <c r="UT28" s="1">
        <v>2878801354</v>
      </c>
      <c r="UU28" s="1">
        <v>17317</v>
      </c>
      <c r="UV28" s="1">
        <v>18982</v>
      </c>
      <c r="UW28" s="1">
        <v>18982</v>
      </c>
      <c r="UX28" s="1">
        <v>28979.86</v>
      </c>
      <c r="UY28" s="1">
        <v>1</v>
      </c>
      <c r="UZ28" s="1">
        <v>0</v>
      </c>
      <c r="VA28" s="1">
        <v>90</v>
      </c>
      <c r="VB28" s="1">
        <v>60003760</v>
      </c>
      <c r="VC28" s="1">
        <v>32767</v>
      </c>
      <c r="VD28" s="1">
        <v>0</v>
      </c>
      <c r="VF28" s="1">
        <v>2877869434</v>
      </c>
      <c r="VG28" s="1">
        <v>11725</v>
      </c>
      <c r="VH28" s="1">
        <v>60000</v>
      </c>
      <c r="VI28" s="1">
        <v>60000</v>
      </c>
      <c r="VJ28" s="1">
        <v>47214.080000000002</v>
      </c>
      <c r="VK28" s="1">
        <v>1</v>
      </c>
      <c r="VL28" s="1">
        <v>1</v>
      </c>
      <c r="VM28" s="1">
        <v>1</v>
      </c>
      <c r="VN28" s="1">
        <v>60003760</v>
      </c>
      <c r="VO28" s="1">
        <v>-1</v>
      </c>
      <c r="VP28" s="1">
        <v>0</v>
      </c>
    </row>
    <row r="29" spans="2:588" x14ac:dyDescent="0.25">
      <c r="B29" s="1">
        <v>2877190213</v>
      </c>
      <c r="C29" s="1">
        <v>34</v>
      </c>
      <c r="D29" s="1">
        <v>24304</v>
      </c>
      <c r="E29" s="1">
        <v>24304</v>
      </c>
      <c r="F29" s="1">
        <v>5.63</v>
      </c>
      <c r="G29" s="1">
        <v>1</v>
      </c>
      <c r="H29" s="1">
        <v>0</v>
      </c>
      <c r="I29" s="1">
        <v>1</v>
      </c>
      <c r="J29" s="1">
        <v>60005464</v>
      </c>
      <c r="K29" s="1">
        <v>32767</v>
      </c>
      <c r="L29" s="1">
        <v>3</v>
      </c>
      <c r="N29" s="1">
        <v>2841916978</v>
      </c>
      <c r="O29" s="1">
        <v>35</v>
      </c>
      <c r="P29" s="1">
        <v>851909</v>
      </c>
      <c r="Q29" s="1">
        <v>276183</v>
      </c>
      <c r="R29" s="1">
        <v>24.9</v>
      </c>
      <c r="S29" s="1">
        <v>1</v>
      </c>
      <c r="T29" s="1">
        <v>0</v>
      </c>
      <c r="U29" s="1">
        <v>90</v>
      </c>
      <c r="V29" s="1">
        <v>60014659</v>
      </c>
      <c r="W29" s="1">
        <v>32767</v>
      </c>
      <c r="X29" s="1">
        <v>3</v>
      </c>
      <c r="Z29" s="1">
        <v>2828979274</v>
      </c>
      <c r="AA29" s="1">
        <v>36</v>
      </c>
      <c r="AB29" s="1">
        <v>16872</v>
      </c>
      <c r="AC29" s="1">
        <v>16872</v>
      </c>
      <c r="AD29" s="16">
        <v>53.68</v>
      </c>
      <c r="AE29" s="1">
        <v>1</v>
      </c>
      <c r="AF29" s="1">
        <v>0</v>
      </c>
      <c r="AG29" s="1">
        <v>90</v>
      </c>
      <c r="AH29" s="1">
        <v>60003760</v>
      </c>
      <c r="AI29" s="1">
        <v>32767</v>
      </c>
      <c r="AJ29" s="1">
        <v>11</v>
      </c>
      <c r="AL29" s="1">
        <v>2765852053</v>
      </c>
      <c r="AM29" s="1">
        <v>37</v>
      </c>
      <c r="AN29" s="1">
        <v>1151855</v>
      </c>
      <c r="AO29" s="1">
        <v>1151855</v>
      </c>
      <c r="AP29" s="16">
        <v>156.97999999999999</v>
      </c>
      <c r="AQ29" s="1">
        <v>1</v>
      </c>
      <c r="AR29" s="1">
        <v>0</v>
      </c>
      <c r="AS29" s="1">
        <v>90</v>
      </c>
      <c r="AT29" s="1">
        <v>60003760</v>
      </c>
      <c r="AU29" s="1">
        <v>32767</v>
      </c>
      <c r="AV29" s="1">
        <v>9</v>
      </c>
      <c r="AX29" s="1">
        <v>2505851245</v>
      </c>
      <c r="AY29" s="1">
        <v>38</v>
      </c>
      <c r="AZ29" s="1">
        <v>1354654</v>
      </c>
      <c r="BA29" s="1">
        <v>1354654</v>
      </c>
      <c r="BB29" s="1">
        <v>1137.4000000000001</v>
      </c>
      <c r="BC29" s="1">
        <v>1</v>
      </c>
      <c r="BD29" s="1">
        <v>0</v>
      </c>
      <c r="BE29" s="1">
        <v>90</v>
      </c>
      <c r="BF29" s="1">
        <v>60003760</v>
      </c>
      <c r="BG29" s="1">
        <v>32767</v>
      </c>
      <c r="BH29" s="1">
        <v>5</v>
      </c>
      <c r="BJ29" s="1">
        <v>2852420472</v>
      </c>
      <c r="BK29" s="1">
        <v>39</v>
      </c>
      <c r="BL29" s="1">
        <v>1666</v>
      </c>
      <c r="BM29" s="1">
        <v>1666</v>
      </c>
      <c r="BN29" s="1">
        <v>864</v>
      </c>
      <c r="BO29" s="1">
        <v>1</v>
      </c>
      <c r="BP29" s="1">
        <v>0</v>
      </c>
      <c r="BQ29" s="1">
        <v>90</v>
      </c>
      <c r="BR29" s="1">
        <v>60003760</v>
      </c>
      <c r="BS29" s="1">
        <v>32767</v>
      </c>
      <c r="BT29" s="1">
        <v>5</v>
      </c>
      <c r="BV29" s="1">
        <v>2381130327</v>
      </c>
      <c r="BW29" s="1">
        <v>40</v>
      </c>
      <c r="BX29" s="1">
        <v>150303</v>
      </c>
      <c r="BY29" s="1">
        <v>150303</v>
      </c>
      <c r="BZ29" s="1">
        <v>2907.9</v>
      </c>
      <c r="CA29" s="1">
        <v>1</v>
      </c>
      <c r="CB29" s="1">
        <v>0</v>
      </c>
      <c r="CC29" s="1">
        <v>90</v>
      </c>
      <c r="CD29" s="1">
        <v>60003760</v>
      </c>
      <c r="CE29" s="1">
        <v>32767</v>
      </c>
      <c r="CF29" s="1">
        <v>13</v>
      </c>
      <c r="CH29" s="1">
        <v>2357642131</v>
      </c>
      <c r="CI29" s="1">
        <v>29668</v>
      </c>
      <c r="CJ29" s="1">
        <v>3</v>
      </c>
      <c r="CK29" s="1">
        <v>3</v>
      </c>
      <c r="CL29" s="1">
        <v>514989000</v>
      </c>
      <c r="CM29" s="1">
        <v>1</v>
      </c>
      <c r="CN29" s="1">
        <v>0</v>
      </c>
      <c r="CO29" s="1">
        <v>90</v>
      </c>
      <c r="CP29" s="1">
        <v>60003760</v>
      </c>
      <c r="CQ29" s="1">
        <v>32767</v>
      </c>
      <c r="CR29" s="1">
        <v>0</v>
      </c>
      <c r="CT29" s="1">
        <v>1944118768</v>
      </c>
      <c r="CU29" s="1">
        <v>16649</v>
      </c>
      <c r="CV29" s="1">
        <v>50000</v>
      </c>
      <c r="CW29" s="1">
        <v>50000</v>
      </c>
      <c r="CX29" s="1">
        <v>149999.93</v>
      </c>
      <c r="CY29" s="1">
        <v>1</v>
      </c>
      <c r="CZ29" s="1">
        <v>0</v>
      </c>
      <c r="DA29" s="1">
        <v>90</v>
      </c>
      <c r="DB29" s="1">
        <v>60003760</v>
      </c>
      <c r="DC29" s="1">
        <v>32767</v>
      </c>
      <c r="DD29" s="1">
        <v>8</v>
      </c>
      <c r="DF29" s="1">
        <v>2411945753</v>
      </c>
      <c r="DG29" s="1">
        <v>17887</v>
      </c>
      <c r="DH29" s="1">
        <v>949076</v>
      </c>
      <c r="DI29" s="1">
        <v>949076</v>
      </c>
      <c r="DJ29" s="1">
        <v>989.99</v>
      </c>
      <c r="DK29" s="1">
        <v>1</v>
      </c>
      <c r="DL29" s="1">
        <v>0</v>
      </c>
      <c r="DM29" s="1">
        <v>90</v>
      </c>
      <c r="DN29" s="1">
        <v>60003760</v>
      </c>
      <c r="DO29" s="1">
        <v>32767</v>
      </c>
      <c r="DP29" s="1">
        <v>0</v>
      </c>
      <c r="DR29" s="1">
        <v>2778329168</v>
      </c>
      <c r="DS29" s="1">
        <v>17888</v>
      </c>
      <c r="DT29" s="1">
        <v>17667</v>
      </c>
      <c r="DU29" s="1">
        <v>17667</v>
      </c>
      <c r="DV29" s="1">
        <v>420</v>
      </c>
      <c r="DW29" s="1">
        <v>1</v>
      </c>
      <c r="DX29" s="1">
        <v>0</v>
      </c>
      <c r="DY29" s="1">
        <v>90</v>
      </c>
      <c r="DZ29" s="1">
        <v>60004234</v>
      </c>
      <c r="EA29" s="1">
        <v>32767</v>
      </c>
      <c r="EB29" s="1">
        <v>9</v>
      </c>
      <c r="ED29" s="1">
        <v>2850228628</v>
      </c>
      <c r="EE29" s="1">
        <v>16273</v>
      </c>
      <c r="EF29" s="1">
        <v>113725</v>
      </c>
      <c r="EG29" s="1">
        <v>113725</v>
      </c>
      <c r="EH29" s="1">
        <v>389.95</v>
      </c>
      <c r="EI29" s="1">
        <v>1</v>
      </c>
      <c r="EJ29" s="1">
        <v>0</v>
      </c>
      <c r="EK29" s="1">
        <v>90</v>
      </c>
      <c r="EL29" s="1">
        <v>60003760</v>
      </c>
      <c r="EM29" s="1">
        <v>32767</v>
      </c>
      <c r="EN29" s="1">
        <v>6</v>
      </c>
      <c r="EP29" s="1">
        <v>2746814405</v>
      </c>
      <c r="EQ29" s="1">
        <v>17889</v>
      </c>
      <c r="ER29" s="1">
        <v>270000</v>
      </c>
      <c r="ES29" s="1">
        <v>270000</v>
      </c>
      <c r="ET29" s="1">
        <v>450</v>
      </c>
      <c r="EU29" s="1">
        <v>1</v>
      </c>
      <c r="EV29" s="1">
        <v>0</v>
      </c>
      <c r="EW29" s="1">
        <v>90</v>
      </c>
      <c r="EX29" s="1">
        <v>60003760</v>
      </c>
      <c r="EY29" s="1">
        <v>32767</v>
      </c>
      <c r="EZ29" s="1">
        <v>7</v>
      </c>
      <c r="FB29" s="1">
        <v>2875478442</v>
      </c>
      <c r="FC29" s="1">
        <v>30259</v>
      </c>
      <c r="FD29" s="1">
        <v>588</v>
      </c>
      <c r="FE29" s="1">
        <v>588</v>
      </c>
      <c r="FF29" s="1">
        <v>5842976</v>
      </c>
      <c r="FG29" s="1">
        <v>1</v>
      </c>
      <c r="FH29" s="1">
        <v>0</v>
      </c>
      <c r="FI29" s="1">
        <v>90</v>
      </c>
      <c r="FJ29" s="1">
        <v>60003760</v>
      </c>
      <c r="FK29" s="1">
        <v>32767</v>
      </c>
      <c r="FL29" s="1">
        <v>0</v>
      </c>
      <c r="FN29" s="1">
        <v>2867463496</v>
      </c>
      <c r="FO29" s="1">
        <v>25617</v>
      </c>
      <c r="FP29" s="1">
        <v>1</v>
      </c>
      <c r="FQ29" s="1">
        <v>1</v>
      </c>
      <c r="FR29" s="1">
        <v>5170000</v>
      </c>
      <c r="FS29" s="1">
        <v>1</v>
      </c>
      <c r="FT29" s="1">
        <v>0</v>
      </c>
      <c r="FU29" s="1">
        <v>90</v>
      </c>
      <c r="FV29" s="1">
        <v>60003760</v>
      </c>
      <c r="FW29" s="1">
        <v>32767</v>
      </c>
      <c r="FX29" s="1">
        <v>0</v>
      </c>
      <c r="FZ29" s="1">
        <v>2859815323</v>
      </c>
      <c r="GA29" s="1">
        <v>44</v>
      </c>
      <c r="GB29" s="1">
        <v>801</v>
      </c>
      <c r="GC29" s="1">
        <v>801</v>
      </c>
      <c r="GD29" s="1">
        <v>13500</v>
      </c>
      <c r="GE29" s="1">
        <v>1</v>
      </c>
      <c r="GF29" s="1">
        <v>0</v>
      </c>
      <c r="GG29" s="1">
        <v>30</v>
      </c>
      <c r="GH29" s="1">
        <v>60003760</v>
      </c>
      <c r="GI29" s="1">
        <v>32767</v>
      </c>
      <c r="GJ29" s="1">
        <v>4</v>
      </c>
      <c r="GL29" s="1">
        <v>2406661250</v>
      </c>
      <c r="GM29" s="1">
        <v>16681</v>
      </c>
      <c r="GN29" s="1">
        <v>400000</v>
      </c>
      <c r="GO29" s="1">
        <v>384825</v>
      </c>
      <c r="GP29" s="1">
        <v>6444</v>
      </c>
      <c r="GQ29" s="1">
        <v>1</v>
      </c>
      <c r="GR29" s="1">
        <v>0</v>
      </c>
      <c r="GS29" s="1">
        <v>30</v>
      </c>
      <c r="GT29" s="1">
        <v>60003760</v>
      </c>
      <c r="GU29" s="1">
        <v>32767</v>
      </c>
      <c r="GV29" s="1">
        <v>0</v>
      </c>
      <c r="GX29" s="1">
        <v>2868648916</v>
      </c>
      <c r="GY29" s="1">
        <v>16683</v>
      </c>
      <c r="GZ29" s="1">
        <v>20000</v>
      </c>
      <c r="HA29" s="1">
        <v>5000</v>
      </c>
      <c r="HB29" s="1">
        <v>8727.44</v>
      </c>
      <c r="HC29" s="1">
        <v>1</v>
      </c>
      <c r="HD29" s="1">
        <v>0</v>
      </c>
      <c r="HE29" s="1">
        <v>30</v>
      </c>
      <c r="HF29" s="1">
        <v>60003760</v>
      </c>
      <c r="HG29" s="1">
        <v>32767</v>
      </c>
      <c r="HH29" s="1">
        <v>0</v>
      </c>
      <c r="HJ29" s="1">
        <v>2807234067</v>
      </c>
      <c r="HK29" s="1">
        <v>11724</v>
      </c>
      <c r="HL29" s="1">
        <v>1000</v>
      </c>
      <c r="HM29" s="1">
        <v>1000</v>
      </c>
      <c r="HN29" s="1">
        <v>37000</v>
      </c>
      <c r="HO29" s="1">
        <v>1</v>
      </c>
      <c r="HP29" s="1">
        <v>1</v>
      </c>
      <c r="HQ29" s="1">
        <v>90</v>
      </c>
      <c r="HR29" s="1">
        <v>60003760</v>
      </c>
      <c r="HS29" s="1">
        <v>-1</v>
      </c>
      <c r="HT29" s="1">
        <v>0</v>
      </c>
      <c r="HV29" s="1">
        <v>2853121362</v>
      </c>
      <c r="HW29" s="1">
        <v>16274</v>
      </c>
      <c r="HX29" s="1">
        <v>1658332</v>
      </c>
      <c r="HY29" s="1">
        <v>1658332</v>
      </c>
      <c r="HZ29" s="1">
        <v>374.95</v>
      </c>
      <c r="IA29" s="1">
        <v>1</v>
      </c>
      <c r="IB29" s="1">
        <v>0</v>
      </c>
      <c r="IC29" s="1">
        <v>90</v>
      </c>
      <c r="ID29" s="1">
        <v>60003760</v>
      </c>
      <c r="IE29" s="1">
        <v>32767</v>
      </c>
      <c r="IF29" s="1">
        <v>2</v>
      </c>
      <c r="IH29" s="1">
        <v>2760031069</v>
      </c>
      <c r="II29" s="1">
        <v>10213</v>
      </c>
      <c r="IJ29" s="1">
        <v>5</v>
      </c>
      <c r="IK29" s="1">
        <v>5</v>
      </c>
      <c r="IL29" s="1">
        <v>98000000</v>
      </c>
      <c r="IM29" s="1">
        <v>1</v>
      </c>
      <c r="IN29" s="1">
        <v>1</v>
      </c>
      <c r="IO29" s="1">
        <v>90</v>
      </c>
      <c r="IP29" s="1">
        <v>60003760</v>
      </c>
      <c r="IQ29" s="1">
        <v>-1</v>
      </c>
      <c r="IR29" s="1">
        <v>0</v>
      </c>
      <c r="IT29" s="1">
        <v>2790204701</v>
      </c>
      <c r="IU29" s="1">
        <v>16679</v>
      </c>
      <c r="IV29" s="1">
        <v>5000000</v>
      </c>
      <c r="IW29" s="1">
        <v>5000000</v>
      </c>
      <c r="IX29" s="1">
        <v>1795</v>
      </c>
      <c r="IY29" s="1">
        <v>1</v>
      </c>
      <c r="IZ29" s="1">
        <v>0</v>
      </c>
      <c r="JA29" s="1">
        <v>90</v>
      </c>
      <c r="JB29" s="1">
        <v>60003760</v>
      </c>
      <c r="JC29" s="1">
        <v>32767</v>
      </c>
      <c r="JD29" s="1">
        <v>0</v>
      </c>
      <c r="JF29" s="1">
        <v>2870951969</v>
      </c>
      <c r="JG29" s="1">
        <v>16272</v>
      </c>
      <c r="JH29" s="1">
        <v>286891</v>
      </c>
      <c r="JI29" s="1">
        <v>286891</v>
      </c>
      <c r="JJ29" s="1">
        <v>81.709999999999994</v>
      </c>
      <c r="JK29" s="1">
        <v>1</v>
      </c>
      <c r="JL29" s="1">
        <v>0</v>
      </c>
      <c r="JM29" s="1">
        <v>90</v>
      </c>
      <c r="JN29" s="1">
        <v>60003760</v>
      </c>
      <c r="JO29" s="1">
        <v>32767</v>
      </c>
      <c r="JP29" s="1">
        <v>6</v>
      </c>
      <c r="JR29" s="1">
        <v>2758658664</v>
      </c>
      <c r="JS29" s="1">
        <v>10226</v>
      </c>
      <c r="JT29" s="1">
        <v>1</v>
      </c>
      <c r="JU29" s="1">
        <v>1</v>
      </c>
      <c r="JV29" s="1">
        <v>98001000.280000001</v>
      </c>
      <c r="JW29" s="1">
        <v>1</v>
      </c>
      <c r="JX29" s="1">
        <v>1</v>
      </c>
      <c r="JY29" s="1">
        <v>90</v>
      </c>
      <c r="JZ29" s="1">
        <v>60003760</v>
      </c>
      <c r="KA29" s="1">
        <v>-1</v>
      </c>
      <c r="KB29" s="1">
        <v>0</v>
      </c>
      <c r="KD29" s="1">
        <v>2858341545</v>
      </c>
      <c r="KE29" s="1">
        <v>25605</v>
      </c>
      <c r="KF29" s="1">
        <v>246</v>
      </c>
      <c r="KG29" s="1">
        <v>246</v>
      </c>
      <c r="KH29" s="1">
        <v>114999.5</v>
      </c>
      <c r="KI29" s="1">
        <v>1</v>
      </c>
      <c r="KJ29" s="1">
        <v>0</v>
      </c>
      <c r="KK29" s="1">
        <v>30</v>
      </c>
      <c r="KL29" s="1">
        <v>60003760</v>
      </c>
      <c r="KM29" s="1">
        <v>32767</v>
      </c>
      <c r="KN29" s="1">
        <v>6</v>
      </c>
      <c r="KP29" s="1">
        <v>2836238409</v>
      </c>
      <c r="KQ29" s="1">
        <v>25624</v>
      </c>
      <c r="KR29" s="1">
        <v>74</v>
      </c>
      <c r="KS29" s="1">
        <v>60</v>
      </c>
      <c r="KT29" s="1">
        <v>19579999</v>
      </c>
      <c r="KU29" s="1">
        <v>1</v>
      </c>
      <c r="KV29" s="1">
        <v>0</v>
      </c>
      <c r="KW29" s="1">
        <v>90</v>
      </c>
      <c r="KX29" s="1">
        <v>60003760</v>
      </c>
      <c r="KY29" s="1">
        <v>32767</v>
      </c>
      <c r="KZ29" s="1">
        <v>1</v>
      </c>
      <c r="LB29" s="1">
        <v>2836514082</v>
      </c>
      <c r="LC29" s="1">
        <v>9832</v>
      </c>
      <c r="LD29" s="1">
        <v>620</v>
      </c>
      <c r="LE29" s="1">
        <v>620</v>
      </c>
      <c r="LF29" s="1">
        <v>9979.81</v>
      </c>
      <c r="LG29" s="1">
        <v>1</v>
      </c>
      <c r="LH29" s="1">
        <v>0</v>
      </c>
      <c r="LI29" s="1">
        <v>90</v>
      </c>
      <c r="LJ29" s="1">
        <v>60003760</v>
      </c>
      <c r="LK29" s="1">
        <v>32767</v>
      </c>
      <c r="LL29" s="1">
        <v>0</v>
      </c>
      <c r="LN29" s="1">
        <v>2875976608</v>
      </c>
      <c r="LO29" s="1">
        <v>10209</v>
      </c>
      <c r="LP29" s="1">
        <v>34</v>
      </c>
      <c r="LQ29" s="1">
        <v>34</v>
      </c>
      <c r="LR29" s="1">
        <v>125000000.06999999</v>
      </c>
      <c r="LS29" s="1">
        <v>1</v>
      </c>
      <c r="LT29" s="1">
        <v>0</v>
      </c>
      <c r="LU29" s="1">
        <v>30</v>
      </c>
      <c r="LV29" s="1">
        <v>60003760</v>
      </c>
      <c r="LW29" s="1">
        <v>32767</v>
      </c>
      <c r="LX29" s="1">
        <v>1</v>
      </c>
      <c r="LZ29" s="1">
        <v>2770663298</v>
      </c>
      <c r="MA29" s="1">
        <v>10217</v>
      </c>
      <c r="MB29" s="1">
        <v>5</v>
      </c>
      <c r="MC29" s="1">
        <v>5</v>
      </c>
      <c r="MD29" s="1">
        <v>99103100.560000002</v>
      </c>
      <c r="ME29" s="1">
        <v>1</v>
      </c>
      <c r="MF29" s="1">
        <v>1</v>
      </c>
      <c r="MG29" s="1">
        <v>90</v>
      </c>
      <c r="MH29" s="1">
        <v>60003760</v>
      </c>
      <c r="MI29" s="1">
        <v>-1</v>
      </c>
      <c r="MJ29" s="1">
        <v>0</v>
      </c>
      <c r="ML29" s="1">
        <v>2878311861</v>
      </c>
      <c r="MM29" s="1">
        <v>25625</v>
      </c>
      <c r="MN29" s="1">
        <v>2</v>
      </c>
      <c r="MO29" s="1">
        <v>2</v>
      </c>
      <c r="MP29" s="1">
        <v>4592998</v>
      </c>
      <c r="MQ29" s="1">
        <v>1</v>
      </c>
      <c r="MR29" s="1">
        <v>0</v>
      </c>
      <c r="MS29" s="1">
        <v>90</v>
      </c>
      <c r="MT29" s="1">
        <v>60003760</v>
      </c>
      <c r="MU29" s="1">
        <v>32767</v>
      </c>
      <c r="MV29" s="1">
        <v>0</v>
      </c>
      <c r="MX29" s="1">
        <v>2869082183</v>
      </c>
      <c r="MY29" s="1">
        <v>16672</v>
      </c>
      <c r="MZ29" s="1">
        <v>5000000</v>
      </c>
      <c r="NA29" s="1">
        <v>5000000</v>
      </c>
      <c r="NB29" s="1">
        <v>140</v>
      </c>
      <c r="NC29" s="1">
        <v>1</v>
      </c>
      <c r="ND29" s="1">
        <v>0</v>
      </c>
      <c r="NE29" s="1">
        <v>90</v>
      </c>
      <c r="NF29" s="1">
        <v>60003760</v>
      </c>
      <c r="NG29" s="1">
        <v>32767</v>
      </c>
      <c r="NH29" s="1">
        <v>0</v>
      </c>
      <c r="NJ29" s="1">
        <v>2834475796</v>
      </c>
      <c r="NK29" s="1">
        <v>16673</v>
      </c>
      <c r="NL29" s="1">
        <v>3110295</v>
      </c>
      <c r="NM29" s="1">
        <v>1594554</v>
      </c>
      <c r="NN29" s="1">
        <v>116</v>
      </c>
      <c r="NO29" s="1">
        <v>1</v>
      </c>
      <c r="NP29" s="1">
        <v>0</v>
      </c>
      <c r="NQ29" s="1">
        <v>90</v>
      </c>
      <c r="NR29" s="1">
        <v>60003760</v>
      </c>
      <c r="NS29" s="1">
        <v>32767</v>
      </c>
      <c r="NT29" s="1">
        <v>6</v>
      </c>
      <c r="NV29" s="1">
        <v>2830705704</v>
      </c>
      <c r="NW29" s="1">
        <v>3689</v>
      </c>
      <c r="NX29" s="1">
        <v>1145</v>
      </c>
      <c r="NY29" s="1">
        <v>1145</v>
      </c>
      <c r="NZ29" s="1">
        <v>12185</v>
      </c>
      <c r="OA29" s="1">
        <v>1</v>
      </c>
      <c r="OB29" s="1">
        <v>0</v>
      </c>
      <c r="OC29" s="1">
        <v>90</v>
      </c>
      <c r="OD29" s="1">
        <v>60003760</v>
      </c>
      <c r="OE29" s="1">
        <v>32767</v>
      </c>
      <c r="OF29" s="1">
        <v>0</v>
      </c>
      <c r="OH29" s="1">
        <v>2767071931</v>
      </c>
      <c r="OI29" s="1">
        <v>25598</v>
      </c>
      <c r="OJ29" s="1">
        <v>135089</v>
      </c>
      <c r="OK29" s="1">
        <v>61268</v>
      </c>
      <c r="OL29" s="1">
        <v>172033.99</v>
      </c>
      <c r="OM29" s="1">
        <v>1</v>
      </c>
      <c r="ON29" s="1">
        <v>0</v>
      </c>
      <c r="OO29" s="1">
        <v>90</v>
      </c>
      <c r="OP29" s="1">
        <v>60003760</v>
      </c>
      <c r="OQ29" s="1">
        <v>32767</v>
      </c>
      <c r="OR29" s="1">
        <v>0</v>
      </c>
      <c r="OT29" s="1">
        <v>2777320353</v>
      </c>
      <c r="OU29" s="1">
        <v>25600</v>
      </c>
      <c r="OV29" s="1">
        <v>50170</v>
      </c>
      <c r="OW29" s="1">
        <v>29936</v>
      </c>
      <c r="OX29" s="1">
        <v>39398.9</v>
      </c>
      <c r="OY29" s="1">
        <v>1</v>
      </c>
      <c r="OZ29" s="1">
        <v>0</v>
      </c>
      <c r="PA29" s="1">
        <v>90</v>
      </c>
      <c r="PB29" s="1">
        <v>60003760</v>
      </c>
      <c r="PC29" s="1">
        <v>32767</v>
      </c>
      <c r="PD29" s="1">
        <v>0</v>
      </c>
      <c r="PF29" s="1">
        <v>2863816982</v>
      </c>
      <c r="PG29" s="1">
        <v>16670</v>
      </c>
      <c r="PH29" s="1">
        <v>1750000</v>
      </c>
      <c r="PI29" s="1">
        <v>1590000</v>
      </c>
      <c r="PJ29" s="1">
        <v>122.88</v>
      </c>
      <c r="PK29" s="1">
        <v>1</v>
      </c>
      <c r="PL29" s="1">
        <v>0</v>
      </c>
      <c r="PM29" s="1">
        <v>90</v>
      </c>
      <c r="PN29" s="1">
        <v>60003760</v>
      </c>
      <c r="PO29" s="1">
        <v>32767</v>
      </c>
      <c r="PP29" s="1">
        <v>7</v>
      </c>
      <c r="PR29" s="1">
        <v>2877700839</v>
      </c>
      <c r="PS29" s="1">
        <v>10222</v>
      </c>
      <c r="PT29" s="1">
        <v>1</v>
      </c>
      <c r="PU29" s="1">
        <v>1</v>
      </c>
      <c r="PV29" s="1">
        <v>118900000</v>
      </c>
      <c r="PW29" s="1">
        <v>1</v>
      </c>
      <c r="PX29" s="1">
        <v>0</v>
      </c>
      <c r="PY29" s="1">
        <v>90</v>
      </c>
      <c r="PZ29" s="1">
        <v>60000967</v>
      </c>
      <c r="QA29" s="1">
        <v>32767</v>
      </c>
      <c r="QB29" s="1">
        <v>11</v>
      </c>
      <c r="QD29" s="1">
        <v>2864931830</v>
      </c>
      <c r="QE29" s="1">
        <v>9830</v>
      </c>
      <c r="QF29" s="1">
        <v>5702</v>
      </c>
      <c r="QG29" s="1">
        <v>5702</v>
      </c>
      <c r="QH29" s="1">
        <v>7650</v>
      </c>
      <c r="QI29" s="1">
        <v>1</v>
      </c>
      <c r="QJ29" s="1">
        <v>0</v>
      </c>
      <c r="QK29" s="1">
        <v>30</v>
      </c>
      <c r="QL29" s="1">
        <v>60003760</v>
      </c>
      <c r="QM29" s="1">
        <v>32767</v>
      </c>
      <c r="QN29" s="1">
        <v>0</v>
      </c>
      <c r="QP29" s="1">
        <v>2749813553</v>
      </c>
      <c r="QQ29" s="1">
        <v>16671</v>
      </c>
      <c r="QR29" s="1">
        <v>6000000</v>
      </c>
      <c r="QS29" s="1">
        <v>108154</v>
      </c>
      <c r="QT29" s="1">
        <v>147.96</v>
      </c>
      <c r="QU29" s="1">
        <v>1</v>
      </c>
      <c r="QV29" s="1">
        <v>0</v>
      </c>
      <c r="QW29" s="1">
        <v>90</v>
      </c>
      <c r="QX29" s="1">
        <v>60003760</v>
      </c>
      <c r="QY29" s="1">
        <v>32767</v>
      </c>
      <c r="QZ29" s="1">
        <v>7</v>
      </c>
      <c r="RB29" s="1">
        <v>2867467882</v>
      </c>
      <c r="RC29" s="1">
        <v>16682</v>
      </c>
      <c r="RD29" s="1">
        <v>256341</v>
      </c>
      <c r="RE29" s="1">
        <v>247781</v>
      </c>
      <c r="RF29" s="1">
        <v>3351.55</v>
      </c>
      <c r="RG29" s="1">
        <v>1</v>
      </c>
      <c r="RH29" s="1">
        <v>0</v>
      </c>
      <c r="RI29" s="1">
        <v>90</v>
      </c>
      <c r="RJ29" s="1">
        <v>60003760</v>
      </c>
      <c r="RK29" s="1">
        <v>32767</v>
      </c>
      <c r="RL29" s="1">
        <v>8</v>
      </c>
      <c r="RN29" s="1">
        <v>2875626916</v>
      </c>
      <c r="RO29" s="1">
        <v>16678</v>
      </c>
      <c r="RP29" s="1">
        <v>1000000</v>
      </c>
      <c r="RQ29" s="1">
        <v>1000000</v>
      </c>
      <c r="RR29" s="1">
        <v>297.58</v>
      </c>
      <c r="RS29" s="1">
        <v>1</v>
      </c>
      <c r="RT29" s="1">
        <v>0</v>
      </c>
      <c r="RU29" s="1">
        <v>90</v>
      </c>
      <c r="RV29" s="1">
        <v>60003760</v>
      </c>
      <c r="RW29" s="1">
        <v>32767</v>
      </c>
      <c r="RX29" s="1">
        <v>6</v>
      </c>
      <c r="RZ29" s="1">
        <v>2873508718</v>
      </c>
      <c r="SA29" s="1">
        <v>30310</v>
      </c>
      <c r="SB29" s="1">
        <v>464</v>
      </c>
      <c r="SC29" s="1">
        <v>4</v>
      </c>
      <c r="SD29" s="1">
        <v>1288999</v>
      </c>
      <c r="SE29" s="1">
        <v>1</v>
      </c>
      <c r="SF29" s="1">
        <v>0</v>
      </c>
      <c r="SG29" s="1">
        <v>90</v>
      </c>
      <c r="SH29" s="1">
        <v>60003760</v>
      </c>
      <c r="SI29" s="1">
        <v>32767</v>
      </c>
      <c r="SJ29" s="1">
        <v>0</v>
      </c>
      <c r="SL29" s="1">
        <v>2866473416</v>
      </c>
      <c r="SM29" s="1">
        <v>30311</v>
      </c>
      <c r="SN29" s="1">
        <v>60</v>
      </c>
      <c r="SO29" s="1">
        <v>60</v>
      </c>
      <c r="SP29" s="1">
        <v>3158999.3</v>
      </c>
      <c r="SQ29" s="1">
        <v>1</v>
      </c>
      <c r="SR29" s="1">
        <v>0</v>
      </c>
      <c r="SS29" s="1">
        <v>90</v>
      </c>
      <c r="ST29" s="1">
        <v>60003760</v>
      </c>
      <c r="SU29" s="1">
        <v>32767</v>
      </c>
      <c r="SV29" s="1">
        <v>0</v>
      </c>
      <c r="SX29" s="1">
        <v>2779767159</v>
      </c>
      <c r="SY29" s="1">
        <v>25595</v>
      </c>
      <c r="SZ29" s="1">
        <v>135</v>
      </c>
      <c r="TA29" s="1">
        <v>17</v>
      </c>
      <c r="TB29" s="1">
        <v>106738.94</v>
      </c>
      <c r="TC29" s="1">
        <v>1</v>
      </c>
      <c r="TD29" s="1">
        <v>0</v>
      </c>
      <c r="TE29" s="1">
        <v>90</v>
      </c>
      <c r="TF29" s="1">
        <v>60003760</v>
      </c>
      <c r="TG29" s="1">
        <v>32767</v>
      </c>
      <c r="TH29" s="1">
        <v>6</v>
      </c>
      <c r="TJ29" s="1">
        <v>2849476988</v>
      </c>
      <c r="TK29" s="1">
        <v>25606</v>
      </c>
      <c r="TL29" s="1">
        <v>116</v>
      </c>
      <c r="TM29" s="1">
        <v>116</v>
      </c>
      <c r="TN29" s="1">
        <v>28999</v>
      </c>
      <c r="TO29" s="1">
        <v>1</v>
      </c>
      <c r="TP29" s="1">
        <v>0</v>
      </c>
      <c r="TQ29" s="1">
        <v>90</v>
      </c>
      <c r="TR29" s="1">
        <v>60003760</v>
      </c>
      <c r="TS29" s="1">
        <v>32767</v>
      </c>
      <c r="TT29" s="1">
        <v>0</v>
      </c>
      <c r="TV29" s="1">
        <v>2875482276</v>
      </c>
      <c r="TW29" s="1">
        <v>25622</v>
      </c>
      <c r="TX29" s="1">
        <v>59</v>
      </c>
      <c r="TY29" s="1">
        <v>11</v>
      </c>
      <c r="TZ29" s="1">
        <v>15223996.18</v>
      </c>
      <c r="UA29" s="1">
        <v>1</v>
      </c>
      <c r="UB29" s="1">
        <v>0</v>
      </c>
      <c r="UC29" s="1">
        <v>90</v>
      </c>
      <c r="UD29" s="1">
        <v>60003760</v>
      </c>
      <c r="UE29" s="1">
        <v>32767</v>
      </c>
      <c r="UF29" s="1">
        <v>0</v>
      </c>
      <c r="UH29" s="1">
        <v>2864506785</v>
      </c>
      <c r="UI29" s="1">
        <v>16680</v>
      </c>
      <c r="UJ29" s="1">
        <v>750000</v>
      </c>
      <c r="UK29" s="1">
        <v>651097</v>
      </c>
      <c r="UL29" s="1">
        <v>710.99</v>
      </c>
      <c r="UM29" s="1">
        <v>1</v>
      </c>
      <c r="UN29" s="1">
        <v>0</v>
      </c>
      <c r="UO29" s="1">
        <v>30</v>
      </c>
      <c r="UP29" s="1">
        <v>60003760</v>
      </c>
      <c r="UQ29" s="1">
        <v>32767</v>
      </c>
      <c r="UR29" s="1">
        <v>6</v>
      </c>
      <c r="UT29" s="1">
        <v>2873166933</v>
      </c>
      <c r="UU29" s="1">
        <v>17317</v>
      </c>
      <c r="UV29" s="1">
        <v>131025</v>
      </c>
      <c r="UW29" s="1">
        <v>41671</v>
      </c>
      <c r="UX29" s="1">
        <v>28979.87</v>
      </c>
      <c r="UY29" s="1">
        <v>1</v>
      </c>
      <c r="UZ29" s="1">
        <v>0</v>
      </c>
      <c r="VA29" s="1">
        <v>90</v>
      </c>
      <c r="VB29" s="1">
        <v>60003760</v>
      </c>
      <c r="VC29" s="1">
        <v>32767</v>
      </c>
      <c r="VD29" s="1">
        <v>0</v>
      </c>
      <c r="VF29" s="1">
        <v>2027694464</v>
      </c>
      <c r="VG29" s="1">
        <v>11725</v>
      </c>
      <c r="VH29" s="1">
        <v>10000</v>
      </c>
      <c r="VI29" s="1">
        <v>9901</v>
      </c>
      <c r="VJ29" s="1">
        <v>2000.04</v>
      </c>
      <c r="VK29" s="1">
        <v>1</v>
      </c>
      <c r="VL29" s="1">
        <v>1</v>
      </c>
      <c r="VM29" s="1">
        <v>90</v>
      </c>
      <c r="VN29" s="1">
        <v>60000682</v>
      </c>
      <c r="VO29" s="1">
        <v>10</v>
      </c>
      <c r="VP29" s="1">
        <v>0</v>
      </c>
    </row>
    <row r="30" spans="2:588" x14ac:dyDescent="0.25">
      <c r="B30" s="1">
        <v>2876379154</v>
      </c>
      <c r="C30" s="1">
        <v>34</v>
      </c>
      <c r="D30" s="1">
        <v>15225281</v>
      </c>
      <c r="E30" s="1">
        <v>5199368</v>
      </c>
      <c r="F30" s="1">
        <v>5.6</v>
      </c>
      <c r="G30" s="1">
        <v>1</v>
      </c>
      <c r="H30" s="1">
        <v>0</v>
      </c>
      <c r="I30" s="1">
        <v>3</v>
      </c>
      <c r="J30" s="1">
        <v>60003397</v>
      </c>
      <c r="K30" s="1">
        <v>32767</v>
      </c>
      <c r="L30" s="1">
        <v>3</v>
      </c>
      <c r="N30" s="1">
        <v>2756613065</v>
      </c>
      <c r="O30" s="1">
        <v>35</v>
      </c>
      <c r="P30" s="1">
        <v>5772135</v>
      </c>
      <c r="Q30" s="1">
        <v>5772135</v>
      </c>
      <c r="R30" s="1">
        <v>25</v>
      </c>
      <c r="S30" s="1">
        <v>1</v>
      </c>
      <c r="T30" s="1">
        <v>0</v>
      </c>
      <c r="U30" s="1">
        <v>90</v>
      </c>
      <c r="V30" s="1">
        <v>60003760</v>
      </c>
      <c r="W30" s="1">
        <v>32767</v>
      </c>
      <c r="X30" s="1">
        <v>0</v>
      </c>
      <c r="Z30" s="1">
        <v>2829348563</v>
      </c>
      <c r="AA30" s="1">
        <v>36</v>
      </c>
      <c r="AB30" s="1">
        <v>249565</v>
      </c>
      <c r="AC30" s="1">
        <v>249565</v>
      </c>
      <c r="AD30" s="16">
        <v>61</v>
      </c>
      <c r="AE30" s="1">
        <v>1</v>
      </c>
      <c r="AF30" s="1">
        <v>0</v>
      </c>
      <c r="AG30" s="1">
        <v>90</v>
      </c>
      <c r="AH30" s="1">
        <v>60003760</v>
      </c>
      <c r="AI30" s="1">
        <v>32767</v>
      </c>
      <c r="AJ30" s="1">
        <v>11</v>
      </c>
      <c r="AL30" s="1">
        <v>2768300235</v>
      </c>
      <c r="AM30" s="1">
        <v>37</v>
      </c>
      <c r="AN30" s="1">
        <v>7853960</v>
      </c>
      <c r="AO30" s="1">
        <v>7853960</v>
      </c>
      <c r="AP30" s="16">
        <v>155.61000000000001</v>
      </c>
      <c r="AQ30" s="1">
        <v>1</v>
      </c>
      <c r="AR30" s="1">
        <v>0</v>
      </c>
      <c r="AS30" s="1">
        <v>90</v>
      </c>
      <c r="AT30" s="1">
        <v>60003760</v>
      </c>
      <c r="AU30" s="1">
        <v>32767</v>
      </c>
      <c r="AV30" s="1">
        <v>9</v>
      </c>
      <c r="AX30" s="1">
        <v>2505851856</v>
      </c>
      <c r="AY30" s="1">
        <v>38</v>
      </c>
      <c r="AZ30" s="1">
        <v>2395346</v>
      </c>
      <c r="BA30" s="1">
        <v>2395346</v>
      </c>
      <c r="BB30" s="1">
        <v>994.83</v>
      </c>
      <c r="BC30" s="1">
        <v>1</v>
      </c>
      <c r="BD30" s="1">
        <v>0</v>
      </c>
      <c r="BE30" s="1">
        <v>90</v>
      </c>
      <c r="BF30" s="1">
        <v>60003760</v>
      </c>
      <c r="BG30" s="1">
        <v>32767</v>
      </c>
      <c r="BH30" s="1">
        <v>5</v>
      </c>
      <c r="BJ30" s="1">
        <v>2852140405</v>
      </c>
      <c r="BK30" s="1">
        <v>39</v>
      </c>
      <c r="BL30" s="1">
        <v>649594</v>
      </c>
      <c r="BM30" s="1">
        <v>7496</v>
      </c>
      <c r="BN30" s="1">
        <v>825</v>
      </c>
      <c r="BO30" s="1">
        <v>1</v>
      </c>
      <c r="BP30" s="1">
        <v>0</v>
      </c>
      <c r="BQ30" s="1">
        <v>90</v>
      </c>
      <c r="BR30" s="1">
        <v>60003760</v>
      </c>
      <c r="BS30" s="1">
        <v>32767</v>
      </c>
      <c r="BT30" s="1">
        <v>5</v>
      </c>
      <c r="BV30" s="1">
        <v>2381166136</v>
      </c>
      <c r="BW30" s="1">
        <v>40</v>
      </c>
      <c r="BX30" s="1">
        <v>124684</v>
      </c>
      <c r="BY30" s="1">
        <v>124684</v>
      </c>
      <c r="BZ30" s="1">
        <v>2989</v>
      </c>
      <c r="CA30" s="1">
        <v>1</v>
      </c>
      <c r="CB30" s="1">
        <v>0</v>
      </c>
      <c r="CC30" s="1">
        <v>90</v>
      </c>
      <c r="CD30" s="1">
        <v>60003760</v>
      </c>
      <c r="CE30" s="1">
        <v>32767</v>
      </c>
      <c r="CF30" s="1">
        <v>13</v>
      </c>
      <c r="CH30" s="1">
        <v>2357597636</v>
      </c>
      <c r="CI30" s="1">
        <v>29668</v>
      </c>
      <c r="CJ30" s="1">
        <v>1</v>
      </c>
      <c r="CK30" s="1">
        <v>1</v>
      </c>
      <c r="CL30" s="1">
        <v>499999999</v>
      </c>
      <c r="CM30" s="1">
        <v>1</v>
      </c>
      <c r="CN30" s="1">
        <v>0</v>
      </c>
      <c r="CO30" s="1">
        <v>90</v>
      </c>
      <c r="CP30" s="1">
        <v>60003760</v>
      </c>
      <c r="CQ30" s="1">
        <v>32767</v>
      </c>
      <c r="CR30" s="1">
        <v>0</v>
      </c>
      <c r="CT30" s="1">
        <v>2069070627</v>
      </c>
      <c r="CU30" s="1">
        <v>16649</v>
      </c>
      <c r="CV30" s="1">
        <v>81700</v>
      </c>
      <c r="CW30" s="1">
        <v>41781</v>
      </c>
      <c r="CX30" s="1">
        <v>121872.97</v>
      </c>
      <c r="CY30" s="1">
        <v>1</v>
      </c>
      <c r="CZ30" s="1">
        <v>0</v>
      </c>
      <c r="DA30" s="1">
        <v>90</v>
      </c>
      <c r="DB30" s="1">
        <v>60003760</v>
      </c>
      <c r="DC30" s="1">
        <v>32767</v>
      </c>
      <c r="DD30" s="1">
        <v>8</v>
      </c>
      <c r="DF30" s="1">
        <v>2412057345</v>
      </c>
      <c r="DG30" s="1">
        <v>17887</v>
      </c>
      <c r="DH30" s="1">
        <v>187654</v>
      </c>
      <c r="DI30" s="1">
        <v>187654</v>
      </c>
      <c r="DJ30" s="1">
        <v>988.86</v>
      </c>
      <c r="DK30" s="1">
        <v>1</v>
      </c>
      <c r="DL30" s="1">
        <v>0</v>
      </c>
      <c r="DM30" s="1">
        <v>90</v>
      </c>
      <c r="DN30" s="1">
        <v>60003760</v>
      </c>
      <c r="DO30" s="1">
        <v>32767</v>
      </c>
      <c r="DP30" s="1">
        <v>0</v>
      </c>
      <c r="DR30" s="1">
        <v>2775916205</v>
      </c>
      <c r="DS30" s="1">
        <v>17888</v>
      </c>
      <c r="DT30" s="1">
        <v>65998</v>
      </c>
      <c r="DU30" s="1">
        <v>40727</v>
      </c>
      <c r="DV30" s="1">
        <v>410</v>
      </c>
      <c r="DW30" s="1">
        <v>1</v>
      </c>
      <c r="DX30" s="1">
        <v>0</v>
      </c>
      <c r="DY30" s="1">
        <v>90</v>
      </c>
      <c r="DZ30" s="1">
        <v>60004234</v>
      </c>
      <c r="EA30" s="1">
        <v>32767</v>
      </c>
      <c r="EB30" s="1">
        <v>9</v>
      </c>
      <c r="ED30" s="1">
        <v>2850526991</v>
      </c>
      <c r="EE30" s="1">
        <v>16273</v>
      </c>
      <c r="EF30" s="1">
        <v>1362301</v>
      </c>
      <c r="EG30" s="1">
        <v>1362301</v>
      </c>
      <c r="EH30" s="1">
        <v>389.9</v>
      </c>
      <c r="EI30" s="1">
        <v>1</v>
      </c>
      <c r="EJ30" s="1">
        <v>0</v>
      </c>
      <c r="EK30" s="1">
        <v>90</v>
      </c>
      <c r="EL30" s="1">
        <v>60003760</v>
      </c>
      <c r="EM30" s="1">
        <v>32767</v>
      </c>
      <c r="EN30" s="1">
        <v>6</v>
      </c>
      <c r="EP30" s="1">
        <v>2747453535</v>
      </c>
      <c r="EQ30" s="1">
        <v>17889</v>
      </c>
      <c r="ER30" s="1">
        <v>269700</v>
      </c>
      <c r="ES30" s="1">
        <v>269700</v>
      </c>
      <c r="ET30" s="1">
        <v>450</v>
      </c>
      <c r="EU30" s="1">
        <v>1</v>
      </c>
      <c r="EV30" s="1">
        <v>0</v>
      </c>
      <c r="EW30" s="1">
        <v>90</v>
      </c>
      <c r="EX30" s="1">
        <v>60003760</v>
      </c>
      <c r="EY30" s="1">
        <v>32767</v>
      </c>
      <c r="EZ30" s="1">
        <v>7</v>
      </c>
      <c r="FB30" s="1">
        <v>2875478753</v>
      </c>
      <c r="FC30" s="1">
        <v>30259</v>
      </c>
      <c r="FD30" s="1">
        <v>300</v>
      </c>
      <c r="FE30" s="1">
        <v>300</v>
      </c>
      <c r="FF30" s="1">
        <v>5842976</v>
      </c>
      <c r="FG30" s="1">
        <v>1</v>
      </c>
      <c r="FH30" s="1">
        <v>0</v>
      </c>
      <c r="FI30" s="1">
        <v>90</v>
      </c>
      <c r="FJ30" s="1">
        <v>60003760</v>
      </c>
      <c r="FK30" s="1">
        <v>32767</v>
      </c>
      <c r="FL30" s="1">
        <v>0</v>
      </c>
      <c r="FN30" s="1">
        <v>2867135293</v>
      </c>
      <c r="FO30" s="1">
        <v>25617</v>
      </c>
      <c r="FP30" s="1">
        <v>22</v>
      </c>
      <c r="FQ30" s="1">
        <v>22</v>
      </c>
      <c r="FR30" s="1">
        <v>5206055.46</v>
      </c>
      <c r="FS30" s="1">
        <v>1</v>
      </c>
      <c r="FT30" s="1">
        <v>0</v>
      </c>
      <c r="FU30" s="1">
        <v>90</v>
      </c>
      <c r="FV30" s="1">
        <v>60003760</v>
      </c>
      <c r="FW30" s="1">
        <v>32767</v>
      </c>
      <c r="FX30" s="1">
        <v>0</v>
      </c>
      <c r="FZ30" s="1">
        <v>2859773778</v>
      </c>
      <c r="GA30" s="1">
        <v>44</v>
      </c>
      <c r="GB30" s="1">
        <v>3999</v>
      </c>
      <c r="GC30" s="1">
        <v>3999</v>
      </c>
      <c r="GD30" s="1">
        <v>13500</v>
      </c>
      <c r="GE30" s="1">
        <v>1</v>
      </c>
      <c r="GF30" s="1">
        <v>0</v>
      </c>
      <c r="GG30" s="1">
        <v>30</v>
      </c>
      <c r="GH30" s="1">
        <v>60003760</v>
      </c>
      <c r="GI30" s="1">
        <v>32767</v>
      </c>
      <c r="GJ30" s="1">
        <v>4</v>
      </c>
      <c r="GL30" s="1">
        <v>2414976758</v>
      </c>
      <c r="GM30" s="1">
        <v>16681</v>
      </c>
      <c r="GN30" s="1">
        <v>280000</v>
      </c>
      <c r="GO30" s="1">
        <v>280000</v>
      </c>
      <c r="GP30" s="1">
        <v>6184.09</v>
      </c>
      <c r="GQ30" s="1">
        <v>1</v>
      </c>
      <c r="GR30" s="1">
        <v>0</v>
      </c>
      <c r="GS30" s="1">
        <v>90</v>
      </c>
      <c r="GT30" s="1">
        <v>60003760</v>
      </c>
      <c r="GU30" s="1">
        <v>32767</v>
      </c>
      <c r="GV30" s="1">
        <v>0</v>
      </c>
      <c r="GX30" s="1">
        <v>2868774005</v>
      </c>
      <c r="GY30" s="1">
        <v>16683</v>
      </c>
      <c r="GZ30" s="1">
        <v>20000</v>
      </c>
      <c r="HA30" s="1">
        <v>20000</v>
      </c>
      <c r="HB30" s="1">
        <v>8727.2199999999993</v>
      </c>
      <c r="HC30" s="1">
        <v>1</v>
      </c>
      <c r="HD30" s="1">
        <v>0</v>
      </c>
      <c r="HE30" s="1">
        <v>30</v>
      </c>
      <c r="HF30" s="1">
        <v>60003760</v>
      </c>
      <c r="HG30" s="1">
        <v>32767</v>
      </c>
      <c r="HH30" s="1">
        <v>0</v>
      </c>
      <c r="HJ30" s="1">
        <v>2807234162</v>
      </c>
      <c r="HK30" s="1">
        <v>11724</v>
      </c>
      <c r="HL30" s="1">
        <v>10000</v>
      </c>
      <c r="HM30" s="1">
        <v>10000</v>
      </c>
      <c r="HN30" s="1">
        <v>38105</v>
      </c>
      <c r="HO30" s="1">
        <v>1</v>
      </c>
      <c r="HP30" s="1">
        <v>1</v>
      </c>
      <c r="HQ30" s="1">
        <v>90</v>
      </c>
      <c r="HR30" s="1">
        <v>60003760</v>
      </c>
      <c r="HS30" s="1">
        <v>-1</v>
      </c>
      <c r="HT30" s="1">
        <v>0</v>
      </c>
      <c r="HV30" s="1">
        <v>2853121468</v>
      </c>
      <c r="HW30" s="1">
        <v>16274</v>
      </c>
      <c r="HX30" s="1">
        <v>1541468</v>
      </c>
      <c r="HY30" s="1">
        <v>1541468</v>
      </c>
      <c r="HZ30" s="1">
        <v>374.9</v>
      </c>
      <c r="IA30" s="1">
        <v>1</v>
      </c>
      <c r="IB30" s="1">
        <v>0</v>
      </c>
      <c r="IC30" s="1">
        <v>90</v>
      </c>
      <c r="ID30" s="1">
        <v>60003760</v>
      </c>
      <c r="IE30" s="1">
        <v>32767</v>
      </c>
      <c r="IF30" s="1">
        <v>2</v>
      </c>
      <c r="IH30" s="1">
        <v>2763940956</v>
      </c>
      <c r="II30" s="1">
        <v>10213</v>
      </c>
      <c r="IJ30" s="1">
        <v>1</v>
      </c>
      <c r="IK30" s="1">
        <v>1</v>
      </c>
      <c r="IL30" s="1">
        <v>91000000</v>
      </c>
      <c r="IM30" s="1">
        <v>1</v>
      </c>
      <c r="IN30" s="1">
        <v>1</v>
      </c>
      <c r="IO30" s="1">
        <v>90</v>
      </c>
      <c r="IP30" s="1">
        <v>60003760</v>
      </c>
      <c r="IQ30" s="1">
        <v>0</v>
      </c>
      <c r="IR30" s="1">
        <v>0</v>
      </c>
      <c r="IT30" s="1">
        <v>2790204985</v>
      </c>
      <c r="IU30" s="1">
        <v>16679</v>
      </c>
      <c r="IV30" s="1">
        <v>4561355</v>
      </c>
      <c r="IW30" s="1">
        <v>4561355</v>
      </c>
      <c r="IX30" s="1">
        <v>1971</v>
      </c>
      <c r="IY30" s="1">
        <v>1</v>
      </c>
      <c r="IZ30" s="1">
        <v>0</v>
      </c>
      <c r="JA30" s="1">
        <v>90</v>
      </c>
      <c r="JB30" s="1">
        <v>60003760</v>
      </c>
      <c r="JC30" s="1">
        <v>32767</v>
      </c>
      <c r="JD30" s="1">
        <v>0</v>
      </c>
      <c r="JF30" s="1">
        <v>2871082974</v>
      </c>
      <c r="JG30" s="1">
        <v>16272</v>
      </c>
      <c r="JH30" s="1">
        <v>448742</v>
      </c>
      <c r="JI30" s="1">
        <v>448742</v>
      </c>
      <c r="JJ30" s="1">
        <v>81.67</v>
      </c>
      <c r="JK30" s="1">
        <v>1</v>
      </c>
      <c r="JL30" s="1">
        <v>0</v>
      </c>
      <c r="JM30" s="1">
        <v>90</v>
      </c>
      <c r="JN30" s="1">
        <v>60003760</v>
      </c>
      <c r="JO30" s="1">
        <v>32767</v>
      </c>
      <c r="JP30" s="1">
        <v>6</v>
      </c>
      <c r="JR30" s="1">
        <v>2760973290</v>
      </c>
      <c r="JS30" s="1">
        <v>10226</v>
      </c>
      <c r="JT30" s="1">
        <v>1</v>
      </c>
      <c r="JU30" s="1">
        <v>1</v>
      </c>
      <c r="JV30" s="1">
        <v>90000000.010000005</v>
      </c>
      <c r="JW30" s="1">
        <v>1</v>
      </c>
      <c r="JX30" s="1">
        <v>1</v>
      </c>
      <c r="JY30" s="1">
        <v>90</v>
      </c>
      <c r="JZ30" s="1">
        <v>60003760</v>
      </c>
      <c r="KA30" s="1">
        <v>-1</v>
      </c>
      <c r="KB30" s="1">
        <v>0</v>
      </c>
      <c r="KD30" s="1">
        <v>2858223989</v>
      </c>
      <c r="KE30" s="1">
        <v>25605</v>
      </c>
      <c r="KF30" s="1">
        <v>524</v>
      </c>
      <c r="KG30" s="1">
        <v>87</v>
      </c>
      <c r="KH30" s="1">
        <v>115000</v>
      </c>
      <c r="KI30" s="1">
        <v>1</v>
      </c>
      <c r="KJ30" s="1">
        <v>0</v>
      </c>
      <c r="KK30" s="1">
        <v>30</v>
      </c>
      <c r="KL30" s="1">
        <v>60003760</v>
      </c>
      <c r="KM30" s="1">
        <v>32767</v>
      </c>
      <c r="KN30" s="1">
        <v>6</v>
      </c>
      <c r="KP30" s="1">
        <v>2837797159</v>
      </c>
      <c r="KQ30" s="1">
        <v>25624</v>
      </c>
      <c r="KR30" s="1">
        <v>3</v>
      </c>
      <c r="KS30" s="1">
        <v>3</v>
      </c>
      <c r="KT30" s="1">
        <v>20000000</v>
      </c>
      <c r="KU30" s="1">
        <v>1</v>
      </c>
      <c r="KV30" s="1">
        <v>0</v>
      </c>
      <c r="KW30" s="1">
        <v>90</v>
      </c>
      <c r="KX30" s="1">
        <v>60003760</v>
      </c>
      <c r="KY30" s="1">
        <v>32767</v>
      </c>
      <c r="KZ30" s="1">
        <v>1</v>
      </c>
      <c r="LB30" s="1">
        <v>2836656567</v>
      </c>
      <c r="LC30" s="1">
        <v>9832</v>
      </c>
      <c r="LD30" s="1">
        <v>124060</v>
      </c>
      <c r="LE30" s="1">
        <v>5363</v>
      </c>
      <c r="LF30" s="1">
        <v>9949.91</v>
      </c>
      <c r="LG30" s="1">
        <v>1</v>
      </c>
      <c r="LH30" s="1">
        <v>0</v>
      </c>
      <c r="LI30" s="1">
        <v>90</v>
      </c>
      <c r="LJ30" s="1">
        <v>60003760</v>
      </c>
      <c r="LK30" s="1">
        <v>32767</v>
      </c>
      <c r="LL30" s="1">
        <v>0</v>
      </c>
      <c r="LN30" s="1">
        <v>2876262940</v>
      </c>
      <c r="LO30" s="1">
        <v>10209</v>
      </c>
      <c r="LP30" s="1">
        <v>5</v>
      </c>
      <c r="LQ30" s="1">
        <v>2</v>
      </c>
      <c r="LR30" s="1">
        <v>118749000</v>
      </c>
      <c r="LS30" s="1">
        <v>1</v>
      </c>
      <c r="LT30" s="1">
        <v>0</v>
      </c>
      <c r="LU30" s="1">
        <v>90</v>
      </c>
      <c r="LV30" s="1">
        <v>60003760</v>
      </c>
      <c r="LW30" s="1">
        <v>32767</v>
      </c>
      <c r="LX30" s="1">
        <v>1</v>
      </c>
      <c r="LZ30" s="1">
        <v>2771856197</v>
      </c>
      <c r="MA30" s="1">
        <v>10217</v>
      </c>
      <c r="MB30" s="1">
        <v>10</v>
      </c>
      <c r="MC30" s="1">
        <v>10</v>
      </c>
      <c r="MD30" s="1">
        <v>108505657.76000001</v>
      </c>
      <c r="ME30" s="1">
        <v>1</v>
      </c>
      <c r="MF30" s="1">
        <v>1</v>
      </c>
      <c r="MG30" s="1">
        <v>90</v>
      </c>
      <c r="MH30" s="1">
        <v>60003760</v>
      </c>
      <c r="MI30" s="1">
        <v>0</v>
      </c>
      <c r="MJ30" s="1">
        <v>0</v>
      </c>
      <c r="ML30" s="1">
        <v>2878327557</v>
      </c>
      <c r="MM30" s="1">
        <v>25625</v>
      </c>
      <c r="MN30" s="1">
        <v>7</v>
      </c>
      <c r="MO30" s="1">
        <v>7</v>
      </c>
      <c r="MP30" s="1">
        <v>4592000</v>
      </c>
      <c r="MQ30" s="1">
        <v>1</v>
      </c>
      <c r="MR30" s="1">
        <v>0</v>
      </c>
      <c r="MS30" s="1">
        <v>1</v>
      </c>
      <c r="MT30" s="1">
        <v>60003760</v>
      </c>
      <c r="MU30" s="1">
        <v>32767</v>
      </c>
      <c r="MV30" s="1">
        <v>0</v>
      </c>
      <c r="MX30" s="1">
        <v>2870052951</v>
      </c>
      <c r="MY30" s="1">
        <v>16672</v>
      </c>
      <c r="MZ30" s="1">
        <v>3990000</v>
      </c>
      <c r="NA30" s="1">
        <v>3990000</v>
      </c>
      <c r="NB30" s="1">
        <v>144.13</v>
      </c>
      <c r="NC30" s="1">
        <v>1</v>
      </c>
      <c r="ND30" s="1">
        <v>0</v>
      </c>
      <c r="NE30" s="1">
        <v>90</v>
      </c>
      <c r="NF30" s="1">
        <v>60003760</v>
      </c>
      <c r="NG30" s="1">
        <v>32767</v>
      </c>
      <c r="NH30" s="1">
        <v>0</v>
      </c>
      <c r="NJ30" s="1">
        <v>2832992480</v>
      </c>
      <c r="NK30" s="1">
        <v>16673</v>
      </c>
      <c r="NL30" s="1">
        <v>1360000</v>
      </c>
      <c r="NM30" s="1">
        <v>1360000</v>
      </c>
      <c r="NN30" s="1">
        <v>117.22</v>
      </c>
      <c r="NO30" s="1">
        <v>1</v>
      </c>
      <c r="NP30" s="1">
        <v>0</v>
      </c>
      <c r="NQ30" s="1">
        <v>90</v>
      </c>
      <c r="NR30" s="1">
        <v>60003760</v>
      </c>
      <c r="NS30" s="1">
        <v>32767</v>
      </c>
      <c r="NT30" s="1">
        <v>6</v>
      </c>
      <c r="NV30" s="1">
        <v>2829952302</v>
      </c>
      <c r="NW30" s="1">
        <v>3689</v>
      </c>
      <c r="NX30" s="1">
        <v>13300</v>
      </c>
      <c r="NY30" s="1">
        <v>13259</v>
      </c>
      <c r="NZ30" s="1">
        <v>12185.05</v>
      </c>
      <c r="OA30" s="1">
        <v>1</v>
      </c>
      <c r="OB30" s="1">
        <v>0</v>
      </c>
      <c r="OC30" s="1">
        <v>90</v>
      </c>
      <c r="OD30" s="1">
        <v>60003760</v>
      </c>
      <c r="OE30" s="1">
        <v>32767</v>
      </c>
      <c r="OF30" s="1">
        <v>0</v>
      </c>
      <c r="OH30" s="1">
        <v>2768210484</v>
      </c>
      <c r="OI30" s="1">
        <v>25598</v>
      </c>
      <c r="OJ30" s="1">
        <v>93</v>
      </c>
      <c r="OK30" s="1">
        <v>93</v>
      </c>
      <c r="OL30" s="1">
        <v>380000</v>
      </c>
      <c r="OM30" s="1">
        <v>1</v>
      </c>
      <c r="ON30" s="1">
        <v>0</v>
      </c>
      <c r="OO30" s="1">
        <v>90</v>
      </c>
      <c r="OP30" s="1">
        <v>60003760</v>
      </c>
      <c r="OQ30" s="1">
        <v>32767</v>
      </c>
      <c r="OR30" s="1">
        <v>0</v>
      </c>
      <c r="OT30" s="1">
        <v>2781969373</v>
      </c>
      <c r="OU30" s="1">
        <v>25600</v>
      </c>
      <c r="OV30" s="1">
        <v>100000</v>
      </c>
      <c r="OW30" s="1">
        <v>100000</v>
      </c>
      <c r="OX30" s="1">
        <v>35399</v>
      </c>
      <c r="OY30" s="1">
        <v>1</v>
      </c>
      <c r="OZ30" s="1">
        <v>0</v>
      </c>
      <c r="PA30" s="1">
        <v>90</v>
      </c>
      <c r="PB30" s="1">
        <v>60003760</v>
      </c>
      <c r="PC30" s="1">
        <v>32767</v>
      </c>
      <c r="PD30" s="1">
        <v>0</v>
      </c>
      <c r="PF30" s="1">
        <v>2863735211</v>
      </c>
      <c r="PG30" s="1">
        <v>16670</v>
      </c>
      <c r="PH30" s="1">
        <v>2880000</v>
      </c>
      <c r="PI30" s="1">
        <v>2880000</v>
      </c>
      <c r="PJ30" s="1">
        <v>125</v>
      </c>
      <c r="PK30" s="1">
        <v>1</v>
      </c>
      <c r="PL30" s="1">
        <v>0</v>
      </c>
      <c r="PM30" s="1">
        <v>30</v>
      </c>
      <c r="PN30" s="1">
        <v>60003760</v>
      </c>
      <c r="PO30" s="1">
        <v>32767</v>
      </c>
      <c r="PP30" s="1">
        <v>7</v>
      </c>
      <c r="PR30" s="1">
        <v>2878557603</v>
      </c>
      <c r="PS30" s="1">
        <v>10222</v>
      </c>
      <c r="PT30" s="1">
        <v>7</v>
      </c>
      <c r="PU30" s="1">
        <v>2</v>
      </c>
      <c r="PV30" s="1">
        <v>117800000</v>
      </c>
      <c r="PW30" s="1">
        <v>1</v>
      </c>
      <c r="PX30" s="1">
        <v>0</v>
      </c>
      <c r="PY30" s="1">
        <v>90</v>
      </c>
      <c r="PZ30" s="1">
        <v>60003760</v>
      </c>
      <c r="QA30" s="1">
        <v>32767</v>
      </c>
      <c r="QB30" s="1">
        <v>0</v>
      </c>
      <c r="QD30" s="1">
        <v>2864648666</v>
      </c>
      <c r="QE30" s="1">
        <v>9830</v>
      </c>
      <c r="QF30" s="1">
        <v>51140</v>
      </c>
      <c r="QG30" s="1">
        <v>38655</v>
      </c>
      <c r="QH30" s="1">
        <v>7574.95</v>
      </c>
      <c r="QI30" s="1">
        <v>1</v>
      </c>
      <c r="QJ30" s="1">
        <v>0</v>
      </c>
      <c r="QK30" s="1">
        <v>90</v>
      </c>
      <c r="QL30" s="1">
        <v>60003760</v>
      </c>
      <c r="QM30" s="1">
        <v>32767</v>
      </c>
      <c r="QN30" s="1">
        <v>0</v>
      </c>
      <c r="QP30" s="1">
        <v>2749208729</v>
      </c>
      <c r="QQ30" s="1">
        <v>16671</v>
      </c>
      <c r="QR30" s="1">
        <v>10320000</v>
      </c>
      <c r="QS30" s="1">
        <v>10320000</v>
      </c>
      <c r="QT30" s="1">
        <v>148.88999999999999</v>
      </c>
      <c r="QU30" s="1">
        <v>1</v>
      </c>
      <c r="QV30" s="1">
        <v>0</v>
      </c>
      <c r="QW30" s="1">
        <v>90</v>
      </c>
      <c r="QX30" s="1">
        <v>60003760</v>
      </c>
      <c r="QY30" s="1">
        <v>32767</v>
      </c>
      <c r="QZ30" s="1">
        <v>7</v>
      </c>
      <c r="RB30" s="1">
        <v>2866354441</v>
      </c>
      <c r="RC30" s="1">
        <v>16682</v>
      </c>
      <c r="RD30" s="1">
        <v>708862</v>
      </c>
      <c r="RE30" s="1">
        <v>521617</v>
      </c>
      <c r="RF30" s="1">
        <v>3350.62</v>
      </c>
      <c r="RG30" s="1">
        <v>1</v>
      </c>
      <c r="RH30" s="1">
        <v>0</v>
      </c>
      <c r="RI30" s="1">
        <v>90</v>
      </c>
      <c r="RJ30" s="1">
        <v>60003760</v>
      </c>
      <c r="RK30" s="1">
        <v>32767</v>
      </c>
      <c r="RL30" s="1">
        <v>8</v>
      </c>
      <c r="RN30" s="1">
        <v>2878281437</v>
      </c>
      <c r="RO30" s="1">
        <v>16678</v>
      </c>
      <c r="RP30" s="1">
        <v>3714000</v>
      </c>
      <c r="RQ30" s="1">
        <v>3714000</v>
      </c>
      <c r="RR30" s="1">
        <v>384.11</v>
      </c>
      <c r="RS30" s="1">
        <v>1</v>
      </c>
      <c r="RT30" s="1">
        <v>0</v>
      </c>
      <c r="RU30" s="1">
        <v>90</v>
      </c>
      <c r="RV30" s="1">
        <v>60003760</v>
      </c>
      <c r="RW30" s="1">
        <v>32767</v>
      </c>
      <c r="RX30" s="1">
        <v>6</v>
      </c>
      <c r="RZ30" s="1">
        <v>2874318801</v>
      </c>
      <c r="SA30" s="1">
        <v>30310</v>
      </c>
      <c r="SB30" s="1">
        <v>2304</v>
      </c>
      <c r="SC30" s="1">
        <v>282</v>
      </c>
      <c r="SD30" s="1">
        <v>1288996.98</v>
      </c>
      <c r="SE30" s="1">
        <v>1</v>
      </c>
      <c r="SF30" s="1">
        <v>0</v>
      </c>
      <c r="SG30" s="1">
        <v>90</v>
      </c>
      <c r="SH30" s="1">
        <v>60003760</v>
      </c>
      <c r="SI30" s="1">
        <v>32767</v>
      </c>
      <c r="SJ30" s="1">
        <v>0</v>
      </c>
      <c r="SL30" s="1">
        <v>2866473676</v>
      </c>
      <c r="SM30" s="1">
        <v>30311</v>
      </c>
      <c r="SN30" s="1">
        <v>60</v>
      </c>
      <c r="SO30" s="1">
        <v>60</v>
      </c>
      <c r="SP30" s="1">
        <v>3146918.8</v>
      </c>
      <c r="SQ30" s="1">
        <v>1</v>
      </c>
      <c r="SR30" s="1">
        <v>0</v>
      </c>
      <c r="SS30" s="1">
        <v>90</v>
      </c>
      <c r="ST30" s="1">
        <v>60003760</v>
      </c>
      <c r="SU30" s="1">
        <v>32767</v>
      </c>
      <c r="SV30" s="1">
        <v>0</v>
      </c>
      <c r="SX30" s="1">
        <v>2781779129</v>
      </c>
      <c r="SY30" s="1">
        <v>25595</v>
      </c>
      <c r="SZ30" s="1">
        <v>11</v>
      </c>
      <c r="TA30" s="1">
        <v>11</v>
      </c>
      <c r="TB30" s="1">
        <v>110000</v>
      </c>
      <c r="TC30" s="1">
        <v>1</v>
      </c>
      <c r="TD30" s="1">
        <v>0</v>
      </c>
      <c r="TE30" s="1">
        <v>90</v>
      </c>
      <c r="TF30" s="1">
        <v>60003760</v>
      </c>
      <c r="TG30" s="1">
        <v>32767</v>
      </c>
      <c r="TH30" s="1">
        <v>6</v>
      </c>
      <c r="TJ30" s="1">
        <v>2849471814</v>
      </c>
      <c r="TK30" s="1">
        <v>25606</v>
      </c>
      <c r="TL30" s="1">
        <v>19</v>
      </c>
      <c r="TM30" s="1">
        <v>19</v>
      </c>
      <c r="TN30" s="1">
        <v>28999</v>
      </c>
      <c r="TO30" s="1">
        <v>1</v>
      </c>
      <c r="TP30" s="1">
        <v>0</v>
      </c>
      <c r="TQ30" s="1">
        <v>90</v>
      </c>
      <c r="TR30" s="1">
        <v>60003760</v>
      </c>
      <c r="TS30" s="1">
        <v>32767</v>
      </c>
      <c r="TT30" s="1">
        <v>0</v>
      </c>
      <c r="TV30" s="1">
        <v>2878327949</v>
      </c>
      <c r="TW30" s="1">
        <v>25622</v>
      </c>
      <c r="TX30" s="1">
        <v>3</v>
      </c>
      <c r="TY30" s="1">
        <v>3</v>
      </c>
      <c r="TZ30" s="1">
        <v>14449990</v>
      </c>
      <c r="UA30" s="1">
        <v>1</v>
      </c>
      <c r="UB30" s="1">
        <v>0</v>
      </c>
      <c r="UC30" s="1">
        <v>1</v>
      </c>
      <c r="UD30" s="1">
        <v>60003760</v>
      </c>
      <c r="UE30" s="1">
        <v>32767</v>
      </c>
      <c r="UF30" s="1">
        <v>0</v>
      </c>
      <c r="UH30" s="1">
        <v>2871275847</v>
      </c>
      <c r="UI30" s="1">
        <v>16680</v>
      </c>
      <c r="UJ30" s="1">
        <v>500000</v>
      </c>
      <c r="UK30" s="1">
        <v>500000</v>
      </c>
      <c r="UL30" s="1">
        <v>720</v>
      </c>
      <c r="UM30" s="1">
        <v>1</v>
      </c>
      <c r="UN30" s="1">
        <v>0</v>
      </c>
      <c r="UO30" s="1">
        <v>90</v>
      </c>
      <c r="UP30" s="1">
        <v>60003760</v>
      </c>
      <c r="UQ30" s="1">
        <v>32767</v>
      </c>
      <c r="UR30" s="1">
        <v>6</v>
      </c>
      <c r="UT30" s="1">
        <v>2876141387</v>
      </c>
      <c r="UU30" s="1">
        <v>17317</v>
      </c>
      <c r="UV30" s="1">
        <v>60800</v>
      </c>
      <c r="UW30" s="1">
        <v>48189</v>
      </c>
      <c r="UX30" s="1">
        <v>28979.85</v>
      </c>
      <c r="UY30" s="1">
        <v>1</v>
      </c>
      <c r="UZ30" s="1">
        <v>0</v>
      </c>
      <c r="VA30" s="1">
        <v>90</v>
      </c>
      <c r="VB30" s="1">
        <v>60003760</v>
      </c>
      <c r="VC30" s="1">
        <v>32767</v>
      </c>
      <c r="VD30" s="1">
        <v>0</v>
      </c>
      <c r="VF30" s="1">
        <v>2789595339</v>
      </c>
      <c r="VG30" s="1">
        <v>11725</v>
      </c>
      <c r="VH30" s="1">
        <v>5000</v>
      </c>
      <c r="VI30" s="1">
        <v>4996</v>
      </c>
      <c r="VJ30" s="1">
        <v>24000</v>
      </c>
      <c r="VK30" s="1">
        <v>1</v>
      </c>
      <c r="VL30" s="1">
        <v>1</v>
      </c>
      <c r="VM30" s="1">
        <v>90</v>
      </c>
      <c r="VN30" s="1">
        <v>60003349</v>
      </c>
      <c r="VO30" s="1">
        <v>4</v>
      </c>
      <c r="VP30" s="1">
        <v>0</v>
      </c>
    </row>
    <row r="31" spans="2:588" x14ac:dyDescent="0.25">
      <c r="B31" s="1">
        <v>2837552208</v>
      </c>
      <c r="C31" s="1">
        <v>34</v>
      </c>
      <c r="D31" s="1">
        <v>638332</v>
      </c>
      <c r="E31" s="1">
        <v>311597</v>
      </c>
      <c r="F31" s="1">
        <v>5.91</v>
      </c>
      <c r="G31" s="1">
        <v>1</v>
      </c>
      <c r="H31" s="1">
        <v>0</v>
      </c>
      <c r="I31" s="1">
        <v>90</v>
      </c>
      <c r="J31" s="1">
        <v>60004231</v>
      </c>
      <c r="K31" s="1">
        <v>32767</v>
      </c>
      <c r="L31" s="1">
        <v>4</v>
      </c>
      <c r="N31" s="1">
        <v>2752448828</v>
      </c>
      <c r="O31" s="1">
        <v>35</v>
      </c>
      <c r="P31" s="1">
        <v>1866</v>
      </c>
      <c r="Q31" s="1">
        <v>1866</v>
      </c>
      <c r="R31" s="1">
        <v>100</v>
      </c>
      <c r="S31" s="1">
        <v>1</v>
      </c>
      <c r="T31" s="1">
        <v>0</v>
      </c>
      <c r="U31" s="1">
        <v>90</v>
      </c>
      <c r="V31" s="1">
        <v>60003760</v>
      </c>
      <c r="W31" s="1">
        <v>32767</v>
      </c>
      <c r="X31" s="1">
        <v>0</v>
      </c>
      <c r="Z31" s="1">
        <v>2816614618</v>
      </c>
      <c r="AA31" s="1">
        <v>36</v>
      </c>
      <c r="AB31" s="1">
        <v>6694085</v>
      </c>
      <c r="AC31" s="1">
        <v>6694085</v>
      </c>
      <c r="AD31" s="16">
        <v>54.72</v>
      </c>
      <c r="AE31" s="1">
        <v>1</v>
      </c>
      <c r="AF31" s="1">
        <v>0</v>
      </c>
      <c r="AG31" s="1">
        <v>90</v>
      </c>
      <c r="AH31" s="1">
        <v>60003760</v>
      </c>
      <c r="AI31" s="1">
        <v>32767</v>
      </c>
      <c r="AJ31" s="1">
        <v>11</v>
      </c>
      <c r="AL31" s="1">
        <v>2768032105</v>
      </c>
      <c r="AM31" s="1">
        <v>37</v>
      </c>
      <c r="AN31" s="1">
        <v>15759</v>
      </c>
      <c r="AO31" s="1">
        <v>15759</v>
      </c>
      <c r="AP31" s="16">
        <v>158</v>
      </c>
      <c r="AQ31" s="1">
        <v>1</v>
      </c>
      <c r="AR31" s="1">
        <v>0</v>
      </c>
      <c r="AS31" s="1">
        <v>90</v>
      </c>
      <c r="AT31" s="1">
        <v>60003760</v>
      </c>
      <c r="AU31" s="1">
        <v>32767</v>
      </c>
      <c r="AV31" s="1">
        <v>9</v>
      </c>
      <c r="AX31" s="1">
        <v>2494277011</v>
      </c>
      <c r="AY31" s="1">
        <v>38</v>
      </c>
      <c r="AZ31" s="1">
        <v>2000000</v>
      </c>
      <c r="BA31" s="1">
        <v>2000000</v>
      </c>
      <c r="BB31" s="1">
        <v>1599.85</v>
      </c>
      <c r="BC31" s="1">
        <v>1</v>
      </c>
      <c r="BD31" s="1">
        <v>0</v>
      </c>
      <c r="BE31" s="1">
        <v>90</v>
      </c>
      <c r="BF31" s="1">
        <v>60003760</v>
      </c>
      <c r="BG31" s="1">
        <v>32767</v>
      </c>
      <c r="BH31" s="1">
        <v>5</v>
      </c>
      <c r="BJ31" s="1">
        <v>2850454179</v>
      </c>
      <c r="BK31" s="1">
        <v>39</v>
      </c>
      <c r="BL31" s="1">
        <v>100000</v>
      </c>
      <c r="BM31" s="1">
        <v>100000</v>
      </c>
      <c r="BN31" s="1">
        <v>850</v>
      </c>
      <c r="BO31" s="1">
        <v>1</v>
      </c>
      <c r="BP31" s="1">
        <v>0</v>
      </c>
      <c r="BQ31" s="1">
        <v>90</v>
      </c>
      <c r="BR31" s="1">
        <v>60003760</v>
      </c>
      <c r="BS31" s="1">
        <v>32767</v>
      </c>
      <c r="BT31" s="1">
        <v>5</v>
      </c>
      <c r="BV31" s="1">
        <v>2381074073</v>
      </c>
      <c r="BW31" s="1">
        <v>40</v>
      </c>
      <c r="BX31" s="1">
        <v>199972</v>
      </c>
      <c r="BY31" s="1">
        <v>80596</v>
      </c>
      <c r="BZ31" s="1">
        <v>2909</v>
      </c>
      <c r="CA31" s="1">
        <v>1</v>
      </c>
      <c r="CB31" s="1">
        <v>0</v>
      </c>
      <c r="CC31" s="1">
        <v>90</v>
      </c>
      <c r="CD31" s="1">
        <v>60003760</v>
      </c>
      <c r="CE31" s="1">
        <v>32767</v>
      </c>
      <c r="CF31" s="1">
        <v>13</v>
      </c>
      <c r="CH31" s="1">
        <v>2357597781</v>
      </c>
      <c r="CI31" s="1">
        <v>29668</v>
      </c>
      <c r="CJ31" s="1">
        <v>1</v>
      </c>
      <c r="CK31" s="1">
        <v>1</v>
      </c>
      <c r="CL31" s="1">
        <v>499999999</v>
      </c>
      <c r="CM31" s="1">
        <v>1</v>
      </c>
      <c r="CN31" s="1">
        <v>0</v>
      </c>
      <c r="CO31" s="1">
        <v>90</v>
      </c>
      <c r="CP31" s="1">
        <v>60003760</v>
      </c>
      <c r="CQ31" s="1">
        <v>32767</v>
      </c>
      <c r="CR31" s="1">
        <v>0</v>
      </c>
      <c r="CT31" s="1">
        <v>2408482326</v>
      </c>
      <c r="CU31" s="1">
        <v>16649</v>
      </c>
      <c r="CV31" s="1">
        <v>10000</v>
      </c>
      <c r="CW31" s="1">
        <v>10000</v>
      </c>
      <c r="CX31" s="1">
        <v>109999.98</v>
      </c>
      <c r="CY31" s="1">
        <v>1</v>
      </c>
      <c r="CZ31" s="1">
        <v>0</v>
      </c>
      <c r="DA31" s="1">
        <v>90</v>
      </c>
      <c r="DB31" s="1">
        <v>60003760</v>
      </c>
      <c r="DC31" s="1">
        <v>32767</v>
      </c>
      <c r="DD31" s="1">
        <v>8</v>
      </c>
      <c r="DF31" s="1">
        <v>2411754576</v>
      </c>
      <c r="DG31" s="1">
        <v>17887</v>
      </c>
      <c r="DH31" s="1">
        <v>1000000</v>
      </c>
      <c r="DI31" s="1">
        <v>900000</v>
      </c>
      <c r="DJ31" s="1">
        <v>989.34</v>
      </c>
      <c r="DK31" s="1">
        <v>1</v>
      </c>
      <c r="DL31" s="1">
        <v>0</v>
      </c>
      <c r="DM31" s="1">
        <v>90</v>
      </c>
      <c r="DN31" s="1">
        <v>60003760</v>
      </c>
      <c r="DO31" s="1">
        <v>32767</v>
      </c>
      <c r="DP31" s="1">
        <v>0</v>
      </c>
      <c r="DR31" s="1">
        <v>2775992062</v>
      </c>
      <c r="DS31" s="1">
        <v>17888</v>
      </c>
      <c r="DT31" s="1">
        <v>9925</v>
      </c>
      <c r="DU31" s="1">
        <v>9925</v>
      </c>
      <c r="DV31" s="1">
        <v>410</v>
      </c>
      <c r="DW31" s="1">
        <v>1</v>
      </c>
      <c r="DX31" s="1">
        <v>0</v>
      </c>
      <c r="DY31" s="1">
        <v>90</v>
      </c>
      <c r="DZ31" s="1">
        <v>60004234</v>
      </c>
      <c r="EA31" s="1">
        <v>32767</v>
      </c>
      <c r="EB31" s="1">
        <v>9</v>
      </c>
      <c r="ED31" s="1">
        <v>2847750973</v>
      </c>
      <c r="EE31" s="1">
        <v>16273</v>
      </c>
      <c r="EF31" s="1">
        <v>2000000</v>
      </c>
      <c r="EG31" s="1">
        <v>172325</v>
      </c>
      <c r="EH31" s="1">
        <v>385.65</v>
      </c>
      <c r="EI31" s="1">
        <v>1</v>
      </c>
      <c r="EJ31" s="1">
        <v>0</v>
      </c>
      <c r="EK31" s="1">
        <v>90</v>
      </c>
      <c r="EL31" s="1">
        <v>60003760</v>
      </c>
      <c r="EM31" s="1">
        <v>32767</v>
      </c>
      <c r="EN31" s="1">
        <v>6</v>
      </c>
      <c r="EP31" s="1">
        <v>2745536723</v>
      </c>
      <c r="EQ31" s="1">
        <v>17889</v>
      </c>
      <c r="ER31" s="1">
        <v>270000</v>
      </c>
      <c r="ES31" s="1">
        <v>270000</v>
      </c>
      <c r="ET31" s="1">
        <v>460</v>
      </c>
      <c r="EU31" s="1">
        <v>1</v>
      </c>
      <c r="EV31" s="1">
        <v>0</v>
      </c>
      <c r="EW31" s="1">
        <v>90</v>
      </c>
      <c r="EX31" s="1">
        <v>60003760</v>
      </c>
      <c r="EY31" s="1">
        <v>32767</v>
      </c>
      <c r="EZ31" s="1">
        <v>7</v>
      </c>
      <c r="FB31" s="1">
        <v>2874782385</v>
      </c>
      <c r="FC31" s="1">
        <v>30259</v>
      </c>
      <c r="FD31" s="1">
        <v>25</v>
      </c>
      <c r="FE31" s="1">
        <v>25</v>
      </c>
      <c r="FF31" s="1">
        <v>5850000</v>
      </c>
      <c r="FG31" s="1">
        <v>1</v>
      </c>
      <c r="FH31" s="1">
        <v>0</v>
      </c>
      <c r="FI31" s="1">
        <v>90</v>
      </c>
      <c r="FJ31" s="1">
        <v>60003760</v>
      </c>
      <c r="FK31" s="1">
        <v>32767</v>
      </c>
      <c r="FL31" s="1">
        <v>0</v>
      </c>
      <c r="FN31" s="1">
        <v>2866685403</v>
      </c>
      <c r="FO31" s="1">
        <v>25617</v>
      </c>
      <c r="FP31" s="1">
        <v>83</v>
      </c>
      <c r="FQ31" s="1">
        <v>4</v>
      </c>
      <c r="FR31" s="1">
        <v>5199799</v>
      </c>
      <c r="FS31" s="1">
        <v>1</v>
      </c>
      <c r="FT31" s="1">
        <v>0</v>
      </c>
      <c r="FU31" s="1">
        <v>90</v>
      </c>
      <c r="FV31" s="1">
        <v>60003760</v>
      </c>
      <c r="FW31" s="1">
        <v>32767</v>
      </c>
      <c r="FX31" s="1">
        <v>0</v>
      </c>
      <c r="FZ31" s="1">
        <v>2859874864</v>
      </c>
      <c r="GA31" s="1">
        <v>44</v>
      </c>
      <c r="GB31" s="1">
        <v>2985</v>
      </c>
      <c r="GC31" s="1">
        <v>2985</v>
      </c>
      <c r="GD31" s="1">
        <v>13498.98</v>
      </c>
      <c r="GE31" s="1">
        <v>1</v>
      </c>
      <c r="GF31" s="1">
        <v>0</v>
      </c>
      <c r="GG31" s="1">
        <v>90</v>
      </c>
      <c r="GH31" s="1">
        <v>60003760</v>
      </c>
      <c r="GI31" s="1">
        <v>32767</v>
      </c>
      <c r="GJ31" s="1">
        <v>4</v>
      </c>
      <c r="GL31" s="1">
        <v>2414976911</v>
      </c>
      <c r="GM31" s="1">
        <v>16681</v>
      </c>
      <c r="GN31" s="1">
        <v>284000</v>
      </c>
      <c r="GO31" s="1">
        <v>243930</v>
      </c>
      <c r="GP31" s="1">
        <v>6184.08</v>
      </c>
      <c r="GQ31" s="1">
        <v>1</v>
      </c>
      <c r="GR31" s="1">
        <v>0</v>
      </c>
      <c r="GS31" s="1">
        <v>90</v>
      </c>
      <c r="GT31" s="1">
        <v>60003760</v>
      </c>
      <c r="GU31" s="1">
        <v>32767</v>
      </c>
      <c r="GV31" s="1">
        <v>0</v>
      </c>
      <c r="GX31" s="1">
        <v>2869556692</v>
      </c>
      <c r="GY31" s="1">
        <v>16683</v>
      </c>
      <c r="GZ31" s="1">
        <v>121086</v>
      </c>
      <c r="HA31" s="1">
        <v>2320</v>
      </c>
      <c r="HB31" s="1">
        <v>8698.1299999999992</v>
      </c>
      <c r="HC31" s="1">
        <v>1</v>
      </c>
      <c r="HD31" s="1">
        <v>0</v>
      </c>
      <c r="HE31" s="1">
        <v>30</v>
      </c>
      <c r="HF31" s="1">
        <v>60003760</v>
      </c>
      <c r="HG31" s="1">
        <v>32767</v>
      </c>
      <c r="HH31" s="1">
        <v>0</v>
      </c>
      <c r="HJ31" s="1">
        <v>2841059693</v>
      </c>
      <c r="HK31" s="1">
        <v>11724</v>
      </c>
      <c r="HL31" s="1">
        <v>196</v>
      </c>
      <c r="HM31" s="1">
        <v>176</v>
      </c>
      <c r="HN31" s="1">
        <v>3740.21</v>
      </c>
      <c r="HO31" s="1">
        <v>1</v>
      </c>
      <c r="HP31" s="1">
        <v>1</v>
      </c>
      <c r="HQ31" s="1">
        <v>90</v>
      </c>
      <c r="HR31" s="1">
        <v>60003760</v>
      </c>
      <c r="HS31" s="1">
        <v>32767</v>
      </c>
      <c r="HT31" s="1">
        <v>0</v>
      </c>
      <c r="HV31" s="1">
        <v>2851953700</v>
      </c>
      <c r="HW31" s="1">
        <v>16274</v>
      </c>
      <c r="HX31" s="1">
        <v>1000000</v>
      </c>
      <c r="HY31" s="1">
        <v>1000000</v>
      </c>
      <c r="HZ31" s="1">
        <v>374.98</v>
      </c>
      <c r="IA31" s="1">
        <v>1</v>
      </c>
      <c r="IB31" s="1">
        <v>0</v>
      </c>
      <c r="IC31" s="1">
        <v>90</v>
      </c>
      <c r="ID31" s="1">
        <v>60003760</v>
      </c>
      <c r="IE31" s="1">
        <v>32767</v>
      </c>
      <c r="IF31" s="1">
        <v>2</v>
      </c>
      <c r="IH31" s="1">
        <v>2763559907</v>
      </c>
      <c r="II31" s="1">
        <v>10213</v>
      </c>
      <c r="IJ31" s="1">
        <v>1</v>
      </c>
      <c r="IK31" s="1">
        <v>1</v>
      </c>
      <c r="IL31" s="1">
        <v>91000000</v>
      </c>
      <c r="IM31" s="1">
        <v>1</v>
      </c>
      <c r="IN31" s="1">
        <v>1</v>
      </c>
      <c r="IO31" s="1">
        <v>90</v>
      </c>
      <c r="IP31" s="1">
        <v>60003760</v>
      </c>
      <c r="IQ31" s="1">
        <v>0</v>
      </c>
      <c r="IR31" s="1">
        <v>0</v>
      </c>
      <c r="IT31" s="1">
        <v>2791746483</v>
      </c>
      <c r="IU31" s="1">
        <v>16679</v>
      </c>
      <c r="IV31" s="1">
        <v>500000</v>
      </c>
      <c r="IW31" s="1">
        <v>500000</v>
      </c>
      <c r="IX31" s="1">
        <v>1921.44</v>
      </c>
      <c r="IY31" s="1">
        <v>1</v>
      </c>
      <c r="IZ31" s="1">
        <v>0</v>
      </c>
      <c r="JA31" s="1">
        <v>90</v>
      </c>
      <c r="JB31" s="1">
        <v>60003760</v>
      </c>
      <c r="JC31" s="1">
        <v>32767</v>
      </c>
      <c r="JD31" s="1">
        <v>0</v>
      </c>
      <c r="JF31" s="1">
        <v>2871090694</v>
      </c>
      <c r="JG31" s="1">
        <v>16272</v>
      </c>
      <c r="JH31" s="1">
        <v>271650</v>
      </c>
      <c r="JI31" s="1">
        <v>271650</v>
      </c>
      <c r="JJ31" s="1">
        <v>76.97</v>
      </c>
      <c r="JK31" s="1">
        <v>1</v>
      </c>
      <c r="JL31" s="1">
        <v>0</v>
      </c>
      <c r="JM31" s="1">
        <v>90</v>
      </c>
      <c r="JN31" s="1">
        <v>60003760</v>
      </c>
      <c r="JO31" s="1">
        <v>32767</v>
      </c>
      <c r="JP31" s="1">
        <v>6</v>
      </c>
      <c r="JR31" s="1">
        <v>2760034017</v>
      </c>
      <c r="JS31" s="1">
        <v>10226</v>
      </c>
      <c r="JT31" s="1">
        <v>5</v>
      </c>
      <c r="JU31" s="1">
        <v>5</v>
      </c>
      <c r="JV31" s="1">
        <v>95000000</v>
      </c>
      <c r="JW31" s="1">
        <v>1</v>
      </c>
      <c r="JX31" s="1">
        <v>1</v>
      </c>
      <c r="JY31" s="1">
        <v>90</v>
      </c>
      <c r="JZ31" s="1">
        <v>60003760</v>
      </c>
      <c r="KA31" s="1">
        <v>-1</v>
      </c>
      <c r="KB31" s="1">
        <v>0</v>
      </c>
      <c r="KD31" s="1">
        <v>2858260740</v>
      </c>
      <c r="KE31" s="1">
        <v>25605</v>
      </c>
      <c r="KF31" s="1">
        <v>3005</v>
      </c>
      <c r="KG31" s="1">
        <v>3005</v>
      </c>
      <c r="KH31" s="1">
        <v>119900</v>
      </c>
      <c r="KI31" s="1">
        <v>1</v>
      </c>
      <c r="KJ31" s="1">
        <v>0</v>
      </c>
      <c r="KK31" s="1">
        <v>90</v>
      </c>
      <c r="KL31" s="1">
        <v>60003760</v>
      </c>
      <c r="KM31" s="1">
        <v>32767</v>
      </c>
      <c r="KN31" s="1">
        <v>6</v>
      </c>
      <c r="KP31" s="1">
        <v>2843801824</v>
      </c>
      <c r="KQ31" s="1">
        <v>25624</v>
      </c>
      <c r="KR31" s="1">
        <v>2</v>
      </c>
      <c r="KS31" s="1">
        <v>2</v>
      </c>
      <c r="KT31" s="1">
        <v>19572000</v>
      </c>
      <c r="KU31" s="1">
        <v>1</v>
      </c>
      <c r="KV31" s="1">
        <v>0</v>
      </c>
      <c r="KW31" s="1">
        <v>90</v>
      </c>
      <c r="KX31" s="1">
        <v>60003760</v>
      </c>
      <c r="KY31" s="1">
        <v>32767</v>
      </c>
      <c r="KZ31" s="1">
        <v>1</v>
      </c>
      <c r="LB31" s="1">
        <v>2834916263</v>
      </c>
      <c r="LC31" s="1">
        <v>9832</v>
      </c>
      <c r="LD31" s="1">
        <v>15335</v>
      </c>
      <c r="LE31" s="1">
        <v>15335</v>
      </c>
      <c r="LF31" s="1">
        <v>10491.01</v>
      </c>
      <c r="LG31" s="1">
        <v>1</v>
      </c>
      <c r="LH31" s="1">
        <v>0</v>
      </c>
      <c r="LI31" s="1">
        <v>90</v>
      </c>
      <c r="LJ31" s="1">
        <v>60003760</v>
      </c>
      <c r="LK31" s="1">
        <v>32767</v>
      </c>
      <c r="LL31" s="1">
        <v>0</v>
      </c>
      <c r="LN31" s="1">
        <v>2876508390</v>
      </c>
      <c r="LO31" s="1">
        <v>10209</v>
      </c>
      <c r="LP31" s="1">
        <v>103</v>
      </c>
      <c r="LQ31" s="1">
        <v>89</v>
      </c>
      <c r="LR31" s="1">
        <v>118598000.01000001</v>
      </c>
      <c r="LS31" s="1">
        <v>1</v>
      </c>
      <c r="LT31" s="1">
        <v>0</v>
      </c>
      <c r="LU31" s="1">
        <v>90</v>
      </c>
      <c r="LV31" s="1">
        <v>60003760</v>
      </c>
      <c r="LW31" s="1">
        <v>32767</v>
      </c>
      <c r="LX31" s="1">
        <v>1</v>
      </c>
      <c r="LZ31" s="1">
        <v>2771636177</v>
      </c>
      <c r="MA31" s="1">
        <v>10217</v>
      </c>
      <c r="MB31" s="1">
        <v>1</v>
      </c>
      <c r="MC31" s="1">
        <v>1</v>
      </c>
      <c r="MD31" s="1">
        <v>75000000</v>
      </c>
      <c r="ME31" s="1">
        <v>1</v>
      </c>
      <c r="MF31" s="1">
        <v>1</v>
      </c>
      <c r="MG31" s="1">
        <v>90</v>
      </c>
      <c r="MH31" s="1">
        <v>60003760</v>
      </c>
      <c r="MI31" s="1">
        <v>-1</v>
      </c>
      <c r="MJ31" s="1">
        <v>0</v>
      </c>
      <c r="ML31" s="1">
        <v>2878111889</v>
      </c>
      <c r="MM31" s="1">
        <v>25625</v>
      </c>
      <c r="MN31" s="1">
        <v>20</v>
      </c>
      <c r="MO31" s="1">
        <v>20</v>
      </c>
      <c r="MP31" s="1">
        <v>4595990</v>
      </c>
      <c r="MQ31" s="1">
        <v>1</v>
      </c>
      <c r="MR31" s="1">
        <v>0</v>
      </c>
      <c r="MS31" s="1">
        <v>90</v>
      </c>
      <c r="MT31" s="1">
        <v>60003760</v>
      </c>
      <c r="MU31" s="1">
        <v>32767</v>
      </c>
      <c r="MV31" s="1">
        <v>0</v>
      </c>
      <c r="MX31" s="1">
        <v>2870938364</v>
      </c>
      <c r="MY31" s="1">
        <v>16672</v>
      </c>
      <c r="MZ31" s="1">
        <v>2880000</v>
      </c>
      <c r="NA31" s="1">
        <v>2880000</v>
      </c>
      <c r="NB31" s="1">
        <v>137.74</v>
      </c>
      <c r="NC31" s="1">
        <v>1</v>
      </c>
      <c r="ND31" s="1">
        <v>0</v>
      </c>
      <c r="NE31" s="1">
        <v>90</v>
      </c>
      <c r="NF31" s="1">
        <v>60003760</v>
      </c>
      <c r="NG31" s="1">
        <v>32767</v>
      </c>
      <c r="NH31" s="1">
        <v>0</v>
      </c>
      <c r="NJ31" s="1">
        <v>2832980178</v>
      </c>
      <c r="NK31" s="1">
        <v>16673</v>
      </c>
      <c r="NL31" s="1">
        <v>2640000</v>
      </c>
      <c r="NM31" s="1">
        <v>1119520</v>
      </c>
      <c r="NN31" s="1">
        <v>117.21</v>
      </c>
      <c r="NO31" s="1">
        <v>1</v>
      </c>
      <c r="NP31" s="1">
        <v>0</v>
      </c>
      <c r="NQ31" s="1">
        <v>90</v>
      </c>
      <c r="NR31" s="1">
        <v>60003760</v>
      </c>
      <c r="NS31" s="1">
        <v>32767</v>
      </c>
      <c r="NT31" s="1">
        <v>6</v>
      </c>
      <c r="NV31" s="1">
        <v>2829679175</v>
      </c>
      <c r="NW31" s="1">
        <v>3689</v>
      </c>
      <c r="NX31" s="1">
        <v>897</v>
      </c>
      <c r="NY31" s="1">
        <v>897</v>
      </c>
      <c r="NZ31" s="1">
        <v>12699.99</v>
      </c>
      <c r="OA31" s="1">
        <v>1</v>
      </c>
      <c r="OB31" s="1">
        <v>0</v>
      </c>
      <c r="OC31" s="1">
        <v>90</v>
      </c>
      <c r="OD31" s="1">
        <v>60003760</v>
      </c>
      <c r="OE31" s="1">
        <v>32767</v>
      </c>
      <c r="OF31" s="1">
        <v>0</v>
      </c>
      <c r="OH31" s="1">
        <v>2773853590</v>
      </c>
      <c r="OI31" s="1">
        <v>25598</v>
      </c>
      <c r="OJ31" s="1">
        <v>12071</v>
      </c>
      <c r="OK31" s="1">
        <v>8591</v>
      </c>
      <c r="OL31" s="1">
        <v>169470.94</v>
      </c>
      <c r="OM31" s="1">
        <v>1</v>
      </c>
      <c r="ON31" s="1">
        <v>0</v>
      </c>
      <c r="OO31" s="1">
        <v>90</v>
      </c>
      <c r="OP31" s="1">
        <v>60003760</v>
      </c>
      <c r="OQ31" s="1">
        <v>32767</v>
      </c>
      <c r="OR31" s="1">
        <v>0</v>
      </c>
      <c r="OT31" s="1">
        <v>2811936584</v>
      </c>
      <c r="OU31" s="1">
        <v>25600</v>
      </c>
      <c r="OV31" s="1">
        <v>109</v>
      </c>
      <c r="OW31" s="1">
        <v>109</v>
      </c>
      <c r="OX31" s="1">
        <v>33000</v>
      </c>
      <c r="OY31" s="1">
        <v>1</v>
      </c>
      <c r="OZ31" s="1">
        <v>0</v>
      </c>
      <c r="PA31" s="1">
        <v>90</v>
      </c>
      <c r="PB31" s="1">
        <v>60003760</v>
      </c>
      <c r="PC31" s="1">
        <v>32767</v>
      </c>
      <c r="PD31" s="1">
        <v>0</v>
      </c>
      <c r="PF31" s="1">
        <v>2862080841</v>
      </c>
      <c r="PG31" s="1">
        <v>16670</v>
      </c>
      <c r="PH31" s="1">
        <v>6390000</v>
      </c>
      <c r="PI31" s="1">
        <v>5811398</v>
      </c>
      <c r="PJ31" s="1">
        <v>126.42</v>
      </c>
      <c r="PK31" s="1">
        <v>1</v>
      </c>
      <c r="PL31" s="1">
        <v>0</v>
      </c>
      <c r="PM31" s="1">
        <v>90</v>
      </c>
      <c r="PN31" s="1">
        <v>60003760</v>
      </c>
      <c r="PO31" s="1">
        <v>32767</v>
      </c>
      <c r="PP31" s="1">
        <v>7</v>
      </c>
      <c r="PR31" s="1">
        <v>2877436733</v>
      </c>
      <c r="PS31" s="1">
        <v>10222</v>
      </c>
      <c r="PT31" s="1">
        <v>10</v>
      </c>
      <c r="PU31" s="1">
        <v>2</v>
      </c>
      <c r="PV31" s="1">
        <v>117798999.98999999</v>
      </c>
      <c r="PW31" s="1">
        <v>1</v>
      </c>
      <c r="PX31" s="1">
        <v>0</v>
      </c>
      <c r="PY31" s="1">
        <v>90</v>
      </c>
      <c r="PZ31" s="1">
        <v>60003760</v>
      </c>
      <c r="QA31" s="1">
        <v>32767</v>
      </c>
      <c r="QB31" s="1">
        <v>0</v>
      </c>
      <c r="QD31" s="1">
        <v>2865308513</v>
      </c>
      <c r="QE31" s="1">
        <v>9830</v>
      </c>
      <c r="QF31" s="1">
        <v>24760</v>
      </c>
      <c r="QG31" s="1">
        <v>24760</v>
      </c>
      <c r="QH31" s="1">
        <v>8030.13</v>
      </c>
      <c r="QI31" s="1">
        <v>1</v>
      </c>
      <c r="QJ31" s="1">
        <v>0</v>
      </c>
      <c r="QK31" s="1">
        <v>90</v>
      </c>
      <c r="QL31" s="1">
        <v>60003760</v>
      </c>
      <c r="QM31" s="1">
        <v>32767</v>
      </c>
      <c r="QN31" s="1">
        <v>0</v>
      </c>
      <c r="QP31" s="1">
        <v>2868760387</v>
      </c>
      <c r="QQ31" s="1">
        <v>16671</v>
      </c>
      <c r="QR31" s="1">
        <v>3830000</v>
      </c>
      <c r="QS31" s="1">
        <v>3830000</v>
      </c>
      <c r="QT31" s="1">
        <v>118.61</v>
      </c>
      <c r="QU31" s="1">
        <v>1</v>
      </c>
      <c r="QV31" s="1">
        <v>0</v>
      </c>
      <c r="QW31" s="1">
        <v>14</v>
      </c>
      <c r="QX31" s="1">
        <v>60003760</v>
      </c>
      <c r="QY31" s="1">
        <v>32767</v>
      </c>
      <c r="QZ31" s="1">
        <v>7</v>
      </c>
      <c r="RB31" s="1">
        <v>2864448143</v>
      </c>
      <c r="RC31" s="1">
        <v>16682</v>
      </c>
      <c r="RD31" s="1">
        <v>75000</v>
      </c>
      <c r="RE31" s="1">
        <v>27456</v>
      </c>
      <c r="RF31" s="1">
        <v>3395.89</v>
      </c>
      <c r="RG31" s="1">
        <v>1</v>
      </c>
      <c r="RH31" s="1">
        <v>0</v>
      </c>
      <c r="RI31" s="1">
        <v>90</v>
      </c>
      <c r="RJ31" s="1">
        <v>60003760</v>
      </c>
      <c r="RK31" s="1">
        <v>32767</v>
      </c>
      <c r="RL31" s="1">
        <v>8</v>
      </c>
      <c r="RN31" s="1">
        <v>2876062986</v>
      </c>
      <c r="RO31" s="1">
        <v>16678</v>
      </c>
      <c r="RP31" s="1">
        <v>2844000</v>
      </c>
      <c r="RQ31" s="1">
        <v>2844000</v>
      </c>
      <c r="RR31" s="1">
        <v>295.01</v>
      </c>
      <c r="RS31" s="1">
        <v>1</v>
      </c>
      <c r="RT31" s="1">
        <v>0</v>
      </c>
      <c r="RU31" s="1">
        <v>90</v>
      </c>
      <c r="RV31" s="1">
        <v>60003760</v>
      </c>
      <c r="RW31" s="1">
        <v>32767</v>
      </c>
      <c r="RX31" s="1">
        <v>6</v>
      </c>
      <c r="RZ31" s="1">
        <v>2877791236</v>
      </c>
      <c r="SA31" s="1">
        <v>30310</v>
      </c>
      <c r="SB31" s="1">
        <v>40</v>
      </c>
      <c r="SC31" s="1">
        <v>40</v>
      </c>
      <c r="SD31" s="1">
        <v>1717101</v>
      </c>
      <c r="SE31" s="1">
        <v>1</v>
      </c>
      <c r="SF31" s="1">
        <v>0</v>
      </c>
      <c r="SG31" s="1">
        <v>90</v>
      </c>
      <c r="SH31" s="1">
        <v>60003760</v>
      </c>
      <c r="SI31" s="1">
        <v>32767</v>
      </c>
      <c r="SJ31" s="1">
        <v>0</v>
      </c>
      <c r="SL31" s="1">
        <v>2865773844</v>
      </c>
      <c r="SM31" s="1">
        <v>30311</v>
      </c>
      <c r="SN31" s="1">
        <v>28</v>
      </c>
      <c r="SO31" s="1">
        <v>28</v>
      </c>
      <c r="SP31" s="1">
        <v>3129500.31</v>
      </c>
      <c r="SQ31" s="1">
        <v>1</v>
      </c>
      <c r="SR31" s="1">
        <v>0</v>
      </c>
      <c r="SS31" s="1">
        <v>90</v>
      </c>
      <c r="ST31" s="1">
        <v>60003760</v>
      </c>
      <c r="SU31" s="1">
        <v>32767</v>
      </c>
      <c r="SV31" s="1">
        <v>0</v>
      </c>
      <c r="SX31" s="1">
        <v>2781963475</v>
      </c>
      <c r="SY31" s="1">
        <v>25595</v>
      </c>
      <c r="SZ31" s="1">
        <v>5000</v>
      </c>
      <c r="TA31" s="1">
        <v>5000</v>
      </c>
      <c r="TB31" s="1">
        <v>106999</v>
      </c>
      <c r="TC31" s="1">
        <v>1</v>
      </c>
      <c r="TD31" s="1">
        <v>0</v>
      </c>
      <c r="TE31" s="1">
        <v>90</v>
      </c>
      <c r="TF31" s="1">
        <v>60003760</v>
      </c>
      <c r="TG31" s="1">
        <v>32767</v>
      </c>
      <c r="TH31" s="1">
        <v>6</v>
      </c>
      <c r="TJ31" s="1">
        <v>2849635730</v>
      </c>
      <c r="TK31" s="1">
        <v>25606</v>
      </c>
      <c r="TL31" s="1">
        <v>47</v>
      </c>
      <c r="TM31" s="1">
        <v>47</v>
      </c>
      <c r="TN31" s="1">
        <v>28799.97</v>
      </c>
      <c r="TO31" s="1">
        <v>1</v>
      </c>
      <c r="TP31" s="1">
        <v>0</v>
      </c>
      <c r="TQ31" s="1">
        <v>90</v>
      </c>
      <c r="TR31" s="1">
        <v>60003760</v>
      </c>
      <c r="TS31" s="1">
        <v>32767</v>
      </c>
      <c r="TT31" s="1">
        <v>0</v>
      </c>
      <c r="TV31" s="1">
        <v>2877953739</v>
      </c>
      <c r="TW31" s="1">
        <v>25622</v>
      </c>
      <c r="TX31" s="1">
        <v>1</v>
      </c>
      <c r="TY31" s="1">
        <v>1</v>
      </c>
      <c r="TZ31" s="1">
        <v>14521500.890000001</v>
      </c>
      <c r="UA31" s="1">
        <v>1</v>
      </c>
      <c r="UB31" s="1">
        <v>0</v>
      </c>
      <c r="UC31" s="1">
        <v>30</v>
      </c>
      <c r="UD31" s="1">
        <v>60003760</v>
      </c>
      <c r="UE31" s="1">
        <v>32767</v>
      </c>
      <c r="UF31" s="1">
        <v>0</v>
      </c>
      <c r="UH31" s="1">
        <v>2871647568</v>
      </c>
      <c r="UI31" s="1">
        <v>16680</v>
      </c>
      <c r="UJ31" s="1">
        <v>877800</v>
      </c>
      <c r="UK31" s="1">
        <v>833260</v>
      </c>
      <c r="UL31" s="1">
        <v>711.47</v>
      </c>
      <c r="UM31" s="1">
        <v>1</v>
      </c>
      <c r="UN31" s="1">
        <v>0</v>
      </c>
      <c r="UO31" s="1">
        <v>90</v>
      </c>
      <c r="UP31" s="1">
        <v>60003760</v>
      </c>
      <c r="UQ31" s="1">
        <v>32767</v>
      </c>
      <c r="UR31" s="1">
        <v>6</v>
      </c>
      <c r="UT31" s="1">
        <v>2755270116</v>
      </c>
      <c r="UU31" s="1">
        <v>17317</v>
      </c>
      <c r="UV31" s="1">
        <v>584</v>
      </c>
      <c r="UW31" s="1">
        <v>584</v>
      </c>
      <c r="UX31" s="1">
        <v>20000.04</v>
      </c>
      <c r="UY31" s="1">
        <v>1</v>
      </c>
      <c r="UZ31" s="1">
        <v>1</v>
      </c>
      <c r="VA31" s="1">
        <v>90</v>
      </c>
      <c r="VB31" s="1">
        <v>60003760</v>
      </c>
      <c r="VC31" s="1">
        <v>-1</v>
      </c>
      <c r="VD31" s="1">
        <v>0</v>
      </c>
      <c r="VF31" s="1">
        <v>2552284484</v>
      </c>
      <c r="VG31" s="1">
        <v>11725</v>
      </c>
      <c r="VH31" s="1">
        <v>10000</v>
      </c>
      <c r="VI31" s="1">
        <v>4912</v>
      </c>
      <c r="VJ31" s="1">
        <v>24500</v>
      </c>
      <c r="VK31" s="1">
        <v>100</v>
      </c>
      <c r="VL31" s="1">
        <v>1</v>
      </c>
      <c r="VM31" s="1">
        <v>90</v>
      </c>
      <c r="VN31" s="1">
        <v>60000307</v>
      </c>
      <c r="VO31" s="1">
        <v>32767</v>
      </c>
      <c r="VP31" s="1">
        <v>0</v>
      </c>
    </row>
    <row r="32" spans="2:588" x14ac:dyDescent="0.25">
      <c r="B32" s="1">
        <v>2851722272</v>
      </c>
      <c r="C32" s="1">
        <v>34</v>
      </c>
      <c r="D32" s="1">
        <v>31039</v>
      </c>
      <c r="E32" s="1">
        <v>25872</v>
      </c>
      <c r="F32" s="1">
        <v>6.1</v>
      </c>
      <c r="G32" s="1">
        <v>1</v>
      </c>
      <c r="H32" s="1">
        <v>0</v>
      </c>
      <c r="I32" s="1">
        <v>90</v>
      </c>
      <c r="J32" s="1">
        <v>60002998</v>
      </c>
      <c r="K32" s="1">
        <v>32767</v>
      </c>
      <c r="L32" s="1">
        <v>2</v>
      </c>
      <c r="N32" s="1">
        <v>2781777315</v>
      </c>
      <c r="O32" s="1">
        <v>35</v>
      </c>
      <c r="P32" s="1">
        <v>329599422</v>
      </c>
      <c r="Q32" s="1">
        <v>329599422</v>
      </c>
      <c r="R32" s="1">
        <v>17.489999999999998</v>
      </c>
      <c r="S32" s="1">
        <v>1</v>
      </c>
      <c r="T32" s="1">
        <v>0</v>
      </c>
      <c r="U32" s="1">
        <v>90</v>
      </c>
      <c r="V32" s="1">
        <v>60003760</v>
      </c>
      <c r="W32" s="1">
        <v>32767</v>
      </c>
      <c r="X32" s="1">
        <v>0</v>
      </c>
      <c r="Z32" s="1">
        <v>2755735498</v>
      </c>
      <c r="AA32" s="1">
        <v>36</v>
      </c>
      <c r="AB32" s="1">
        <v>7239911</v>
      </c>
      <c r="AC32" s="1">
        <v>7239911</v>
      </c>
      <c r="AD32" s="16">
        <v>58</v>
      </c>
      <c r="AE32" s="1">
        <v>1</v>
      </c>
      <c r="AF32" s="1">
        <v>0</v>
      </c>
      <c r="AG32" s="1">
        <v>90</v>
      </c>
      <c r="AH32" s="1">
        <v>60003760</v>
      </c>
      <c r="AI32" s="1">
        <v>32767</v>
      </c>
      <c r="AJ32" s="1">
        <v>11</v>
      </c>
      <c r="AL32" s="1">
        <v>2767666004</v>
      </c>
      <c r="AM32" s="1">
        <v>37</v>
      </c>
      <c r="AN32" s="1">
        <v>1585110</v>
      </c>
      <c r="AO32" s="1">
        <v>1585110</v>
      </c>
      <c r="AP32" s="16">
        <v>155.96</v>
      </c>
      <c r="AQ32" s="1">
        <v>1</v>
      </c>
      <c r="AR32" s="1">
        <v>0</v>
      </c>
      <c r="AS32" s="1">
        <v>90</v>
      </c>
      <c r="AT32" s="1">
        <v>60003760</v>
      </c>
      <c r="AU32" s="1">
        <v>32767</v>
      </c>
      <c r="AV32" s="1">
        <v>9</v>
      </c>
      <c r="AX32" s="1">
        <v>2494985651</v>
      </c>
      <c r="AY32" s="1">
        <v>38</v>
      </c>
      <c r="AZ32" s="1">
        <v>1250000</v>
      </c>
      <c r="BA32" s="1">
        <v>1250000</v>
      </c>
      <c r="BB32" s="1">
        <v>969.44</v>
      </c>
      <c r="BC32" s="1">
        <v>1</v>
      </c>
      <c r="BD32" s="1">
        <v>0</v>
      </c>
      <c r="BE32" s="1">
        <v>90</v>
      </c>
      <c r="BF32" s="1">
        <v>60003760</v>
      </c>
      <c r="BG32" s="1">
        <v>32767</v>
      </c>
      <c r="BH32" s="1">
        <v>5</v>
      </c>
      <c r="BJ32" s="1">
        <v>2848621936</v>
      </c>
      <c r="BK32" s="1">
        <v>39</v>
      </c>
      <c r="BL32" s="1">
        <v>31428</v>
      </c>
      <c r="BM32" s="1">
        <v>31428</v>
      </c>
      <c r="BN32" s="1">
        <v>833.32</v>
      </c>
      <c r="BO32" s="1">
        <v>1</v>
      </c>
      <c r="BP32" s="1">
        <v>0</v>
      </c>
      <c r="BQ32" s="1">
        <v>90</v>
      </c>
      <c r="BR32" s="1">
        <v>60003760</v>
      </c>
      <c r="BS32" s="1">
        <v>32767</v>
      </c>
      <c r="BT32" s="1">
        <v>5</v>
      </c>
      <c r="BV32" s="1">
        <v>2362361481</v>
      </c>
      <c r="BW32" s="1">
        <v>40</v>
      </c>
      <c r="BX32" s="1">
        <v>250000</v>
      </c>
      <c r="BY32" s="1">
        <v>250000</v>
      </c>
      <c r="BZ32" s="1">
        <v>2998.99</v>
      </c>
      <c r="CA32" s="1">
        <v>1</v>
      </c>
      <c r="CB32" s="1">
        <v>0</v>
      </c>
      <c r="CC32" s="1">
        <v>90</v>
      </c>
      <c r="CD32" s="1">
        <v>60003760</v>
      </c>
      <c r="CE32" s="1">
        <v>32767</v>
      </c>
      <c r="CF32" s="1">
        <v>13</v>
      </c>
      <c r="CH32" s="1">
        <v>2359244888</v>
      </c>
      <c r="CI32" s="1">
        <v>29668</v>
      </c>
      <c r="CJ32" s="1">
        <v>1</v>
      </c>
      <c r="CK32" s="1">
        <v>1</v>
      </c>
      <c r="CL32" s="1">
        <v>500000000</v>
      </c>
      <c r="CM32" s="1">
        <v>1</v>
      </c>
      <c r="CN32" s="1">
        <v>0</v>
      </c>
      <c r="CO32" s="1">
        <v>90</v>
      </c>
      <c r="CP32" s="1">
        <v>60003760</v>
      </c>
      <c r="CQ32" s="1">
        <v>32767</v>
      </c>
      <c r="CR32" s="1">
        <v>0</v>
      </c>
      <c r="CT32" s="1">
        <v>2414357223</v>
      </c>
      <c r="CU32" s="1">
        <v>16649</v>
      </c>
      <c r="CV32" s="1">
        <v>65000</v>
      </c>
      <c r="CW32" s="1">
        <v>39393</v>
      </c>
      <c r="CX32" s="1">
        <v>107695.9</v>
      </c>
      <c r="CY32" s="1">
        <v>1</v>
      </c>
      <c r="CZ32" s="1">
        <v>0</v>
      </c>
      <c r="DA32" s="1">
        <v>90</v>
      </c>
      <c r="DB32" s="1">
        <v>60003760</v>
      </c>
      <c r="DC32" s="1">
        <v>32767</v>
      </c>
      <c r="DD32" s="1">
        <v>8</v>
      </c>
      <c r="DF32" s="1">
        <v>2411727671</v>
      </c>
      <c r="DG32" s="1">
        <v>17887</v>
      </c>
      <c r="DH32" s="1">
        <v>997987</v>
      </c>
      <c r="DI32" s="1">
        <v>997987</v>
      </c>
      <c r="DJ32" s="1">
        <v>1017.92</v>
      </c>
      <c r="DK32" s="1">
        <v>1</v>
      </c>
      <c r="DL32" s="1">
        <v>0</v>
      </c>
      <c r="DM32" s="1">
        <v>90</v>
      </c>
      <c r="DN32" s="1">
        <v>60003760</v>
      </c>
      <c r="DO32" s="1">
        <v>32767</v>
      </c>
      <c r="DP32" s="1">
        <v>0</v>
      </c>
      <c r="DR32" s="1">
        <v>2766450855</v>
      </c>
      <c r="DS32" s="1">
        <v>17888</v>
      </c>
      <c r="DT32" s="1">
        <v>9973</v>
      </c>
      <c r="DU32" s="1">
        <v>9973</v>
      </c>
      <c r="DV32" s="1">
        <v>425</v>
      </c>
      <c r="DW32" s="1">
        <v>1</v>
      </c>
      <c r="DX32" s="1">
        <v>0</v>
      </c>
      <c r="DY32" s="1">
        <v>90</v>
      </c>
      <c r="DZ32" s="1">
        <v>60004234</v>
      </c>
      <c r="EA32" s="1">
        <v>32767</v>
      </c>
      <c r="EB32" s="1">
        <v>9</v>
      </c>
      <c r="ED32" s="1">
        <v>2857183393</v>
      </c>
      <c r="EE32" s="1">
        <v>16273</v>
      </c>
      <c r="EF32" s="1">
        <v>37619500</v>
      </c>
      <c r="EG32" s="1">
        <v>36220693</v>
      </c>
      <c r="EH32" s="1">
        <v>400</v>
      </c>
      <c r="EI32" s="1">
        <v>1</v>
      </c>
      <c r="EJ32" s="1">
        <v>0</v>
      </c>
      <c r="EK32" s="1">
        <v>90</v>
      </c>
      <c r="EL32" s="1">
        <v>60003760</v>
      </c>
      <c r="EM32" s="1">
        <v>32767</v>
      </c>
      <c r="EN32" s="1">
        <v>6</v>
      </c>
      <c r="EP32" s="1">
        <v>2745177939</v>
      </c>
      <c r="EQ32" s="1">
        <v>17889</v>
      </c>
      <c r="ER32" s="1">
        <v>270000</v>
      </c>
      <c r="ES32" s="1">
        <v>270000</v>
      </c>
      <c r="ET32" s="1">
        <v>450</v>
      </c>
      <c r="EU32" s="1">
        <v>1</v>
      </c>
      <c r="EV32" s="1">
        <v>0</v>
      </c>
      <c r="EW32" s="1">
        <v>90</v>
      </c>
      <c r="EX32" s="1">
        <v>60003760</v>
      </c>
      <c r="EY32" s="1">
        <v>32767</v>
      </c>
      <c r="EZ32" s="1">
        <v>7</v>
      </c>
      <c r="FB32" s="1">
        <v>2874787095</v>
      </c>
      <c r="FC32" s="1">
        <v>30259</v>
      </c>
      <c r="FD32" s="1">
        <v>53</v>
      </c>
      <c r="FE32" s="1">
        <v>53</v>
      </c>
      <c r="FF32" s="1">
        <v>5867998.9299999997</v>
      </c>
      <c r="FG32" s="1">
        <v>1</v>
      </c>
      <c r="FH32" s="1">
        <v>0</v>
      </c>
      <c r="FI32" s="1">
        <v>90</v>
      </c>
      <c r="FJ32" s="1">
        <v>60003760</v>
      </c>
      <c r="FK32" s="1">
        <v>32767</v>
      </c>
      <c r="FL32" s="1">
        <v>0</v>
      </c>
      <c r="FN32" s="1">
        <v>2866190239</v>
      </c>
      <c r="FO32" s="1">
        <v>25617</v>
      </c>
      <c r="FP32" s="1">
        <v>59</v>
      </c>
      <c r="FQ32" s="1">
        <v>59</v>
      </c>
      <c r="FR32" s="1">
        <v>5200000</v>
      </c>
      <c r="FS32" s="1">
        <v>1</v>
      </c>
      <c r="FT32" s="1">
        <v>0</v>
      </c>
      <c r="FU32" s="1">
        <v>30</v>
      </c>
      <c r="FV32" s="1">
        <v>60003760</v>
      </c>
      <c r="FW32" s="1">
        <v>32767</v>
      </c>
      <c r="FX32" s="1">
        <v>0</v>
      </c>
      <c r="FZ32" s="1">
        <v>2860374360</v>
      </c>
      <c r="GA32" s="1">
        <v>44</v>
      </c>
      <c r="GB32" s="1">
        <v>11055</v>
      </c>
      <c r="GC32" s="1">
        <v>11055</v>
      </c>
      <c r="GD32" s="1">
        <v>13498.02</v>
      </c>
      <c r="GE32" s="1">
        <v>1</v>
      </c>
      <c r="GF32" s="1">
        <v>0</v>
      </c>
      <c r="GG32" s="1">
        <v>90</v>
      </c>
      <c r="GH32" s="1">
        <v>60003760</v>
      </c>
      <c r="GI32" s="1">
        <v>32767</v>
      </c>
      <c r="GJ32" s="1">
        <v>4</v>
      </c>
      <c r="GL32" s="1">
        <v>2414998001</v>
      </c>
      <c r="GM32" s="1">
        <v>16681</v>
      </c>
      <c r="GN32" s="1">
        <v>284575</v>
      </c>
      <c r="GO32" s="1">
        <v>245482</v>
      </c>
      <c r="GP32" s="1">
        <v>6183.83</v>
      </c>
      <c r="GQ32" s="1">
        <v>1</v>
      </c>
      <c r="GR32" s="1">
        <v>0</v>
      </c>
      <c r="GS32" s="1">
        <v>1</v>
      </c>
      <c r="GT32" s="1">
        <v>60003760</v>
      </c>
      <c r="GU32" s="1">
        <v>32767</v>
      </c>
      <c r="GV32" s="1">
        <v>0</v>
      </c>
      <c r="GX32" s="1">
        <v>2869006155</v>
      </c>
      <c r="GY32" s="1">
        <v>16683</v>
      </c>
      <c r="GZ32" s="1">
        <v>9950</v>
      </c>
      <c r="HA32" s="1">
        <v>9950</v>
      </c>
      <c r="HB32" s="1">
        <v>8727.09</v>
      </c>
      <c r="HC32" s="1">
        <v>1</v>
      </c>
      <c r="HD32" s="1">
        <v>0</v>
      </c>
      <c r="HE32" s="1">
        <v>7</v>
      </c>
      <c r="HF32" s="1">
        <v>60003760</v>
      </c>
      <c r="HG32" s="1">
        <v>32767</v>
      </c>
      <c r="HH32" s="1">
        <v>0</v>
      </c>
      <c r="HJ32" s="1">
        <v>2840113820</v>
      </c>
      <c r="HK32" s="1">
        <v>11724</v>
      </c>
      <c r="HL32" s="1">
        <v>100000</v>
      </c>
      <c r="HM32" s="1">
        <v>99992</v>
      </c>
      <c r="HN32" s="1">
        <v>38355.42</v>
      </c>
      <c r="HO32" s="1">
        <v>1</v>
      </c>
      <c r="HP32" s="1">
        <v>1</v>
      </c>
      <c r="HQ32" s="1">
        <v>90</v>
      </c>
      <c r="HR32" s="1">
        <v>60003760</v>
      </c>
      <c r="HS32" s="1">
        <v>-1</v>
      </c>
      <c r="HT32" s="1">
        <v>0</v>
      </c>
      <c r="HV32" s="1">
        <v>2857771995</v>
      </c>
      <c r="HW32" s="1">
        <v>16274</v>
      </c>
      <c r="HX32" s="1">
        <v>1000000</v>
      </c>
      <c r="HY32" s="1">
        <v>1000000</v>
      </c>
      <c r="HZ32" s="1">
        <v>370</v>
      </c>
      <c r="IA32" s="1">
        <v>1</v>
      </c>
      <c r="IB32" s="1">
        <v>0</v>
      </c>
      <c r="IC32" s="1">
        <v>90</v>
      </c>
      <c r="ID32" s="1">
        <v>60003760</v>
      </c>
      <c r="IE32" s="1">
        <v>32767</v>
      </c>
      <c r="IF32" s="1">
        <v>2</v>
      </c>
      <c r="IH32" s="1">
        <v>2770663580</v>
      </c>
      <c r="II32" s="1">
        <v>10213</v>
      </c>
      <c r="IJ32" s="1">
        <v>5</v>
      </c>
      <c r="IK32" s="1">
        <v>5</v>
      </c>
      <c r="IL32" s="1">
        <v>98000000.560000002</v>
      </c>
      <c r="IM32" s="1">
        <v>1</v>
      </c>
      <c r="IN32" s="1">
        <v>1</v>
      </c>
      <c r="IO32" s="1">
        <v>90</v>
      </c>
      <c r="IP32" s="1">
        <v>60003760</v>
      </c>
      <c r="IQ32" s="1">
        <v>-1</v>
      </c>
      <c r="IR32" s="1">
        <v>0</v>
      </c>
      <c r="IT32" s="1">
        <v>2791747056</v>
      </c>
      <c r="IU32" s="1">
        <v>16679</v>
      </c>
      <c r="IV32" s="1">
        <v>500000</v>
      </c>
      <c r="IW32" s="1">
        <v>500000</v>
      </c>
      <c r="IX32" s="1">
        <v>1990.44</v>
      </c>
      <c r="IY32" s="1">
        <v>1</v>
      </c>
      <c r="IZ32" s="1">
        <v>0</v>
      </c>
      <c r="JA32" s="1">
        <v>90</v>
      </c>
      <c r="JB32" s="1">
        <v>60003760</v>
      </c>
      <c r="JC32" s="1">
        <v>32767</v>
      </c>
      <c r="JD32" s="1">
        <v>0</v>
      </c>
      <c r="JF32" s="1">
        <v>2870323330</v>
      </c>
      <c r="JG32" s="1">
        <v>16272</v>
      </c>
      <c r="JH32" s="1">
        <v>5000000</v>
      </c>
      <c r="JI32" s="1">
        <v>688242</v>
      </c>
      <c r="JJ32" s="1">
        <v>80.39</v>
      </c>
      <c r="JK32" s="1">
        <v>1</v>
      </c>
      <c r="JL32" s="1">
        <v>0</v>
      </c>
      <c r="JM32" s="1">
        <v>90</v>
      </c>
      <c r="JN32" s="1">
        <v>60003760</v>
      </c>
      <c r="JO32" s="1">
        <v>32767</v>
      </c>
      <c r="JP32" s="1">
        <v>6</v>
      </c>
      <c r="JR32" s="1">
        <v>2767686531</v>
      </c>
      <c r="JS32" s="1">
        <v>10226</v>
      </c>
      <c r="JT32" s="1">
        <v>5</v>
      </c>
      <c r="JU32" s="1">
        <v>3</v>
      </c>
      <c r="JV32" s="1">
        <v>101003200.22</v>
      </c>
      <c r="JW32" s="1">
        <v>1</v>
      </c>
      <c r="JX32" s="1">
        <v>1</v>
      </c>
      <c r="JY32" s="1">
        <v>90</v>
      </c>
      <c r="JZ32" s="1">
        <v>60003760</v>
      </c>
      <c r="KA32" s="1">
        <v>-1</v>
      </c>
      <c r="KB32" s="1">
        <v>0</v>
      </c>
      <c r="KD32" s="1">
        <v>2857375011</v>
      </c>
      <c r="KE32" s="1">
        <v>25605</v>
      </c>
      <c r="KF32" s="1">
        <v>10000</v>
      </c>
      <c r="KG32" s="1">
        <v>6226</v>
      </c>
      <c r="KH32" s="1">
        <v>115499</v>
      </c>
      <c r="KI32" s="1">
        <v>1</v>
      </c>
      <c r="KJ32" s="1">
        <v>0</v>
      </c>
      <c r="KK32" s="1">
        <v>90</v>
      </c>
      <c r="KL32" s="1">
        <v>60003760</v>
      </c>
      <c r="KM32" s="1">
        <v>32767</v>
      </c>
      <c r="KN32" s="1">
        <v>6</v>
      </c>
      <c r="KP32" s="1">
        <v>2844060371</v>
      </c>
      <c r="KQ32" s="1">
        <v>25624</v>
      </c>
      <c r="KR32" s="1">
        <v>1</v>
      </c>
      <c r="KS32" s="1">
        <v>1</v>
      </c>
      <c r="KT32" s="1">
        <v>19570000</v>
      </c>
      <c r="KU32" s="1">
        <v>1</v>
      </c>
      <c r="KV32" s="1">
        <v>0</v>
      </c>
      <c r="KW32" s="1">
        <v>90</v>
      </c>
      <c r="KX32" s="1">
        <v>60003760</v>
      </c>
      <c r="KY32" s="1">
        <v>32767</v>
      </c>
      <c r="KZ32" s="1">
        <v>1</v>
      </c>
      <c r="LB32" s="1">
        <v>2838286501</v>
      </c>
      <c r="LC32" s="1">
        <v>9832</v>
      </c>
      <c r="LD32" s="1">
        <v>61221</v>
      </c>
      <c r="LE32" s="1">
        <v>61221</v>
      </c>
      <c r="LF32" s="1">
        <v>9898.9500000000007</v>
      </c>
      <c r="LG32" s="1">
        <v>1</v>
      </c>
      <c r="LH32" s="1">
        <v>0</v>
      </c>
      <c r="LI32" s="1">
        <v>90</v>
      </c>
      <c r="LJ32" s="1">
        <v>60003760</v>
      </c>
      <c r="LK32" s="1">
        <v>32767</v>
      </c>
      <c r="LL32" s="1">
        <v>0</v>
      </c>
      <c r="LN32" s="1">
        <v>2876868981</v>
      </c>
      <c r="LO32" s="1">
        <v>10209</v>
      </c>
      <c r="LP32" s="1">
        <v>15</v>
      </c>
      <c r="LQ32" s="1">
        <v>6</v>
      </c>
      <c r="LR32" s="1">
        <v>118597800</v>
      </c>
      <c r="LS32" s="1">
        <v>1</v>
      </c>
      <c r="LT32" s="1">
        <v>0</v>
      </c>
      <c r="LU32" s="1">
        <v>90</v>
      </c>
      <c r="LV32" s="1">
        <v>60003760</v>
      </c>
      <c r="LW32" s="1">
        <v>32767</v>
      </c>
      <c r="LX32" s="1">
        <v>1</v>
      </c>
      <c r="LZ32" s="1">
        <v>2775459371</v>
      </c>
      <c r="MA32" s="1">
        <v>10217</v>
      </c>
      <c r="MB32" s="1">
        <v>10</v>
      </c>
      <c r="MC32" s="1">
        <v>10</v>
      </c>
      <c r="MD32" s="1">
        <v>99503701</v>
      </c>
      <c r="ME32" s="1">
        <v>1</v>
      </c>
      <c r="MF32" s="1">
        <v>1</v>
      </c>
      <c r="MG32" s="1">
        <v>90</v>
      </c>
      <c r="MH32" s="1">
        <v>60003760</v>
      </c>
      <c r="MI32" s="1">
        <v>-1</v>
      </c>
      <c r="MJ32" s="1">
        <v>0</v>
      </c>
      <c r="ML32" s="1">
        <v>2877492192</v>
      </c>
      <c r="MM32" s="1">
        <v>25625</v>
      </c>
      <c r="MN32" s="1">
        <v>5</v>
      </c>
      <c r="MO32" s="1">
        <v>5</v>
      </c>
      <c r="MP32" s="1">
        <v>4596700</v>
      </c>
      <c r="MQ32" s="1">
        <v>1</v>
      </c>
      <c r="MR32" s="1">
        <v>0</v>
      </c>
      <c r="MS32" s="1">
        <v>90</v>
      </c>
      <c r="MT32" s="1">
        <v>60003760</v>
      </c>
      <c r="MU32" s="1">
        <v>32767</v>
      </c>
      <c r="MV32" s="1">
        <v>0</v>
      </c>
      <c r="MX32" s="1">
        <v>2871033910</v>
      </c>
      <c r="MY32" s="1">
        <v>16672</v>
      </c>
      <c r="MZ32" s="1">
        <v>4800000</v>
      </c>
      <c r="NA32" s="1">
        <v>4800000</v>
      </c>
      <c r="NB32" s="1">
        <v>140</v>
      </c>
      <c r="NC32" s="1">
        <v>1</v>
      </c>
      <c r="ND32" s="1">
        <v>0</v>
      </c>
      <c r="NE32" s="1">
        <v>90</v>
      </c>
      <c r="NF32" s="1">
        <v>60003760</v>
      </c>
      <c r="NG32" s="1">
        <v>32767</v>
      </c>
      <c r="NH32" s="1">
        <v>0</v>
      </c>
      <c r="NJ32" s="1">
        <v>2832065747</v>
      </c>
      <c r="NK32" s="1">
        <v>16673</v>
      </c>
      <c r="NL32" s="1">
        <v>3390000</v>
      </c>
      <c r="NM32" s="1">
        <v>3390000</v>
      </c>
      <c r="NN32" s="1">
        <v>120.08</v>
      </c>
      <c r="NO32" s="1">
        <v>1</v>
      </c>
      <c r="NP32" s="1">
        <v>0</v>
      </c>
      <c r="NQ32" s="1">
        <v>90</v>
      </c>
      <c r="NR32" s="1">
        <v>60003760</v>
      </c>
      <c r="NS32" s="1">
        <v>32767</v>
      </c>
      <c r="NT32" s="1">
        <v>6</v>
      </c>
      <c r="NV32" s="1">
        <v>2831738080</v>
      </c>
      <c r="NW32" s="1">
        <v>3689</v>
      </c>
      <c r="NX32" s="1">
        <v>29070</v>
      </c>
      <c r="NY32" s="1">
        <v>25070</v>
      </c>
      <c r="NZ32" s="1">
        <v>12176</v>
      </c>
      <c r="OA32" s="1">
        <v>1</v>
      </c>
      <c r="OB32" s="1">
        <v>0</v>
      </c>
      <c r="OC32" s="1">
        <v>90</v>
      </c>
      <c r="OD32" s="1">
        <v>60003760</v>
      </c>
      <c r="OE32" s="1">
        <v>32767</v>
      </c>
      <c r="OF32" s="1">
        <v>0</v>
      </c>
      <c r="OH32" s="1">
        <v>2777535382</v>
      </c>
      <c r="OI32" s="1">
        <v>25598</v>
      </c>
      <c r="OJ32" s="1">
        <v>8004</v>
      </c>
      <c r="OK32" s="1">
        <v>8004</v>
      </c>
      <c r="OL32" s="1">
        <v>172034.08</v>
      </c>
      <c r="OM32" s="1">
        <v>1</v>
      </c>
      <c r="ON32" s="1">
        <v>0</v>
      </c>
      <c r="OO32" s="1">
        <v>90</v>
      </c>
      <c r="OP32" s="1">
        <v>60003760</v>
      </c>
      <c r="OQ32" s="1">
        <v>32767</v>
      </c>
      <c r="OR32" s="1">
        <v>0</v>
      </c>
      <c r="OT32" s="1">
        <v>2813165403</v>
      </c>
      <c r="OU32" s="1">
        <v>25600</v>
      </c>
      <c r="OV32" s="1">
        <v>370</v>
      </c>
      <c r="OW32" s="1">
        <v>370</v>
      </c>
      <c r="OX32" s="1">
        <v>33000</v>
      </c>
      <c r="OY32" s="1">
        <v>1</v>
      </c>
      <c r="OZ32" s="1">
        <v>0</v>
      </c>
      <c r="PA32" s="1">
        <v>90</v>
      </c>
      <c r="PB32" s="1">
        <v>60003760</v>
      </c>
      <c r="PC32" s="1">
        <v>32767</v>
      </c>
      <c r="PD32" s="1">
        <v>0</v>
      </c>
      <c r="PF32" s="1">
        <v>2859295020</v>
      </c>
      <c r="PG32" s="1">
        <v>16670</v>
      </c>
      <c r="PH32" s="1">
        <v>6730000</v>
      </c>
      <c r="PI32" s="1">
        <v>2630000</v>
      </c>
      <c r="PJ32" s="1">
        <v>127.17</v>
      </c>
      <c r="PK32" s="1">
        <v>1</v>
      </c>
      <c r="PL32" s="1">
        <v>0</v>
      </c>
      <c r="PM32" s="1">
        <v>30</v>
      </c>
      <c r="PN32" s="1">
        <v>60003760</v>
      </c>
      <c r="PO32" s="1">
        <v>32767</v>
      </c>
      <c r="PP32" s="1">
        <v>7</v>
      </c>
      <c r="PR32" s="1">
        <v>2874117053</v>
      </c>
      <c r="PS32" s="1">
        <v>10222</v>
      </c>
      <c r="PT32" s="1">
        <v>10</v>
      </c>
      <c r="PU32" s="1">
        <v>6</v>
      </c>
      <c r="PV32" s="1">
        <v>117798999.98999999</v>
      </c>
      <c r="PW32" s="1">
        <v>1</v>
      </c>
      <c r="PX32" s="1">
        <v>0</v>
      </c>
      <c r="PY32" s="1">
        <v>90</v>
      </c>
      <c r="PZ32" s="1">
        <v>60003760</v>
      </c>
      <c r="QA32" s="1">
        <v>32767</v>
      </c>
      <c r="QB32" s="1">
        <v>0</v>
      </c>
      <c r="QD32" s="1">
        <v>2865652107</v>
      </c>
      <c r="QE32" s="1">
        <v>9830</v>
      </c>
      <c r="QF32" s="1">
        <v>575113</v>
      </c>
      <c r="QG32" s="1">
        <v>307189</v>
      </c>
      <c r="QH32" s="1">
        <v>7930</v>
      </c>
      <c r="QI32" s="1">
        <v>1</v>
      </c>
      <c r="QJ32" s="1">
        <v>0</v>
      </c>
      <c r="QK32" s="1">
        <v>90</v>
      </c>
      <c r="QL32" s="1">
        <v>60003760</v>
      </c>
      <c r="QM32" s="1">
        <v>32767</v>
      </c>
      <c r="QN32" s="1">
        <v>0</v>
      </c>
      <c r="QP32" s="1">
        <v>2865943909</v>
      </c>
      <c r="QQ32" s="1">
        <v>16671</v>
      </c>
      <c r="QR32" s="1">
        <v>7565211</v>
      </c>
      <c r="QS32" s="1">
        <v>7565211</v>
      </c>
      <c r="QT32" s="1">
        <v>121</v>
      </c>
      <c r="QU32" s="1">
        <v>1</v>
      </c>
      <c r="QV32" s="1">
        <v>0</v>
      </c>
      <c r="QW32" s="1">
        <v>90</v>
      </c>
      <c r="QX32" s="1">
        <v>60003760</v>
      </c>
      <c r="QY32" s="1">
        <v>32767</v>
      </c>
      <c r="QZ32" s="1">
        <v>7</v>
      </c>
      <c r="RB32" s="1">
        <v>2865427946</v>
      </c>
      <c r="RC32" s="1">
        <v>16682</v>
      </c>
      <c r="RD32" s="1">
        <v>256471</v>
      </c>
      <c r="RE32" s="1">
        <v>80919</v>
      </c>
      <c r="RF32" s="1">
        <v>3349.99</v>
      </c>
      <c r="RG32" s="1">
        <v>1</v>
      </c>
      <c r="RH32" s="1">
        <v>0</v>
      </c>
      <c r="RI32" s="1">
        <v>90</v>
      </c>
      <c r="RJ32" s="1">
        <v>60003760</v>
      </c>
      <c r="RK32" s="1">
        <v>32767</v>
      </c>
      <c r="RL32" s="1">
        <v>8</v>
      </c>
      <c r="RN32" s="1">
        <v>2878542852</v>
      </c>
      <c r="RO32" s="1">
        <v>16678</v>
      </c>
      <c r="RP32" s="1">
        <v>3548560</v>
      </c>
      <c r="RQ32" s="1">
        <v>3548560</v>
      </c>
      <c r="RR32" s="1">
        <v>300</v>
      </c>
      <c r="RS32" s="1">
        <v>1</v>
      </c>
      <c r="RT32" s="1">
        <v>0</v>
      </c>
      <c r="RU32" s="1">
        <v>30</v>
      </c>
      <c r="RV32" s="1">
        <v>60003760</v>
      </c>
      <c r="RW32" s="1">
        <v>32767</v>
      </c>
      <c r="RX32" s="1">
        <v>0</v>
      </c>
      <c r="RZ32" s="1">
        <v>2877777252</v>
      </c>
      <c r="SA32" s="1">
        <v>30310</v>
      </c>
      <c r="SB32" s="1">
        <v>1577</v>
      </c>
      <c r="SC32" s="1">
        <v>1017</v>
      </c>
      <c r="SD32" s="1">
        <v>1288998</v>
      </c>
      <c r="SE32" s="1">
        <v>1</v>
      </c>
      <c r="SF32" s="1">
        <v>0</v>
      </c>
      <c r="SG32" s="1">
        <v>90</v>
      </c>
      <c r="SH32" s="1">
        <v>60003760</v>
      </c>
      <c r="SI32" s="1">
        <v>32767</v>
      </c>
      <c r="SJ32" s="1">
        <v>0</v>
      </c>
      <c r="SL32" s="1">
        <v>2870664576</v>
      </c>
      <c r="SM32" s="1">
        <v>30311</v>
      </c>
      <c r="SN32" s="1">
        <v>204</v>
      </c>
      <c r="SO32" s="1">
        <v>204</v>
      </c>
      <c r="SP32" s="1">
        <v>3469000.03</v>
      </c>
      <c r="SQ32" s="1">
        <v>1</v>
      </c>
      <c r="SR32" s="1">
        <v>0</v>
      </c>
      <c r="SS32" s="1">
        <v>90</v>
      </c>
      <c r="ST32" s="1">
        <v>60003760</v>
      </c>
      <c r="SU32" s="1">
        <v>32767</v>
      </c>
      <c r="SV32" s="1">
        <v>0</v>
      </c>
      <c r="SX32" s="1">
        <v>2781964047</v>
      </c>
      <c r="SY32" s="1">
        <v>25595</v>
      </c>
      <c r="SZ32" s="1">
        <v>5000</v>
      </c>
      <c r="TA32" s="1">
        <v>5000</v>
      </c>
      <c r="TB32" s="1">
        <v>106599</v>
      </c>
      <c r="TC32" s="1">
        <v>1</v>
      </c>
      <c r="TD32" s="1">
        <v>0</v>
      </c>
      <c r="TE32" s="1">
        <v>90</v>
      </c>
      <c r="TF32" s="1">
        <v>60003760</v>
      </c>
      <c r="TG32" s="1">
        <v>32767</v>
      </c>
      <c r="TH32" s="1">
        <v>6</v>
      </c>
      <c r="TJ32" s="1">
        <v>2849795540</v>
      </c>
      <c r="TK32" s="1">
        <v>25606</v>
      </c>
      <c r="TL32" s="1">
        <v>72</v>
      </c>
      <c r="TM32" s="1">
        <v>72</v>
      </c>
      <c r="TN32" s="1">
        <v>28397</v>
      </c>
      <c r="TO32" s="1">
        <v>1</v>
      </c>
      <c r="TP32" s="1">
        <v>0</v>
      </c>
      <c r="TQ32" s="1">
        <v>30</v>
      </c>
      <c r="TR32" s="1">
        <v>60003760</v>
      </c>
      <c r="TS32" s="1">
        <v>32767</v>
      </c>
      <c r="TT32" s="1">
        <v>0</v>
      </c>
      <c r="TV32" s="1">
        <v>2877689588</v>
      </c>
      <c r="TW32" s="1">
        <v>25622</v>
      </c>
      <c r="TX32" s="1">
        <v>12</v>
      </c>
      <c r="TY32" s="1">
        <v>12</v>
      </c>
      <c r="TZ32" s="1">
        <v>14500000</v>
      </c>
      <c r="UA32" s="1">
        <v>1</v>
      </c>
      <c r="UB32" s="1">
        <v>0</v>
      </c>
      <c r="UC32" s="1">
        <v>30</v>
      </c>
      <c r="UD32" s="1">
        <v>60003760</v>
      </c>
      <c r="UE32" s="1">
        <v>32767</v>
      </c>
      <c r="UF32" s="1">
        <v>0</v>
      </c>
      <c r="UH32" s="1">
        <v>2873527274</v>
      </c>
      <c r="UI32" s="1">
        <v>16680</v>
      </c>
      <c r="UJ32" s="1">
        <v>3112929</v>
      </c>
      <c r="UK32" s="1">
        <v>1647599</v>
      </c>
      <c r="UL32" s="1">
        <v>699.99</v>
      </c>
      <c r="UM32" s="1">
        <v>1</v>
      </c>
      <c r="UN32" s="1">
        <v>0</v>
      </c>
      <c r="UO32" s="1">
        <v>90</v>
      </c>
      <c r="UP32" s="1">
        <v>60003760</v>
      </c>
      <c r="UQ32" s="1">
        <v>32767</v>
      </c>
      <c r="UR32" s="1">
        <v>6</v>
      </c>
      <c r="UT32" s="1">
        <v>2754775461</v>
      </c>
      <c r="UU32" s="1">
        <v>17317</v>
      </c>
      <c r="UV32" s="1">
        <v>100000</v>
      </c>
      <c r="UW32" s="1">
        <v>100000</v>
      </c>
      <c r="UX32" s="1">
        <v>15008</v>
      </c>
      <c r="UY32" s="1">
        <v>1</v>
      </c>
      <c r="UZ32" s="1">
        <v>1</v>
      </c>
      <c r="VA32" s="1">
        <v>90</v>
      </c>
      <c r="VB32" s="1">
        <v>60003760</v>
      </c>
      <c r="VC32" s="1">
        <v>0</v>
      </c>
      <c r="VD32" s="1">
        <v>0</v>
      </c>
      <c r="VF32" s="1">
        <v>2669820716</v>
      </c>
      <c r="VG32" s="1">
        <v>11725</v>
      </c>
      <c r="VH32" s="1">
        <v>1000</v>
      </c>
      <c r="VI32" s="1">
        <v>873</v>
      </c>
      <c r="VJ32" s="1">
        <v>23500.02</v>
      </c>
      <c r="VK32" s="1">
        <v>5</v>
      </c>
      <c r="VL32" s="1">
        <v>1</v>
      </c>
      <c r="VM32" s="1">
        <v>90</v>
      </c>
      <c r="VN32" s="1">
        <v>60015027</v>
      </c>
      <c r="VO32" s="1">
        <v>32767</v>
      </c>
      <c r="VP32" s="1">
        <v>0</v>
      </c>
    </row>
    <row r="33" spans="2:588" x14ac:dyDescent="0.25">
      <c r="B33" s="1">
        <v>2877121116</v>
      </c>
      <c r="C33" s="1">
        <v>34</v>
      </c>
      <c r="D33" s="1">
        <v>84525000</v>
      </c>
      <c r="E33" s="1">
        <v>70305299</v>
      </c>
      <c r="F33" s="1">
        <v>5.7</v>
      </c>
      <c r="G33" s="1">
        <v>1</v>
      </c>
      <c r="H33" s="1">
        <v>0</v>
      </c>
      <c r="I33" s="1">
        <v>1</v>
      </c>
      <c r="J33" s="1">
        <v>60004360</v>
      </c>
      <c r="K33" s="1">
        <v>32767</v>
      </c>
      <c r="L33" s="1">
        <v>4</v>
      </c>
      <c r="N33" s="1">
        <v>2812386661</v>
      </c>
      <c r="O33" s="1">
        <v>35</v>
      </c>
      <c r="P33" s="1">
        <v>9009336</v>
      </c>
      <c r="Q33" s="1">
        <v>9009336</v>
      </c>
      <c r="R33" s="1">
        <v>17.77</v>
      </c>
      <c r="S33" s="1">
        <v>1</v>
      </c>
      <c r="T33" s="1">
        <v>0</v>
      </c>
      <c r="U33" s="1">
        <v>90</v>
      </c>
      <c r="V33" s="1">
        <v>60003760</v>
      </c>
      <c r="W33" s="1">
        <v>32767</v>
      </c>
      <c r="X33" s="1">
        <v>0</v>
      </c>
      <c r="Z33" s="1">
        <v>2756420228</v>
      </c>
      <c r="AA33" s="1">
        <v>36</v>
      </c>
      <c r="AB33" s="1">
        <v>599119</v>
      </c>
      <c r="AC33" s="1">
        <v>599119</v>
      </c>
      <c r="AD33" s="16">
        <v>60</v>
      </c>
      <c r="AE33" s="1">
        <v>1</v>
      </c>
      <c r="AF33" s="1">
        <v>0</v>
      </c>
      <c r="AG33" s="1">
        <v>90</v>
      </c>
      <c r="AH33" s="1">
        <v>60003760</v>
      </c>
      <c r="AI33" s="1">
        <v>32767</v>
      </c>
      <c r="AJ33" s="1">
        <v>11</v>
      </c>
      <c r="AL33" s="1">
        <v>2767874579</v>
      </c>
      <c r="AM33" s="1">
        <v>37</v>
      </c>
      <c r="AN33" s="1">
        <v>1761</v>
      </c>
      <c r="AO33" s="1">
        <v>1761</v>
      </c>
      <c r="AP33" s="16">
        <v>154.94999999999999</v>
      </c>
      <c r="AQ33" s="1">
        <v>1</v>
      </c>
      <c r="AR33" s="1">
        <v>0</v>
      </c>
      <c r="AS33" s="1">
        <v>90</v>
      </c>
      <c r="AT33" s="1">
        <v>60003760</v>
      </c>
      <c r="AU33" s="1">
        <v>32767</v>
      </c>
      <c r="AV33" s="1">
        <v>9</v>
      </c>
      <c r="AX33" s="1">
        <v>2511707842</v>
      </c>
      <c r="AY33" s="1">
        <v>38</v>
      </c>
      <c r="AZ33" s="1">
        <v>1807048</v>
      </c>
      <c r="BA33" s="1">
        <v>650053</v>
      </c>
      <c r="BB33" s="1">
        <v>1019.79</v>
      </c>
      <c r="BC33" s="1">
        <v>1</v>
      </c>
      <c r="BD33" s="1">
        <v>0</v>
      </c>
      <c r="BE33" s="1">
        <v>90</v>
      </c>
      <c r="BF33" s="1">
        <v>60003760</v>
      </c>
      <c r="BG33" s="1">
        <v>32767</v>
      </c>
      <c r="BH33" s="1">
        <v>5</v>
      </c>
      <c r="BJ33" s="1">
        <v>2855669434</v>
      </c>
      <c r="BK33" s="1">
        <v>39</v>
      </c>
      <c r="BL33" s="1">
        <v>15000000</v>
      </c>
      <c r="BM33" s="1">
        <v>15000000</v>
      </c>
      <c r="BN33" s="1">
        <v>839.99</v>
      </c>
      <c r="BO33" s="1">
        <v>1</v>
      </c>
      <c r="BP33" s="1">
        <v>0</v>
      </c>
      <c r="BQ33" s="1">
        <v>90</v>
      </c>
      <c r="BR33" s="1">
        <v>60003760</v>
      </c>
      <c r="BS33" s="1">
        <v>32767</v>
      </c>
      <c r="BT33" s="1">
        <v>5</v>
      </c>
      <c r="BV33" s="1">
        <v>2367491760</v>
      </c>
      <c r="BW33" s="1">
        <v>40</v>
      </c>
      <c r="BX33" s="1">
        <v>599</v>
      </c>
      <c r="BY33" s="1">
        <v>599</v>
      </c>
      <c r="BZ33" s="1">
        <v>29000</v>
      </c>
      <c r="CA33" s="1">
        <v>1</v>
      </c>
      <c r="CB33" s="1">
        <v>0</v>
      </c>
      <c r="CC33" s="1">
        <v>90</v>
      </c>
      <c r="CD33" s="1">
        <v>60003760</v>
      </c>
      <c r="CE33" s="1">
        <v>32767</v>
      </c>
      <c r="CF33" s="1">
        <v>13</v>
      </c>
      <c r="CH33" s="1">
        <v>2353204071</v>
      </c>
      <c r="CI33" s="1">
        <v>29668</v>
      </c>
      <c r="CJ33" s="1">
        <v>15</v>
      </c>
      <c r="CK33" s="1">
        <v>15</v>
      </c>
      <c r="CL33" s="1">
        <v>499999999.63999999</v>
      </c>
      <c r="CM33" s="1">
        <v>1</v>
      </c>
      <c r="CN33" s="1">
        <v>0</v>
      </c>
      <c r="CO33" s="1">
        <v>90</v>
      </c>
      <c r="CP33" s="1">
        <v>60003760</v>
      </c>
      <c r="CQ33" s="1">
        <v>32767</v>
      </c>
      <c r="CR33" s="1">
        <v>0</v>
      </c>
      <c r="CT33" s="1">
        <v>2415163813</v>
      </c>
      <c r="CU33" s="1">
        <v>16649</v>
      </c>
      <c r="CV33" s="1">
        <v>65000</v>
      </c>
      <c r="CW33" s="1">
        <v>65000</v>
      </c>
      <c r="CX33" s="1">
        <v>107695.89</v>
      </c>
      <c r="CY33" s="1">
        <v>1</v>
      </c>
      <c r="CZ33" s="1">
        <v>0</v>
      </c>
      <c r="DA33" s="1">
        <v>90</v>
      </c>
      <c r="DB33" s="1">
        <v>60003760</v>
      </c>
      <c r="DC33" s="1">
        <v>32767</v>
      </c>
      <c r="DD33" s="1">
        <v>0</v>
      </c>
      <c r="DF33" s="1">
        <v>2411727853</v>
      </c>
      <c r="DG33" s="1">
        <v>17887</v>
      </c>
      <c r="DH33" s="1">
        <v>988008</v>
      </c>
      <c r="DI33" s="1">
        <v>988008</v>
      </c>
      <c r="DJ33" s="1">
        <v>1017.91</v>
      </c>
      <c r="DK33" s="1">
        <v>1</v>
      </c>
      <c r="DL33" s="1">
        <v>0</v>
      </c>
      <c r="DM33" s="1">
        <v>90</v>
      </c>
      <c r="DN33" s="1">
        <v>60003760</v>
      </c>
      <c r="DO33" s="1">
        <v>32767</v>
      </c>
      <c r="DP33" s="1">
        <v>0</v>
      </c>
      <c r="DR33" s="1">
        <v>2763681264</v>
      </c>
      <c r="DS33" s="1">
        <v>17888</v>
      </c>
      <c r="DT33" s="1">
        <v>8769</v>
      </c>
      <c r="DU33" s="1">
        <v>8769</v>
      </c>
      <c r="DV33" s="1">
        <v>434</v>
      </c>
      <c r="DW33" s="1">
        <v>1</v>
      </c>
      <c r="DX33" s="1">
        <v>0</v>
      </c>
      <c r="DY33" s="1">
        <v>90</v>
      </c>
      <c r="DZ33" s="1">
        <v>60003394</v>
      </c>
      <c r="EA33" s="1">
        <v>32767</v>
      </c>
      <c r="EB33" s="1">
        <v>9</v>
      </c>
      <c r="ED33" s="1">
        <v>2855337665</v>
      </c>
      <c r="EE33" s="1">
        <v>16273</v>
      </c>
      <c r="EF33" s="1">
        <v>3000000</v>
      </c>
      <c r="EG33" s="1">
        <v>769711</v>
      </c>
      <c r="EH33" s="1">
        <v>386.14</v>
      </c>
      <c r="EI33" s="1">
        <v>1</v>
      </c>
      <c r="EJ33" s="1">
        <v>0</v>
      </c>
      <c r="EK33" s="1">
        <v>90</v>
      </c>
      <c r="EL33" s="1">
        <v>60003760</v>
      </c>
      <c r="EM33" s="1">
        <v>32767</v>
      </c>
      <c r="EN33" s="1">
        <v>6</v>
      </c>
      <c r="EP33" s="1">
        <v>2866929311</v>
      </c>
      <c r="EQ33" s="1">
        <v>17889</v>
      </c>
      <c r="ER33" s="1">
        <v>360000</v>
      </c>
      <c r="ES33" s="1">
        <v>360000</v>
      </c>
      <c r="ET33" s="1">
        <v>376.16</v>
      </c>
      <c r="EU33" s="1">
        <v>1</v>
      </c>
      <c r="EV33" s="1">
        <v>0</v>
      </c>
      <c r="EW33" s="1">
        <v>90</v>
      </c>
      <c r="EX33" s="1">
        <v>60003760</v>
      </c>
      <c r="EY33" s="1">
        <v>32767</v>
      </c>
      <c r="EZ33" s="1">
        <v>7</v>
      </c>
      <c r="FB33" s="1">
        <v>2874398870</v>
      </c>
      <c r="FC33" s="1">
        <v>30259</v>
      </c>
      <c r="FD33" s="1">
        <v>4</v>
      </c>
      <c r="FE33" s="1">
        <v>4</v>
      </c>
      <c r="FF33" s="1">
        <v>5870000</v>
      </c>
      <c r="FG33" s="1">
        <v>1</v>
      </c>
      <c r="FH33" s="1">
        <v>0</v>
      </c>
      <c r="FI33" s="1">
        <v>90</v>
      </c>
      <c r="FJ33" s="1">
        <v>60003760</v>
      </c>
      <c r="FK33" s="1">
        <v>32767</v>
      </c>
      <c r="FL33" s="1">
        <v>0</v>
      </c>
      <c r="FN33" s="1">
        <v>2866209312</v>
      </c>
      <c r="FO33" s="1">
        <v>25617</v>
      </c>
      <c r="FP33" s="1">
        <v>70</v>
      </c>
      <c r="FQ33" s="1">
        <v>22</v>
      </c>
      <c r="FR33" s="1">
        <v>5199989.99</v>
      </c>
      <c r="FS33" s="1">
        <v>1</v>
      </c>
      <c r="FT33" s="1">
        <v>0</v>
      </c>
      <c r="FU33" s="1">
        <v>90</v>
      </c>
      <c r="FV33" s="1">
        <v>60003760</v>
      </c>
      <c r="FW33" s="1">
        <v>32767</v>
      </c>
      <c r="FX33" s="1">
        <v>0</v>
      </c>
      <c r="FZ33" s="1">
        <v>2868645719</v>
      </c>
      <c r="GA33" s="1">
        <v>44</v>
      </c>
      <c r="GB33" s="1">
        <v>24576</v>
      </c>
      <c r="GC33" s="1">
        <v>24576</v>
      </c>
      <c r="GD33" s="1">
        <v>13494.99</v>
      </c>
      <c r="GE33" s="1">
        <v>1</v>
      </c>
      <c r="GF33" s="1">
        <v>0</v>
      </c>
      <c r="GG33" s="1">
        <v>90</v>
      </c>
      <c r="GH33" s="1">
        <v>60003760</v>
      </c>
      <c r="GI33" s="1">
        <v>32767</v>
      </c>
      <c r="GJ33" s="1">
        <v>4</v>
      </c>
      <c r="GL33" s="1">
        <v>2415582740</v>
      </c>
      <c r="GM33" s="1">
        <v>16681</v>
      </c>
      <c r="GN33" s="1">
        <v>112500</v>
      </c>
      <c r="GO33" s="1">
        <v>112500</v>
      </c>
      <c r="GP33" s="1">
        <v>6183.46</v>
      </c>
      <c r="GQ33" s="1">
        <v>1</v>
      </c>
      <c r="GR33" s="1">
        <v>0</v>
      </c>
      <c r="GS33" s="1">
        <v>30</v>
      </c>
      <c r="GT33" s="1">
        <v>60003760</v>
      </c>
      <c r="GU33" s="1">
        <v>32767</v>
      </c>
      <c r="GV33" s="1">
        <v>0</v>
      </c>
      <c r="GX33" s="1">
        <v>2869803593</v>
      </c>
      <c r="GY33" s="1">
        <v>16683</v>
      </c>
      <c r="GZ33" s="1">
        <v>96000</v>
      </c>
      <c r="HA33" s="1">
        <v>39975</v>
      </c>
      <c r="HB33" s="1">
        <v>8611.8799999999992</v>
      </c>
      <c r="HC33" s="1">
        <v>1</v>
      </c>
      <c r="HD33" s="1">
        <v>0</v>
      </c>
      <c r="HE33" s="1">
        <v>90</v>
      </c>
      <c r="HF33" s="1">
        <v>60003760</v>
      </c>
      <c r="HG33" s="1">
        <v>32767</v>
      </c>
      <c r="HH33" s="1">
        <v>0</v>
      </c>
      <c r="HJ33" s="1">
        <v>2349751714</v>
      </c>
      <c r="HK33" s="1">
        <v>11724</v>
      </c>
      <c r="HL33" s="1">
        <v>1000</v>
      </c>
      <c r="HM33" s="1">
        <v>310</v>
      </c>
      <c r="HN33" s="1">
        <v>3740.22</v>
      </c>
      <c r="HO33" s="1">
        <v>1</v>
      </c>
      <c r="HP33" s="1">
        <v>1</v>
      </c>
      <c r="HQ33" s="1">
        <v>90</v>
      </c>
      <c r="HR33" s="1">
        <v>60003724</v>
      </c>
      <c r="HS33" s="1">
        <v>10</v>
      </c>
      <c r="HT33" s="1">
        <v>0</v>
      </c>
      <c r="HV33" s="1">
        <v>2857772182</v>
      </c>
      <c r="HW33" s="1">
        <v>16274</v>
      </c>
      <c r="HX33" s="1">
        <v>1000000</v>
      </c>
      <c r="HY33" s="1">
        <v>1000000</v>
      </c>
      <c r="HZ33" s="1">
        <v>370</v>
      </c>
      <c r="IA33" s="1">
        <v>1</v>
      </c>
      <c r="IB33" s="1">
        <v>0</v>
      </c>
      <c r="IC33" s="1">
        <v>90</v>
      </c>
      <c r="ID33" s="1">
        <v>60003760</v>
      </c>
      <c r="IE33" s="1">
        <v>32767</v>
      </c>
      <c r="IF33" s="1">
        <v>2</v>
      </c>
      <c r="IH33" s="1">
        <v>2771637047</v>
      </c>
      <c r="II33" s="1">
        <v>10213</v>
      </c>
      <c r="IJ33" s="1">
        <v>1</v>
      </c>
      <c r="IK33" s="1">
        <v>1</v>
      </c>
      <c r="IL33" s="1">
        <v>75000000</v>
      </c>
      <c r="IM33" s="1">
        <v>1</v>
      </c>
      <c r="IN33" s="1">
        <v>1</v>
      </c>
      <c r="IO33" s="1">
        <v>90</v>
      </c>
      <c r="IP33" s="1">
        <v>60003760</v>
      </c>
      <c r="IQ33" s="1">
        <v>-1</v>
      </c>
      <c r="IR33" s="1">
        <v>0</v>
      </c>
      <c r="IT33" s="1">
        <v>2796765319</v>
      </c>
      <c r="IU33" s="1">
        <v>16679</v>
      </c>
      <c r="IV33" s="1">
        <v>1936687</v>
      </c>
      <c r="IW33" s="1">
        <v>1936687</v>
      </c>
      <c r="IX33" s="1">
        <v>1966.8</v>
      </c>
      <c r="IY33" s="1">
        <v>1</v>
      </c>
      <c r="IZ33" s="1">
        <v>0</v>
      </c>
      <c r="JA33" s="1">
        <v>90</v>
      </c>
      <c r="JB33" s="1">
        <v>60003760</v>
      </c>
      <c r="JC33" s="1">
        <v>32767</v>
      </c>
      <c r="JD33" s="1">
        <v>0</v>
      </c>
      <c r="JF33" s="1">
        <v>2871276117</v>
      </c>
      <c r="JG33" s="1">
        <v>16272</v>
      </c>
      <c r="JH33" s="1">
        <v>26376</v>
      </c>
      <c r="JI33" s="1">
        <v>26376</v>
      </c>
      <c r="JJ33" s="1">
        <v>81.64</v>
      </c>
      <c r="JK33" s="1">
        <v>1</v>
      </c>
      <c r="JL33" s="1">
        <v>0</v>
      </c>
      <c r="JM33" s="1">
        <v>30</v>
      </c>
      <c r="JN33" s="1">
        <v>60003760</v>
      </c>
      <c r="JO33" s="1">
        <v>32767</v>
      </c>
      <c r="JP33" s="1">
        <v>6</v>
      </c>
      <c r="JR33" s="1">
        <v>2773127738</v>
      </c>
      <c r="JS33" s="1">
        <v>10226</v>
      </c>
      <c r="JT33" s="1">
        <v>4</v>
      </c>
      <c r="JU33" s="1">
        <v>4</v>
      </c>
      <c r="JV33" s="1">
        <v>101514006.01000001</v>
      </c>
      <c r="JW33" s="1">
        <v>1</v>
      </c>
      <c r="JX33" s="1">
        <v>1</v>
      </c>
      <c r="JY33" s="1">
        <v>90</v>
      </c>
      <c r="JZ33" s="1">
        <v>60003760</v>
      </c>
      <c r="KA33" s="1">
        <v>-1</v>
      </c>
      <c r="KB33" s="1">
        <v>0</v>
      </c>
      <c r="KD33" s="1">
        <v>2854089692</v>
      </c>
      <c r="KE33" s="1">
        <v>25605</v>
      </c>
      <c r="KF33" s="1">
        <v>16</v>
      </c>
      <c r="KG33" s="1">
        <v>16</v>
      </c>
      <c r="KH33" s="1">
        <v>115711.29</v>
      </c>
      <c r="KI33" s="1">
        <v>1</v>
      </c>
      <c r="KJ33" s="1">
        <v>0</v>
      </c>
      <c r="KK33" s="1">
        <v>90</v>
      </c>
      <c r="KL33" s="1">
        <v>60003760</v>
      </c>
      <c r="KM33" s="1">
        <v>32767</v>
      </c>
      <c r="KN33" s="1">
        <v>6</v>
      </c>
      <c r="KP33" s="1">
        <v>2843958530</v>
      </c>
      <c r="KQ33" s="1">
        <v>25624</v>
      </c>
      <c r="KR33" s="1">
        <v>2</v>
      </c>
      <c r="KS33" s="1">
        <v>2</v>
      </c>
      <c r="KT33" s="1">
        <v>19570000</v>
      </c>
      <c r="KU33" s="1">
        <v>1</v>
      </c>
      <c r="KV33" s="1">
        <v>0</v>
      </c>
      <c r="KW33" s="1">
        <v>90</v>
      </c>
      <c r="KX33" s="1">
        <v>60003760</v>
      </c>
      <c r="KY33" s="1">
        <v>32767</v>
      </c>
      <c r="KZ33" s="1">
        <v>1</v>
      </c>
      <c r="LB33" s="1">
        <v>2838640107</v>
      </c>
      <c r="LC33" s="1">
        <v>9832</v>
      </c>
      <c r="LD33" s="1">
        <v>13440</v>
      </c>
      <c r="LE33" s="1">
        <v>11046</v>
      </c>
      <c r="LF33" s="1">
        <v>9842.99</v>
      </c>
      <c r="LG33" s="1">
        <v>1</v>
      </c>
      <c r="LH33" s="1">
        <v>0</v>
      </c>
      <c r="LI33" s="1">
        <v>90</v>
      </c>
      <c r="LJ33" s="1">
        <v>60003760</v>
      </c>
      <c r="LK33" s="1">
        <v>32767</v>
      </c>
      <c r="LL33" s="1">
        <v>0</v>
      </c>
      <c r="LN33" s="1">
        <v>2827159056</v>
      </c>
      <c r="LO33" s="1">
        <v>10209</v>
      </c>
      <c r="LP33" s="1">
        <v>2</v>
      </c>
      <c r="LQ33" s="1">
        <v>2</v>
      </c>
      <c r="LR33" s="1">
        <v>98000002</v>
      </c>
      <c r="LS33" s="1">
        <v>1</v>
      </c>
      <c r="LT33" s="1">
        <v>1</v>
      </c>
      <c r="LU33" s="1">
        <v>90</v>
      </c>
      <c r="LV33" s="1">
        <v>60003760</v>
      </c>
      <c r="LW33" s="1">
        <v>10</v>
      </c>
      <c r="LX33" s="1">
        <v>0</v>
      </c>
      <c r="LZ33" s="1">
        <v>2776570107</v>
      </c>
      <c r="MA33" s="1">
        <v>10217</v>
      </c>
      <c r="MB33" s="1">
        <v>1</v>
      </c>
      <c r="MC33" s="1">
        <v>1</v>
      </c>
      <c r="MD33" s="1">
        <v>100225001</v>
      </c>
      <c r="ME33" s="1">
        <v>1</v>
      </c>
      <c r="MF33" s="1">
        <v>1</v>
      </c>
      <c r="MG33" s="1">
        <v>90</v>
      </c>
      <c r="MH33" s="1">
        <v>60003760</v>
      </c>
      <c r="MI33" s="1">
        <v>-1</v>
      </c>
      <c r="MJ33" s="1">
        <v>0</v>
      </c>
      <c r="ML33" s="1">
        <v>2877610622</v>
      </c>
      <c r="MM33" s="1">
        <v>25625</v>
      </c>
      <c r="MN33" s="1">
        <v>31</v>
      </c>
      <c r="MO33" s="1">
        <v>31</v>
      </c>
      <c r="MP33" s="1">
        <v>4593996</v>
      </c>
      <c r="MQ33" s="1">
        <v>1</v>
      </c>
      <c r="MR33" s="1">
        <v>0</v>
      </c>
      <c r="MS33" s="1">
        <v>90</v>
      </c>
      <c r="MT33" s="1">
        <v>60003760</v>
      </c>
      <c r="MU33" s="1">
        <v>32767</v>
      </c>
      <c r="MV33" s="1">
        <v>0</v>
      </c>
      <c r="MX33" s="1">
        <v>2871274393</v>
      </c>
      <c r="MY33" s="1">
        <v>16672</v>
      </c>
      <c r="MZ33" s="1">
        <v>5000000</v>
      </c>
      <c r="NA33" s="1">
        <v>5000000</v>
      </c>
      <c r="NB33" s="1">
        <v>174</v>
      </c>
      <c r="NC33" s="1">
        <v>1</v>
      </c>
      <c r="ND33" s="1">
        <v>0</v>
      </c>
      <c r="NE33" s="1">
        <v>90</v>
      </c>
      <c r="NF33" s="1">
        <v>60003760</v>
      </c>
      <c r="NG33" s="1">
        <v>32767</v>
      </c>
      <c r="NH33" s="1">
        <v>0</v>
      </c>
      <c r="NJ33" s="1">
        <v>2841929647</v>
      </c>
      <c r="NK33" s="1">
        <v>16673</v>
      </c>
      <c r="NL33" s="1">
        <v>3987467</v>
      </c>
      <c r="NM33" s="1">
        <v>3987467</v>
      </c>
      <c r="NN33" s="1">
        <v>127.98</v>
      </c>
      <c r="NO33" s="1">
        <v>1</v>
      </c>
      <c r="NP33" s="1">
        <v>0</v>
      </c>
      <c r="NQ33" s="1">
        <v>90</v>
      </c>
      <c r="NR33" s="1">
        <v>60003760</v>
      </c>
      <c r="NS33" s="1">
        <v>32767</v>
      </c>
      <c r="NT33" s="1">
        <v>6</v>
      </c>
      <c r="NV33" s="1">
        <v>2838789379</v>
      </c>
      <c r="NW33" s="1">
        <v>3689</v>
      </c>
      <c r="NX33" s="1">
        <v>55160</v>
      </c>
      <c r="NY33" s="1">
        <v>55160</v>
      </c>
      <c r="NZ33" s="1">
        <v>12894.97</v>
      </c>
      <c r="OA33" s="1">
        <v>1</v>
      </c>
      <c r="OB33" s="1">
        <v>0</v>
      </c>
      <c r="OC33" s="1">
        <v>90</v>
      </c>
      <c r="OD33" s="1">
        <v>60003760</v>
      </c>
      <c r="OE33" s="1">
        <v>32767</v>
      </c>
      <c r="OF33" s="1">
        <v>0</v>
      </c>
      <c r="OH33" s="1">
        <v>2813699276</v>
      </c>
      <c r="OI33" s="1">
        <v>25598</v>
      </c>
      <c r="OJ33" s="1">
        <v>466</v>
      </c>
      <c r="OK33" s="1">
        <v>466</v>
      </c>
      <c r="OL33" s="1">
        <v>168796.79999999999</v>
      </c>
      <c r="OM33" s="1">
        <v>1</v>
      </c>
      <c r="ON33" s="1">
        <v>0</v>
      </c>
      <c r="OO33" s="1">
        <v>90</v>
      </c>
      <c r="OP33" s="1">
        <v>60003760</v>
      </c>
      <c r="OQ33" s="1">
        <v>32767</v>
      </c>
      <c r="OR33" s="1">
        <v>0</v>
      </c>
      <c r="OT33" s="1">
        <v>2807063776</v>
      </c>
      <c r="OU33" s="1">
        <v>25600</v>
      </c>
      <c r="OV33" s="1">
        <v>6363</v>
      </c>
      <c r="OW33" s="1">
        <v>6363</v>
      </c>
      <c r="OX33" s="1">
        <v>34002.26</v>
      </c>
      <c r="OY33" s="1">
        <v>1</v>
      </c>
      <c r="OZ33" s="1">
        <v>0</v>
      </c>
      <c r="PA33" s="1">
        <v>90</v>
      </c>
      <c r="PB33" s="1">
        <v>60003760</v>
      </c>
      <c r="PC33" s="1">
        <v>32767</v>
      </c>
      <c r="PD33" s="1">
        <v>0</v>
      </c>
      <c r="PF33" s="1">
        <v>2859230688</v>
      </c>
      <c r="PG33" s="1">
        <v>16670</v>
      </c>
      <c r="PH33" s="1">
        <v>3000000</v>
      </c>
      <c r="PI33" s="1">
        <v>1900580</v>
      </c>
      <c r="PJ33" s="1">
        <v>127.99</v>
      </c>
      <c r="PK33" s="1">
        <v>1</v>
      </c>
      <c r="PL33" s="1">
        <v>0</v>
      </c>
      <c r="PM33" s="1">
        <v>90</v>
      </c>
      <c r="PN33" s="1">
        <v>60003760</v>
      </c>
      <c r="PO33" s="1">
        <v>32767</v>
      </c>
      <c r="PP33" s="1">
        <v>7</v>
      </c>
      <c r="PR33" s="1">
        <v>2878764838</v>
      </c>
      <c r="PS33" s="1">
        <v>10222</v>
      </c>
      <c r="PT33" s="1">
        <v>15</v>
      </c>
      <c r="PU33" s="1">
        <v>15</v>
      </c>
      <c r="PV33" s="1">
        <v>117798000</v>
      </c>
      <c r="PW33" s="1">
        <v>1</v>
      </c>
      <c r="PX33" s="1">
        <v>0</v>
      </c>
      <c r="PY33" s="1">
        <v>90</v>
      </c>
      <c r="PZ33" s="1">
        <v>60003760</v>
      </c>
      <c r="QA33" s="1">
        <v>32767</v>
      </c>
      <c r="QB33" s="1">
        <v>0</v>
      </c>
      <c r="QD33" s="1">
        <v>2870851306</v>
      </c>
      <c r="QE33" s="1">
        <v>9830</v>
      </c>
      <c r="QF33" s="1">
        <v>120395</v>
      </c>
      <c r="QG33" s="1">
        <v>76936</v>
      </c>
      <c r="QH33" s="1">
        <v>7888.86</v>
      </c>
      <c r="QI33" s="1">
        <v>1</v>
      </c>
      <c r="QJ33" s="1">
        <v>0</v>
      </c>
      <c r="QK33" s="1">
        <v>90</v>
      </c>
      <c r="QL33" s="1">
        <v>60003760</v>
      </c>
      <c r="QM33" s="1">
        <v>32767</v>
      </c>
      <c r="QN33" s="1">
        <v>0</v>
      </c>
      <c r="QP33" s="1">
        <v>2870287207</v>
      </c>
      <c r="QQ33" s="1">
        <v>16671</v>
      </c>
      <c r="QR33" s="1">
        <v>13000000</v>
      </c>
      <c r="QS33" s="1">
        <v>5831976</v>
      </c>
      <c r="QT33" s="1">
        <v>105.74</v>
      </c>
      <c r="QU33" s="1">
        <v>1</v>
      </c>
      <c r="QV33" s="1">
        <v>0</v>
      </c>
      <c r="QW33" s="1">
        <v>90</v>
      </c>
      <c r="QX33" s="1">
        <v>60003760</v>
      </c>
      <c r="QY33" s="1">
        <v>32767</v>
      </c>
      <c r="QZ33" s="1">
        <v>7</v>
      </c>
      <c r="RB33" s="1">
        <v>2865574360</v>
      </c>
      <c r="RC33" s="1">
        <v>16682</v>
      </c>
      <c r="RD33" s="1">
        <v>307500</v>
      </c>
      <c r="RE33" s="1">
        <v>265583</v>
      </c>
      <c r="RF33" s="1">
        <v>3350.95</v>
      </c>
      <c r="RG33" s="1">
        <v>1</v>
      </c>
      <c r="RH33" s="1">
        <v>0</v>
      </c>
      <c r="RI33" s="1">
        <v>90</v>
      </c>
      <c r="RJ33" s="1">
        <v>60003760</v>
      </c>
      <c r="RK33" s="1">
        <v>32767</v>
      </c>
      <c r="RL33" s="1">
        <v>8</v>
      </c>
      <c r="RN33" s="1">
        <v>2878593175</v>
      </c>
      <c r="RO33" s="1">
        <v>16678</v>
      </c>
      <c r="RP33" s="1">
        <v>1500000</v>
      </c>
      <c r="RQ33" s="1">
        <v>687056</v>
      </c>
      <c r="RR33" s="1">
        <v>284.54000000000002</v>
      </c>
      <c r="RS33" s="1">
        <v>1</v>
      </c>
      <c r="RT33" s="1">
        <v>0</v>
      </c>
      <c r="RU33" s="1">
        <v>90</v>
      </c>
      <c r="RV33" s="1">
        <v>60003760</v>
      </c>
      <c r="RW33" s="1">
        <v>32767</v>
      </c>
      <c r="RX33" s="1">
        <v>0</v>
      </c>
      <c r="RZ33" s="1">
        <v>2878231079</v>
      </c>
      <c r="SA33" s="1">
        <v>30310</v>
      </c>
      <c r="SB33" s="1">
        <v>1296</v>
      </c>
      <c r="SC33" s="1">
        <v>1296</v>
      </c>
      <c r="SD33" s="1">
        <v>1288995.94</v>
      </c>
      <c r="SE33" s="1">
        <v>1</v>
      </c>
      <c r="SF33" s="1">
        <v>0</v>
      </c>
      <c r="SG33" s="1">
        <v>14</v>
      </c>
      <c r="SH33" s="1">
        <v>60003760</v>
      </c>
      <c r="SI33" s="1">
        <v>32767</v>
      </c>
      <c r="SJ33" s="1">
        <v>0</v>
      </c>
      <c r="SL33" s="1">
        <v>2876858216</v>
      </c>
      <c r="SM33" s="1">
        <v>30311</v>
      </c>
      <c r="SN33" s="1">
        <v>98</v>
      </c>
      <c r="SO33" s="1">
        <v>98</v>
      </c>
      <c r="SP33" s="1">
        <v>3140008.96</v>
      </c>
      <c r="SQ33" s="1">
        <v>1</v>
      </c>
      <c r="SR33" s="1">
        <v>0</v>
      </c>
      <c r="SS33" s="1">
        <v>90</v>
      </c>
      <c r="ST33" s="1">
        <v>60003760</v>
      </c>
      <c r="SU33" s="1">
        <v>32767</v>
      </c>
      <c r="SV33" s="1">
        <v>0</v>
      </c>
      <c r="SX33" s="1">
        <v>2781965152</v>
      </c>
      <c r="SY33" s="1">
        <v>25595</v>
      </c>
      <c r="SZ33" s="1">
        <v>20000</v>
      </c>
      <c r="TA33" s="1">
        <v>20000</v>
      </c>
      <c r="TB33" s="1">
        <v>105999</v>
      </c>
      <c r="TC33" s="1">
        <v>1</v>
      </c>
      <c r="TD33" s="1">
        <v>0</v>
      </c>
      <c r="TE33" s="1">
        <v>90</v>
      </c>
      <c r="TF33" s="1">
        <v>60003760</v>
      </c>
      <c r="TG33" s="1">
        <v>32767</v>
      </c>
      <c r="TH33" s="1">
        <v>6</v>
      </c>
      <c r="TJ33" s="1">
        <v>2849853201</v>
      </c>
      <c r="TK33" s="1">
        <v>25606</v>
      </c>
      <c r="TL33" s="1">
        <v>17</v>
      </c>
      <c r="TM33" s="1">
        <v>17</v>
      </c>
      <c r="TN33" s="1">
        <v>28469.95</v>
      </c>
      <c r="TO33" s="1">
        <v>1</v>
      </c>
      <c r="TP33" s="1">
        <v>0</v>
      </c>
      <c r="TQ33" s="1">
        <v>30</v>
      </c>
      <c r="TR33" s="1">
        <v>60003760</v>
      </c>
      <c r="TS33" s="1">
        <v>32767</v>
      </c>
      <c r="TT33" s="1">
        <v>0</v>
      </c>
      <c r="TV33" s="1">
        <v>2877646005</v>
      </c>
      <c r="TW33" s="1">
        <v>25622</v>
      </c>
      <c r="TX33" s="1">
        <v>41</v>
      </c>
      <c r="TY33" s="1">
        <v>41</v>
      </c>
      <c r="TZ33" s="1">
        <v>14985000.16</v>
      </c>
      <c r="UA33" s="1">
        <v>1</v>
      </c>
      <c r="UB33" s="1">
        <v>0</v>
      </c>
      <c r="UC33" s="1">
        <v>90</v>
      </c>
      <c r="UD33" s="1">
        <v>60003760</v>
      </c>
      <c r="UE33" s="1">
        <v>32767</v>
      </c>
      <c r="UF33" s="1">
        <v>0</v>
      </c>
      <c r="UH33" s="1">
        <v>2873321687</v>
      </c>
      <c r="UI33" s="1">
        <v>16680</v>
      </c>
      <c r="UJ33" s="1">
        <v>1134761</v>
      </c>
      <c r="UK33" s="1">
        <v>663217</v>
      </c>
      <c r="UL33" s="1">
        <v>695</v>
      </c>
      <c r="UM33" s="1">
        <v>1</v>
      </c>
      <c r="UN33" s="1">
        <v>0</v>
      </c>
      <c r="UO33" s="1">
        <v>90</v>
      </c>
      <c r="UP33" s="1">
        <v>60003760</v>
      </c>
      <c r="UQ33" s="1">
        <v>32767</v>
      </c>
      <c r="UR33" s="1">
        <v>6</v>
      </c>
      <c r="UT33" s="1">
        <v>2755051123</v>
      </c>
      <c r="UU33" s="1">
        <v>17317</v>
      </c>
      <c r="UV33" s="1">
        <v>100000</v>
      </c>
      <c r="UW33" s="1">
        <v>100000</v>
      </c>
      <c r="UX33" s="1">
        <v>15009</v>
      </c>
      <c r="UY33" s="1">
        <v>1</v>
      </c>
      <c r="UZ33" s="1">
        <v>1</v>
      </c>
      <c r="VA33" s="1">
        <v>90</v>
      </c>
      <c r="VB33" s="1">
        <v>60003760</v>
      </c>
      <c r="VC33" s="1">
        <v>-1</v>
      </c>
      <c r="VD33" s="1">
        <v>0</v>
      </c>
      <c r="VF33" s="1">
        <v>2719271278</v>
      </c>
      <c r="VG33" s="1">
        <v>11725</v>
      </c>
      <c r="VH33" s="1">
        <v>1000</v>
      </c>
      <c r="VI33" s="1">
        <v>1000</v>
      </c>
      <c r="VJ33" s="1">
        <v>23500.01</v>
      </c>
      <c r="VK33" s="1">
        <v>10</v>
      </c>
      <c r="VL33" s="1">
        <v>1</v>
      </c>
      <c r="VM33" s="1">
        <v>90</v>
      </c>
      <c r="VN33" s="1">
        <v>60015027</v>
      </c>
      <c r="VO33" s="1">
        <v>32767</v>
      </c>
      <c r="VP33" s="1">
        <v>0</v>
      </c>
    </row>
    <row r="34" spans="2:588" x14ac:dyDescent="0.25">
      <c r="B34" s="1">
        <v>2875759150</v>
      </c>
      <c r="C34" s="1">
        <v>34</v>
      </c>
      <c r="D34" s="1">
        <v>2389041</v>
      </c>
      <c r="E34" s="1">
        <v>2386041</v>
      </c>
      <c r="F34" s="1">
        <v>5.62</v>
      </c>
      <c r="G34" s="1">
        <v>1</v>
      </c>
      <c r="H34" s="1">
        <v>0</v>
      </c>
      <c r="I34" s="1">
        <v>14</v>
      </c>
      <c r="J34" s="1">
        <v>60003004</v>
      </c>
      <c r="K34" s="1">
        <v>32767</v>
      </c>
      <c r="L34" s="1">
        <v>5</v>
      </c>
      <c r="N34" s="1">
        <v>2812495035</v>
      </c>
      <c r="O34" s="1">
        <v>35</v>
      </c>
      <c r="P34" s="1">
        <v>6346868</v>
      </c>
      <c r="Q34" s="1">
        <v>5546701</v>
      </c>
      <c r="R34" s="1">
        <v>16.89</v>
      </c>
      <c r="S34" s="1">
        <v>1</v>
      </c>
      <c r="T34" s="1">
        <v>0</v>
      </c>
      <c r="U34" s="1">
        <v>90</v>
      </c>
      <c r="V34" s="1">
        <v>60003760</v>
      </c>
      <c r="W34" s="1">
        <v>32767</v>
      </c>
      <c r="X34" s="1">
        <v>0</v>
      </c>
      <c r="Z34" s="1">
        <v>2756736328</v>
      </c>
      <c r="AA34" s="1">
        <v>36</v>
      </c>
      <c r="AB34" s="1">
        <v>1815733</v>
      </c>
      <c r="AC34" s="1">
        <v>1815733</v>
      </c>
      <c r="AD34" s="16">
        <v>57.5</v>
      </c>
      <c r="AE34" s="1">
        <v>1</v>
      </c>
      <c r="AF34" s="1">
        <v>0</v>
      </c>
      <c r="AG34" s="1">
        <v>90</v>
      </c>
      <c r="AH34" s="1">
        <v>60003760</v>
      </c>
      <c r="AI34" s="1">
        <v>32767</v>
      </c>
      <c r="AJ34" s="1">
        <v>11</v>
      </c>
      <c r="AL34" s="1">
        <v>2768625598</v>
      </c>
      <c r="AM34" s="1">
        <v>37</v>
      </c>
      <c r="AN34" s="1">
        <v>36487</v>
      </c>
      <c r="AO34" s="1">
        <v>36487</v>
      </c>
      <c r="AP34" s="16">
        <v>154.66</v>
      </c>
      <c r="AQ34" s="1">
        <v>1</v>
      </c>
      <c r="AR34" s="1">
        <v>0</v>
      </c>
      <c r="AS34" s="1">
        <v>90</v>
      </c>
      <c r="AT34" s="1">
        <v>60003760</v>
      </c>
      <c r="AU34" s="1">
        <v>32767</v>
      </c>
      <c r="AV34" s="1">
        <v>9</v>
      </c>
      <c r="AX34" s="1">
        <v>2721781891</v>
      </c>
      <c r="AY34" s="1">
        <v>38</v>
      </c>
      <c r="AZ34" s="1">
        <v>47600000</v>
      </c>
      <c r="BA34" s="1">
        <v>46978500</v>
      </c>
      <c r="BB34" s="1">
        <v>912.7</v>
      </c>
      <c r="BC34" s="1">
        <v>1</v>
      </c>
      <c r="BD34" s="1">
        <v>0</v>
      </c>
      <c r="BE34" s="1">
        <v>90</v>
      </c>
      <c r="BF34" s="1">
        <v>60003760</v>
      </c>
      <c r="BG34" s="1">
        <v>32767</v>
      </c>
      <c r="BH34" s="1">
        <v>5</v>
      </c>
      <c r="BJ34" s="1">
        <v>2855227067</v>
      </c>
      <c r="BK34" s="1">
        <v>39</v>
      </c>
      <c r="BL34" s="1">
        <v>700000</v>
      </c>
      <c r="BM34" s="1">
        <v>700000</v>
      </c>
      <c r="BN34" s="1">
        <v>900.87</v>
      </c>
      <c r="BO34" s="1">
        <v>1</v>
      </c>
      <c r="BP34" s="1">
        <v>0</v>
      </c>
      <c r="BQ34" s="1">
        <v>90</v>
      </c>
      <c r="BR34" s="1">
        <v>60003760</v>
      </c>
      <c r="BS34" s="1">
        <v>32767</v>
      </c>
      <c r="BT34" s="1">
        <v>5</v>
      </c>
      <c r="BV34" s="1">
        <v>2367599673</v>
      </c>
      <c r="BW34" s="1">
        <v>40</v>
      </c>
      <c r="BX34" s="1">
        <v>62591</v>
      </c>
      <c r="BY34" s="1">
        <v>62591</v>
      </c>
      <c r="BZ34" s="1">
        <v>2989.91</v>
      </c>
      <c r="CA34" s="1">
        <v>1</v>
      </c>
      <c r="CB34" s="1">
        <v>0</v>
      </c>
      <c r="CC34" s="1">
        <v>90</v>
      </c>
      <c r="CD34" s="1">
        <v>60003760</v>
      </c>
      <c r="CE34" s="1">
        <v>32767</v>
      </c>
      <c r="CF34" s="1">
        <v>13</v>
      </c>
      <c r="CH34" s="1">
        <v>2355739370</v>
      </c>
      <c r="CI34" s="1">
        <v>29668</v>
      </c>
      <c r="CJ34" s="1">
        <v>8</v>
      </c>
      <c r="CK34" s="1">
        <v>8</v>
      </c>
      <c r="CL34" s="1">
        <v>499999998.98000002</v>
      </c>
      <c r="CM34" s="1">
        <v>1</v>
      </c>
      <c r="CN34" s="1">
        <v>0</v>
      </c>
      <c r="CO34" s="1">
        <v>90</v>
      </c>
      <c r="CP34" s="1">
        <v>60003760</v>
      </c>
      <c r="CQ34" s="1">
        <v>32767</v>
      </c>
      <c r="CR34" s="1">
        <v>0</v>
      </c>
      <c r="CT34" s="1">
        <v>2415354787</v>
      </c>
      <c r="CU34" s="1">
        <v>16649</v>
      </c>
      <c r="CV34" s="1">
        <v>10000</v>
      </c>
      <c r="CW34" s="1">
        <v>10000</v>
      </c>
      <c r="CX34" s="1">
        <v>107695</v>
      </c>
      <c r="CY34" s="1">
        <v>1</v>
      </c>
      <c r="CZ34" s="1">
        <v>0</v>
      </c>
      <c r="DA34" s="1">
        <v>90</v>
      </c>
      <c r="DB34" s="1">
        <v>60003760</v>
      </c>
      <c r="DC34" s="1">
        <v>32767</v>
      </c>
      <c r="DD34" s="1">
        <v>0</v>
      </c>
      <c r="DF34" s="1">
        <v>2411780397</v>
      </c>
      <c r="DG34" s="1">
        <v>17887</v>
      </c>
      <c r="DH34" s="1">
        <v>1113236</v>
      </c>
      <c r="DI34" s="1">
        <v>1013236</v>
      </c>
      <c r="DJ34" s="1">
        <v>948.45</v>
      </c>
      <c r="DK34" s="1">
        <v>1</v>
      </c>
      <c r="DL34" s="1">
        <v>0</v>
      </c>
      <c r="DM34" s="1">
        <v>90</v>
      </c>
      <c r="DN34" s="1">
        <v>60003760</v>
      </c>
      <c r="DO34" s="1">
        <v>32767</v>
      </c>
      <c r="DP34" s="1">
        <v>0</v>
      </c>
      <c r="DR34" s="1">
        <v>2763681348</v>
      </c>
      <c r="DS34" s="1">
        <v>17888</v>
      </c>
      <c r="DT34" s="1">
        <v>11343</v>
      </c>
      <c r="DU34" s="1">
        <v>9668</v>
      </c>
      <c r="DV34" s="1">
        <v>415</v>
      </c>
      <c r="DW34" s="1">
        <v>1</v>
      </c>
      <c r="DX34" s="1">
        <v>0</v>
      </c>
      <c r="DY34" s="1">
        <v>90</v>
      </c>
      <c r="DZ34" s="1">
        <v>60004234</v>
      </c>
      <c r="EA34" s="1">
        <v>32767</v>
      </c>
      <c r="EB34" s="1">
        <v>9</v>
      </c>
      <c r="ED34" s="1">
        <v>2855668942</v>
      </c>
      <c r="EE34" s="1">
        <v>16273</v>
      </c>
      <c r="EF34" s="1">
        <v>11846304</v>
      </c>
      <c r="EG34" s="1">
        <v>11846304</v>
      </c>
      <c r="EH34" s="1">
        <v>386.17</v>
      </c>
      <c r="EI34" s="1">
        <v>1</v>
      </c>
      <c r="EJ34" s="1">
        <v>0</v>
      </c>
      <c r="EK34" s="1">
        <v>90</v>
      </c>
      <c r="EL34" s="1">
        <v>60003760</v>
      </c>
      <c r="EM34" s="1">
        <v>32767</v>
      </c>
      <c r="EN34" s="1">
        <v>6</v>
      </c>
      <c r="EP34" s="1">
        <v>2866533693</v>
      </c>
      <c r="EQ34" s="1">
        <v>17889</v>
      </c>
      <c r="ER34" s="1">
        <v>27500000</v>
      </c>
      <c r="ES34" s="1">
        <v>27500000</v>
      </c>
      <c r="ET34" s="1">
        <v>399.98</v>
      </c>
      <c r="EU34" s="1">
        <v>1</v>
      </c>
      <c r="EV34" s="1">
        <v>0</v>
      </c>
      <c r="EW34" s="1">
        <v>90</v>
      </c>
      <c r="EX34" s="1">
        <v>60003760</v>
      </c>
      <c r="EY34" s="1">
        <v>32767</v>
      </c>
      <c r="EZ34" s="1">
        <v>7</v>
      </c>
      <c r="FB34" s="1">
        <v>2874342938</v>
      </c>
      <c r="FC34" s="1">
        <v>30259</v>
      </c>
      <c r="FD34" s="1">
        <v>66</v>
      </c>
      <c r="FE34" s="1">
        <v>66</v>
      </c>
      <c r="FF34" s="1">
        <v>5869999.8499999996</v>
      </c>
      <c r="FG34" s="1">
        <v>1</v>
      </c>
      <c r="FH34" s="1">
        <v>0</v>
      </c>
      <c r="FI34" s="1">
        <v>90</v>
      </c>
      <c r="FJ34" s="1">
        <v>60003760</v>
      </c>
      <c r="FK34" s="1">
        <v>32767</v>
      </c>
      <c r="FL34" s="1">
        <v>0</v>
      </c>
      <c r="FN34" s="1">
        <v>2871044668</v>
      </c>
      <c r="FO34" s="1">
        <v>25617</v>
      </c>
      <c r="FP34" s="1">
        <v>332</v>
      </c>
      <c r="FQ34" s="1">
        <v>108</v>
      </c>
      <c r="FR34" s="1">
        <v>5157887</v>
      </c>
      <c r="FS34" s="1">
        <v>1</v>
      </c>
      <c r="FT34" s="1">
        <v>0</v>
      </c>
      <c r="FU34" s="1">
        <v>14</v>
      </c>
      <c r="FV34" s="1">
        <v>60003760</v>
      </c>
      <c r="FW34" s="1">
        <v>32767</v>
      </c>
      <c r="FX34" s="1">
        <v>0</v>
      </c>
      <c r="FZ34" s="1">
        <v>2869884356</v>
      </c>
      <c r="GA34" s="1">
        <v>44</v>
      </c>
      <c r="GB34" s="1">
        <v>8975</v>
      </c>
      <c r="GC34" s="1">
        <v>8975</v>
      </c>
      <c r="GD34" s="1">
        <v>13495</v>
      </c>
      <c r="GE34" s="1">
        <v>1</v>
      </c>
      <c r="GF34" s="1">
        <v>0</v>
      </c>
      <c r="GG34" s="1">
        <v>90</v>
      </c>
      <c r="GH34" s="1">
        <v>60003760</v>
      </c>
      <c r="GI34" s="1">
        <v>32767</v>
      </c>
      <c r="GJ34" s="1">
        <v>4</v>
      </c>
      <c r="GL34" s="1">
        <v>2415470279</v>
      </c>
      <c r="GM34" s="1">
        <v>16681</v>
      </c>
      <c r="GN34" s="1">
        <v>199386</v>
      </c>
      <c r="GO34" s="1">
        <v>62268</v>
      </c>
      <c r="GP34" s="1">
        <v>6183.38</v>
      </c>
      <c r="GQ34" s="1">
        <v>1</v>
      </c>
      <c r="GR34" s="1">
        <v>0</v>
      </c>
      <c r="GS34" s="1">
        <v>90</v>
      </c>
      <c r="GT34" s="1">
        <v>60003760</v>
      </c>
      <c r="GU34" s="1">
        <v>32767</v>
      </c>
      <c r="GV34" s="1">
        <v>0</v>
      </c>
      <c r="GX34" s="1">
        <v>2871306341</v>
      </c>
      <c r="GY34" s="1">
        <v>16683</v>
      </c>
      <c r="GZ34" s="1">
        <v>173600</v>
      </c>
      <c r="HA34" s="1">
        <v>173600</v>
      </c>
      <c r="HB34" s="1">
        <v>9499.99</v>
      </c>
      <c r="HC34" s="1">
        <v>1</v>
      </c>
      <c r="HD34" s="1">
        <v>0</v>
      </c>
      <c r="HE34" s="1">
        <v>90</v>
      </c>
      <c r="HF34" s="1">
        <v>60003760</v>
      </c>
      <c r="HG34" s="1">
        <v>32767</v>
      </c>
      <c r="HH34" s="1">
        <v>0</v>
      </c>
      <c r="HJ34" s="1">
        <v>2872714660</v>
      </c>
      <c r="HK34" s="1">
        <v>11724</v>
      </c>
      <c r="HL34" s="1">
        <v>111111</v>
      </c>
      <c r="HM34" s="1">
        <v>29180</v>
      </c>
      <c r="HN34" s="1">
        <v>38356.18</v>
      </c>
      <c r="HO34" s="1">
        <v>1</v>
      </c>
      <c r="HP34" s="1">
        <v>1</v>
      </c>
      <c r="HQ34" s="1">
        <v>90</v>
      </c>
      <c r="HR34" s="1">
        <v>60003760</v>
      </c>
      <c r="HS34" s="1">
        <v>-1</v>
      </c>
      <c r="HT34" s="1">
        <v>0</v>
      </c>
      <c r="HV34" s="1">
        <v>2857772343</v>
      </c>
      <c r="HW34" s="1">
        <v>16274</v>
      </c>
      <c r="HX34" s="1">
        <v>1000000</v>
      </c>
      <c r="HY34" s="1">
        <v>1000000</v>
      </c>
      <c r="HZ34" s="1">
        <v>370</v>
      </c>
      <c r="IA34" s="1">
        <v>1</v>
      </c>
      <c r="IB34" s="1">
        <v>0</v>
      </c>
      <c r="IC34" s="1">
        <v>90</v>
      </c>
      <c r="ID34" s="1">
        <v>60003760</v>
      </c>
      <c r="IE34" s="1">
        <v>32767</v>
      </c>
      <c r="IF34" s="1">
        <v>2</v>
      </c>
      <c r="IH34" s="1">
        <v>2775462992</v>
      </c>
      <c r="II34" s="1">
        <v>10213</v>
      </c>
      <c r="IJ34" s="1">
        <v>10</v>
      </c>
      <c r="IK34" s="1">
        <v>10</v>
      </c>
      <c r="IL34" s="1">
        <v>102300001</v>
      </c>
      <c r="IM34" s="1">
        <v>1</v>
      </c>
      <c r="IN34" s="1">
        <v>1</v>
      </c>
      <c r="IO34" s="1">
        <v>90</v>
      </c>
      <c r="IP34" s="1">
        <v>60003760</v>
      </c>
      <c r="IQ34" s="1">
        <v>-1</v>
      </c>
      <c r="IR34" s="1">
        <v>0</v>
      </c>
      <c r="IT34" s="1">
        <v>2796765627</v>
      </c>
      <c r="IU34" s="1">
        <v>16679</v>
      </c>
      <c r="IV34" s="1">
        <v>2000000</v>
      </c>
      <c r="IW34" s="1">
        <v>2000000</v>
      </c>
      <c r="IX34" s="1">
        <v>2100</v>
      </c>
      <c r="IY34" s="1">
        <v>1</v>
      </c>
      <c r="IZ34" s="1">
        <v>0</v>
      </c>
      <c r="JA34" s="1">
        <v>90</v>
      </c>
      <c r="JB34" s="1">
        <v>60003760</v>
      </c>
      <c r="JC34" s="1">
        <v>32767</v>
      </c>
      <c r="JD34" s="1">
        <v>0</v>
      </c>
      <c r="JF34" s="1">
        <v>2871547536</v>
      </c>
      <c r="JG34" s="1">
        <v>16272</v>
      </c>
      <c r="JH34" s="1">
        <v>17957171</v>
      </c>
      <c r="JI34" s="1">
        <v>17957171</v>
      </c>
      <c r="JJ34" s="1">
        <v>81.63</v>
      </c>
      <c r="JK34" s="1">
        <v>1</v>
      </c>
      <c r="JL34" s="1">
        <v>0</v>
      </c>
      <c r="JM34" s="1">
        <v>90</v>
      </c>
      <c r="JN34" s="1">
        <v>60003760</v>
      </c>
      <c r="JO34" s="1">
        <v>32767</v>
      </c>
      <c r="JP34" s="1">
        <v>6</v>
      </c>
      <c r="JR34" s="1">
        <v>2772372172</v>
      </c>
      <c r="JS34" s="1">
        <v>10226</v>
      </c>
      <c r="JT34" s="1">
        <v>2</v>
      </c>
      <c r="JU34" s="1">
        <v>2</v>
      </c>
      <c r="JV34" s="1">
        <v>101513601.01000001</v>
      </c>
      <c r="JW34" s="1">
        <v>1</v>
      </c>
      <c r="JX34" s="1">
        <v>1</v>
      </c>
      <c r="JY34" s="1">
        <v>90</v>
      </c>
      <c r="JZ34" s="1">
        <v>60003760</v>
      </c>
      <c r="KA34" s="1">
        <v>-1</v>
      </c>
      <c r="KB34" s="1">
        <v>0</v>
      </c>
      <c r="KD34" s="1">
        <v>2862718349</v>
      </c>
      <c r="KE34" s="1">
        <v>25605</v>
      </c>
      <c r="KF34" s="1">
        <v>4295</v>
      </c>
      <c r="KG34" s="1">
        <v>4295</v>
      </c>
      <c r="KH34" s="1">
        <v>115000</v>
      </c>
      <c r="KI34" s="1">
        <v>1</v>
      </c>
      <c r="KJ34" s="1">
        <v>0</v>
      </c>
      <c r="KK34" s="1">
        <v>90</v>
      </c>
      <c r="KL34" s="1">
        <v>60003760</v>
      </c>
      <c r="KM34" s="1">
        <v>32767</v>
      </c>
      <c r="KN34" s="1">
        <v>6</v>
      </c>
      <c r="KP34" s="1">
        <v>2844261949</v>
      </c>
      <c r="KQ34" s="1">
        <v>25624</v>
      </c>
      <c r="KR34" s="1">
        <v>90</v>
      </c>
      <c r="KS34" s="1">
        <v>16</v>
      </c>
      <c r="KT34" s="1">
        <v>19400000</v>
      </c>
      <c r="KU34" s="1">
        <v>1</v>
      </c>
      <c r="KV34" s="1">
        <v>0</v>
      </c>
      <c r="KW34" s="1">
        <v>90</v>
      </c>
      <c r="KX34" s="1">
        <v>60003760</v>
      </c>
      <c r="KY34" s="1">
        <v>32767</v>
      </c>
      <c r="KZ34" s="1">
        <v>1</v>
      </c>
      <c r="LB34" s="1">
        <v>2838512671</v>
      </c>
      <c r="LC34" s="1">
        <v>9832</v>
      </c>
      <c r="LD34" s="1">
        <v>31661</v>
      </c>
      <c r="LE34" s="1">
        <v>31661</v>
      </c>
      <c r="LF34" s="1">
        <v>9869</v>
      </c>
      <c r="LG34" s="1">
        <v>1</v>
      </c>
      <c r="LH34" s="1">
        <v>0</v>
      </c>
      <c r="LI34" s="1">
        <v>90</v>
      </c>
      <c r="LJ34" s="1">
        <v>60003760</v>
      </c>
      <c r="LK34" s="1">
        <v>32767</v>
      </c>
      <c r="LL34" s="1">
        <v>0</v>
      </c>
      <c r="LN34" s="1">
        <v>2828364191</v>
      </c>
      <c r="LO34" s="1">
        <v>10209</v>
      </c>
      <c r="LP34" s="1">
        <v>15</v>
      </c>
      <c r="LQ34" s="1">
        <v>4</v>
      </c>
      <c r="LR34" s="1">
        <v>109501004.08</v>
      </c>
      <c r="LS34" s="1">
        <v>1</v>
      </c>
      <c r="LT34" s="1">
        <v>1</v>
      </c>
      <c r="LU34" s="1">
        <v>90</v>
      </c>
      <c r="LV34" s="1">
        <v>60003760</v>
      </c>
      <c r="LW34" s="1">
        <v>-1</v>
      </c>
      <c r="LX34" s="1">
        <v>0</v>
      </c>
      <c r="LZ34" s="1">
        <v>2803903699</v>
      </c>
      <c r="MA34" s="1">
        <v>10217</v>
      </c>
      <c r="MB34" s="1">
        <v>1</v>
      </c>
      <c r="MC34" s="1">
        <v>1</v>
      </c>
      <c r="MD34" s="1">
        <v>102000000</v>
      </c>
      <c r="ME34" s="1">
        <v>1</v>
      </c>
      <c r="MF34" s="1">
        <v>1</v>
      </c>
      <c r="MG34" s="1">
        <v>90</v>
      </c>
      <c r="MH34" s="1">
        <v>60003760</v>
      </c>
      <c r="MI34" s="1">
        <v>40</v>
      </c>
      <c r="MJ34" s="1">
        <v>0</v>
      </c>
      <c r="ML34" s="1">
        <v>2840616273</v>
      </c>
      <c r="MM34" s="1">
        <v>25625</v>
      </c>
      <c r="MN34" s="1">
        <v>10</v>
      </c>
      <c r="MO34" s="1">
        <v>1</v>
      </c>
      <c r="MP34" s="1">
        <v>4550000</v>
      </c>
      <c r="MQ34" s="1">
        <v>1</v>
      </c>
      <c r="MR34" s="1">
        <v>0</v>
      </c>
      <c r="MS34" s="1">
        <v>30</v>
      </c>
      <c r="MT34" s="1">
        <v>60003142</v>
      </c>
      <c r="MU34" s="1">
        <v>32767</v>
      </c>
      <c r="MV34" s="1">
        <v>10</v>
      </c>
      <c r="MX34" s="1">
        <v>2871215682</v>
      </c>
      <c r="MY34" s="1">
        <v>16672</v>
      </c>
      <c r="MZ34" s="1">
        <v>6000000</v>
      </c>
      <c r="NA34" s="1">
        <v>3187090</v>
      </c>
      <c r="NB34" s="1">
        <v>137.41999999999999</v>
      </c>
      <c r="NC34" s="1">
        <v>1</v>
      </c>
      <c r="ND34" s="1">
        <v>0</v>
      </c>
      <c r="NE34" s="1">
        <v>90</v>
      </c>
      <c r="NF34" s="1">
        <v>60003760</v>
      </c>
      <c r="NG34" s="1">
        <v>32767</v>
      </c>
      <c r="NH34" s="1">
        <v>0</v>
      </c>
      <c r="NJ34" s="1">
        <v>2841930697</v>
      </c>
      <c r="NK34" s="1">
        <v>16673</v>
      </c>
      <c r="NL34" s="1">
        <v>3984632</v>
      </c>
      <c r="NM34" s="1">
        <v>3795487</v>
      </c>
      <c r="NN34" s="1">
        <v>104.29</v>
      </c>
      <c r="NO34" s="1">
        <v>1</v>
      </c>
      <c r="NP34" s="1">
        <v>0</v>
      </c>
      <c r="NQ34" s="1">
        <v>90</v>
      </c>
      <c r="NR34" s="1">
        <v>60003760</v>
      </c>
      <c r="NS34" s="1">
        <v>32767</v>
      </c>
      <c r="NT34" s="1">
        <v>6</v>
      </c>
      <c r="NV34" s="1">
        <v>2843959706</v>
      </c>
      <c r="NW34" s="1">
        <v>3689</v>
      </c>
      <c r="NX34" s="1">
        <v>800000</v>
      </c>
      <c r="NY34" s="1">
        <v>755388</v>
      </c>
      <c r="NZ34" s="1">
        <v>11090.9</v>
      </c>
      <c r="OA34" s="1">
        <v>1</v>
      </c>
      <c r="OB34" s="1">
        <v>0</v>
      </c>
      <c r="OC34" s="1">
        <v>90</v>
      </c>
      <c r="OD34" s="1">
        <v>60003760</v>
      </c>
      <c r="OE34" s="1">
        <v>32767</v>
      </c>
      <c r="OF34" s="1">
        <v>0</v>
      </c>
      <c r="OH34" s="1">
        <v>2810578168</v>
      </c>
      <c r="OI34" s="1">
        <v>25598</v>
      </c>
      <c r="OJ34" s="1">
        <v>63</v>
      </c>
      <c r="OK34" s="1">
        <v>63</v>
      </c>
      <c r="OL34" s="1">
        <v>168796.99</v>
      </c>
      <c r="OM34" s="1">
        <v>1</v>
      </c>
      <c r="ON34" s="1">
        <v>0</v>
      </c>
      <c r="OO34" s="1">
        <v>90</v>
      </c>
      <c r="OP34" s="1">
        <v>60003760</v>
      </c>
      <c r="OQ34" s="1">
        <v>32767</v>
      </c>
      <c r="OR34" s="1">
        <v>0</v>
      </c>
      <c r="OT34" s="1">
        <v>2804020844</v>
      </c>
      <c r="OU34" s="1">
        <v>25600</v>
      </c>
      <c r="OV34" s="1">
        <v>9128</v>
      </c>
      <c r="OW34" s="1">
        <v>9128</v>
      </c>
      <c r="OX34" s="1">
        <v>32500</v>
      </c>
      <c r="OY34" s="1">
        <v>1</v>
      </c>
      <c r="OZ34" s="1">
        <v>0</v>
      </c>
      <c r="PA34" s="1">
        <v>90</v>
      </c>
      <c r="PB34" s="1">
        <v>60003760</v>
      </c>
      <c r="PC34" s="1">
        <v>32767</v>
      </c>
      <c r="PD34" s="1">
        <v>0</v>
      </c>
      <c r="PF34" s="1">
        <v>2859639949</v>
      </c>
      <c r="PG34" s="1">
        <v>16670</v>
      </c>
      <c r="PH34" s="1">
        <v>6720000</v>
      </c>
      <c r="PI34" s="1">
        <v>6705600</v>
      </c>
      <c r="PJ34" s="1">
        <v>126.75</v>
      </c>
      <c r="PK34" s="1">
        <v>1</v>
      </c>
      <c r="PL34" s="1">
        <v>0</v>
      </c>
      <c r="PM34" s="1">
        <v>30</v>
      </c>
      <c r="PN34" s="1">
        <v>60003760</v>
      </c>
      <c r="PO34" s="1">
        <v>32767</v>
      </c>
      <c r="PP34" s="1">
        <v>7</v>
      </c>
      <c r="PR34" s="1">
        <v>2879039061</v>
      </c>
      <c r="PS34" s="1">
        <v>10222</v>
      </c>
      <c r="PT34" s="1">
        <v>7</v>
      </c>
      <c r="PU34" s="1">
        <v>1</v>
      </c>
      <c r="PV34" s="1">
        <v>117500000</v>
      </c>
      <c r="PW34" s="1">
        <v>1</v>
      </c>
      <c r="PX34" s="1">
        <v>0</v>
      </c>
      <c r="PY34" s="1">
        <v>30</v>
      </c>
      <c r="PZ34" s="1">
        <v>60003760</v>
      </c>
      <c r="QA34" s="1">
        <v>32767</v>
      </c>
      <c r="QB34" s="1">
        <v>0</v>
      </c>
      <c r="QD34" s="1">
        <v>2871853223</v>
      </c>
      <c r="QE34" s="1">
        <v>9830</v>
      </c>
      <c r="QF34" s="1">
        <v>3630</v>
      </c>
      <c r="QG34" s="1">
        <v>3630</v>
      </c>
      <c r="QH34" s="1">
        <v>8000</v>
      </c>
      <c r="QI34" s="1">
        <v>1</v>
      </c>
      <c r="QJ34" s="1">
        <v>0</v>
      </c>
      <c r="QK34" s="1">
        <v>90</v>
      </c>
      <c r="QL34" s="1">
        <v>60003760</v>
      </c>
      <c r="QM34" s="1">
        <v>32767</v>
      </c>
      <c r="QN34" s="1">
        <v>0</v>
      </c>
      <c r="QP34" s="1">
        <v>2870601327</v>
      </c>
      <c r="QQ34" s="1">
        <v>16671</v>
      </c>
      <c r="QR34" s="1">
        <v>1990000</v>
      </c>
      <c r="QS34" s="1">
        <v>1990000</v>
      </c>
      <c r="QT34" s="1">
        <v>120</v>
      </c>
      <c r="QU34" s="1">
        <v>1</v>
      </c>
      <c r="QV34" s="1">
        <v>0</v>
      </c>
      <c r="QW34" s="1">
        <v>90</v>
      </c>
      <c r="QX34" s="1">
        <v>60003760</v>
      </c>
      <c r="QY34" s="1">
        <v>32767</v>
      </c>
      <c r="QZ34" s="1">
        <v>7</v>
      </c>
      <c r="RB34" s="1">
        <v>2871276697</v>
      </c>
      <c r="RC34" s="1">
        <v>16682</v>
      </c>
      <c r="RD34" s="1">
        <v>150000</v>
      </c>
      <c r="RE34" s="1">
        <v>150000</v>
      </c>
      <c r="RF34" s="1">
        <v>3387</v>
      </c>
      <c r="RG34" s="1">
        <v>1</v>
      </c>
      <c r="RH34" s="1">
        <v>0</v>
      </c>
      <c r="RI34" s="1">
        <v>90</v>
      </c>
      <c r="RJ34" s="1">
        <v>60003760</v>
      </c>
      <c r="RK34" s="1">
        <v>32767</v>
      </c>
      <c r="RL34" s="1">
        <v>8</v>
      </c>
      <c r="RN34" s="1">
        <v>2878635394</v>
      </c>
      <c r="RO34" s="1">
        <v>16678</v>
      </c>
      <c r="RP34" s="1">
        <v>4000000</v>
      </c>
      <c r="RQ34" s="1">
        <v>4000000</v>
      </c>
      <c r="RR34" s="1">
        <v>344.47</v>
      </c>
      <c r="RS34" s="1">
        <v>1</v>
      </c>
      <c r="RT34" s="1">
        <v>0</v>
      </c>
      <c r="RU34" s="1">
        <v>90</v>
      </c>
      <c r="RV34" s="1">
        <v>60003760</v>
      </c>
      <c r="RW34" s="1">
        <v>32767</v>
      </c>
      <c r="RX34" s="1">
        <v>0</v>
      </c>
      <c r="RZ34" s="1">
        <v>2876153196</v>
      </c>
      <c r="SA34" s="1">
        <v>30310</v>
      </c>
      <c r="SB34" s="1">
        <v>1000</v>
      </c>
      <c r="SC34" s="1">
        <v>1000</v>
      </c>
      <c r="SD34" s="1">
        <v>1449999.99</v>
      </c>
      <c r="SE34" s="1">
        <v>1</v>
      </c>
      <c r="SF34" s="1">
        <v>0</v>
      </c>
      <c r="SG34" s="1">
        <v>90</v>
      </c>
      <c r="SH34" s="1">
        <v>60003760</v>
      </c>
      <c r="SI34" s="1">
        <v>32767</v>
      </c>
      <c r="SJ34" s="1">
        <v>0</v>
      </c>
      <c r="SL34" s="1">
        <v>2875850042</v>
      </c>
      <c r="SM34" s="1">
        <v>30311</v>
      </c>
      <c r="SN34" s="1">
        <v>440</v>
      </c>
      <c r="SO34" s="1">
        <v>440</v>
      </c>
      <c r="SP34" s="1">
        <v>3129007.95</v>
      </c>
      <c r="SQ34" s="1">
        <v>1</v>
      </c>
      <c r="SR34" s="1">
        <v>0</v>
      </c>
      <c r="SS34" s="1">
        <v>90</v>
      </c>
      <c r="ST34" s="1">
        <v>60003760</v>
      </c>
      <c r="SU34" s="1">
        <v>32767</v>
      </c>
      <c r="SV34" s="1">
        <v>0</v>
      </c>
      <c r="SX34" s="1">
        <v>2781965585</v>
      </c>
      <c r="SY34" s="1">
        <v>25595</v>
      </c>
      <c r="SZ34" s="1">
        <v>20000</v>
      </c>
      <c r="TA34" s="1">
        <v>18846</v>
      </c>
      <c r="TB34" s="1">
        <v>103999</v>
      </c>
      <c r="TC34" s="1">
        <v>1</v>
      </c>
      <c r="TD34" s="1">
        <v>0</v>
      </c>
      <c r="TE34" s="1">
        <v>90</v>
      </c>
      <c r="TF34" s="1">
        <v>60003760</v>
      </c>
      <c r="TG34" s="1">
        <v>32767</v>
      </c>
      <c r="TH34" s="1">
        <v>6</v>
      </c>
      <c r="TJ34" s="1">
        <v>2857501034</v>
      </c>
      <c r="TK34" s="1">
        <v>25606</v>
      </c>
      <c r="TL34" s="1">
        <v>9</v>
      </c>
      <c r="TM34" s="1">
        <v>9</v>
      </c>
      <c r="TN34" s="1">
        <v>25988</v>
      </c>
      <c r="TO34" s="1">
        <v>1</v>
      </c>
      <c r="TP34" s="1">
        <v>0</v>
      </c>
      <c r="TQ34" s="1">
        <v>30</v>
      </c>
      <c r="TR34" s="1">
        <v>60003760</v>
      </c>
      <c r="TS34" s="1">
        <v>32767</v>
      </c>
      <c r="TT34" s="1">
        <v>0</v>
      </c>
      <c r="TV34" s="1">
        <v>2878119576</v>
      </c>
      <c r="TW34" s="1">
        <v>25622</v>
      </c>
      <c r="TX34" s="1">
        <v>47</v>
      </c>
      <c r="TY34" s="1">
        <v>43</v>
      </c>
      <c r="TZ34" s="1">
        <v>14489999</v>
      </c>
      <c r="UA34" s="1">
        <v>1</v>
      </c>
      <c r="UB34" s="1">
        <v>0</v>
      </c>
      <c r="UC34" s="1">
        <v>90</v>
      </c>
      <c r="UD34" s="1">
        <v>60003760</v>
      </c>
      <c r="UE34" s="1">
        <v>32767</v>
      </c>
      <c r="UF34" s="1">
        <v>0</v>
      </c>
      <c r="UH34" s="1">
        <v>2873262714</v>
      </c>
      <c r="UI34" s="1">
        <v>16680</v>
      </c>
      <c r="UJ34" s="1">
        <v>257877</v>
      </c>
      <c r="UK34" s="1">
        <v>92037</v>
      </c>
      <c r="UL34" s="1">
        <v>712</v>
      </c>
      <c r="UM34" s="1">
        <v>1</v>
      </c>
      <c r="UN34" s="1">
        <v>0</v>
      </c>
      <c r="UO34" s="1">
        <v>90</v>
      </c>
      <c r="UP34" s="1">
        <v>60003760</v>
      </c>
      <c r="UQ34" s="1">
        <v>32767</v>
      </c>
      <c r="UR34" s="1">
        <v>6</v>
      </c>
      <c r="UT34" s="1">
        <v>2761997965</v>
      </c>
      <c r="UU34" s="1">
        <v>17317</v>
      </c>
      <c r="UV34" s="1">
        <v>10000</v>
      </c>
      <c r="UW34" s="1">
        <v>10000</v>
      </c>
      <c r="UX34" s="1">
        <v>2000</v>
      </c>
      <c r="UY34" s="1">
        <v>1</v>
      </c>
      <c r="UZ34" s="1">
        <v>1</v>
      </c>
      <c r="VA34" s="1">
        <v>90</v>
      </c>
      <c r="VB34" s="1">
        <v>60003760</v>
      </c>
      <c r="VC34" s="1">
        <v>32767</v>
      </c>
      <c r="VD34" s="1">
        <v>0</v>
      </c>
      <c r="VF34"/>
      <c r="VG34"/>
      <c r="VH34"/>
      <c r="VI34"/>
      <c r="VJ34"/>
      <c r="VK34"/>
      <c r="VL34"/>
      <c r="VM34"/>
      <c r="VN34"/>
      <c r="VO34"/>
      <c r="VP34"/>
    </row>
    <row r="35" spans="2:588" x14ac:dyDescent="0.25">
      <c r="B35" s="1">
        <v>2872961205</v>
      </c>
      <c r="C35" s="1">
        <v>34</v>
      </c>
      <c r="D35" s="1">
        <v>1903185</v>
      </c>
      <c r="E35" s="1">
        <v>1903185</v>
      </c>
      <c r="F35" s="1">
        <v>5.66</v>
      </c>
      <c r="G35" s="1">
        <v>1</v>
      </c>
      <c r="H35" s="1">
        <v>0</v>
      </c>
      <c r="I35" s="1">
        <v>90</v>
      </c>
      <c r="J35" s="1">
        <v>60003007</v>
      </c>
      <c r="K35" s="1">
        <v>32767</v>
      </c>
      <c r="L35" s="1">
        <v>5</v>
      </c>
      <c r="N35" s="1">
        <v>2813112107</v>
      </c>
      <c r="O35" s="1">
        <v>35</v>
      </c>
      <c r="P35" s="1">
        <v>89275000</v>
      </c>
      <c r="Q35" s="1">
        <v>89275000</v>
      </c>
      <c r="R35" s="1">
        <v>17.25</v>
      </c>
      <c r="S35" s="1">
        <v>1</v>
      </c>
      <c r="T35" s="1">
        <v>0</v>
      </c>
      <c r="U35" s="1">
        <v>90</v>
      </c>
      <c r="V35" s="1">
        <v>60003760</v>
      </c>
      <c r="W35" s="1">
        <v>32767</v>
      </c>
      <c r="X35" s="1">
        <v>0</v>
      </c>
      <c r="Z35" s="1">
        <v>2756611950</v>
      </c>
      <c r="AA35" s="1">
        <v>36</v>
      </c>
      <c r="AB35" s="1">
        <v>2450270</v>
      </c>
      <c r="AC35" s="1">
        <v>2450270</v>
      </c>
      <c r="AD35" s="16">
        <v>278.95999999999998</v>
      </c>
      <c r="AE35" s="1">
        <v>1</v>
      </c>
      <c r="AF35" s="1">
        <v>0</v>
      </c>
      <c r="AG35" s="1">
        <v>90</v>
      </c>
      <c r="AH35" s="1">
        <v>60003760</v>
      </c>
      <c r="AI35" s="1">
        <v>32767</v>
      </c>
      <c r="AJ35" s="1">
        <v>11</v>
      </c>
      <c r="AL35" s="1">
        <v>2769756959</v>
      </c>
      <c r="AM35" s="1">
        <v>37</v>
      </c>
      <c r="AN35" s="1">
        <v>866155</v>
      </c>
      <c r="AO35" s="1">
        <v>866155</v>
      </c>
      <c r="AP35" s="16">
        <v>154.94999999999999</v>
      </c>
      <c r="AQ35" s="1">
        <v>1</v>
      </c>
      <c r="AR35" s="1">
        <v>0</v>
      </c>
      <c r="AS35" s="1">
        <v>90</v>
      </c>
      <c r="AT35" s="1">
        <v>60003760</v>
      </c>
      <c r="AU35" s="1">
        <v>32767</v>
      </c>
      <c r="AV35" s="1">
        <v>9</v>
      </c>
      <c r="AX35" s="1">
        <v>2724236967</v>
      </c>
      <c r="AY35" s="1">
        <v>38</v>
      </c>
      <c r="AZ35" s="1">
        <v>1200000</v>
      </c>
      <c r="BA35" s="1">
        <v>1200000</v>
      </c>
      <c r="BB35" s="1">
        <v>844.79</v>
      </c>
      <c r="BC35" s="1">
        <v>1</v>
      </c>
      <c r="BD35" s="1">
        <v>0</v>
      </c>
      <c r="BE35" s="1">
        <v>90</v>
      </c>
      <c r="BF35" s="1">
        <v>60003760</v>
      </c>
      <c r="BG35" s="1">
        <v>32767</v>
      </c>
      <c r="BH35" s="1">
        <v>5</v>
      </c>
      <c r="BJ35" s="1">
        <v>2855278416</v>
      </c>
      <c r="BK35" s="1">
        <v>39</v>
      </c>
      <c r="BL35" s="1">
        <v>61340</v>
      </c>
      <c r="BM35" s="1">
        <v>61340</v>
      </c>
      <c r="BN35" s="1">
        <v>833.44</v>
      </c>
      <c r="BO35" s="1">
        <v>1</v>
      </c>
      <c r="BP35" s="1">
        <v>0</v>
      </c>
      <c r="BQ35" s="1">
        <v>90</v>
      </c>
      <c r="BR35" s="1">
        <v>60003760</v>
      </c>
      <c r="BS35" s="1">
        <v>32767</v>
      </c>
      <c r="BT35" s="1">
        <v>5</v>
      </c>
      <c r="BV35" s="1">
        <v>2367473141</v>
      </c>
      <c r="BW35" s="1">
        <v>40</v>
      </c>
      <c r="BX35" s="1">
        <v>84442</v>
      </c>
      <c r="BY35" s="1">
        <v>84442</v>
      </c>
      <c r="BZ35" s="1">
        <v>2996.54</v>
      </c>
      <c r="CA35" s="1">
        <v>1</v>
      </c>
      <c r="CB35" s="1">
        <v>0</v>
      </c>
      <c r="CC35" s="1">
        <v>90</v>
      </c>
      <c r="CD35" s="1">
        <v>60003760</v>
      </c>
      <c r="CE35" s="1">
        <v>32767</v>
      </c>
      <c r="CF35" s="1">
        <v>13</v>
      </c>
      <c r="CH35" s="1">
        <v>2355747535</v>
      </c>
      <c r="CI35" s="1">
        <v>29668</v>
      </c>
      <c r="CJ35" s="1">
        <v>8</v>
      </c>
      <c r="CK35" s="1">
        <v>8</v>
      </c>
      <c r="CL35" s="1">
        <v>499999999.98000002</v>
      </c>
      <c r="CM35" s="1">
        <v>1</v>
      </c>
      <c r="CN35" s="1">
        <v>0</v>
      </c>
      <c r="CO35" s="1">
        <v>90</v>
      </c>
      <c r="CP35" s="1">
        <v>60003760</v>
      </c>
      <c r="CQ35" s="1">
        <v>32767</v>
      </c>
      <c r="CR35" s="1">
        <v>0</v>
      </c>
      <c r="CT35" s="1">
        <v>2380948091</v>
      </c>
      <c r="CU35" s="1">
        <v>16649</v>
      </c>
      <c r="CV35" s="1">
        <v>1</v>
      </c>
      <c r="CW35" s="1">
        <v>1</v>
      </c>
      <c r="CX35" s="1">
        <v>130000.01</v>
      </c>
      <c r="CY35" s="1">
        <v>1</v>
      </c>
      <c r="CZ35" s="1">
        <v>0</v>
      </c>
      <c r="DA35" s="1">
        <v>90</v>
      </c>
      <c r="DB35" s="1">
        <v>60003760</v>
      </c>
      <c r="DC35" s="1">
        <v>32767</v>
      </c>
      <c r="DD35" s="1">
        <v>8</v>
      </c>
      <c r="DF35" s="1">
        <v>2411783761</v>
      </c>
      <c r="DG35" s="1">
        <v>17887</v>
      </c>
      <c r="DH35" s="1">
        <v>3730458</v>
      </c>
      <c r="DI35" s="1">
        <v>2230458</v>
      </c>
      <c r="DJ35" s="1">
        <v>987.48</v>
      </c>
      <c r="DK35" s="1">
        <v>1</v>
      </c>
      <c r="DL35" s="1">
        <v>0</v>
      </c>
      <c r="DM35" s="1">
        <v>90</v>
      </c>
      <c r="DN35" s="1">
        <v>60003760</v>
      </c>
      <c r="DO35" s="1">
        <v>32767</v>
      </c>
      <c r="DP35" s="1">
        <v>0</v>
      </c>
      <c r="DR35" s="1">
        <v>2764377031</v>
      </c>
      <c r="DS35" s="1">
        <v>17888</v>
      </c>
      <c r="DT35" s="1">
        <v>4200</v>
      </c>
      <c r="DU35" s="1">
        <v>4200</v>
      </c>
      <c r="DV35" s="1">
        <v>430</v>
      </c>
      <c r="DW35" s="1">
        <v>1</v>
      </c>
      <c r="DX35" s="1">
        <v>0</v>
      </c>
      <c r="DY35" s="1">
        <v>90</v>
      </c>
      <c r="DZ35" s="1">
        <v>60004234</v>
      </c>
      <c r="EA35" s="1">
        <v>32767</v>
      </c>
      <c r="EB35" s="1">
        <v>9</v>
      </c>
      <c r="ED35" s="1">
        <v>2854221307</v>
      </c>
      <c r="EE35" s="1">
        <v>16273</v>
      </c>
      <c r="EF35" s="1">
        <v>5000000</v>
      </c>
      <c r="EG35" s="1">
        <v>5000000</v>
      </c>
      <c r="EH35" s="1">
        <v>390</v>
      </c>
      <c r="EI35" s="1">
        <v>1</v>
      </c>
      <c r="EJ35" s="1">
        <v>0</v>
      </c>
      <c r="EK35" s="1">
        <v>90</v>
      </c>
      <c r="EL35" s="1">
        <v>60003760</v>
      </c>
      <c r="EM35" s="1">
        <v>32767</v>
      </c>
      <c r="EN35" s="1">
        <v>6</v>
      </c>
      <c r="EP35" s="1">
        <v>2864941579</v>
      </c>
      <c r="EQ35" s="1">
        <v>17889</v>
      </c>
      <c r="ER35" s="1">
        <v>5500000</v>
      </c>
      <c r="ES35" s="1">
        <v>5500000</v>
      </c>
      <c r="ET35" s="1">
        <v>399.99</v>
      </c>
      <c r="EU35" s="1">
        <v>1</v>
      </c>
      <c r="EV35" s="1">
        <v>0</v>
      </c>
      <c r="EW35" s="1">
        <v>90</v>
      </c>
      <c r="EX35" s="1">
        <v>60003760</v>
      </c>
      <c r="EY35" s="1">
        <v>32767</v>
      </c>
      <c r="EZ35" s="1">
        <v>7</v>
      </c>
      <c r="FB35" s="1">
        <v>2874404978</v>
      </c>
      <c r="FC35" s="1">
        <v>30259</v>
      </c>
      <c r="FD35" s="1">
        <v>42</v>
      </c>
      <c r="FE35" s="1">
        <v>42</v>
      </c>
      <c r="FF35" s="1">
        <v>5869999</v>
      </c>
      <c r="FG35" s="1">
        <v>1</v>
      </c>
      <c r="FH35" s="1">
        <v>0</v>
      </c>
      <c r="FI35" s="1">
        <v>90</v>
      </c>
      <c r="FJ35" s="1">
        <v>60003760</v>
      </c>
      <c r="FK35" s="1">
        <v>32767</v>
      </c>
      <c r="FL35" s="1">
        <v>0</v>
      </c>
      <c r="FN35" s="1">
        <v>2871019457</v>
      </c>
      <c r="FO35" s="1">
        <v>25617</v>
      </c>
      <c r="FP35" s="1">
        <v>149</v>
      </c>
      <c r="FQ35" s="1">
        <v>149</v>
      </c>
      <c r="FR35" s="1">
        <v>5157900</v>
      </c>
      <c r="FS35" s="1">
        <v>1</v>
      </c>
      <c r="FT35" s="1">
        <v>0</v>
      </c>
      <c r="FU35" s="1">
        <v>90</v>
      </c>
      <c r="FV35" s="1">
        <v>60003760</v>
      </c>
      <c r="FW35" s="1">
        <v>32767</v>
      </c>
      <c r="FX35" s="1">
        <v>0</v>
      </c>
      <c r="FZ35" s="1">
        <v>2869884845</v>
      </c>
      <c r="GA35" s="1">
        <v>44</v>
      </c>
      <c r="GB35" s="1">
        <v>11000</v>
      </c>
      <c r="GC35" s="1">
        <v>5725</v>
      </c>
      <c r="GD35" s="1">
        <v>13448.5</v>
      </c>
      <c r="GE35" s="1">
        <v>1</v>
      </c>
      <c r="GF35" s="1">
        <v>0</v>
      </c>
      <c r="GG35" s="1">
        <v>90</v>
      </c>
      <c r="GH35" s="1">
        <v>60003760</v>
      </c>
      <c r="GI35" s="1">
        <v>32767</v>
      </c>
      <c r="GJ35" s="1">
        <v>4</v>
      </c>
      <c r="GL35" s="1">
        <v>2415101295</v>
      </c>
      <c r="GM35" s="1">
        <v>16681</v>
      </c>
      <c r="GN35" s="1">
        <v>78110</v>
      </c>
      <c r="GO35" s="1">
        <v>58510</v>
      </c>
      <c r="GP35" s="1">
        <v>6183.36</v>
      </c>
      <c r="GQ35" s="1">
        <v>1</v>
      </c>
      <c r="GR35" s="1">
        <v>0</v>
      </c>
      <c r="GS35" s="1">
        <v>90</v>
      </c>
      <c r="GT35" s="1">
        <v>60003760</v>
      </c>
      <c r="GU35" s="1">
        <v>32767</v>
      </c>
      <c r="GV35" s="1">
        <v>0</v>
      </c>
      <c r="GX35" s="1">
        <v>2872016937</v>
      </c>
      <c r="GY35" s="1">
        <v>16683</v>
      </c>
      <c r="GZ35" s="1">
        <v>99745</v>
      </c>
      <c r="HA35" s="1">
        <v>1638</v>
      </c>
      <c r="HB35" s="1">
        <v>8611.9599999999991</v>
      </c>
      <c r="HC35" s="1">
        <v>1</v>
      </c>
      <c r="HD35" s="1">
        <v>0</v>
      </c>
      <c r="HE35" s="1">
        <v>90</v>
      </c>
      <c r="HF35" s="1">
        <v>60003760</v>
      </c>
      <c r="HG35" s="1">
        <v>32767</v>
      </c>
      <c r="HH35" s="1">
        <v>0</v>
      </c>
      <c r="HJ35" s="1">
        <v>2871597842</v>
      </c>
      <c r="HK35" s="1">
        <v>11724</v>
      </c>
      <c r="HL35" s="1">
        <v>100000</v>
      </c>
      <c r="HM35" s="1">
        <v>72398</v>
      </c>
      <c r="HN35" s="1">
        <v>38356.19</v>
      </c>
      <c r="HO35" s="1">
        <v>10</v>
      </c>
      <c r="HP35" s="1">
        <v>1</v>
      </c>
      <c r="HQ35" s="1">
        <v>90</v>
      </c>
      <c r="HR35" s="1">
        <v>60003760</v>
      </c>
      <c r="HS35" s="1">
        <v>0</v>
      </c>
      <c r="HT35" s="1">
        <v>0</v>
      </c>
      <c r="HV35" s="1">
        <v>2857772481</v>
      </c>
      <c r="HW35" s="1">
        <v>16274</v>
      </c>
      <c r="HX35" s="1">
        <v>1000000</v>
      </c>
      <c r="HY35" s="1">
        <v>1000000</v>
      </c>
      <c r="HZ35" s="1">
        <v>370</v>
      </c>
      <c r="IA35" s="1">
        <v>1</v>
      </c>
      <c r="IB35" s="1">
        <v>0</v>
      </c>
      <c r="IC35" s="1">
        <v>90</v>
      </c>
      <c r="ID35" s="1">
        <v>60003760</v>
      </c>
      <c r="IE35" s="1">
        <v>32767</v>
      </c>
      <c r="IF35" s="1">
        <v>2</v>
      </c>
      <c r="IH35" s="1">
        <v>2864079603</v>
      </c>
      <c r="II35" s="1">
        <v>10213</v>
      </c>
      <c r="IJ35" s="1">
        <v>1</v>
      </c>
      <c r="IK35" s="1">
        <v>1</v>
      </c>
      <c r="IL35" s="1">
        <v>105000012.28</v>
      </c>
      <c r="IM35" s="1">
        <v>1</v>
      </c>
      <c r="IN35" s="1">
        <v>1</v>
      </c>
      <c r="IO35" s="1">
        <v>90</v>
      </c>
      <c r="IP35" s="1">
        <v>60003760</v>
      </c>
      <c r="IQ35" s="1">
        <v>10</v>
      </c>
      <c r="IR35" s="1">
        <v>0</v>
      </c>
      <c r="IT35" s="1">
        <v>2796766773</v>
      </c>
      <c r="IU35" s="1">
        <v>16679</v>
      </c>
      <c r="IV35" s="1">
        <v>2000000</v>
      </c>
      <c r="IW35" s="1">
        <v>2000000</v>
      </c>
      <c r="IX35" s="1">
        <v>2056.1999999999998</v>
      </c>
      <c r="IY35" s="1">
        <v>1</v>
      </c>
      <c r="IZ35" s="1">
        <v>0</v>
      </c>
      <c r="JA35" s="1">
        <v>90</v>
      </c>
      <c r="JB35" s="1">
        <v>60003760</v>
      </c>
      <c r="JC35" s="1">
        <v>32767</v>
      </c>
      <c r="JD35" s="1">
        <v>0</v>
      </c>
      <c r="JF35" s="1">
        <v>2871580065</v>
      </c>
      <c r="JG35" s="1">
        <v>16272</v>
      </c>
      <c r="JH35" s="1">
        <v>1023901</v>
      </c>
      <c r="JI35" s="1">
        <v>1023901</v>
      </c>
      <c r="JJ35" s="1">
        <v>80.38</v>
      </c>
      <c r="JK35" s="1">
        <v>1</v>
      </c>
      <c r="JL35" s="1">
        <v>0</v>
      </c>
      <c r="JM35" s="1">
        <v>90</v>
      </c>
      <c r="JN35" s="1">
        <v>60003760</v>
      </c>
      <c r="JO35" s="1">
        <v>32767</v>
      </c>
      <c r="JP35" s="1">
        <v>6</v>
      </c>
      <c r="JR35" s="1">
        <v>2771638094</v>
      </c>
      <c r="JS35" s="1">
        <v>10226</v>
      </c>
      <c r="JT35" s="1">
        <v>1</v>
      </c>
      <c r="JU35" s="1">
        <v>1</v>
      </c>
      <c r="JV35" s="1">
        <v>75000000</v>
      </c>
      <c r="JW35" s="1">
        <v>1</v>
      </c>
      <c r="JX35" s="1">
        <v>1</v>
      </c>
      <c r="JY35" s="1">
        <v>90</v>
      </c>
      <c r="JZ35" s="1">
        <v>60003760</v>
      </c>
      <c r="KA35" s="1">
        <v>-1</v>
      </c>
      <c r="KB35" s="1">
        <v>0</v>
      </c>
      <c r="KD35" s="1">
        <v>2862233467</v>
      </c>
      <c r="KE35" s="1">
        <v>25605</v>
      </c>
      <c r="KF35" s="1">
        <v>122</v>
      </c>
      <c r="KG35" s="1">
        <v>122</v>
      </c>
      <c r="KH35" s="1">
        <v>115000</v>
      </c>
      <c r="KI35" s="1">
        <v>1</v>
      </c>
      <c r="KJ35" s="1">
        <v>0</v>
      </c>
      <c r="KK35" s="1">
        <v>14</v>
      </c>
      <c r="KL35" s="1">
        <v>60003760</v>
      </c>
      <c r="KM35" s="1">
        <v>32767</v>
      </c>
      <c r="KN35" s="1">
        <v>6</v>
      </c>
      <c r="KP35" s="1">
        <v>2844211223</v>
      </c>
      <c r="KQ35" s="1">
        <v>25624</v>
      </c>
      <c r="KR35" s="1">
        <v>71</v>
      </c>
      <c r="KS35" s="1">
        <v>65</v>
      </c>
      <c r="KT35" s="1">
        <v>19450000</v>
      </c>
      <c r="KU35" s="1">
        <v>1</v>
      </c>
      <c r="KV35" s="1">
        <v>0</v>
      </c>
      <c r="KW35" s="1">
        <v>30</v>
      </c>
      <c r="KX35" s="1">
        <v>60003760</v>
      </c>
      <c r="KY35" s="1">
        <v>32767</v>
      </c>
      <c r="KZ35" s="1">
        <v>1</v>
      </c>
      <c r="LB35" s="1">
        <v>2834002073</v>
      </c>
      <c r="LC35" s="1">
        <v>9832</v>
      </c>
      <c r="LD35" s="1">
        <v>127615</v>
      </c>
      <c r="LE35" s="1">
        <v>116239</v>
      </c>
      <c r="LF35" s="1">
        <v>9722.99</v>
      </c>
      <c r="LG35" s="1">
        <v>1</v>
      </c>
      <c r="LH35" s="1">
        <v>0</v>
      </c>
      <c r="LI35" s="1">
        <v>90</v>
      </c>
      <c r="LJ35" s="1">
        <v>60003760</v>
      </c>
      <c r="LK35" s="1">
        <v>32767</v>
      </c>
      <c r="LL35" s="1">
        <v>0</v>
      </c>
      <c r="LN35" s="1">
        <v>2824180544</v>
      </c>
      <c r="LO35" s="1">
        <v>10209</v>
      </c>
      <c r="LP35" s="1">
        <v>1</v>
      </c>
      <c r="LQ35" s="1">
        <v>1</v>
      </c>
      <c r="LR35" s="1">
        <v>14984434</v>
      </c>
      <c r="LS35" s="1">
        <v>1</v>
      </c>
      <c r="LT35" s="1">
        <v>1</v>
      </c>
      <c r="LU35" s="1">
        <v>90</v>
      </c>
      <c r="LV35" s="1">
        <v>60003760</v>
      </c>
      <c r="LW35" s="1">
        <v>-1</v>
      </c>
      <c r="LX35" s="1">
        <v>0</v>
      </c>
      <c r="LZ35" s="1">
        <v>2832997687</v>
      </c>
      <c r="MA35" s="1">
        <v>10217</v>
      </c>
      <c r="MB35" s="1">
        <v>59</v>
      </c>
      <c r="MC35" s="1">
        <v>50</v>
      </c>
      <c r="MD35" s="1">
        <v>110400000</v>
      </c>
      <c r="ME35" s="1">
        <v>1</v>
      </c>
      <c r="MF35" s="1">
        <v>1</v>
      </c>
      <c r="MG35" s="1">
        <v>90</v>
      </c>
      <c r="MH35" s="1">
        <v>60003760</v>
      </c>
      <c r="MI35" s="1">
        <v>-1</v>
      </c>
      <c r="MJ35" s="1">
        <v>0</v>
      </c>
      <c r="ML35" s="1">
        <v>2759969637</v>
      </c>
      <c r="MM35" s="1">
        <v>25625</v>
      </c>
      <c r="MN35" s="1">
        <v>3</v>
      </c>
      <c r="MO35" s="1">
        <v>3</v>
      </c>
      <c r="MP35" s="1">
        <v>8801000</v>
      </c>
      <c r="MQ35" s="1">
        <v>1</v>
      </c>
      <c r="MR35" s="1">
        <v>0</v>
      </c>
      <c r="MS35" s="1">
        <v>90</v>
      </c>
      <c r="MT35" s="1">
        <v>60012667</v>
      </c>
      <c r="MU35" s="1">
        <v>32767</v>
      </c>
      <c r="MV35" s="1">
        <v>6</v>
      </c>
      <c r="MX35" s="1">
        <v>2870335723</v>
      </c>
      <c r="MY35" s="1">
        <v>16672</v>
      </c>
      <c r="MZ35" s="1">
        <v>4920000</v>
      </c>
      <c r="NA35" s="1">
        <v>3243200</v>
      </c>
      <c r="NB35" s="1">
        <v>137.87</v>
      </c>
      <c r="NC35" s="1">
        <v>1</v>
      </c>
      <c r="ND35" s="1">
        <v>0</v>
      </c>
      <c r="NE35" s="1">
        <v>30</v>
      </c>
      <c r="NF35" s="1">
        <v>60003760</v>
      </c>
      <c r="NG35" s="1">
        <v>32767</v>
      </c>
      <c r="NH35" s="1">
        <v>0</v>
      </c>
      <c r="NJ35" s="1">
        <v>2841931176</v>
      </c>
      <c r="NK35" s="1">
        <v>16673</v>
      </c>
      <c r="NL35" s="1">
        <v>3986254</v>
      </c>
      <c r="NM35" s="1">
        <v>3986254</v>
      </c>
      <c r="NN35" s="1">
        <v>104.29</v>
      </c>
      <c r="NO35" s="1">
        <v>1</v>
      </c>
      <c r="NP35" s="1">
        <v>0</v>
      </c>
      <c r="NQ35" s="1">
        <v>90</v>
      </c>
      <c r="NR35" s="1">
        <v>60003760</v>
      </c>
      <c r="NS35" s="1">
        <v>32767</v>
      </c>
      <c r="NT35" s="1">
        <v>6</v>
      </c>
      <c r="NV35" s="1">
        <v>2846422845</v>
      </c>
      <c r="NW35" s="1">
        <v>3689</v>
      </c>
      <c r="NX35" s="1">
        <v>6450</v>
      </c>
      <c r="NY35" s="1">
        <v>6450</v>
      </c>
      <c r="NZ35" s="1">
        <v>11097.89</v>
      </c>
      <c r="OA35" s="1">
        <v>1</v>
      </c>
      <c r="OB35" s="1">
        <v>0</v>
      </c>
      <c r="OC35" s="1">
        <v>90</v>
      </c>
      <c r="OD35" s="1">
        <v>60003760</v>
      </c>
      <c r="OE35" s="1">
        <v>32767</v>
      </c>
      <c r="OF35" s="1">
        <v>0</v>
      </c>
      <c r="OH35" s="1">
        <v>2810488645</v>
      </c>
      <c r="OI35" s="1">
        <v>25598</v>
      </c>
      <c r="OJ35" s="1">
        <v>205</v>
      </c>
      <c r="OK35" s="1">
        <v>205</v>
      </c>
      <c r="OL35" s="1">
        <v>168999.99</v>
      </c>
      <c r="OM35" s="1">
        <v>1</v>
      </c>
      <c r="ON35" s="1">
        <v>0</v>
      </c>
      <c r="OO35" s="1">
        <v>90</v>
      </c>
      <c r="OP35" s="1">
        <v>60003760</v>
      </c>
      <c r="OQ35" s="1">
        <v>32767</v>
      </c>
      <c r="OR35" s="1">
        <v>0</v>
      </c>
      <c r="OT35" s="1">
        <v>2786478030</v>
      </c>
      <c r="OU35" s="1">
        <v>25600</v>
      </c>
      <c r="OV35" s="1">
        <v>626</v>
      </c>
      <c r="OW35" s="1">
        <v>626</v>
      </c>
      <c r="OX35" s="1">
        <v>32536</v>
      </c>
      <c r="OY35" s="1">
        <v>1</v>
      </c>
      <c r="OZ35" s="1">
        <v>0</v>
      </c>
      <c r="PA35" s="1">
        <v>90</v>
      </c>
      <c r="PB35" s="1">
        <v>60003760</v>
      </c>
      <c r="PC35" s="1">
        <v>32767</v>
      </c>
      <c r="PD35" s="1">
        <v>0</v>
      </c>
      <c r="PF35" s="1">
        <v>2858720285</v>
      </c>
      <c r="PG35" s="1">
        <v>16670</v>
      </c>
      <c r="PH35" s="1">
        <v>53269670</v>
      </c>
      <c r="PI35" s="1">
        <v>53269670</v>
      </c>
      <c r="PJ35" s="1">
        <v>134.5</v>
      </c>
      <c r="PK35" s="1">
        <v>1</v>
      </c>
      <c r="PL35" s="1">
        <v>0</v>
      </c>
      <c r="PM35" s="1">
        <v>90</v>
      </c>
      <c r="PN35" s="1">
        <v>60003760</v>
      </c>
      <c r="PO35" s="1">
        <v>32767</v>
      </c>
      <c r="PP35" s="1">
        <v>7</v>
      </c>
      <c r="PR35" s="1">
        <v>2860562414</v>
      </c>
      <c r="PS35" s="1">
        <v>10222</v>
      </c>
      <c r="PT35" s="1">
        <v>1</v>
      </c>
      <c r="PU35" s="1">
        <v>1</v>
      </c>
      <c r="PV35" s="1">
        <v>101200009.01000001</v>
      </c>
      <c r="PW35" s="1">
        <v>1</v>
      </c>
      <c r="PX35" s="1">
        <v>1</v>
      </c>
      <c r="PY35" s="1">
        <v>90</v>
      </c>
      <c r="PZ35" s="1">
        <v>60003337</v>
      </c>
      <c r="QA35" s="1">
        <v>10</v>
      </c>
      <c r="QB35" s="1">
        <v>0</v>
      </c>
      <c r="QD35" s="1">
        <v>2873729615</v>
      </c>
      <c r="QE35" s="1">
        <v>9830</v>
      </c>
      <c r="QF35" s="1">
        <v>15530</v>
      </c>
      <c r="QG35" s="1">
        <v>15530</v>
      </c>
      <c r="QH35" s="1">
        <v>8000</v>
      </c>
      <c r="QI35" s="1">
        <v>1</v>
      </c>
      <c r="QJ35" s="1">
        <v>0</v>
      </c>
      <c r="QK35" s="1">
        <v>90</v>
      </c>
      <c r="QL35" s="1">
        <v>60003760</v>
      </c>
      <c r="QM35" s="1">
        <v>32767</v>
      </c>
      <c r="QN35" s="1">
        <v>0</v>
      </c>
      <c r="QP35" s="1">
        <v>2871854334</v>
      </c>
      <c r="QQ35" s="1">
        <v>16671</v>
      </c>
      <c r="QR35" s="1">
        <v>50000</v>
      </c>
      <c r="QS35" s="1">
        <v>50000</v>
      </c>
      <c r="QT35" s="1">
        <v>120.95</v>
      </c>
      <c r="QU35" s="1">
        <v>1</v>
      </c>
      <c r="QV35" s="1">
        <v>0</v>
      </c>
      <c r="QW35" s="1">
        <v>90</v>
      </c>
      <c r="QX35" s="1">
        <v>60003760</v>
      </c>
      <c r="QY35" s="1">
        <v>32767</v>
      </c>
      <c r="QZ35" s="1">
        <v>7</v>
      </c>
      <c r="RB35" s="1">
        <v>2870285995</v>
      </c>
      <c r="RC35" s="1">
        <v>16682</v>
      </c>
      <c r="RD35" s="1">
        <v>453750</v>
      </c>
      <c r="RE35" s="1">
        <v>104690</v>
      </c>
      <c r="RF35" s="1">
        <v>3351.58</v>
      </c>
      <c r="RG35" s="1">
        <v>1</v>
      </c>
      <c r="RH35" s="1">
        <v>0</v>
      </c>
      <c r="RI35" s="1">
        <v>90</v>
      </c>
      <c r="RJ35" s="1">
        <v>60003760</v>
      </c>
      <c r="RK35" s="1">
        <v>32767</v>
      </c>
      <c r="RL35" s="1">
        <v>8</v>
      </c>
      <c r="RN35" s="1">
        <v>2875950105</v>
      </c>
      <c r="RO35" s="1">
        <v>16678</v>
      </c>
      <c r="RP35" s="1">
        <v>1563637</v>
      </c>
      <c r="RQ35" s="1">
        <v>703065</v>
      </c>
      <c r="RR35" s="1">
        <v>284.52999999999997</v>
      </c>
      <c r="RS35" s="1">
        <v>1</v>
      </c>
      <c r="RT35" s="1">
        <v>0</v>
      </c>
      <c r="RU35" s="1">
        <v>90</v>
      </c>
      <c r="RV35" s="1">
        <v>60003760</v>
      </c>
      <c r="RW35" s="1">
        <v>32767</v>
      </c>
      <c r="RX35" s="1">
        <v>6</v>
      </c>
      <c r="RZ35" s="1">
        <v>2878347984</v>
      </c>
      <c r="SA35" s="1">
        <v>30310</v>
      </c>
      <c r="SB35" s="1">
        <v>184</v>
      </c>
      <c r="SC35" s="1">
        <v>184</v>
      </c>
      <c r="SD35" s="1">
        <v>1288700.23</v>
      </c>
      <c r="SE35" s="1">
        <v>1</v>
      </c>
      <c r="SF35" s="1">
        <v>0</v>
      </c>
      <c r="SG35" s="1">
        <v>3</v>
      </c>
      <c r="SH35" s="1">
        <v>60003760</v>
      </c>
      <c r="SI35" s="1">
        <v>32767</v>
      </c>
      <c r="SJ35" s="1">
        <v>0</v>
      </c>
      <c r="SL35" s="1">
        <v>2875872062</v>
      </c>
      <c r="SM35" s="1">
        <v>30311</v>
      </c>
      <c r="SN35" s="1">
        <v>72</v>
      </c>
      <c r="SO35" s="1">
        <v>72</v>
      </c>
      <c r="SP35" s="1">
        <v>3140009.15</v>
      </c>
      <c r="SQ35" s="1">
        <v>1</v>
      </c>
      <c r="SR35" s="1">
        <v>0</v>
      </c>
      <c r="SS35" s="1">
        <v>3</v>
      </c>
      <c r="ST35" s="1">
        <v>60003760</v>
      </c>
      <c r="SU35" s="1">
        <v>32767</v>
      </c>
      <c r="SV35" s="1">
        <v>0</v>
      </c>
      <c r="SX35" s="1">
        <v>2804761779</v>
      </c>
      <c r="SY35" s="1">
        <v>25595</v>
      </c>
      <c r="SZ35" s="1">
        <v>1</v>
      </c>
      <c r="TA35" s="1">
        <v>1</v>
      </c>
      <c r="TB35" s="1">
        <v>100000</v>
      </c>
      <c r="TC35" s="1">
        <v>1</v>
      </c>
      <c r="TD35" s="1">
        <v>0</v>
      </c>
      <c r="TE35" s="1">
        <v>90</v>
      </c>
      <c r="TF35" s="1">
        <v>60003760</v>
      </c>
      <c r="TG35" s="1">
        <v>32767</v>
      </c>
      <c r="TH35" s="1">
        <v>6</v>
      </c>
      <c r="TJ35" s="1">
        <v>2857387117</v>
      </c>
      <c r="TK35" s="1">
        <v>25606</v>
      </c>
      <c r="TL35" s="1">
        <v>10000</v>
      </c>
      <c r="TM35" s="1">
        <v>5031</v>
      </c>
      <c r="TN35" s="1">
        <v>25999</v>
      </c>
      <c r="TO35" s="1">
        <v>1</v>
      </c>
      <c r="TP35" s="1">
        <v>0</v>
      </c>
      <c r="TQ35" s="1">
        <v>90</v>
      </c>
      <c r="TR35" s="1">
        <v>60003760</v>
      </c>
      <c r="TS35" s="1">
        <v>32767</v>
      </c>
      <c r="TT35" s="1">
        <v>0</v>
      </c>
      <c r="TV35" s="1">
        <v>2878169433</v>
      </c>
      <c r="TW35" s="1">
        <v>25622</v>
      </c>
      <c r="TX35" s="1">
        <v>1</v>
      </c>
      <c r="TY35" s="1">
        <v>1</v>
      </c>
      <c r="TZ35" s="1">
        <v>14470001.4</v>
      </c>
      <c r="UA35" s="1">
        <v>1</v>
      </c>
      <c r="UB35" s="1">
        <v>0</v>
      </c>
      <c r="UC35" s="1">
        <v>30</v>
      </c>
      <c r="UD35" s="1">
        <v>60003760</v>
      </c>
      <c r="UE35" s="1">
        <v>32767</v>
      </c>
      <c r="UF35" s="1">
        <v>0</v>
      </c>
      <c r="UH35" s="1">
        <v>2875206335</v>
      </c>
      <c r="UI35" s="1">
        <v>16680</v>
      </c>
      <c r="UJ35" s="1">
        <v>7400</v>
      </c>
      <c r="UK35" s="1">
        <v>7400</v>
      </c>
      <c r="UL35" s="1">
        <v>707.93</v>
      </c>
      <c r="UM35" s="1">
        <v>1</v>
      </c>
      <c r="UN35" s="1">
        <v>0</v>
      </c>
      <c r="UO35" s="1">
        <v>30</v>
      </c>
      <c r="UP35" s="1">
        <v>60003760</v>
      </c>
      <c r="UQ35" s="1">
        <v>32767</v>
      </c>
      <c r="UR35" s="1">
        <v>6</v>
      </c>
      <c r="UT35" s="1">
        <v>2767903348</v>
      </c>
      <c r="UU35" s="1">
        <v>17317</v>
      </c>
      <c r="UV35" s="1">
        <v>100</v>
      </c>
      <c r="UW35" s="1">
        <v>100</v>
      </c>
      <c r="UX35" s="1">
        <v>20800.04</v>
      </c>
      <c r="UY35" s="1">
        <v>1</v>
      </c>
      <c r="UZ35" s="1">
        <v>1</v>
      </c>
      <c r="VA35" s="1">
        <v>90</v>
      </c>
      <c r="VB35" s="1">
        <v>60003760</v>
      </c>
      <c r="VC35" s="1">
        <v>-1</v>
      </c>
      <c r="VD35" s="1">
        <v>0</v>
      </c>
      <c r="VF35"/>
      <c r="VG35"/>
      <c r="VH35"/>
      <c r="VI35"/>
      <c r="VJ35"/>
      <c r="VK35"/>
      <c r="VL35"/>
      <c r="VM35"/>
      <c r="VN35"/>
      <c r="VO35"/>
      <c r="VP35"/>
    </row>
    <row r="36" spans="2:588" x14ac:dyDescent="0.25">
      <c r="B36" s="1">
        <v>2872871411</v>
      </c>
      <c r="C36" s="1">
        <v>34</v>
      </c>
      <c r="D36" s="1">
        <v>1903185</v>
      </c>
      <c r="E36" s="1">
        <v>1903185</v>
      </c>
      <c r="F36" s="1">
        <v>5.63</v>
      </c>
      <c r="G36" s="1">
        <v>1</v>
      </c>
      <c r="H36" s="1">
        <v>0</v>
      </c>
      <c r="I36" s="1">
        <v>90</v>
      </c>
      <c r="J36" s="1">
        <v>60004069</v>
      </c>
      <c r="K36" s="1">
        <v>32767</v>
      </c>
      <c r="L36" s="1">
        <v>5</v>
      </c>
      <c r="N36" s="1">
        <v>2813788701</v>
      </c>
      <c r="O36" s="1">
        <v>35</v>
      </c>
      <c r="P36" s="1">
        <v>12482935</v>
      </c>
      <c r="Q36" s="1">
        <v>12482935</v>
      </c>
      <c r="R36" s="1">
        <v>17.239999999999998</v>
      </c>
      <c r="S36" s="1">
        <v>1</v>
      </c>
      <c r="T36" s="1">
        <v>0</v>
      </c>
      <c r="U36" s="1">
        <v>90</v>
      </c>
      <c r="V36" s="1">
        <v>60003760</v>
      </c>
      <c r="W36" s="1">
        <v>32767</v>
      </c>
      <c r="X36" s="1">
        <v>0</v>
      </c>
      <c r="Z36" s="1">
        <v>2757030943</v>
      </c>
      <c r="AA36" s="1">
        <v>36</v>
      </c>
      <c r="AB36" s="1">
        <v>15474236</v>
      </c>
      <c r="AC36" s="1">
        <v>9104344</v>
      </c>
      <c r="AD36" s="16">
        <v>57.22</v>
      </c>
      <c r="AE36" s="1">
        <v>1</v>
      </c>
      <c r="AF36" s="1">
        <v>0</v>
      </c>
      <c r="AG36" s="1">
        <v>90</v>
      </c>
      <c r="AH36" s="1">
        <v>60003760</v>
      </c>
      <c r="AI36" s="1">
        <v>32767</v>
      </c>
      <c r="AJ36" s="1">
        <v>11</v>
      </c>
      <c r="AL36" s="1">
        <v>2770555193</v>
      </c>
      <c r="AM36" s="1">
        <v>37</v>
      </c>
      <c r="AN36" s="1">
        <v>7003915</v>
      </c>
      <c r="AO36" s="1">
        <v>7003915</v>
      </c>
      <c r="AP36" s="16">
        <v>155.61000000000001</v>
      </c>
      <c r="AQ36" s="1">
        <v>1</v>
      </c>
      <c r="AR36" s="1">
        <v>0</v>
      </c>
      <c r="AS36" s="1">
        <v>90</v>
      </c>
      <c r="AT36" s="1">
        <v>60003760</v>
      </c>
      <c r="AU36" s="1">
        <v>32767</v>
      </c>
      <c r="AV36" s="1">
        <v>9</v>
      </c>
      <c r="AX36" s="1">
        <v>2712802730</v>
      </c>
      <c r="AY36" s="1">
        <v>38</v>
      </c>
      <c r="AZ36" s="1">
        <v>5126544</v>
      </c>
      <c r="BA36" s="1">
        <v>5126544</v>
      </c>
      <c r="BB36" s="1">
        <v>862.41</v>
      </c>
      <c r="BC36" s="1">
        <v>1</v>
      </c>
      <c r="BD36" s="1">
        <v>0</v>
      </c>
      <c r="BE36" s="1">
        <v>90</v>
      </c>
      <c r="BF36" s="1">
        <v>60003760</v>
      </c>
      <c r="BG36" s="1">
        <v>32767</v>
      </c>
      <c r="BH36" s="1">
        <v>5</v>
      </c>
      <c r="BJ36" s="1">
        <v>2854983417</v>
      </c>
      <c r="BK36" s="1">
        <v>39</v>
      </c>
      <c r="BL36" s="1">
        <v>60000</v>
      </c>
      <c r="BM36" s="1">
        <v>60000</v>
      </c>
      <c r="BN36" s="1">
        <v>830</v>
      </c>
      <c r="BO36" s="1">
        <v>1</v>
      </c>
      <c r="BP36" s="1">
        <v>0</v>
      </c>
      <c r="BQ36" s="1">
        <v>90</v>
      </c>
      <c r="BR36" s="1">
        <v>60003760</v>
      </c>
      <c r="BS36" s="1">
        <v>32767</v>
      </c>
      <c r="BT36" s="1">
        <v>5</v>
      </c>
      <c r="BV36" s="1">
        <v>2370913799</v>
      </c>
      <c r="BW36" s="1">
        <v>40</v>
      </c>
      <c r="BX36" s="1">
        <v>20000</v>
      </c>
      <c r="BY36" s="1">
        <v>20000</v>
      </c>
      <c r="BZ36" s="1">
        <v>3685.99</v>
      </c>
      <c r="CA36" s="1">
        <v>1</v>
      </c>
      <c r="CB36" s="1">
        <v>0</v>
      </c>
      <c r="CC36" s="1">
        <v>90</v>
      </c>
      <c r="CD36" s="1">
        <v>60003760</v>
      </c>
      <c r="CE36" s="1">
        <v>32767</v>
      </c>
      <c r="CF36" s="1">
        <v>13</v>
      </c>
      <c r="CH36" s="1">
        <v>2356266417</v>
      </c>
      <c r="CI36" s="1">
        <v>29668</v>
      </c>
      <c r="CJ36" s="1">
        <v>1</v>
      </c>
      <c r="CK36" s="1">
        <v>1</v>
      </c>
      <c r="CL36" s="1">
        <v>500000000</v>
      </c>
      <c r="CM36" s="1">
        <v>1</v>
      </c>
      <c r="CN36" s="1">
        <v>0</v>
      </c>
      <c r="CO36" s="1">
        <v>90</v>
      </c>
      <c r="CP36" s="1">
        <v>60003760</v>
      </c>
      <c r="CQ36" s="1">
        <v>32767</v>
      </c>
      <c r="CR36" s="1">
        <v>0</v>
      </c>
      <c r="CT36" s="1">
        <v>2414286233</v>
      </c>
      <c r="CU36" s="1">
        <v>16649</v>
      </c>
      <c r="CV36" s="1">
        <v>50000</v>
      </c>
      <c r="CW36" s="1">
        <v>6498</v>
      </c>
      <c r="CX36" s="1">
        <v>107694.98</v>
      </c>
      <c r="CY36" s="1">
        <v>1</v>
      </c>
      <c r="CZ36" s="1">
        <v>0</v>
      </c>
      <c r="DA36" s="1">
        <v>90</v>
      </c>
      <c r="DB36" s="1">
        <v>60003760</v>
      </c>
      <c r="DC36" s="1">
        <v>32767</v>
      </c>
      <c r="DD36" s="1">
        <v>8</v>
      </c>
      <c r="DF36" s="1">
        <v>2411817240</v>
      </c>
      <c r="DG36" s="1">
        <v>17887</v>
      </c>
      <c r="DH36" s="1">
        <v>410307</v>
      </c>
      <c r="DI36" s="1">
        <v>410307</v>
      </c>
      <c r="DJ36" s="1">
        <v>995</v>
      </c>
      <c r="DK36" s="1">
        <v>1</v>
      </c>
      <c r="DL36" s="1">
        <v>0</v>
      </c>
      <c r="DM36" s="1">
        <v>14</v>
      </c>
      <c r="DN36" s="1">
        <v>60003760</v>
      </c>
      <c r="DO36" s="1">
        <v>32767</v>
      </c>
      <c r="DP36" s="1">
        <v>0</v>
      </c>
      <c r="DR36" s="1">
        <v>2876467947</v>
      </c>
      <c r="DS36" s="1">
        <v>17888</v>
      </c>
      <c r="DT36" s="1">
        <v>24795</v>
      </c>
      <c r="DU36" s="1">
        <v>24795</v>
      </c>
      <c r="DV36" s="1">
        <v>336.27</v>
      </c>
      <c r="DW36" s="1">
        <v>1</v>
      </c>
      <c r="DX36" s="1">
        <v>0</v>
      </c>
      <c r="DY36" s="1">
        <v>3</v>
      </c>
      <c r="DZ36" s="1">
        <v>60003394</v>
      </c>
      <c r="EA36" s="1">
        <v>32767</v>
      </c>
      <c r="EB36" s="1">
        <v>9</v>
      </c>
      <c r="ED36" s="1">
        <v>2737424974</v>
      </c>
      <c r="EE36" s="1">
        <v>16273</v>
      </c>
      <c r="EF36" s="1">
        <v>192700</v>
      </c>
      <c r="EG36" s="1">
        <v>192700</v>
      </c>
      <c r="EH36" s="1">
        <v>429.1</v>
      </c>
      <c r="EI36" s="1">
        <v>1</v>
      </c>
      <c r="EJ36" s="1">
        <v>0</v>
      </c>
      <c r="EK36" s="1">
        <v>90</v>
      </c>
      <c r="EL36" s="1">
        <v>60003760</v>
      </c>
      <c r="EM36" s="1">
        <v>32767</v>
      </c>
      <c r="EN36" s="1">
        <v>6</v>
      </c>
      <c r="EP36" s="1">
        <v>2871378622</v>
      </c>
      <c r="EQ36" s="1">
        <v>17889</v>
      </c>
      <c r="ER36" s="1">
        <v>2693195</v>
      </c>
      <c r="ES36" s="1">
        <v>2693195</v>
      </c>
      <c r="ET36" s="1">
        <v>425</v>
      </c>
      <c r="EU36" s="1">
        <v>1</v>
      </c>
      <c r="EV36" s="1">
        <v>0</v>
      </c>
      <c r="EW36" s="1">
        <v>90</v>
      </c>
      <c r="EX36" s="1">
        <v>60003760</v>
      </c>
      <c r="EY36" s="1">
        <v>32767</v>
      </c>
      <c r="EZ36" s="1">
        <v>7</v>
      </c>
      <c r="FB36" s="1">
        <v>2874406712</v>
      </c>
      <c r="FC36" s="1">
        <v>30259</v>
      </c>
      <c r="FD36" s="1">
        <v>23</v>
      </c>
      <c r="FE36" s="1">
        <v>23</v>
      </c>
      <c r="FF36" s="1">
        <v>5860000</v>
      </c>
      <c r="FG36" s="1">
        <v>1</v>
      </c>
      <c r="FH36" s="1">
        <v>0</v>
      </c>
      <c r="FI36" s="1">
        <v>30</v>
      </c>
      <c r="FJ36" s="1">
        <v>60003760</v>
      </c>
      <c r="FK36" s="1">
        <v>32767</v>
      </c>
      <c r="FL36" s="1">
        <v>0</v>
      </c>
      <c r="FN36" s="1">
        <v>2871273411</v>
      </c>
      <c r="FO36" s="1">
        <v>25617</v>
      </c>
      <c r="FP36" s="1">
        <v>5</v>
      </c>
      <c r="FQ36" s="1">
        <v>5</v>
      </c>
      <c r="FR36" s="1">
        <v>5200000</v>
      </c>
      <c r="FS36" s="1">
        <v>1</v>
      </c>
      <c r="FT36" s="1">
        <v>0</v>
      </c>
      <c r="FU36" s="1">
        <v>90</v>
      </c>
      <c r="FV36" s="1">
        <v>60003760</v>
      </c>
      <c r="FW36" s="1">
        <v>32767</v>
      </c>
      <c r="FX36" s="1">
        <v>0</v>
      </c>
      <c r="FZ36" s="1">
        <v>2869885146</v>
      </c>
      <c r="GA36" s="1">
        <v>44</v>
      </c>
      <c r="GB36" s="1">
        <v>16051</v>
      </c>
      <c r="GC36" s="1">
        <v>16051</v>
      </c>
      <c r="GD36" s="1">
        <v>13495.61</v>
      </c>
      <c r="GE36" s="1">
        <v>1</v>
      </c>
      <c r="GF36" s="1">
        <v>0</v>
      </c>
      <c r="GG36" s="1">
        <v>90</v>
      </c>
      <c r="GH36" s="1">
        <v>60003760</v>
      </c>
      <c r="GI36" s="1">
        <v>32767</v>
      </c>
      <c r="GJ36" s="1">
        <v>4</v>
      </c>
      <c r="GL36" s="1">
        <v>2413243547</v>
      </c>
      <c r="GM36" s="1">
        <v>16681</v>
      </c>
      <c r="GN36" s="1">
        <v>625500</v>
      </c>
      <c r="GO36" s="1">
        <v>324594</v>
      </c>
      <c r="GP36" s="1">
        <v>6183.35</v>
      </c>
      <c r="GQ36" s="1">
        <v>1</v>
      </c>
      <c r="GR36" s="1">
        <v>0</v>
      </c>
      <c r="GS36" s="1">
        <v>30</v>
      </c>
      <c r="GT36" s="1">
        <v>60003760</v>
      </c>
      <c r="GU36" s="1">
        <v>32767</v>
      </c>
      <c r="GV36" s="1">
        <v>0</v>
      </c>
      <c r="GX36" s="1">
        <v>2872777724</v>
      </c>
      <c r="GY36" s="1">
        <v>16683</v>
      </c>
      <c r="GZ36" s="1">
        <v>9200</v>
      </c>
      <c r="HA36" s="1">
        <v>579</v>
      </c>
      <c r="HB36" s="1">
        <v>8698.4</v>
      </c>
      <c r="HC36" s="1">
        <v>1</v>
      </c>
      <c r="HD36" s="1">
        <v>0</v>
      </c>
      <c r="HE36" s="1">
        <v>90</v>
      </c>
      <c r="HF36" s="1">
        <v>60003760</v>
      </c>
      <c r="HG36" s="1">
        <v>32767</v>
      </c>
      <c r="HH36" s="1">
        <v>0</v>
      </c>
      <c r="HJ36"/>
      <c r="HK36"/>
      <c r="HL36"/>
      <c r="HM36"/>
      <c r="HN36"/>
      <c r="HO36"/>
      <c r="HP36"/>
      <c r="HQ36"/>
      <c r="HR36"/>
      <c r="HS36"/>
      <c r="HT36"/>
      <c r="HV36" s="1">
        <v>2857772568</v>
      </c>
      <c r="HW36" s="1">
        <v>16274</v>
      </c>
      <c r="HX36" s="1">
        <v>1000000</v>
      </c>
      <c r="HY36" s="1">
        <v>1000000</v>
      </c>
      <c r="HZ36" s="1">
        <v>370</v>
      </c>
      <c r="IA36" s="1">
        <v>1</v>
      </c>
      <c r="IB36" s="1">
        <v>0</v>
      </c>
      <c r="IC36" s="1">
        <v>90</v>
      </c>
      <c r="ID36" s="1">
        <v>60003760</v>
      </c>
      <c r="IE36" s="1">
        <v>32767</v>
      </c>
      <c r="IF36" s="1">
        <v>2</v>
      </c>
      <c r="IH36" s="1">
        <v>2715781297</v>
      </c>
      <c r="II36" s="1">
        <v>10213</v>
      </c>
      <c r="IJ36" s="1">
        <v>10</v>
      </c>
      <c r="IK36" s="1">
        <v>10</v>
      </c>
      <c r="IL36" s="1">
        <v>83000000</v>
      </c>
      <c r="IM36" s="1">
        <v>1</v>
      </c>
      <c r="IN36" s="1">
        <v>1</v>
      </c>
      <c r="IO36" s="1">
        <v>90</v>
      </c>
      <c r="IP36" s="1">
        <v>60003760</v>
      </c>
      <c r="IQ36" s="1">
        <v>-1</v>
      </c>
      <c r="IR36" s="1">
        <v>0</v>
      </c>
      <c r="IT36" s="1">
        <v>2796767314</v>
      </c>
      <c r="IU36" s="1">
        <v>16679</v>
      </c>
      <c r="IV36" s="1">
        <v>2000000</v>
      </c>
      <c r="IW36" s="1">
        <v>2000000</v>
      </c>
      <c r="IX36" s="1">
        <v>1794.99</v>
      </c>
      <c r="IY36" s="1">
        <v>1</v>
      </c>
      <c r="IZ36" s="1">
        <v>0</v>
      </c>
      <c r="JA36" s="1">
        <v>90</v>
      </c>
      <c r="JB36" s="1">
        <v>60003760</v>
      </c>
      <c r="JC36" s="1">
        <v>32767</v>
      </c>
      <c r="JD36" s="1">
        <v>0</v>
      </c>
      <c r="JF36" s="1">
        <v>2871550708</v>
      </c>
      <c r="JG36" s="1">
        <v>16272</v>
      </c>
      <c r="JH36" s="1">
        <v>2250000</v>
      </c>
      <c r="JI36" s="1">
        <v>2215000</v>
      </c>
      <c r="JJ36" s="1">
        <v>80.38</v>
      </c>
      <c r="JK36" s="1">
        <v>1</v>
      </c>
      <c r="JL36" s="1">
        <v>0</v>
      </c>
      <c r="JM36" s="1">
        <v>90</v>
      </c>
      <c r="JN36" s="1">
        <v>60003760</v>
      </c>
      <c r="JO36" s="1">
        <v>32767</v>
      </c>
      <c r="JP36" s="1">
        <v>6</v>
      </c>
      <c r="JR36" s="1">
        <v>2803908811</v>
      </c>
      <c r="JS36" s="1">
        <v>10226</v>
      </c>
      <c r="JT36" s="1">
        <v>1</v>
      </c>
      <c r="JU36" s="1">
        <v>1</v>
      </c>
      <c r="JV36" s="1">
        <v>95000000</v>
      </c>
      <c r="JW36" s="1">
        <v>1</v>
      </c>
      <c r="JX36" s="1">
        <v>1</v>
      </c>
      <c r="JY36" s="1">
        <v>90</v>
      </c>
      <c r="JZ36" s="1">
        <v>60003760</v>
      </c>
      <c r="KA36" s="1">
        <v>40</v>
      </c>
      <c r="KB36" s="1">
        <v>0</v>
      </c>
      <c r="KD36" s="1">
        <v>2859147932</v>
      </c>
      <c r="KE36" s="1">
        <v>25605</v>
      </c>
      <c r="KF36" s="1">
        <v>195</v>
      </c>
      <c r="KG36" s="1">
        <v>195</v>
      </c>
      <c r="KH36" s="1">
        <v>112499.88</v>
      </c>
      <c r="KI36" s="1">
        <v>1</v>
      </c>
      <c r="KJ36" s="1">
        <v>0</v>
      </c>
      <c r="KK36" s="1">
        <v>90</v>
      </c>
      <c r="KL36" s="1">
        <v>60003760</v>
      </c>
      <c r="KM36" s="1">
        <v>32767</v>
      </c>
      <c r="KN36" s="1">
        <v>6</v>
      </c>
      <c r="KP36" s="1">
        <v>2845298103</v>
      </c>
      <c r="KQ36" s="1">
        <v>25624</v>
      </c>
      <c r="KR36" s="1">
        <v>4</v>
      </c>
      <c r="KS36" s="1">
        <v>4</v>
      </c>
      <c r="KT36" s="1">
        <v>19725006</v>
      </c>
      <c r="KU36" s="1">
        <v>1</v>
      </c>
      <c r="KV36" s="1">
        <v>0</v>
      </c>
      <c r="KW36" s="1">
        <v>30</v>
      </c>
      <c r="KX36" s="1">
        <v>60003760</v>
      </c>
      <c r="KY36" s="1">
        <v>32767</v>
      </c>
      <c r="KZ36" s="1">
        <v>1</v>
      </c>
      <c r="LB36" s="1">
        <v>2841200938</v>
      </c>
      <c r="LC36" s="1">
        <v>9832</v>
      </c>
      <c r="LD36" s="1">
        <v>12075</v>
      </c>
      <c r="LE36" s="1">
        <v>12075</v>
      </c>
      <c r="LF36" s="1">
        <v>9712.89</v>
      </c>
      <c r="LG36" s="1">
        <v>1</v>
      </c>
      <c r="LH36" s="1">
        <v>0</v>
      </c>
      <c r="LI36" s="1">
        <v>90</v>
      </c>
      <c r="LJ36" s="1">
        <v>60003760</v>
      </c>
      <c r="LK36" s="1">
        <v>32767</v>
      </c>
      <c r="LL36" s="1">
        <v>0</v>
      </c>
      <c r="LN36" s="1">
        <v>2760972692</v>
      </c>
      <c r="LO36" s="1">
        <v>10209</v>
      </c>
      <c r="LP36" s="1">
        <v>1</v>
      </c>
      <c r="LQ36" s="1">
        <v>1</v>
      </c>
      <c r="LR36" s="1">
        <v>90000000.010000005</v>
      </c>
      <c r="LS36" s="1">
        <v>1</v>
      </c>
      <c r="LT36" s="1">
        <v>1</v>
      </c>
      <c r="LU36" s="1">
        <v>90</v>
      </c>
      <c r="LV36" s="1">
        <v>60003760</v>
      </c>
      <c r="LW36" s="1">
        <v>-1</v>
      </c>
      <c r="LX36" s="1">
        <v>0</v>
      </c>
      <c r="LZ36" s="1">
        <v>2842836333</v>
      </c>
      <c r="MA36" s="1">
        <v>10217</v>
      </c>
      <c r="MB36" s="1">
        <v>5</v>
      </c>
      <c r="MC36" s="1">
        <v>5</v>
      </c>
      <c r="MD36" s="1">
        <v>108603009.56</v>
      </c>
      <c r="ME36" s="1">
        <v>1</v>
      </c>
      <c r="MF36" s="1">
        <v>1</v>
      </c>
      <c r="MG36" s="1">
        <v>90</v>
      </c>
      <c r="MH36" s="1">
        <v>60003760</v>
      </c>
      <c r="MI36" s="1">
        <v>-1</v>
      </c>
      <c r="MJ36" s="1">
        <v>0</v>
      </c>
      <c r="ML36" s="1">
        <v>2877131411</v>
      </c>
      <c r="MM36" s="1">
        <v>25625</v>
      </c>
      <c r="MN36" s="1">
        <v>1</v>
      </c>
      <c r="MO36" s="1">
        <v>1</v>
      </c>
      <c r="MP36" s="1">
        <v>8000000</v>
      </c>
      <c r="MQ36" s="1">
        <v>1</v>
      </c>
      <c r="MR36" s="1">
        <v>0</v>
      </c>
      <c r="MS36" s="1">
        <v>90</v>
      </c>
      <c r="MT36" s="1">
        <v>60012667</v>
      </c>
      <c r="MU36" s="1">
        <v>32767</v>
      </c>
      <c r="MV36" s="1">
        <v>6</v>
      </c>
      <c r="MX36" s="1">
        <v>2874198069</v>
      </c>
      <c r="MY36" s="1">
        <v>16672</v>
      </c>
      <c r="MZ36" s="1">
        <v>4859335</v>
      </c>
      <c r="NA36" s="1">
        <v>3842912</v>
      </c>
      <c r="NB36" s="1">
        <v>137.34</v>
      </c>
      <c r="NC36" s="1">
        <v>1</v>
      </c>
      <c r="ND36" s="1">
        <v>0</v>
      </c>
      <c r="NE36" s="1">
        <v>90</v>
      </c>
      <c r="NF36" s="1">
        <v>60003760</v>
      </c>
      <c r="NG36" s="1">
        <v>32767</v>
      </c>
      <c r="NH36" s="1">
        <v>0</v>
      </c>
      <c r="NJ36" s="1">
        <v>2841428602</v>
      </c>
      <c r="NK36" s="1">
        <v>16673</v>
      </c>
      <c r="NL36" s="1">
        <v>10000000</v>
      </c>
      <c r="NM36" s="1">
        <v>10000000</v>
      </c>
      <c r="NN36" s="1">
        <v>115.78</v>
      </c>
      <c r="NO36" s="1">
        <v>1</v>
      </c>
      <c r="NP36" s="1">
        <v>0</v>
      </c>
      <c r="NQ36" s="1">
        <v>30</v>
      </c>
      <c r="NR36" s="1">
        <v>60003760</v>
      </c>
      <c r="NS36" s="1">
        <v>32767</v>
      </c>
      <c r="NT36" s="1">
        <v>6</v>
      </c>
      <c r="NV36" s="1">
        <v>2852461228</v>
      </c>
      <c r="NW36" s="1">
        <v>3689</v>
      </c>
      <c r="NX36" s="1">
        <v>15515</v>
      </c>
      <c r="NY36" s="1">
        <v>15515</v>
      </c>
      <c r="NZ36" s="1">
        <v>12175</v>
      </c>
      <c r="OA36" s="1">
        <v>1</v>
      </c>
      <c r="OB36" s="1">
        <v>0</v>
      </c>
      <c r="OC36" s="1">
        <v>90</v>
      </c>
      <c r="OD36" s="1">
        <v>60003760</v>
      </c>
      <c r="OE36" s="1">
        <v>32767</v>
      </c>
      <c r="OF36" s="1">
        <v>0</v>
      </c>
      <c r="OH36" s="1">
        <v>2810424084</v>
      </c>
      <c r="OI36" s="1">
        <v>25598</v>
      </c>
      <c r="OJ36" s="1">
        <v>2786</v>
      </c>
      <c r="OK36" s="1">
        <v>1086</v>
      </c>
      <c r="OL36" s="1">
        <v>169470.92</v>
      </c>
      <c r="OM36" s="1">
        <v>1</v>
      </c>
      <c r="ON36" s="1">
        <v>0</v>
      </c>
      <c r="OO36" s="1">
        <v>90</v>
      </c>
      <c r="OP36" s="1">
        <v>60003760</v>
      </c>
      <c r="OQ36" s="1">
        <v>32767</v>
      </c>
      <c r="OR36" s="1">
        <v>0</v>
      </c>
      <c r="OT36" s="1">
        <v>2786118705</v>
      </c>
      <c r="OU36" s="1">
        <v>25600</v>
      </c>
      <c r="OV36" s="1">
        <v>59</v>
      </c>
      <c r="OW36" s="1">
        <v>59</v>
      </c>
      <c r="OX36" s="1">
        <v>32538.11</v>
      </c>
      <c r="OY36" s="1">
        <v>1</v>
      </c>
      <c r="OZ36" s="1">
        <v>0</v>
      </c>
      <c r="PA36" s="1">
        <v>90</v>
      </c>
      <c r="PB36" s="1">
        <v>60003760</v>
      </c>
      <c r="PC36" s="1">
        <v>32767</v>
      </c>
      <c r="PD36" s="1">
        <v>0</v>
      </c>
      <c r="PF36" s="1">
        <v>2858946127</v>
      </c>
      <c r="PG36" s="1">
        <v>16670</v>
      </c>
      <c r="PH36" s="1">
        <v>3990000</v>
      </c>
      <c r="PI36" s="1">
        <v>3990000</v>
      </c>
      <c r="PJ36" s="1">
        <v>129.86000000000001</v>
      </c>
      <c r="PK36" s="1">
        <v>1</v>
      </c>
      <c r="PL36" s="1">
        <v>0</v>
      </c>
      <c r="PM36" s="1">
        <v>90</v>
      </c>
      <c r="PN36" s="1">
        <v>60003760</v>
      </c>
      <c r="PO36" s="1">
        <v>32767</v>
      </c>
      <c r="PP36" s="1">
        <v>7</v>
      </c>
      <c r="PR36" s="1">
        <v>2786521119</v>
      </c>
      <c r="PS36" s="1">
        <v>10222</v>
      </c>
      <c r="PT36" s="1">
        <v>3</v>
      </c>
      <c r="PU36" s="1">
        <v>3</v>
      </c>
      <c r="PV36" s="1">
        <v>101200008</v>
      </c>
      <c r="PW36" s="1">
        <v>1</v>
      </c>
      <c r="PX36" s="1">
        <v>1</v>
      </c>
      <c r="PY36" s="1">
        <v>90</v>
      </c>
      <c r="PZ36" s="1">
        <v>60014659</v>
      </c>
      <c r="QA36" s="1">
        <v>32767</v>
      </c>
      <c r="QB36" s="1">
        <v>0</v>
      </c>
      <c r="QD36" s="1">
        <v>2874100924</v>
      </c>
      <c r="QE36" s="1">
        <v>9830</v>
      </c>
      <c r="QF36" s="1">
        <v>9947</v>
      </c>
      <c r="QG36" s="1">
        <v>8494</v>
      </c>
      <c r="QH36" s="1">
        <v>7576.02</v>
      </c>
      <c r="QI36" s="1">
        <v>1</v>
      </c>
      <c r="QJ36" s="1">
        <v>0</v>
      </c>
      <c r="QK36" s="1">
        <v>90</v>
      </c>
      <c r="QL36" s="1">
        <v>60003760</v>
      </c>
      <c r="QM36" s="1">
        <v>32767</v>
      </c>
      <c r="QN36" s="1">
        <v>0</v>
      </c>
      <c r="QP36" s="1">
        <v>2871848537</v>
      </c>
      <c r="QQ36" s="1">
        <v>16671</v>
      </c>
      <c r="QR36" s="1">
        <v>50000</v>
      </c>
      <c r="QS36" s="1">
        <v>50000</v>
      </c>
      <c r="QT36" s="1">
        <v>112.35</v>
      </c>
      <c r="QU36" s="1">
        <v>1</v>
      </c>
      <c r="QV36" s="1">
        <v>0</v>
      </c>
      <c r="QW36" s="1">
        <v>90</v>
      </c>
      <c r="QX36" s="1">
        <v>60003760</v>
      </c>
      <c r="QY36" s="1">
        <v>32767</v>
      </c>
      <c r="QZ36" s="1">
        <v>7</v>
      </c>
      <c r="RB36" s="1">
        <v>2871528739</v>
      </c>
      <c r="RC36" s="1">
        <v>16682</v>
      </c>
      <c r="RD36" s="1">
        <v>133099</v>
      </c>
      <c r="RE36" s="1">
        <v>133099</v>
      </c>
      <c r="RF36" s="1">
        <v>3390</v>
      </c>
      <c r="RG36" s="1">
        <v>1</v>
      </c>
      <c r="RH36" s="1">
        <v>0</v>
      </c>
      <c r="RI36" s="1">
        <v>90</v>
      </c>
      <c r="RJ36" s="1">
        <v>60003760</v>
      </c>
      <c r="RK36" s="1">
        <v>32767</v>
      </c>
      <c r="RL36" s="1">
        <v>8</v>
      </c>
      <c r="RN36" s="1">
        <v>2878969689</v>
      </c>
      <c r="RO36" s="1">
        <v>16678</v>
      </c>
      <c r="RP36" s="1">
        <v>3476000</v>
      </c>
      <c r="RQ36" s="1">
        <v>2433000</v>
      </c>
      <c r="RR36" s="1">
        <v>284.3</v>
      </c>
      <c r="RS36" s="1">
        <v>1</v>
      </c>
      <c r="RT36" s="1">
        <v>0</v>
      </c>
      <c r="RU36" s="1">
        <v>90</v>
      </c>
      <c r="RV36" s="1">
        <v>60003760</v>
      </c>
      <c r="RW36" s="1">
        <v>32767</v>
      </c>
      <c r="RX36" s="1">
        <v>0</v>
      </c>
      <c r="RZ36" s="1">
        <v>2878420512</v>
      </c>
      <c r="SA36" s="1">
        <v>30310</v>
      </c>
      <c r="SB36" s="1">
        <v>160</v>
      </c>
      <c r="SC36" s="1">
        <v>160</v>
      </c>
      <c r="SD36" s="1">
        <v>1288700.2</v>
      </c>
      <c r="SE36" s="1">
        <v>1</v>
      </c>
      <c r="SF36" s="1">
        <v>0</v>
      </c>
      <c r="SG36" s="1">
        <v>90</v>
      </c>
      <c r="SH36" s="1">
        <v>60003760</v>
      </c>
      <c r="SI36" s="1">
        <v>32767</v>
      </c>
      <c r="SJ36" s="1">
        <v>0</v>
      </c>
      <c r="SL36" s="1">
        <v>2877002626</v>
      </c>
      <c r="SM36" s="1">
        <v>30311</v>
      </c>
      <c r="SN36" s="1">
        <v>78</v>
      </c>
      <c r="SO36" s="1">
        <v>78</v>
      </c>
      <c r="SP36" s="1">
        <v>3129999.79</v>
      </c>
      <c r="SQ36" s="1">
        <v>1</v>
      </c>
      <c r="SR36" s="1">
        <v>0</v>
      </c>
      <c r="SS36" s="1">
        <v>90</v>
      </c>
      <c r="ST36" s="1">
        <v>60003760</v>
      </c>
      <c r="SU36" s="1">
        <v>32767</v>
      </c>
      <c r="SV36" s="1">
        <v>0</v>
      </c>
      <c r="SX36" s="1">
        <v>2802943279</v>
      </c>
      <c r="SY36" s="1">
        <v>25595</v>
      </c>
      <c r="SZ36" s="1">
        <v>625</v>
      </c>
      <c r="TA36" s="1">
        <v>625</v>
      </c>
      <c r="TB36" s="1">
        <v>122999.99</v>
      </c>
      <c r="TC36" s="1">
        <v>1</v>
      </c>
      <c r="TD36" s="1">
        <v>0</v>
      </c>
      <c r="TE36" s="1">
        <v>90</v>
      </c>
      <c r="TF36" s="1">
        <v>60003760</v>
      </c>
      <c r="TG36" s="1">
        <v>32767</v>
      </c>
      <c r="TH36" s="1">
        <v>6</v>
      </c>
      <c r="TJ36" s="1">
        <v>2857489537</v>
      </c>
      <c r="TK36" s="1">
        <v>25606</v>
      </c>
      <c r="TL36" s="1">
        <v>46</v>
      </c>
      <c r="TM36" s="1">
        <v>46</v>
      </c>
      <c r="TN36" s="1">
        <v>25922.02</v>
      </c>
      <c r="TO36" s="1">
        <v>1</v>
      </c>
      <c r="TP36" s="1">
        <v>0</v>
      </c>
      <c r="TQ36" s="1">
        <v>30</v>
      </c>
      <c r="TR36" s="1">
        <v>60003757</v>
      </c>
      <c r="TS36" s="1">
        <v>32767</v>
      </c>
      <c r="TT36" s="1">
        <v>0</v>
      </c>
      <c r="TV36" s="1">
        <v>2876389059</v>
      </c>
      <c r="TW36" s="1">
        <v>25622</v>
      </c>
      <c r="TX36" s="1">
        <v>5</v>
      </c>
      <c r="TY36" s="1">
        <v>5</v>
      </c>
      <c r="TZ36" s="1">
        <v>14599000</v>
      </c>
      <c r="UA36" s="1">
        <v>1</v>
      </c>
      <c r="UB36" s="1">
        <v>0</v>
      </c>
      <c r="UC36" s="1">
        <v>90</v>
      </c>
      <c r="UD36" s="1">
        <v>60003760</v>
      </c>
      <c r="UE36" s="1">
        <v>32767</v>
      </c>
      <c r="UF36" s="1">
        <v>0</v>
      </c>
      <c r="UH36" s="1">
        <v>2875057773</v>
      </c>
      <c r="UI36" s="1">
        <v>16680</v>
      </c>
      <c r="UJ36" s="1">
        <v>669146</v>
      </c>
      <c r="UK36" s="1">
        <v>669146</v>
      </c>
      <c r="UL36" s="1">
        <v>707.96</v>
      </c>
      <c r="UM36" s="1">
        <v>1</v>
      </c>
      <c r="UN36" s="1">
        <v>0</v>
      </c>
      <c r="UO36" s="1">
        <v>90</v>
      </c>
      <c r="UP36" s="1">
        <v>60003760</v>
      </c>
      <c r="UQ36" s="1">
        <v>32767</v>
      </c>
      <c r="UR36" s="1">
        <v>6</v>
      </c>
      <c r="UT36" s="1">
        <v>2785034224</v>
      </c>
      <c r="UU36" s="1">
        <v>17317</v>
      </c>
      <c r="UV36" s="1">
        <v>6220</v>
      </c>
      <c r="UW36" s="1">
        <v>6220</v>
      </c>
      <c r="UX36" s="1">
        <v>23000</v>
      </c>
      <c r="UY36" s="1">
        <v>1</v>
      </c>
      <c r="UZ36" s="1">
        <v>1</v>
      </c>
      <c r="VA36" s="1">
        <v>90</v>
      </c>
      <c r="VB36" s="1">
        <v>60003760</v>
      </c>
      <c r="VC36" s="1">
        <v>-1</v>
      </c>
      <c r="VD36" s="1">
        <v>0</v>
      </c>
      <c r="VF36"/>
      <c r="VG36"/>
      <c r="VH36"/>
      <c r="VI36"/>
      <c r="VJ36"/>
      <c r="VK36"/>
      <c r="VL36"/>
      <c r="VM36"/>
      <c r="VN36"/>
      <c r="VO36"/>
      <c r="VP36"/>
    </row>
    <row r="37" spans="2:588" x14ac:dyDescent="0.25">
      <c r="B37" s="1">
        <v>2837548535</v>
      </c>
      <c r="C37" s="1">
        <v>34</v>
      </c>
      <c r="D37" s="1">
        <v>970320</v>
      </c>
      <c r="E37" s="1">
        <v>662610</v>
      </c>
      <c r="F37" s="1">
        <v>5.91</v>
      </c>
      <c r="G37" s="1">
        <v>1</v>
      </c>
      <c r="H37" s="1">
        <v>0</v>
      </c>
      <c r="I37" s="1">
        <v>90</v>
      </c>
      <c r="J37" s="1">
        <v>60000403</v>
      </c>
      <c r="K37" s="1">
        <v>32767</v>
      </c>
      <c r="L37" s="1">
        <v>1</v>
      </c>
      <c r="N37" s="1">
        <v>2807574879</v>
      </c>
      <c r="O37" s="1">
        <v>35</v>
      </c>
      <c r="P37" s="1">
        <v>9239251</v>
      </c>
      <c r="Q37" s="1">
        <v>9239251</v>
      </c>
      <c r="R37" s="1">
        <v>17.809999999999999</v>
      </c>
      <c r="S37" s="1">
        <v>1</v>
      </c>
      <c r="T37" s="1">
        <v>0</v>
      </c>
      <c r="U37" s="1">
        <v>90</v>
      </c>
      <c r="V37" s="1">
        <v>60003760</v>
      </c>
      <c r="W37" s="1">
        <v>32767</v>
      </c>
      <c r="X37" s="1">
        <v>0</v>
      </c>
      <c r="Z37" s="1">
        <v>2757034476</v>
      </c>
      <c r="AA37" s="1">
        <v>36</v>
      </c>
      <c r="AB37" s="1">
        <v>23169623</v>
      </c>
      <c r="AC37" s="1">
        <v>23169623</v>
      </c>
      <c r="AD37" s="16">
        <v>58.72</v>
      </c>
      <c r="AE37" s="1">
        <v>1</v>
      </c>
      <c r="AF37" s="1">
        <v>0</v>
      </c>
      <c r="AG37" s="1">
        <v>90</v>
      </c>
      <c r="AH37" s="1">
        <v>60003760</v>
      </c>
      <c r="AI37" s="1">
        <v>32767</v>
      </c>
      <c r="AJ37" s="1">
        <v>11</v>
      </c>
      <c r="AL37" s="1">
        <v>2773216109</v>
      </c>
      <c r="AM37" s="1">
        <v>37</v>
      </c>
      <c r="AN37" s="1">
        <v>1086475</v>
      </c>
      <c r="AO37" s="1">
        <v>1086475</v>
      </c>
      <c r="AP37" s="16">
        <v>153.47999999999999</v>
      </c>
      <c r="AQ37" s="1">
        <v>1</v>
      </c>
      <c r="AR37" s="1">
        <v>0</v>
      </c>
      <c r="AS37" s="1">
        <v>90</v>
      </c>
      <c r="AT37" s="1">
        <v>60003760</v>
      </c>
      <c r="AU37" s="1">
        <v>32767</v>
      </c>
      <c r="AV37" s="1">
        <v>9</v>
      </c>
      <c r="AX37" s="1">
        <v>2712803097</v>
      </c>
      <c r="AY37" s="1">
        <v>38</v>
      </c>
      <c r="AZ37" s="1">
        <v>5621458</v>
      </c>
      <c r="BA37" s="1">
        <v>5621458</v>
      </c>
      <c r="BB37" s="1">
        <v>912.73</v>
      </c>
      <c r="BC37" s="1">
        <v>1</v>
      </c>
      <c r="BD37" s="1">
        <v>0</v>
      </c>
      <c r="BE37" s="1">
        <v>90</v>
      </c>
      <c r="BF37" s="1">
        <v>60003760</v>
      </c>
      <c r="BG37" s="1">
        <v>32767</v>
      </c>
      <c r="BH37" s="1">
        <v>5</v>
      </c>
      <c r="BJ37" s="1">
        <v>2853635560</v>
      </c>
      <c r="BK37" s="1">
        <v>39</v>
      </c>
      <c r="BL37" s="1">
        <v>116244</v>
      </c>
      <c r="BM37" s="1">
        <v>116244</v>
      </c>
      <c r="BN37" s="1">
        <v>833.02</v>
      </c>
      <c r="BO37" s="1">
        <v>1</v>
      </c>
      <c r="BP37" s="1">
        <v>0</v>
      </c>
      <c r="BQ37" s="1">
        <v>90</v>
      </c>
      <c r="BR37" s="1">
        <v>60003760</v>
      </c>
      <c r="BS37" s="1">
        <v>32767</v>
      </c>
      <c r="BT37" s="1">
        <v>5</v>
      </c>
      <c r="BV37" s="1">
        <v>2388685994</v>
      </c>
      <c r="BW37" s="1">
        <v>40</v>
      </c>
      <c r="BX37" s="1">
        <v>368</v>
      </c>
      <c r="BY37" s="1">
        <v>368</v>
      </c>
      <c r="BZ37" s="1">
        <v>2912.13</v>
      </c>
      <c r="CA37" s="1">
        <v>1</v>
      </c>
      <c r="CB37" s="1">
        <v>0</v>
      </c>
      <c r="CC37" s="1">
        <v>90</v>
      </c>
      <c r="CD37" s="1">
        <v>60003760</v>
      </c>
      <c r="CE37" s="1">
        <v>32767</v>
      </c>
      <c r="CF37" s="1">
        <v>13</v>
      </c>
      <c r="CH37" s="1">
        <v>2356291604</v>
      </c>
      <c r="CI37" s="1">
        <v>29668</v>
      </c>
      <c r="CJ37" s="1">
        <v>16</v>
      </c>
      <c r="CK37" s="1">
        <v>16</v>
      </c>
      <c r="CL37" s="1">
        <v>550000000</v>
      </c>
      <c r="CM37" s="1">
        <v>1</v>
      </c>
      <c r="CN37" s="1">
        <v>0</v>
      </c>
      <c r="CO37" s="1">
        <v>90</v>
      </c>
      <c r="CP37" s="1">
        <v>60003760</v>
      </c>
      <c r="CQ37" s="1">
        <v>32767</v>
      </c>
      <c r="CR37" s="1">
        <v>0</v>
      </c>
      <c r="CT37" s="1">
        <v>2415681773</v>
      </c>
      <c r="CU37" s="1">
        <v>16649</v>
      </c>
      <c r="CV37" s="1">
        <v>9000</v>
      </c>
      <c r="CW37" s="1">
        <v>9000</v>
      </c>
      <c r="CX37" s="1">
        <v>110006.16</v>
      </c>
      <c r="CY37" s="1">
        <v>1</v>
      </c>
      <c r="CZ37" s="1">
        <v>0</v>
      </c>
      <c r="DA37" s="1">
        <v>90</v>
      </c>
      <c r="DB37" s="1">
        <v>60003760</v>
      </c>
      <c r="DC37" s="1">
        <v>32767</v>
      </c>
      <c r="DD37" s="1">
        <v>0</v>
      </c>
      <c r="DF37" s="1">
        <v>2411818131</v>
      </c>
      <c r="DG37" s="1">
        <v>17887</v>
      </c>
      <c r="DH37" s="1">
        <v>978127</v>
      </c>
      <c r="DI37" s="1">
        <v>978127</v>
      </c>
      <c r="DJ37" s="1">
        <v>995.85</v>
      </c>
      <c r="DK37" s="1">
        <v>1</v>
      </c>
      <c r="DL37" s="1">
        <v>0</v>
      </c>
      <c r="DM37" s="1">
        <v>90</v>
      </c>
      <c r="DN37" s="1">
        <v>60003760</v>
      </c>
      <c r="DO37" s="1">
        <v>32767</v>
      </c>
      <c r="DP37" s="1">
        <v>0</v>
      </c>
      <c r="DR37" s="1">
        <v>2774747851</v>
      </c>
      <c r="DS37" s="1">
        <v>17888</v>
      </c>
      <c r="DT37" s="1">
        <v>19032</v>
      </c>
      <c r="DU37" s="1">
        <v>19032</v>
      </c>
      <c r="DV37" s="1">
        <v>410</v>
      </c>
      <c r="DW37" s="1">
        <v>1</v>
      </c>
      <c r="DX37" s="1">
        <v>0</v>
      </c>
      <c r="DY37" s="1">
        <v>90</v>
      </c>
      <c r="DZ37" s="1">
        <v>60005455</v>
      </c>
      <c r="EA37" s="1">
        <v>32767</v>
      </c>
      <c r="EB37" s="1">
        <v>8</v>
      </c>
      <c r="ED37" s="1">
        <v>2746040210</v>
      </c>
      <c r="EE37" s="1">
        <v>16273</v>
      </c>
      <c r="EF37" s="1">
        <v>20600</v>
      </c>
      <c r="EG37" s="1">
        <v>20600</v>
      </c>
      <c r="EH37" s="1">
        <v>500</v>
      </c>
      <c r="EI37" s="1">
        <v>1</v>
      </c>
      <c r="EJ37" s="1">
        <v>0</v>
      </c>
      <c r="EK37" s="1">
        <v>90</v>
      </c>
      <c r="EL37" s="1">
        <v>60003760</v>
      </c>
      <c r="EM37" s="1">
        <v>32767</v>
      </c>
      <c r="EN37" s="1">
        <v>6</v>
      </c>
      <c r="EP37" s="1">
        <v>2875481264</v>
      </c>
      <c r="EQ37" s="1">
        <v>17889</v>
      </c>
      <c r="ER37" s="1">
        <v>2000000</v>
      </c>
      <c r="ES37" s="1">
        <v>1766667</v>
      </c>
      <c r="ET37" s="1">
        <v>375.23</v>
      </c>
      <c r="EU37" s="1">
        <v>1</v>
      </c>
      <c r="EV37" s="1">
        <v>0</v>
      </c>
      <c r="EW37" s="1">
        <v>90</v>
      </c>
      <c r="EX37" s="1">
        <v>60003760</v>
      </c>
      <c r="EY37" s="1">
        <v>32767</v>
      </c>
      <c r="EZ37" s="1">
        <v>7</v>
      </c>
      <c r="FB37" s="1">
        <v>2874297377</v>
      </c>
      <c r="FC37" s="1">
        <v>30259</v>
      </c>
      <c r="FD37" s="1">
        <v>50</v>
      </c>
      <c r="FE37" s="1">
        <v>50</v>
      </c>
      <c r="FF37" s="1">
        <v>5879999</v>
      </c>
      <c r="FG37" s="1">
        <v>1</v>
      </c>
      <c r="FH37" s="1">
        <v>0</v>
      </c>
      <c r="FI37" s="1">
        <v>90</v>
      </c>
      <c r="FJ37" s="1">
        <v>60003760</v>
      </c>
      <c r="FK37" s="1">
        <v>32767</v>
      </c>
      <c r="FL37" s="1">
        <v>0</v>
      </c>
      <c r="FN37" s="1">
        <v>2870786573</v>
      </c>
      <c r="FO37" s="1">
        <v>25617</v>
      </c>
      <c r="FP37" s="1">
        <v>51</v>
      </c>
      <c r="FQ37" s="1">
        <v>34</v>
      </c>
      <c r="FR37" s="1">
        <v>5159997</v>
      </c>
      <c r="FS37" s="1">
        <v>1</v>
      </c>
      <c r="FT37" s="1">
        <v>0</v>
      </c>
      <c r="FU37" s="1">
        <v>90</v>
      </c>
      <c r="FV37" s="1">
        <v>60003760</v>
      </c>
      <c r="FW37" s="1">
        <v>32767</v>
      </c>
      <c r="FX37" s="1">
        <v>0</v>
      </c>
      <c r="FZ37" s="1">
        <v>2869980894</v>
      </c>
      <c r="GA37" s="1">
        <v>44</v>
      </c>
      <c r="GB37" s="1">
        <v>5045</v>
      </c>
      <c r="GC37" s="1">
        <v>5045</v>
      </c>
      <c r="GD37" s="1">
        <v>13448.47</v>
      </c>
      <c r="GE37" s="1">
        <v>1</v>
      </c>
      <c r="GF37" s="1">
        <v>0</v>
      </c>
      <c r="GG37" s="1">
        <v>90</v>
      </c>
      <c r="GH37" s="1">
        <v>60003760</v>
      </c>
      <c r="GI37" s="1">
        <v>32767</v>
      </c>
      <c r="GJ37" s="1">
        <v>4</v>
      </c>
      <c r="GL37" s="1">
        <v>2412871114</v>
      </c>
      <c r="GM37" s="1">
        <v>16681</v>
      </c>
      <c r="GN37" s="1">
        <v>348000</v>
      </c>
      <c r="GO37" s="1">
        <v>292728</v>
      </c>
      <c r="GP37" s="1">
        <v>6183.34</v>
      </c>
      <c r="GQ37" s="1">
        <v>1</v>
      </c>
      <c r="GR37" s="1">
        <v>0</v>
      </c>
      <c r="GS37" s="1">
        <v>90</v>
      </c>
      <c r="GT37" s="1">
        <v>60003760</v>
      </c>
      <c r="GU37" s="1">
        <v>32767</v>
      </c>
      <c r="GV37" s="1">
        <v>0</v>
      </c>
      <c r="GX37" s="1">
        <v>2874316944</v>
      </c>
      <c r="GY37" s="1">
        <v>16683</v>
      </c>
      <c r="GZ37" s="1">
        <v>118200</v>
      </c>
      <c r="HA37" s="1">
        <v>41155</v>
      </c>
      <c r="HB37" s="1">
        <v>8611.99</v>
      </c>
      <c r="HC37" s="1">
        <v>1</v>
      </c>
      <c r="HD37" s="1">
        <v>0</v>
      </c>
      <c r="HE37" s="1">
        <v>90</v>
      </c>
      <c r="HF37" s="1">
        <v>60003760</v>
      </c>
      <c r="HG37" s="1">
        <v>32767</v>
      </c>
      <c r="HH37" s="1">
        <v>0</v>
      </c>
      <c r="HJ37"/>
      <c r="HK37"/>
      <c r="HL37"/>
      <c r="HM37"/>
      <c r="HN37"/>
      <c r="HO37"/>
      <c r="HP37"/>
      <c r="HQ37"/>
      <c r="HR37"/>
      <c r="HS37"/>
      <c r="HT37"/>
      <c r="HV37" s="1">
        <v>2857772699</v>
      </c>
      <c r="HW37" s="1">
        <v>16274</v>
      </c>
      <c r="HX37" s="1">
        <v>1000000</v>
      </c>
      <c r="HY37" s="1">
        <v>1000000</v>
      </c>
      <c r="HZ37" s="1">
        <v>370</v>
      </c>
      <c r="IA37" s="1">
        <v>1</v>
      </c>
      <c r="IB37" s="1">
        <v>0</v>
      </c>
      <c r="IC37" s="1">
        <v>90</v>
      </c>
      <c r="ID37" s="1">
        <v>60003760</v>
      </c>
      <c r="IE37" s="1">
        <v>32767</v>
      </c>
      <c r="IF37" s="1">
        <v>2</v>
      </c>
      <c r="IH37" s="1">
        <v>2868682494</v>
      </c>
      <c r="II37" s="1">
        <v>10213</v>
      </c>
      <c r="IJ37" s="1">
        <v>2</v>
      </c>
      <c r="IK37" s="1">
        <v>1</v>
      </c>
      <c r="IL37" s="1">
        <v>112500000</v>
      </c>
      <c r="IM37" s="1">
        <v>1</v>
      </c>
      <c r="IN37" s="1">
        <v>1</v>
      </c>
      <c r="IO37" s="1">
        <v>90</v>
      </c>
      <c r="IP37" s="1">
        <v>60003760</v>
      </c>
      <c r="IQ37" s="1">
        <v>-1</v>
      </c>
      <c r="IR37" s="1">
        <v>0</v>
      </c>
      <c r="IT37" s="1">
        <v>2836190942</v>
      </c>
      <c r="IU37" s="1">
        <v>16679</v>
      </c>
      <c r="IV37" s="1">
        <v>2400000</v>
      </c>
      <c r="IW37" s="1">
        <v>2400000</v>
      </c>
      <c r="IX37" s="1">
        <v>1971</v>
      </c>
      <c r="IY37" s="1">
        <v>1</v>
      </c>
      <c r="IZ37" s="1">
        <v>0</v>
      </c>
      <c r="JA37" s="1">
        <v>90</v>
      </c>
      <c r="JB37" s="1">
        <v>60003760</v>
      </c>
      <c r="JC37" s="1">
        <v>32767</v>
      </c>
      <c r="JD37" s="1">
        <v>0</v>
      </c>
      <c r="JF37" s="1">
        <v>2871854505</v>
      </c>
      <c r="JG37" s="1">
        <v>16272</v>
      </c>
      <c r="JH37" s="1">
        <v>5000000</v>
      </c>
      <c r="JI37" s="1">
        <v>5000000</v>
      </c>
      <c r="JJ37" s="1">
        <v>80.39</v>
      </c>
      <c r="JK37" s="1">
        <v>1</v>
      </c>
      <c r="JL37" s="1">
        <v>0</v>
      </c>
      <c r="JM37" s="1">
        <v>90</v>
      </c>
      <c r="JN37" s="1">
        <v>60003760</v>
      </c>
      <c r="JO37" s="1">
        <v>32767</v>
      </c>
      <c r="JP37" s="1">
        <v>6</v>
      </c>
      <c r="JR37" s="1">
        <v>2846504598</v>
      </c>
      <c r="JS37" s="1">
        <v>10226</v>
      </c>
      <c r="JT37" s="1">
        <v>3</v>
      </c>
      <c r="JU37" s="1">
        <v>3</v>
      </c>
      <c r="JV37" s="1">
        <v>110000004.23</v>
      </c>
      <c r="JW37" s="1">
        <v>1</v>
      </c>
      <c r="JX37" s="1">
        <v>1</v>
      </c>
      <c r="JY37" s="1">
        <v>90</v>
      </c>
      <c r="JZ37" s="1">
        <v>60003760</v>
      </c>
      <c r="KA37" s="1">
        <v>-1</v>
      </c>
      <c r="KB37" s="1">
        <v>0</v>
      </c>
      <c r="KD37" s="1">
        <v>2859244484</v>
      </c>
      <c r="KE37" s="1">
        <v>25605</v>
      </c>
      <c r="KF37" s="1">
        <v>14423</v>
      </c>
      <c r="KG37" s="1">
        <v>141</v>
      </c>
      <c r="KH37" s="1">
        <v>112499.87</v>
      </c>
      <c r="KI37" s="1">
        <v>1</v>
      </c>
      <c r="KJ37" s="1">
        <v>0</v>
      </c>
      <c r="KK37" s="1">
        <v>90</v>
      </c>
      <c r="KL37" s="1">
        <v>60003760</v>
      </c>
      <c r="KM37" s="1">
        <v>32767</v>
      </c>
      <c r="KN37" s="1">
        <v>6</v>
      </c>
      <c r="KP37" s="1">
        <v>2857850453</v>
      </c>
      <c r="KQ37" s="1">
        <v>25624</v>
      </c>
      <c r="KR37" s="1">
        <v>319</v>
      </c>
      <c r="KS37" s="1">
        <v>319</v>
      </c>
      <c r="KT37" s="1">
        <v>19199998.899999999</v>
      </c>
      <c r="KU37" s="1">
        <v>1</v>
      </c>
      <c r="KV37" s="1">
        <v>0</v>
      </c>
      <c r="KW37" s="1">
        <v>90</v>
      </c>
      <c r="KX37" s="1">
        <v>60003760</v>
      </c>
      <c r="KY37" s="1">
        <v>32767</v>
      </c>
      <c r="KZ37" s="1">
        <v>1</v>
      </c>
      <c r="LB37" s="1">
        <v>2841032170</v>
      </c>
      <c r="LC37" s="1">
        <v>9832</v>
      </c>
      <c r="LD37" s="1">
        <v>1490</v>
      </c>
      <c r="LE37" s="1">
        <v>290</v>
      </c>
      <c r="LF37" s="1">
        <v>9722.9599999999991</v>
      </c>
      <c r="LG37" s="1">
        <v>1</v>
      </c>
      <c r="LH37" s="1">
        <v>0</v>
      </c>
      <c r="LI37" s="1">
        <v>90</v>
      </c>
      <c r="LJ37" s="1">
        <v>60003760</v>
      </c>
      <c r="LK37" s="1">
        <v>32767</v>
      </c>
      <c r="LL37" s="1">
        <v>0</v>
      </c>
      <c r="LN37" s="1">
        <v>2763932536</v>
      </c>
      <c r="LO37" s="1">
        <v>10209</v>
      </c>
      <c r="LP37" s="1">
        <v>1</v>
      </c>
      <c r="LQ37" s="1">
        <v>1</v>
      </c>
      <c r="LR37" s="1">
        <v>91110000</v>
      </c>
      <c r="LS37" s="1">
        <v>1</v>
      </c>
      <c r="LT37" s="1">
        <v>1</v>
      </c>
      <c r="LU37" s="1">
        <v>90</v>
      </c>
      <c r="LV37" s="1">
        <v>60003760</v>
      </c>
      <c r="LW37" s="1">
        <v>0</v>
      </c>
      <c r="LX37" s="1">
        <v>0</v>
      </c>
      <c r="LZ37" s="1">
        <v>2839064511</v>
      </c>
      <c r="MA37" s="1">
        <v>10217</v>
      </c>
      <c r="MB37" s="1">
        <v>3</v>
      </c>
      <c r="MC37" s="1">
        <v>3</v>
      </c>
      <c r="MD37" s="1">
        <v>109108004.81</v>
      </c>
      <c r="ME37" s="1">
        <v>1</v>
      </c>
      <c r="MF37" s="1">
        <v>1</v>
      </c>
      <c r="MG37" s="1">
        <v>90</v>
      </c>
      <c r="MH37" s="1">
        <v>60003760</v>
      </c>
      <c r="MI37" s="1">
        <v>-1</v>
      </c>
      <c r="MJ37" s="1">
        <v>0</v>
      </c>
      <c r="ML37" s="1">
        <v>2878352529</v>
      </c>
      <c r="MM37" s="1">
        <v>25625</v>
      </c>
      <c r="MN37" s="1">
        <v>16</v>
      </c>
      <c r="MO37" s="1">
        <v>16</v>
      </c>
      <c r="MP37" s="1">
        <v>4591000</v>
      </c>
      <c r="MQ37" s="1">
        <v>1</v>
      </c>
      <c r="MR37" s="1">
        <v>0</v>
      </c>
      <c r="MS37" s="1">
        <v>90</v>
      </c>
      <c r="MT37" s="1">
        <v>60003760</v>
      </c>
      <c r="MU37" s="1">
        <v>32767</v>
      </c>
      <c r="MV37" s="1">
        <v>0</v>
      </c>
      <c r="MX37" s="1">
        <v>2874058262</v>
      </c>
      <c r="MY37" s="1">
        <v>16672</v>
      </c>
      <c r="MZ37" s="1">
        <v>7110000</v>
      </c>
      <c r="NA37" s="1">
        <v>4387476</v>
      </c>
      <c r="NB37" s="1">
        <v>129</v>
      </c>
      <c r="NC37" s="1">
        <v>1</v>
      </c>
      <c r="ND37" s="1">
        <v>0</v>
      </c>
      <c r="NE37" s="1">
        <v>90</v>
      </c>
      <c r="NF37" s="1">
        <v>60003760</v>
      </c>
      <c r="NG37" s="1">
        <v>32767</v>
      </c>
      <c r="NH37" s="1">
        <v>0</v>
      </c>
      <c r="NJ37" s="1">
        <v>2846431027</v>
      </c>
      <c r="NK37" s="1">
        <v>16673</v>
      </c>
      <c r="NL37" s="1">
        <v>5000000</v>
      </c>
      <c r="NM37" s="1">
        <v>3969120</v>
      </c>
      <c r="NN37" s="1">
        <v>112.95</v>
      </c>
      <c r="NO37" s="1">
        <v>1</v>
      </c>
      <c r="NP37" s="1">
        <v>0</v>
      </c>
      <c r="NQ37" s="1">
        <v>90</v>
      </c>
      <c r="NR37" s="1">
        <v>60003760</v>
      </c>
      <c r="NS37" s="1">
        <v>32767</v>
      </c>
      <c r="NT37" s="1">
        <v>6</v>
      </c>
      <c r="NV37" s="1">
        <v>2850917750</v>
      </c>
      <c r="NW37" s="1">
        <v>3689</v>
      </c>
      <c r="NX37" s="1">
        <v>15205</v>
      </c>
      <c r="NY37" s="1">
        <v>15205</v>
      </c>
      <c r="NZ37" s="1">
        <v>11965.13</v>
      </c>
      <c r="OA37" s="1">
        <v>1</v>
      </c>
      <c r="OB37" s="1">
        <v>0</v>
      </c>
      <c r="OC37" s="1">
        <v>90</v>
      </c>
      <c r="OD37" s="1">
        <v>60003760</v>
      </c>
      <c r="OE37" s="1">
        <v>32767</v>
      </c>
      <c r="OF37" s="1">
        <v>0</v>
      </c>
      <c r="OH37" s="1">
        <v>2806699014</v>
      </c>
      <c r="OI37" s="1">
        <v>25598</v>
      </c>
      <c r="OJ37" s="1">
        <v>31</v>
      </c>
      <c r="OK37" s="1">
        <v>31</v>
      </c>
      <c r="OL37" s="1">
        <v>198000</v>
      </c>
      <c r="OM37" s="1">
        <v>1</v>
      </c>
      <c r="ON37" s="1">
        <v>0</v>
      </c>
      <c r="OO37" s="1">
        <v>90</v>
      </c>
      <c r="OP37" s="1">
        <v>60003760</v>
      </c>
      <c r="OQ37" s="1">
        <v>32767</v>
      </c>
      <c r="OR37" s="1">
        <v>0</v>
      </c>
      <c r="OT37" s="1">
        <v>2785975773</v>
      </c>
      <c r="OU37" s="1">
        <v>25600</v>
      </c>
      <c r="OV37" s="1">
        <v>8</v>
      </c>
      <c r="OW37" s="1">
        <v>8</v>
      </c>
      <c r="OX37" s="1">
        <v>32538.15</v>
      </c>
      <c r="OY37" s="1">
        <v>1</v>
      </c>
      <c r="OZ37" s="1">
        <v>0</v>
      </c>
      <c r="PA37" s="1">
        <v>90</v>
      </c>
      <c r="PB37" s="1">
        <v>60003760</v>
      </c>
      <c r="PC37" s="1">
        <v>32767</v>
      </c>
      <c r="PD37" s="1">
        <v>0</v>
      </c>
      <c r="PF37" s="1">
        <v>2858946474</v>
      </c>
      <c r="PG37" s="1">
        <v>16670</v>
      </c>
      <c r="PH37" s="1">
        <v>7610000</v>
      </c>
      <c r="PI37" s="1">
        <v>7515699</v>
      </c>
      <c r="PJ37" s="1">
        <v>129.80000000000001</v>
      </c>
      <c r="PK37" s="1">
        <v>1</v>
      </c>
      <c r="PL37" s="1">
        <v>0</v>
      </c>
      <c r="PM37" s="1">
        <v>90</v>
      </c>
      <c r="PN37" s="1">
        <v>60003760</v>
      </c>
      <c r="PO37" s="1">
        <v>32767</v>
      </c>
      <c r="PP37" s="1">
        <v>7</v>
      </c>
      <c r="PR37" s="1">
        <v>2826488116</v>
      </c>
      <c r="PS37" s="1">
        <v>10222</v>
      </c>
      <c r="PT37" s="1">
        <v>10</v>
      </c>
      <c r="PU37" s="1">
        <v>10</v>
      </c>
      <c r="PV37" s="1">
        <v>110266659.76000001</v>
      </c>
      <c r="PW37" s="1">
        <v>1</v>
      </c>
      <c r="PX37" s="1">
        <v>1</v>
      </c>
      <c r="PY37" s="1">
        <v>90</v>
      </c>
      <c r="PZ37" s="1">
        <v>60003760</v>
      </c>
      <c r="QA37" s="1">
        <v>-1</v>
      </c>
      <c r="QB37" s="1">
        <v>0</v>
      </c>
      <c r="QD37" s="1">
        <v>2873098310</v>
      </c>
      <c r="QE37" s="1">
        <v>9830</v>
      </c>
      <c r="QF37" s="1">
        <v>119003</v>
      </c>
      <c r="QG37" s="1">
        <v>119003</v>
      </c>
      <c r="QH37" s="1">
        <v>7920</v>
      </c>
      <c r="QI37" s="1">
        <v>1</v>
      </c>
      <c r="QJ37" s="1">
        <v>0</v>
      </c>
      <c r="QK37" s="1">
        <v>90</v>
      </c>
      <c r="QL37" s="1">
        <v>60003760</v>
      </c>
      <c r="QM37" s="1">
        <v>32767</v>
      </c>
      <c r="QN37" s="1">
        <v>0</v>
      </c>
      <c r="QP37" s="1">
        <v>2871848999</v>
      </c>
      <c r="QQ37" s="1">
        <v>16671</v>
      </c>
      <c r="QR37" s="1">
        <v>50000</v>
      </c>
      <c r="QS37" s="1">
        <v>50000</v>
      </c>
      <c r="QT37" s="1">
        <v>114.79</v>
      </c>
      <c r="QU37" s="1">
        <v>1</v>
      </c>
      <c r="QV37" s="1">
        <v>0</v>
      </c>
      <c r="QW37" s="1">
        <v>90</v>
      </c>
      <c r="QX37" s="1">
        <v>60003760</v>
      </c>
      <c r="QY37" s="1">
        <v>32767</v>
      </c>
      <c r="QZ37" s="1">
        <v>7</v>
      </c>
      <c r="RB37" s="1">
        <v>2871647158</v>
      </c>
      <c r="RC37" s="1">
        <v>16682</v>
      </c>
      <c r="RD37" s="1">
        <v>300000</v>
      </c>
      <c r="RE37" s="1">
        <v>220860</v>
      </c>
      <c r="RF37" s="1">
        <v>3351.94</v>
      </c>
      <c r="RG37" s="1">
        <v>1</v>
      </c>
      <c r="RH37" s="1">
        <v>0</v>
      </c>
      <c r="RI37" s="1">
        <v>90</v>
      </c>
      <c r="RJ37" s="1">
        <v>60003760</v>
      </c>
      <c r="RK37" s="1">
        <v>32767</v>
      </c>
      <c r="RL37" s="1">
        <v>8</v>
      </c>
      <c r="RN37" s="1">
        <v>2878966995</v>
      </c>
      <c r="RO37" s="1">
        <v>16678</v>
      </c>
      <c r="RP37" s="1">
        <v>1453040</v>
      </c>
      <c r="RQ37" s="1">
        <v>1453040</v>
      </c>
      <c r="RR37" s="1">
        <v>284.24</v>
      </c>
      <c r="RS37" s="1">
        <v>1</v>
      </c>
      <c r="RT37" s="1">
        <v>0</v>
      </c>
      <c r="RU37" s="1">
        <v>90</v>
      </c>
      <c r="RV37" s="1">
        <v>60003760</v>
      </c>
      <c r="RW37" s="1">
        <v>32767</v>
      </c>
      <c r="RX37" s="1">
        <v>0</v>
      </c>
      <c r="RZ37" s="1">
        <v>2878425291</v>
      </c>
      <c r="SA37" s="1">
        <v>30310</v>
      </c>
      <c r="SB37" s="1">
        <v>344</v>
      </c>
      <c r="SC37" s="1">
        <v>74</v>
      </c>
      <c r="SD37" s="1">
        <v>1288700.1499999999</v>
      </c>
      <c r="SE37" s="1">
        <v>1</v>
      </c>
      <c r="SF37" s="1">
        <v>0</v>
      </c>
      <c r="SG37" s="1">
        <v>90</v>
      </c>
      <c r="SH37" s="1">
        <v>60003760</v>
      </c>
      <c r="SI37" s="1">
        <v>32767</v>
      </c>
      <c r="SJ37" s="1">
        <v>0</v>
      </c>
      <c r="SL37" s="1">
        <v>2878398526</v>
      </c>
      <c r="SM37" s="1">
        <v>30311</v>
      </c>
      <c r="SN37" s="1">
        <v>60</v>
      </c>
      <c r="SO37" s="1">
        <v>60</v>
      </c>
      <c r="SP37" s="1">
        <v>3129006.84</v>
      </c>
      <c r="SQ37" s="1">
        <v>1</v>
      </c>
      <c r="SR37" s="1">
        <v>0</v>
      </c>
      <c r="SS37" s="1">
        <v>3</v>
      </c>
      <c r="ST37" s="1">
        <v>60003760</v>
      </c>
      <c r="SU37" s="1">
        <v>32767</v>
      </c>
      <c r="SV37" s="1">
        <v>0</v>
      </c>
      <c r="SX37" s="1">
        <v>2798774508</v>
      </c>
      <c r="SY37" s="1">
        <v>25595</v>
      </c>
      <c r="SZ37" s="1">
        <v>3993</v>
      </c>
      <c r="TA37" s="1">
        <v>3993</v>
      </c>
      <c r="TB37" s="1">
        <v>102000</v>
      </c>
      <c r="TC37" s="1">
        <v>1</v>
      </c>
      <c r="TD37" s="1">
        <v>0</v>
      </c>
      <c r="TE37" s="1">
        <v>90</v>
      </c>
      <c r="TF37" s="1">
        <v>60003760</v>
      </c>
      <c r="TG37" s="1">
        <v>32767</v>
      </c>
      <c r="TH37" s="1">
        <v>6</v>
      </c>
      <c r="TJ37" s="1">
        <v>2857831834</v>
      </c>
      <c r="TK37" s="1">
        <v>25606</v>
      </c>
      <c r="TL37" s="1">
        <v>1060</v>
      </c>
      <c r="TM37" s="1">
        <v>330</v>
      </c>
      <c r="TN37" s="1">
        <v>25697.95</v>
      </c>
      <c r="TO37" s="1">
        <v>1</v>
      </c>
      <c r="TP37" s="1">
        <v>0</v>
      </c>
      <c r="TQ37" s="1">
        <v>90</v>
      </c>
      <c r="TR37" s="1">
        <v>60003760</v>
      </c>
      <c r="TS37" s="1">
        <v>32767</v>
      </c>
      <c r="TT37" s="1">
        <v>0</v>
      </c>
      <c r="TV37" s="1">
        <v>2876398246</v>
      </c>
      <c r="TW37" s="1">
        <v>25622</v>
      </c>
      <c r="TX37" s="1">
        <v>2</v>
      </c>
      <c r="TY37" s="1">
        <v>2</v>
      </c>
      <c r="TZ37" s="1">
        <v>15195270.08</v>
      </c>
      <c r="UA37" s="1">
        <v>1</v>
      </c>
      <c r="UB37" s="1">
        <v>0</v>
      </c>
      <c r="UC37" s="1">
        <v>14</v>
      </c>
      <c r="UD37" s="1">
        <v>60003760</v>
      </c>
      <c r="UE37" s="1">
        <v>32767</v>
      </c>
      <c r="UF37" s="1">
        <v>0</v>
      </c>
      <c r="UH37" s="1">
        <v>2875045188</v>
      </c>
      <c r="UI37" s="1">
        <v>16680</v>
      </c>
      <c r="UJ37" s="1">
        <v>10600501</v>
      </c>
      <c r="UK37" s="1">
        <v>10599991</v>
      </c>
      <c r="UL37" s="1">
        <v>707.97</v>
      </c>
      <c r="UM37" s="1">
        <v>1</v>
      </c>
      <c r="UN37" s="1">
        <v>0</v>
      </c>
      <c r="UO37" s="1">
        <v>14</v>
      </c>
      <c r="UP37" s="1">
        <v>60003760</v>
      </c>
      <c r="UQ37" s="1">
        <v>32767</v>
      </c>
      <c r="UR37" s="1">
        <v>6</v>
      </c>
      <c r="UT37" s="1">
        <v>2838730372</v>
      </c>
      <c r="UU37" s="1">
        <v>17317</v>
      </c>
      <c r="UV37" s="1">
        <v>22000</v>
      </c>
      <c r="UW37" s="1">
        <v>22000</v>
      </c>
      <c r="UX37" s="1">
        <v>12420</v>
      </c>
      <c r="UY37" s="1">
        <v>1</v>
      </c>
      <c r="UZ37" s="1">
        <v>1</v>
      </c>
      <c r="VA37" s="1">
        <v>90</v>
      </c>
      <c r="VB37" s="1">
        <v>60003760</v>
      </c>
      <c r="VC37" s="1">
        <v>-1</v>
      </c>
      <c r="VD37" s="1">
        <v>0</v>
      </c>
      <c r="VF37"/>
      <c r="VG37"/>
      <c r="VH37"/>
      <c r="VI37"/>
      <c r="VJ37"/>
      <c r="VK37"/>
      <c r="VL37"/>
      <c r="VM37"/>
      <c r="VN37"/>
      <c r="VO37"/>
      <c r="VP37"/>
    </row>
    <row r="38" spans="2:588" x14ac:dyDescent="0.25">
      <c r="B38" s="1">
        <v>2818239728</v>
      </c>
      <c r="C38" s="1">
        <v>34</v>
      </c>
      <c r="D38" s="1">
        <v>648731</v>
      </c>
      <c r="E38" s="1">
        <v>542070</v>
      </c>
      <c r="F38" s="1">
        <v>5.6</v>
      </c>
      <c r="G38" s="1">
        <v>1</v>
      </c>
      <c r="H38" s="1">
        <v>0</v>
      </c>
      <c r="I38" s="1">
        <v>90</v>
      </c>
      <c r="J38" s="1">
        <v>60000448</v>
      </c>
      <c r="K38" s="1">
        <v>32767</v>
      </c>
      <c r="L38" s="1">
        <v>2</v>
      </c>
      <c r="N38" s="1">
        <v>2783206799</v>
      </c>
      <c r="O38" s="1">
        <v>35</v>
      </c>
      <c r="P38" s="1">
        <v>153569704</v>
      </c>
      <c r="Q38" s="1">
        <v>145942695</v>
      </c>
      <c r="R38" s="1">
        <v>17.48</v>
      </c>
      <c r="S38" s="1">
        <v>1</v>
      </c>
      <c r="T38" s="1">
        <v>0</v>
      </c>
      <c r="U38" s="1">
        <v>90</v>
      </c>
      <c r="V38" s="1">
        <v>60003760</v>
      </c>
      <c r="W38" s="1">
        <v>32767</v>
      </c>
      <c r="X38" s="1">
        <v>0</v>
      </c>
      <c r="Z38" s="1">
        <v>2757076773</v>
      </c>
      <c r="AA38" s="1">
        <v>36</v>
      </c>
      <c r="AB38" s="1">
        <v>2822</v>
      </c>
      <c r="AC38" s="1">
        <v>2822</v>
      </c>
      <c r="AD38" s="16">
        <v>57.45</v>
      </c>
      <c r="AE38" s="1">
        <v>1</v>
      </c>
      <c r="AF38" s="1">
        <v>0</v>
      </c>
      <c r="AG38" s="1">
        <v>90</v>
      </c>
      <c r="AH38" s="1">
        <v>60003760</v>
      </c>
      <c r="AI38" s="1">
        <v>32767</v>
      </c>
      <c r="AJ38" s="1">
        <v>11</v>
      </c>
      <c r="AL38" s="1">
        <v>2774362944</v>
      </c>
      <c r="AM38" s="1">
        <v>37</v>
      </c>
      <c r="AN38" s="1">
        <v>955116</v>
      </c>
      <c r="AO38" s="1">
        <v>955116</v>
      </c>
      <c r="AP38" s="16">
        <v>155</v>
      </c>
      <c r="AQ38" s="1">
        <v>1</v>
      </c>
      <c r="AR38" s="1">
        <v>0</v>
      </c>
      <c r="AS38" s="1">
        <v>90</v>
      </c>
      <c r="AT38" s="1">
        <v>60003760</v>
      </c>
      <c r="AU38" s="1">
        <v>32767</v>
      </c>
      <c r="AV38" s="1">
        <v>9</v>
      </c>
      <c r="AX38" s="1">
        <v>2712803600</v>
      </c>
      <c r="AY38" s="1">
        <v>38</v>
      </c>
      <c r="AZ38" s="1">
        <v>5654411</v>
      </c>
      <c r="BA38" s="1">
        <v>5654411</v>
      </c>
      <c r="BB38" s="1">
        <v>912.74</v>
      </c>
      <c r="BC38" s="1">
        <v>1</v>
      </c>
      <c r="BD38" s="1">
        <v>0</v>
      </c>
      <c r="BE38" s="1">
        <v>90</v>
      </c>
      <c r="BF38" s="1">
        <v>60003760</v>
      </c>
      <c r="BG38" s="1">
        <v>32767</v>
      </c>
      <c r="BH38" s="1">
        <v>5</v>
      </c>
      <c r="BJ38" s="1">
        <v>2853465306</v>
      </c>
      <c r="BK38" s="1">
        <v>39</v>
      </c>
      <c r="BL38" s="1">
        <v>58360</v>
      </c>
      <c r="BM38" s="1">
        <v>10173</v>
      </c>
      <c r="BN38" s="1">
        <v>833.11</v>
      </c>
      <c r="BO38" s="1">
        <v>1</v>
      </c>
      <c r="BP38" s="1">
        <v>0</v>
      </c>
      <c r="BQ38" s="1">
        <v>90</v>
      </c>
      <c r="BR38" s="1">
        <v>60003760</v>
      </c>
      <c r="BS38" s="1">
        <v>32767</v>
      </c>
      <c r="BT38" s="1">
        <v>5</v>
      </c>
      <c r="BV38" s="1">
        <v>2389197742</v>
      </c>
      <c r="BW38" s="1">
        <v>40</v>
      </c>
      <c r="BX38" s="1">
        <v>50000</v>
      </c>
      <c r="BY38" s="1">
        <v>50000</v>
      </c>
      <c r="BZ38" s="1">
        <v>3000</v>
      </c>
      <c r="CA38" s="1">
        <v>1</v>
      </c>
      <c r="CB38" s="1">
        <v>0</v>
      </c>
      <c r="CC38" s="1">
        <v>90</v>
      </c>
      <c r="CD38" s="1">
        <v>60003760</v>
      </c>
      <c r="CE38" s="1">
        <v>32767</v>
      </c>
      <c r="CF38" s="1">
        <v>13</v>
      </c>
      <c r="CH38" s="1">
        <v>2354836037</v>
      </c>
      <c r="CI38" s="1">
        <v>29668</v>
      </c>
      <c r="CJ38" s="1">
        <v>1</v>
      </c>
      <c r="CK38" s="1">
        <v>1</v>
      </c>
      <c r="CL38" s="1">
        <v>505000000</v>
      </c>
      <c r="CM38" s="1">
        <v>1</v>
      </c>
      <c r="CN38" s="1">
        <v>0</v>
      </c>
      <c r="CO38" s="1">
        <v>90</v>
      </c>
      <c r="CP38" s="1">
        <v>60003760</v>
      </c>
      <c r="CQ38" s="1">
        <v>32767</v>
      </c>
      <c r="CR38" s="1">
        <v>0</v>
      </c>
      <c r="CT38" s="1">
        <v>2414273756</v>
      </c>
      <c r="CU38" s="1">
        <v>16649</v>
      </c>
      <c r="CV38" s="1">
        <v>50000</v>
      </c>
      <c r="CW38" s="1">
        <v>27700</v>
      </c>
      <c r="CX38" s="1">
        <v>107694.99</v>
      </c>
      <c r="CY38" s="1">
        <v>1</v>
      </c>
      <c r="CZ38" s="1">
        <v>0</v>
      </c>
      <c r="DA38" s="1">
        <v>90</v>
      </c>
      <c r="DB38" s="1">
        <v>60003760</v>
      </c>
      <c r="DC38" s="1">
        <v>32767</v>
      </c>
      <c r="DD38" s="1">
        <v>8</v>
      </c>
      <c r="DF38" s="1">
        <v>2411818387</v>
      </c>
      <c r="DG38" s="1">
        <v>17887</v>
      </c>
      <c r="DH38" s="1">
        <v>968346</v>
      </c>
      <c r="DI38" s="1">
        <v>968346</v>
      </c>
      <c r="DJ38" s="1">
        <v>994.99</v>
      </c>
      <c r="DK38" s="1">
        <v>1</v>
      </c>
      <c r="DL38" s="1">
        <v>0</v>
      </c>
      <c r="DM38" s="1">
        <v>90</v>
      </c>
      <c r="DN38" s="1">
        <v>60003760</v>
      </c>
      <c r="DO38" s="1">
        <v>32767</v>
      </c>
      <c r="DP38" s="1">
        <v>0</v>
      </c>
      <c r="DR38" s="1">
        <v>2790920124</v>
      </c>
      <c r="DS38" s="1">
        <v>17888</v>
      </c>
      <c r="DT38" s="1">
        <v>40217</v>
      </c>
      <c r="DU38" s="1">
        <v>40217</v>
      </c>
      <c r="DV38" s="1">
        <v>410</v>
      </c>
      <c r="DW38" s="1">
        <v>1</v>
      </c>
      <c r="DX38" s="1">
        <v>0</v>
      </c>
      <c r="DY38" s="1">
        <v>90</v>
      </c>
      <c r="DZ38" s="1">
        <v>60004240</v>
      </c>
      <c r="EA38" s="1">
        <v>32767</v>
      </c>
      <c r="EB38" s="1">
        <v>8</v>
      </c>
      <c r="ED38" s="1">
        <v>2868171290</v>
      </c>
      <c r="EE38" s="1">
        <v>16273</v>
      </c>
      <c r="EF38" s="1">
        <v>8512493</v>
      </c>
      <c r="EG38" s="1">
        <v>2398138</v>
      </c>
      <c r="EH38" s="1">
        <v>383.7</v>
      </c>
      <c r="EI38" s="1">
        <v>1</v>
      </c>
      <c r="EJ38" s="1">
        <v>0</v>
      </c>
      <c r="EK38" s="1">
        <v>90</v>
      </c>
      <c r="EL38" s="1">
        <v>60003760</v>
      </c>
      <c r="EM38" s="1">
        <v>32767</v>
      </c>
      <c r="EN38" s="1">
        <v>6</v>
      </c>
      <c r="EP38" s="1">
        <v>2874490516</v>
      </c>
      <c r="EQ38" s="1">
        <v>17889</v>
      </c>
      <c r="ER38" s="1">
        <v>1000000</v>
      </c>
      <c r="ES38" s="1">
        <v>924400</v>
      </c>
      <c r="ET38" s="1">
        <v>376.15</v>
      </c>
      <c r="EU38" s="1">
        <v>1</v>
      </c>
      <c r="EV38" s="1">
        <v>0</v>
      </c>
      <c r="EW38" s="1">
        <v>90</v>
      </c>
      <c r="EX38" s="1">
        <v>60003760</v>
      </c>
      <c r="EY38" s="1">
        <v>32767</v>
      </c>
      <c r="EZ38" s="1">
        <v>7</v>
      </c>
      <c r="FB38" s="1">
        <v>2878340927</v>
      </c>
      <c r="FC38" s="1">
        <v>30259</v>
      </c>
      <c r="FD38" s="1">
        <v>240</v>
      </c>
      <c r="FE38" s="1">
        <v>240</v>
      </c>
      <c r="FF38" s="1">
        <v>5789499.9400000004</v>
      </c>
      <c r="FG38" s="1">
        <v>1</v>
      </c>
      <c r="FH38" s="1">
        <v>0</v>
      </c>
      <c r="FI38" s="1">
        <v>90</v>
      </c>
      <c r="FJ38" s="1">
        <v>60003760</v>
      </c>
      <c r="FK38" s="1">
        <v>32767</v>
      </c>
      <c r="FL38" s="1">
        <v>0</v>
      </c>
      <c r="FN38" s="1">
        <v>2875236990</v>
      </c>
      <c r="FO38" s="1">
        <v>25617</v>
      </c>
      <c r="FP38" s="1">
        <v>16</v>
      </c>
      <c r="FQ38" s="1">
        <v>16</v>
      </c>
      <c r="FR38" s="1">
        <v>5200000</v>
      </c>
      <c r="FS38" s="1">
        <v>1</v>
      </c>
      <c r="FT38" s="1">
        <v>0</v>
      </c>
      <c r="FU38" s="1">
        <v>90</v>
      </c>
      <c r="FV38" s="1">
        <v>60003760</v>
      </c>
      <c r="FW38" s="1">
        <v>32767</v>
      </c>
      <c r="FX38" s="1">
        <v>0</v>
      </c>
      <c r="FZ38" s="1">
        <v>2870043049</v>
      </c>
      <c r="GA38" s="1">
        <v>44</v>
      </c>
      <c r="GB38" s="1">
        <v>310</v>
      </c>
      <c r="GC38" s="1">
        <v>310</v>
      </c>
      <c r="GD38" s="1">
        <v>13399.99</v>
      </c>
      <c r="GE38" s="1">
        <v>1</v>
      </c>
      <c r="GF38" s="1">
        <v>0</v>
      </c>
      <c r="GG38" s="1">
        <v>30</v>
      </c>
      <c r="GH38" s="1">
        <v>60003760</v>
      </c>
      <c r="GI38" s="1">
        <v>32767</v>
      </c>
      <c r="GJ38" s="1">
        <v>4</v>
      </c>
      <c r="GL38" s="1">
        <v>2415099740</v>
      </c>
      <c r="GM38" s="1">
        <v>16681</v>
      </c>
      <c r="GN38" s="1">
        <v>958000</v>
      </c>
      <c r="GO38" s="1">
        <v>499977</v>
      </c>
      <c r="GP38" s="1">
        <v>6183.32</v>
      </c>
      <c r="GQ38" s="1">
        <v>1</v>
      </c>
      <c r="GR38" s="1">
        <v>0</v>
      </c>
      <c r="GS38" s="1">
        <v>90</v>
      </c>
      <c r="GT38" s="1">
        <v>60003760</v>
      </c>
      <c r="GU38" s="1">
        <v>32767</v>
      </c>
      <c r="GV38" s="1">
        <v>0</v>
      </c>
      <c r="GX38" s="1">
        <v>2878122905</v>
      </c>
      <c r="GY38" s="1">
        <v>16683</v>
      </c>
      <c r="GZ38" s="1">
        <v>50000</v>
      </c>
      <c r="HA38" s="1">
        <v>48250</v>
      </c>
      <c r="HB38" s="1">
        <v>8611.91</v>
      </c>
      <c r="HC38" s="1">
        <v>1</v>
      </c>
      <c r="HD38" s="1">
        <v>0</v>
      </c>
      <c r="HE38" s="1">
        <v>90</v>
      </c>
      <c r="HF38" s="1">
        <v>60003760</v>
      </c>
      <c r="HG38" s="1">
        <v>32767</v>
      </c>
      <c r="HH38" s="1">
        <v>0</v>
      </c>
      <c r="HJ38"/>
      <c r="HK38"/>
      <c r="HL38"/>
      <c r="HM38"/>
      <c r="HN38"/>
      <c r="HO38"/>
      <c r="HP38"/>
      <c r="HQ38"/>
      <c r="HR38"/>
      <c r="HS38"/>
      <c r="HT38"/>
      <c r="HV38" s="1">
        <v>2857089244</v>
      </c>
      <c r="HW38" s="1">
        <v>16274</v>
      </c>
      <c r="HX38" s="1">
        <v>1000000</v>
      </c>
      <c r="HY38" s="1">
        <v>1000000</v>
      </c>
      <c r="HZ38" s="1">
        <v>370</v>
      </c>
      <c r="IA38" s="1">
        <v>1</v>
      </c>
      <c r="IB38" s="1">
        <v>0</v>
      </c>
      <c r="IC38" s="1">
        <v>90</v>
      </c>
      <c r="ID38" s="1">
        <v>60003760</v>
      </c>
      <c r="IE38" s="1">
        <v>32767</v>
      </c>
      <c r="IF38" s="1">
        <v>2</v>
      </c>
      <c r="IH38" s="1">
        <v>2868413190</v>
      </c>
      <c r="II38" s="1">
        <v>10213</v>
      </c>
      <c r="IJ38" s="1">
        <v>1</v>
      </c>
      <c r="IK38" s="1">
        <v>1</v>
      </c>
      <c r="IL38" s="1">
        <v>111000000</v>
      </c>
      <c r="IM38" s="1">
        <v>1</v>
      </c>
      <c r="IN38" s="1">
        <v>1</v>
      </c>
      <c r="IO38" s="1">
        <v>90</v>
      </c>
      <c r="IP38" s="1">
        <v>60003760</v>
      </c>
      <c r="IQ38" s="1">
        <v>-1</v>
      </c>
      <c r="IR38" s="1">
        <v>0</v>
      </c>
      <c r="IT38" s="1">
        <v>2832263355</v>
      </c>
      <c r="IU38" s="1">
        <v>16679</v>
      </c>
      <c r="IV38" s="1">
        <v>1378031</v>
      </c>
      <c r="IW38" s="1">
        <v>1297031</v>
      </c>
      <c r="IX38" s="1">
        <v>1795.83</v>
      </c>
      <c r="IY38" s="1">
        <v>1</v>
      </c>
      <c r="IZ38" s="1">
        <v>0</v>
      </c>
      <c r="JA38" s="1">
        <v>90</v>
      </c>
      <c r="JB38" s="1">
        <v>60003760</v>
      </c>
      <c r="JC38" s="1">
        <v>32767</v>
      </c>
      <c r="JD38" s="1">
        <v>0</v>
      </c>
      <c r="JF38" s="1">
        <v>2871847564</v>
      </c>
      <c r="JG38" s="1">
        <v>16272</v>
      </c>
      <c r="JH38" s="1">
        <v>14484115</v>
      </c>
      <c r="JI38" s="1">
        <v>11312968</v>
      </c>
      <c r="JJ38" s="1">
        <v>80.959999999999994</v>
      </c>
      <c r="JK38" s="1">
        <v>1</v>
      </c>
      <c r="JL38" s="1">
        <v>0</v>
      </c>
      <c r="JM38" s="1">
        <v>90</v>
      </c>
      <c r="JN38" s="1">
        <v>60003760</v>
      </c>
      <c r="JO38" s="1">
        <v>32767</v>
      </c>
      <c r="JP38" s="1">
        <v>6</v>
      </c>
      <c r="JR38" s="1">
        <v>2863423991</v>
      </c>
      <c r="JS38" s="1">
        <v>10226</v>
      </c>
      <c r="JT38" s="1">
        <v>3</v>
      </c>
      <c r="JU38" s="1">
        <v>3</v>
      </c>
      <c r="JV38" s="1">
        <v>109335020.06999999</v>
      </c>
      <c r="JW38" s="1">
        <v>1</v>
      </c>
      <c r="JX38" s="1">
        <v>1</v>
      </c>
      <c r="JY38" s="1">
        <v>90</v>
      </c>
      <c r="JZ38" s="1">
        <v>60003760</v>
      </c>
      <c r="KA38" s="1">
        <v>-1</v>
      </c>
      <c r="KB38" s="1">
        <v>0</v>
      </c>
      <c r="KD38" s="1">
        <v>2858518908</v>
      </c>
      <c r="KE38" s="1">
        <v>25605</v>
      </c>
      <c r="KF38" s="1">
        <v>24</v>
      </c>
      <c r="KG38" s="1">
        <v>24</v>
      </c>
      <c r="KH38" s="1">
        <v>113955</v>
      </c>
      <c r="KI38" s="1">
        <v>1</v>
      </c>
      <c r="KJ38" s="1">
        <v>0</v>
      </c>
      <c r="KK38" s="1">
        <v>90</v>
      </c>
      <c r="KL38" s="1">
        <v>60003760</v>
      </c>
      <c r="KM38" s="1">
        <v>32767</v>
      </c>
      <c r="KN38" s="1">
        <v>6</v>
      </c>
      <c r="KP38" s="1">
        <v>2854812919</v>
      </c>
      <c r="KQ38" s="1">
        <v>25624</v>
      </c>
      <c r="KR38" s="1">
        <v>256</v>
      </c>
      <c r="KS38" s="1">
        <v>61</v>
      </c>
      <c r="KT38" s="1">
        <v>19200000</v>
      </c>
      <c r="KU38" s="1">
        <v>1</v>
      </c>
      <c r="KV38" s="1">
        <v>0</v>
      </c>
      <c r="KW38" s="1">
        <v>90</v>
      </c>
      <c r="KX38" s="1">
        <v>60003760</v>
      </c>
      <c r="KY38" s="1">
        <v>32767</v>
      </c>
      <c r="KZ38" s="1">
        <v>1</v>
      </c>
      <c r="LB38" s="1">
        <v>2841015915</v>
      </c>
      <c r="LC38" s="1">
        <v>9832</v>
      </c>
      <c r="LD38" s="1">
        <v>12600</v>
      </c>
      <c r="LE38" s="1">
        <v>12600</v>
      </c>
      <c r="LF38" s="1">
        <v>9722.98</v>
      </c>
      <c r="LG38" s="1">
        <v>1</v>
      </c>
      <c r="LH38" s="1">
        <v>0</v>
      </c>
      <c r="LI38" s="1">
        <v>90</v>
      </c>
      <c r="LJ38" s="1">
        <v>60003760</v>
      </c>
      <c r="LK38" s="1">
        <v>32767</v>
      </c>
      <c r="LL38" s="1">
        <v>0</v>
      </c>
      <c r="LN38" s="1">
        <v>2764316261</v>
      </c>
      <c r="LO38" s="1">
        <v>10209</v>
      </c>
      <c r="LP38" s="1">
        <v>4</v>
      </c>
      <c r="LQ38" s="1">
        <v>3</v>
      </c>
      <c r="LR38" s="1">
        <v>101095007.19</v>
      </c>
      <c r="LS38" s="1">
        <v>1</v>
      </c>
      <c r="LT38" s="1">
        <v>1</v>
      </c>
      <c r="LU38" s="1">
        <v>90</v>
      </c>
      <c r="LV38" s="1">
        <v>60003760</v>
      </c>
      <c r="LW38" s="1">
        <v>-1</v>
      </c>
      <c r="LX38" s="1">
        <v>0</v>
      </c>
      <c r="LZ38" s="1">
        <v>2843547250</v>
      </c>
      <c r="MA38" s="1">
        <v>10217</v>
      </c>
      <c r="MB38" s="1">
        <v>2</v>
      </c>
      <c r="MC38" s="1">
        <v>2</v>
      </c>
      <c r="MD38" s="1">
        <v>109104008.05</v>
      </c>
      <c r="ME38" s="1">
        <v>1</v>
      </c>
      <c r="MF38" s="1">
        <v>1</v>
      </c>
      <c r="MG38" s="1">
        <v>90</v>
      </c>
      <c r="MH38" s="1">
        <v>60003760</v>
      </c>
      <c r="MI38" s="1">
        <v>-1</v>
      </c>
      <c r="MJ38" s="1">
        <v>0</v>
      </c>
      <c r="ML38" s="1">
        <v>2878555746</v>
      </c>
      <c r="MM38" s="1">
        <v>25625</v>
      </c>
      <c r="MN38" s="1">
        <v>3</v>
      </c>
      <c r="MO38" s="1">
        <v>3</v>
      </c>
      <c r="MP38" s="1">
        <v>4500000</v>
      </c>
      <c r="MQ38" s="1">
        <v>1</v>
      </c>
      <c r="MR38" s="1">
        <v>0</v>
      </c>
      <c r="MS38" s="1">
        <v>90</v>
      </c>
      <c r="MT38" s="1">
        <v>60003760</v>
      </c>
      <c r="MU38" s="1">
        <v>32767</v>
      </c>
      <c r="MV38" s="1">
        <v>0</v>
      </c>
      <c r="MX38" s="1">
        <v>2875588117</v>
      </c>
      <c r="MY38" s="1">
        <v>16672</v>
      </c>
      <c r="MZ38" s="1">
        <v>3978697</v>
      </c>
      <c r="NA38" s="1">
        <v>3978697</v>
      </c>
      <c r="NB38" s="1">
        <v>139.97999999999999</v>
      </c>
      <c r="NC38" s="1">
        <v>1</v>
      </c>
      <c r="ND38" s="1">
        <v>0</v>
      </c>
      <c r="NE38" s="1">
        <v>90</v>
      </c>
      <c r="NF38" s="1">
        <v>60003760</v>
      </c>
      <c r="NG38" s="1">
        <v>32767</v>
      </c>
      <c r="NH38" s="1">
        <v>0</v>
      </c>
      <c r="NJ38" s="1">
        <v>2853066123</v>
      </c>
      <c r="NK38" s="1">
        <v>16673</v>
      </c>
      <c r="NL38" s="1">
        <v>57320000</v>
      </c>
      <c r="NM38" s="1">
        <v>54568687</v>
      </c>
      <c r="NN38" s="1">
        <v>103.75</v>
      </c>
      <c r="NO38" s="1">
        <v>1</v>
      </c>
      <c r="NP38" s="1">
        <v>0</v>
      </c>
      <c r="NQ38" s="1">
        <v>90</v>
      </c>
      <c r="NR38" s="1">
        <v>60003760</v>
      </c>
      <c r="NS38" s="1">
        <v>32767</v>
      </c>
      <c r="NT38" s="1">
        <v>6</v>
      </c>
      <c r="NV38" s="1">
        <v>2847284928</v>
      </c>
      <c r="NW38" s="1">
        <v>3689</v>
      </c>
      <c r="NX38" s="1">
        <v>15338</v>
      </c>
      <c r="NY38" s="1">
        <v>14162</v>
      </c>
      <c r="NZ38" s="1">
        <v>11089</v>
      </c>
      <c r="OA38" s="1">
        <v>1</v>
      </c>
      <c r="OB38" s="1">
        <v>0</v>
      </c>
      <c r="OC38" s="1">
        <v>90</v>
      </c>
      <c r="OD38" s="1">
        <v>60003760</v>
      </c>
      <c r="OE38" s="1">
        <v>32767</v>
      </c>
      <c r="OF38" s="1">
        <v>0</v>
      </c>
      <c r="OH38" s="1">
        <v>2803249698</v>
      </c>
      <c r="OI38" s="1">
        <v>25598</v>
      </c>
      <c r="OJ38" s="1">
        <v>186</v>
      </c>
      <c r="OK38" s="1">
        <v>186</v>
      </c>
      <c r="OL38" s="1">
        <v>199000</v>
      </c>
      <c r="OM38" s="1">
        <v>1</v>
      </c>
      <c r="ON38" s="1">
        <v>0</v>
      </c>
      <c r="OO38" s="1">
        <v>90</v>
      </c>
      <c r="OP38" s="1">
        <v>60003760</v>
      </c>
      <c r="OQ38" s="1">
        <v>32767</v>
      </c>
      <c r="OR38" s="1">
        <v>0</v>
      </c>
      <c r="OT38" s="1">
        <v>2785770479</v>
      </c>
      <c r="OU38" s="1">
        <v>25600</v>
      </c>
      <c r="OV38" s="1">
        <v>104</v>
      </c>
      <c r="OW38" s="1">
        <v>104</v>
      </c>
      <c r="OX38" s="1">
        <v>32798</v>
      </c>
      <c r="OY38" s="1">
        <v>1</v>
      </c>
      <c r="OZ38" s="1">
        <v>0</v>
      </c>
      <c r="PA38" s="1">
        <v>90</v>
      </c>
      <c r="PB38" s="1">
        <v>60003760</v>
      </c>
      <c r="PC38" s="1">
        <v>32767</v>
      </c>
      <c r="PD38" s="1">
        <v>0</v>
      </c>
      <c r="PF38" s="1">
        <v>2858938233</v>
      </c>
      <c r="PG38" s="1">
        <v>16670</v>
      </c>
      <c r="PH38" s="1">
        <v>1430000</v>
      </c>
      <c r="PI38" s="1">
        <v>1430000</v>
      </c>
      <c r="PJ38" s="1">
        <v>129.87</v>
      </c>
      <c r="PK38" s="1">
        <v>1</v>
      </c>
      <c r="PL38" s="1">
        <v>0</v>
      </c>
      <c r="PM38" s="1">
        <v>90</v>
      </c>
      <c r="PN38" s="1">
        <v>60003760</v>
      </c>
      <c r="PO38" s="1">
        <v>32767</v>
      </c>
      <c r="PP38" s="1">
        <v>7</v>
      </c>
      <c r="PR38" s="1">
        <v>2826772958</v>
      </c>
      <c r="PS38" s="1">
        <v>10222</v>
      </c>
      <c r="PT38" s="1">
        <v>1</v>
      </c>
      <c r="PU38" s="1">
        <v>1</v>
      </c>
      <c r="PV38" s="1">
        <v>110166388</v>
      </c>
      <c r="PW38" s="1">
        <v>1</v>
      </c>
      <c r="PX38" s="1">
        <v>1</v>
      </c>
      <c r="PY38" s="1">
        <v>90</v>
      </c>
      <c r="PZ38" s="1">
        <v>60003760</v>
      </c>
      <c r="QA38" s="1">
        <v>-1</v>
      </c>
      <c r="QB38" s="1">
        <v>0</v>
      </c>
      <c r="QD38" s="1">
        <v>2873314257</v>
      </c>
      <c r="QE38" s="1">
        <v>9830</v>
      </c>
      <c r="QF38" s="1">
        <v>3395</v>
      </c>
      <c r="QG38" s="1">
        <v>3395</v>
      </c>
      <c r="QH38" s="1">
        <v>7893.98</v>
      </c>
      <c r="QI38" s="1">
        <v>1</v>
      </c>
      <c r="QJ38" s="1">
        <v>0</v>
      </c>
      <c r="QK38" s="1">
        <v>90</v>
      </c>
      <c r="QL38" s="1">
        <v>60003760</v>
      </c>
      <c r="QM38" s="1">
        <v>32767</v>
      </c>
      <c r="QN38" s="1">
        <v>0</v>
      </c>
      <c r="QP38" s="1">
        <v>2871849227</v>
      </c>
      <c r="QQ38" s="1">
        <v>16671</v>
      </c>
      <c r="QR38" s="1">
        <v>50000</v>
      </c>
      <c r="QS38" s="1">
        <v>50000</v>
      </c>
      <c r="QT38" s="1">
        <v>114.8</v>
      </c>
      <c r="QU38" s="1">
        <v>1</v>
      </c>
      <c r="QV38" s="1">
        <v>0</v>
      </c>
      <c r="QW38" s="1">
        <v>90</v>
      </c>
      <c r="QX38" s="1">
        <v>60003760</v>
      </c>
      <c r="QY38" s="1">
        <v>32767</v>
      </c>
      <c r="QZ38" s="1">
        <v>7</v>
      </c>
      <c r="RB38" s="1">
        <v>2873479038</v>
      </c>
      <c r="RC38" s="1">
        <v>16682</v>
      </c>
      <c r="RD38" s="1">
        <v>679834</v>
      </c>
      <c r="RE38" s="1">
        <v>558603</v>
      </c>
      <c r="RF38" s="1">
        <v>3351</v>
      </c>
      <c r="RG38" s="1">
        <v>1</v>
      </c>
      <c r="RH38" s="1">
        <v>0</v>
      </c>
      <c r="RI38" s="1">
        <v>90</v>
      </c>
      <c r="RJ38" s="1">
        <v>60003760</v>
      </c>
      <c r="RK38" s="1">
        <v>32767</v>
      </c>
      <c r="RL38" s="1">
        <v>8</v>
      </c>
      <c r="RN38" s="1">
        <v>2878890499</v>
      </c>
      <c r="RO38" s="1">
        <v>16678</v>
      </c>
      <c r="RP38" s="1">
        <v>810260</v>
      </c>
      <c r="RQ38" s="1">
        <v>790260</v>
      </c>
      <c r="RR38" s="1">
        <v>284.23</v>
      </c>
      <c r="RS38" s="1">
        <v>1</v>
      </c>
      <c r="RT38" s="1">
        <v>0</v>
      </c>
      <c r="RU38" s="1">
        <v>90</v>
      </c>
      <c r="RV38" s="1">
        <v>60003760</v>
      </c>
      <c r="RW38" s="1">
        <v>32767</v>
      </c>
      <c r="RX38" s="1">
        <v>0</v>
      </c>
      <c r="RZ38" s="1">
        <v>2866176976</v>
      </c>
      <c r="SA38" s="1">
        <v>30310</v>
      </c>
      <c r="SB38" s="1">
        <v>552</v>
      </c>
      <c r="SC38" s="1">
        <v>407</v>
      </c>
      <c r="SD38" s="1">
        <v>1288700.1599999999</v>
      </c>
      <c r="SE38" s="1">
        <v>1</v>
      </c>
      <c r="SF38" s="1">
        <v>0</v>
      </c>
      <c r="SG38" s="1">
        <v>90</v>
      </c>
      <c r="SH38" s="1">
        <v>60003760</v>
      </c>
      <c r="SI38" s="1">
        <v>32767</v>
      </c>
      <c r="SJ38" s="1">
        <v>0</v>
      </c>
      <c r="SL38" s="1">
        <v>2878420667</v>
      </c>
      <c r="SM38" s="1">
        <v>30311</v>
      </c>
      <c r="SN38" s="1">
        <v>108</v>
      </c>
      <c r="SO38" s="1">
        <v>108</v>
      </c>
      <c r="SP38" s="1">
        <v>3129006.82</v>
      </c>
      <c r="SQ38" s="1">
        <v>1</v>
      </c>
      <c r="SR38" s="1">
        <v>0</v>
      </c>
      <c r="SS38" s="1">
        <v>90</v>
      </c>
      <c r="ST38" s="1">
        <v>60003760</v>
      </c>
      <c r="SU38" s="1">
        <v>32767</v>
      </c>
      <c r="SV38" s="1">
        <v>0</v>
      </c>
      <c r="SX38" s="1">
        <v>2798765756</v>
      </c>
      <c r="SY38" s="1">
        <v>25595</v>
      </c>
      <c r="SZ38" s="1">
        <v>6376</v>
      </c>
      <c r="TA38" s="1">
        <v>4872</v>
      </c>
      <c r="TB38" s="1">
        <v>98995</v>
      </c>
      <c r="TC38" s="1">
        <v>1</v>
      </c>
      <c r="TD38" s="1">
        <v>0</v>
      </c>
      <c r="TE38" s="1">
        <v>90</v>
      </c>
      <c r="TF38" s="1">
        <v>60003760</v>
      </c>
      <c r="TG38" s="1">
        <v>32767</v>
      </c>
      <c r="TH38" s="1">
        <v>6</v>
      </c>
      <c r="TJ38" s="1">
        <v>2858307043</v>
      </c>
      <c r="TK38" s="1">
        <v>25606</v>
      </c>
      <c r="TL38" s="1">
        <v>61</v>
      </c>
      <c r="TM38" s="1">
        <v>61</v>
      </c>
      <c r="TN38" s="1">
        <v>25800</v>
      </c>
      <c r="TO38" s="1">
        <v>1</v>
      </c>
      <c r="TP38" s="1">
        <v>0</v>
      </c>
      <c r="TQ38" s="1">
        <v>30</v>
      </c>
      <c r="TR38" s="1">
        <v>60003760</v>
      </c>
      <c r="TS38" s="1">
        <v>32767</v>
      </c>
      <c r="TT38" s="1">
        <v>0</v>
      </c>
      <c r="TV38" s="1">
        <v>2877471858</v>
      </c>
      <c r="TW38" s="1">
        <v>25622</v>
      </c>
      <c r="TX38" s="1">
        <v>6</v>
      </c>
      <c r="TY38" s="1">
        <v>6</v>
      </c>
      <c r="TZ38" s="1">
        <v>14814990</v>
      </c>
      <c r="UA38" s="1">
        <v>1</v>
      </c>
      <c r="UB38" s="1">
        <v>0</v>
      </c>
      <c r="UC38" s="1">
        <v>30</v>
      </c>
      <c r="UD38" s="1">
        <v>60003760</v>
      </c>
      <c r="UE38" s="1">
        <v>32767</v>
      </c>
      <c r="UF38" s="1">
        <v>0</v>
      </c>
      <c r="UH38" s="1">
        <v>2874898028</v>
      </c>
      <c r="UI38" s="1">
        <v>16680</v>
      </c>
      <c r="UJ38" s="1">
        <v>4904322</v>
      </c>
      <c r="UK38" s="1">
        <v>4904322</v>
      </c>
      <c r="UL38" s="1">
        <v>708.99</v>
      </c>
      <c r="UM38" s="1">
        <v>1</v>
      </c>
      <c r="UN38" s="1">
        <v>0</v>
      </c>
      <c r="UO38" s="1">
        <v>90</v>
      </c>
      <c r="UP38" s="1">
        <v>60003760</v>
      </c>
      <c r="UQ38" s="1">
        <v>32767</v>
      </c>
      <c r="UR38" s="1">
        <v>6</v>
      </c>
      <c r="UT38" s="1">
        <v>2850757793</v>
      </c>
      <c r="UU38" s="1">
        <v>17317</v>
      </c>
      <c r="UV38" s="1">
        <v>6220</v>
      </c>
      <c r="UW38" s="1">
        <v>5919</v>
      </c>
      <c r="UX38" s="1">
        <v>25217.25</v>
      </c>
      <c r="UY38" s="1">
        <v>1</v>
      </c>
      <c r="UZ38" s="1">
        <v>1</v>
      </c>
      <c r="VA38" s="1">
        <v>90</v>
      </c>
      <c r="VB38" s="1">
        <v>60003760</v>
      </c>
      <c r="VC38" s="1">
        <v>-1</v>
      </c>
      <c r="VD38" s="1">
        <v>0</v>
      </c>
      <c r="VF38"/>
      <c r="VG38"/>
      <c r="VH38"/>
      <c r="VI38"/>
      <c r="VJ38"/>
      <c r="VK38"/>
      <c r="VL38"/>
      <c r="VM38"/>
      <c r="VN38"/>
      <c r="VO38"/>
      <c r="VP38"/>
    </row>
    <row r="39" spans="2:588" x14ac:dyDescent="0.25">
      <c r="B39" s="1">
        <v>2838663923</v>
      </c>
      <c r="C39" s="1">
        <v>34</v>
      </c>
      <c r="D39" s="1">
        <v>21623</v>
      </c>
      <c r="E39" s="1">
        <v>21623</v>
      </c>
      <c r="F39" s="1">
        <v>5.95</v>
      </c>
      <c r="G39" s="1">
        <v>1</v>
      </c>
      <c r="H39" s="1">
        <v>0</v>
      </c>
      <c r="I39" s="1">
        <v>30</v>
      </c>
      <c r="J39" s="1">
        <v>60003337</v>
      </c>
      <c r="K39" s="1">
        <v>32767</v>
      </c>
      <c r="L39" s="1">
        <v>2</v>
      </c>
      <c r="N39" s="1">
        <v>2782736476</v>
      </c>
      <c r="O39" s="1">
        <v>35</v>
      </c>
      <c r="P39" s="1">
        <v>20386295</v>
      </c>
      <c r="Q39" s="1">
        <v>20386295</v>
      </c>
      <c r="R39" s="1">
        <v>18.27</v>
      </c>
      <c r="S39" s="1">
        <v>1</v>
      </c>
      <c r="T39" s="1">
        <v>0</v>
      </c>
      <c r="U39" s="1">
        <v>90</v>
      </c>
      <c r="V39" s="1">
        <v>60003760</v>
      </c>
      <c r="W39" s="1">
        <v>32767</v>
      </c>
      <c r="X39" s="1">
        <v>0</v>
      </c>
      <c r="Z39" s="1">
        <v>2757965033</v>
      </c>
      <c r="AA39" s="1">
        <v>36</v>
      </c>
      <c r="AB39" s="1">
        <v>2341685</v>
      </c>
      <c r="AC39" s="1">
        <v>2341685</v>
      </c>
      <c r="AD39" s="16">
        <v>60</v>
      </c>
      <c r="AE39" s="1">
        <v>1</v>
      </c>
      <c r="AF39" s="1">
        <v>0</v>
      </c>
      <c r="AG39" s="1">
        <v>90</v>
      </c>
      <c r="AH39" s="1">
        <v>60003760</v>
      </c>
      <c r="AI39" s="1">
        <v>32767</v>
      </c>
      <c r="AJ39" s="1">
        <v>11</v>
      </c>
      <c r="AL39" s="1">
        <v>2772214652</v>
      </c>
      <c r="AM39" s="1">
        <v>37</v>
      </c>
      <c r="AN39" s="1">
        <v>10102</v>
      </c>
      <c r="AO39" s="1">
        <v>10102</v>
      </c>
      <c r="AP39" s="16">
        <v>153.78</v>
      </c>
      <c r="AQ39" s="1">
        <v>1</v>
      </c>
      <c r="AR39" s="1">
        <v>0</v>
      </c>
      <c r="AS39" s="1">
        <v>90</v>
      </c>
      <c r="AT39" s="1">
        <v>60003760</v>
      </c>
      <c r="AU39" s="1">
        <v>32767</v>
      </c>
      <c r="AV39" s="1">
        <v>9</v>
      </c>
      <c r="AX39" s="1">
        <v>2712803979</v>
      </c>
      <c r="AY39" s="1">
        <v>38</v>
      </c>
      <c r="AZ39" s="1">
        <v>5658454</v>
      </c>
      <c r="BA39" s="1">
        <v>5658454</v>
      </c>
      <c r="BB39" s="1">
        <v>989.94</v>
      </c>
      <c r="BC39" s="1">
        <v>1</v>
      </c>
      <c r="BD39" s="1">
        <v>0</v>
      </c>
      <c r="BE39" s="1">
        <v>90</v>
      </c>
      <c r="BF39" s="1">
        <v>60003760</v>
      </c>
      <c r="BG39" s="1">
        <v>32767</v>
      </c>
      <c r="BH39" s="1">
        <v>5</v>
      </c>
      <c r="BJ39" s="1">
        <v>2853957174</v>
      </c>
      <c r="BK39" s="1">
        <v>39</v>
      </c>
      <c r="BL39" s="1">
        <v>99742</v>
      </c>
      <c r="BM39" s="1">
        <v>98542</v>
      </c>
      <c r="BN39" s="1">
        <v>825.69</v>
      </c>
      <c r="BO39" s="1">
        <v>1</v>
      </c>
      <c r="BP39" s="1">
        <v>0</v>
      </c>
      <c r="BQ39" s="1">
        <v>90</v>
      </c>
      <c r="BR39" s="1">
        <v>60003760</v>
      </c>
      <c r="BS39" s="1">
        <v>32767</v>
      </c>
      <c r="BT39" s="1">
        <v>5</v>
      </c>
      <c r="BV39" s="1">
        <v>2388814735</v>
      </c>
      <c r="BW39" s="1">
        <v>40</v>
      </c>
      <c r="BX39" s="1">
        <v>87000</v>
      </c>
      <c r="BY39" s="1">
        <v>87000</v>
      </c>
      <c r="BZ39" s="1">
        <v>2904.97</v>
      </c>
      <c r="CA39" s="1">
        <v>1</v>
      </c>
      <c r="CB39" s="1">
        <v>0</v>
      </c>
      <c r="CC39" s="1">
        <v>90</v>
      </c>
      <c r="CD39" s="1">
        <v>60003760</v>
      </c>
      <c r="CE39" s="1">
        <v>32767</v>
      </c>
      <c r="CF39" s="1">
        <v>13</v>
      </c>
      <c r="CH39" s="1">
        <v>2355534436</v>
      </c>
      <c r="CI39" s="1">
        <v>29668</v>
      </c>
      <c r="CJ39" s="1">
        <v>1</v>
      </c>
      <c r="CK39" s="1">
        <v>1</v>
      </c>
      <c r="CL39" s="1">
        <v>499999999.98000002</v>
      </c>
      <c r="CM39" s="1">
        <v>1</v>
      </c>
      <c r="CN39" s="1">
        <v>0</v>
      </c>
      <c r="CO39" s="1">
        <v>90</v>
      </c>
      <c r="CP39" s="1">
        <v>60003760</v>
      </c>
      <c r="CQ39" s="1">
        <v>32767</v>
      </c>
      <c r="CR39" s="1">
        <v>0</v>
      </c>
      <c r="CT39" s="1">
        <v>2415799089</v>
      </c>
      <c r="CU39" s="1">
        <v>16649</v>
      </c>
      <c r="CV39" s="1">
        <v>58100</v>
      </c>
      <c r="CW39" s="1">
        <v>58100</v>
      </c>
      <c r="CX39" s="1">
        <v>107694.98</v>
      </c>
      <c r="CY39" s="1">
        <v>1</v>
      </c>
      <c r="CZ39" s="1">
        <v>0</v>
      </c>
      <c r="DA39" s="1">
        <v>90</v>
      </c>
      <c r="DB39" s="1">
        <v>60003760</v>
      </c>
      <c r="DC39" s="1">
        <v>32767</v>
      </c>
      <c r="DD39" s="1">
        <v>0</v>
      </c>
      <c r="DF39" s="1">
        <v>2411818596</v>
      </c>
      <c r="DG39" s="1">
        <v>17887</v>
      </c>
      <c r="DH39" s="1">
        <v>958663</v>
      </c>
      <c r="DI39" s="1">
        <v>958663</v>
      </c>
      <c r="DJ39" s="1">
        <v>994.98</v>
      </c>
      <c r="DK39" s="1">
        <v>1</v>
      </c>
      <c r="DL39" s="1">
        <v>0</v>
      </c>
      <c r="DM39" s="1">
        <v>90</v>
      </c>
      <c r="DN39" s="1">
        <v>60003760</v>
      </c>
      <c r="DO39" s="1">
        <v>32767</v>
      </c>
      <c r="DP39" s="1">
        <v>0</v>
      </c>
      <c r="DR39" s="1">
        <v>2858688538</v>
      </c>
      <c r="DS39" s="1">
        <v>17888</v>
      </c>
      <c r="DT39" s="1">
        <v>2067</v>
      </c>
      <c r="DU39" s="1">
        <v>2067</v>
      </c>
      <c r="DV39" s="1">
        <v>344</v>
      </c>
      <c r="DW39" s="1">
        <v>1</v>
      </c>
      <c r="DX39" s="1">
        <v>0</v>
      </c>
      <c r="DY39" s="1">
        <v>90</v>
      </c>
      <c r="DZ39" s="1">
        <v>60005458</v>
      </c>
      <c r="EA39" s="1">
        <v>32767</v>
      </c>
      <c r="EB39" s="1">
        <v>8</v>
      </c>
      <c r="ED39" s="1">
        <v>2866949868</v>
      </c>
      <c r="EE39" s="1">
        <v>16273</v>
      </c>
      <c r="EF39" s="1">
        <v>5000000</v>
      </c>
      <c r="EG39" s="1">
        <v>5000000</v>
      </c>
      <c r="EH39" s="1">
        <v>383.68</v>
      </c>
      <c r="EI39" s="1">
        <v>1</v>
      </c>
      <c r="EJ39" s="1">
        <v>0</v>
      </c>
      <c r="EK39" s="1">
        <v>90</v>
      </c>
      <c r="EL39" s="1">
        <v>60003760</v>
      </c>
      <c r="EM39" s="1">
        <v>32767</v>
      </c>
      <c r="EN39" s="1">
        <v>6</v>
      </c>
      <c r="EP39" s="1">
        <v>2878094712</v>
      </c>
      <c r="EQ39" s="1">
        <v>17889</v>
      </c>
      <c r="ER39" s="1">
        <v>400000</v>
      </c>
      <c r="ES39" s="1">
        <v>380000</v>
      </c>
      <c r="ET39" s="1">
        <v>373.5</v>
      </c>
      <c r="EU39" s="1">
        <v>1</v>
      </c>
      <c r="EV39" s="1">
        <v>0</v>
      </c>
      <c r="EW39" s="1">
        <v>30</v>
      </c>
      <c r="EX39" s="1">
        <v>60003760</v>
      </c>
      <c r="EY39" s="1">
        <v>32767</v>
      </c>
      <c r="EZ39" s="1">
        <v>7</v>
      </c>
      <c r="FB39" s="1">
        <v>2877839937</v>
      </c>
      <c r="FC39" s="1">
        <v>30259</v>
      </c>
      <c r="FD39" s="1">
        <v>60</v>
      </c>
      <c r="FE39" s="1">
        <v>60</v>
      </c>
      <c r="FF39" s="1">
        <v>5797995</v>
      </c>
      <c r="FG39" s="1">
        <v>1</v>
      </c>
      <c r="FH39" s="1">
        <v>0</v>
      </c>
      <c r="FI39" s="1">
        <v>90</v>
      </c>
      <c r="FJ39" s="1">
        <v>60003760</v>
      </c>
      <c r="FK39" s="1">
        <v>32767</v>
      </c>
      <c r="FL39" s="1">
        <v>0</v>
      </c>
      <c r="FN39" s="1">
        <v>2877708728</v>
      </c>
      <c r="FO39" s="1">
        <v>25617</v>
      </c>
      <c r="FP39" s="1">
        <v>2</v>
      </c>
      <c r="FQ39" s="1">
        <v>2</v>
      </c>
      <c r="FR39" s="1">
        <v>5148998.9800000004</v>
      </c>
      <c r="FS39" s="1">
        <v>1</v>
      </c>
      <c r="FT39" s="1">
        <v>0</v>
      </c>
      <c r="FU39" s="1">
        <v>90</v>
      </c>
      <c r="FV39" s="1">
        <v>60003760</v>
      </c>
      <c r="FW39" s="1">
        <v>32767</v>
      </c>
      <c r="FX39" s="1">
        <v>0</v>
      </c>
      <c r="FZ39" s="1">
        <v>2870048057</v>
      </c>
      <c r="GA39" s="1">
        <v>44</v>
      </c>
      <c r="GB39" s="1">
        <v>4990</v>
      </c>
      <c r="GC39" s="1">
        <v>4990</v>
      </c>
      <c r="GD39" s="1">
        <v>13453.58</v>
      </c>
      <c r="GE39" s="1">
        <v>1</v>
      </c>
      <c r="GF39" s="1">
        <v>0</v>
      </c>
      <c r="GG39" s="1">
        <v>7</v>
      </c>
      <c r="GH39" s="1">
        <v>60003760</v>
      </c>
      <c r="GI39" s="1">
        <v>32767</v>
      </c>
      <c r="GJ39" s="1">
        <v>4</v>
      </c>
      <c r="GL39" s="1">
        <v>2415719491</v>
      </c>
      <c r="GM39" s="1">
        <v>16681</v>
      </c>
      <c r="GN39" s="1">
        <v>30000</v>
      </c>
      <c r="GO39" s="1">
        <v>30000</v>
      </c>
      <c r="GP39" s="1">
        <v>6183</v>
      </c>
      <c r="GQ39" s="1">
        <v>1</v>
      </c>
      <c r="GR39" s="1">
        <v>0</v>
      </c>
      <c r="GS39" s="1">
        <v>90</v>
      </c>
      <c r="GT39" s="1">
        <v>60003760</v>
      </c>
      <c r="GU39" s="1">
        <v>32767</v>
      </c>
      <c r="GV39" s="1">
        <v>0</v>
      </c>
      <c r="GX39" s="1">
        <v>2878128526</v>
      </c>
      <c r="GY39" s="1">
        <v>16683</v>
      </c>
      <c r="GZ39" s="1">
        <v>159200</v>
      </c>
      <c r="HA39" s="1">
        <v>86467</v>
      </c>
      <c r="HB39" s="1">
        <v>8611.9</v>
      </c>
      <c r="HC39" s="1">
        <v>1</v>
      </c>
      <c r="HD39" s="1">
        <v>0</v>
      </c>
      <c r="HE39" s="1">
        <v>90</v>
      </c>
      <c r="HF39" s="1">
        <v>60003760</v>
      </c>
      <c r="HG39" s="1">
        <v>32767</v>
      </c>
      <c r="HH39" s="1">
        <v>0</v>
      </c>
      <c r="HJ39"/>
      <c r="HK39"/>
      <c r="HL39"/>
      <c r="HM39"/>
      <c r="HN39"/>
      <c r="HO39"/>
      <c r="HP39"/>
      <c r="HQ39"/>
      <c r="HR39"/>
      <c r="HS39"/>
      <c r="HT39"/>
      <c r="HV39" s="1">
        <v>2600164872</v>
      </c>
      <c r="HW39" s="1">
        <v>16274</v>
      </c>
      <c r="HX39" s="1">
        <v>377800</v>
      </c>
      <c r="HY39" s="1">
        <v>377800</v>
      </c>
      <c r="HZ39" s="1">
        <v>1439.18</v>
      </c>
      <c r="IA39" s="1">
        <v>1</v>
      </c>
      <c r="IB39" s="1">
        <v>0</v>
      </c>
      <c r="IC39" s="1">
        <v>90</v>
      </c>
      <c r="ID39" s="1">
        <v>60003760</v>
      </c>
      <c r="IE39" s="1">
        <v>32767</v>
      </c>
      <c r="IF39" s="1">
        <v>2</v>
      </c>
      <c r="IH39" s="1">
        <v>2868483832</v>
      </c>
      <c r="II39" s="1">
        <v>10213</v>
      </c>
      <c r="IJ39" s="1">
        <v>2</v>
      </c>
      <c r="IK39" s="1">
        <v>2</v>
      </c>
      <c r="IL39" s="1">
        <v>111000006</v>
      </c>
      <c r="IM39" s="1">
        <v>1</v>
      </c>
      <c r="IN39" s="1">
        <v>1</v>
      </c>
      <c r="IO39" s="1">
        <v>90</v>
      </c>
      <c r="IP39" s="1">
        <v>60003760</v>
      </c>
      <c r="IQ39" s="1">
        <v>-1</v>
      </c>
      <c r="IR39" s="1">
        <v>0</v>
      </c>
      <c r="IT39" s="1">
        <v>2840068302</v>
      </c>
      <c r="IU39" s="1">
        <v>16679</v>
      </c>
      <c r="IV39" s="1">
        <v>210000</v>
      </c>
      <c r="IW39" s="1">
        <v>210000</v>
      </c>
      <c r="IX39" s="1">
        <v>1950</v>
      </c>
      <c r="IY39" s="1">
        <v>1</v>
      </c>
      <c r="IZ39" s="1">
        <v>0</v>
      </c>
      <c r="JA39" s="1">
        <v>90</v>
      </c>
      <c r="JB39" s="1">
        <v>60003760</v>
      </c>
      <c r="JC39" s="1">
        <v>32767</v>
      </c>
      <c r="JD39" s="1">
        <v>0</v>
      </c>
      <c r="JF39" s="1">
        <v>2872540433</v>
      </c>
      <c r="JG39" s="1">
        <v>16272</v>
      </c>
      <c r="JH39" s="1">
        <v>63200</v>
      </c>
      <c r="JI39" s="1">
        <v>63200</v>
      </c>
      <c r="JJ39" s="1">
        <v>80.5</v>
      </c>
      <c r="JK39" s="1">
        <v>1</v>
      </c>
      <c r="JL39" s="1">
        <v>0</v>
      </c>
      <c r="JM39" s="1">
        <v>90</v>
      </c>
      <c r="JN39" s="1">
        <v>60003760</v>
      </c>
      <c r="JO39" s="1">
        <v>32767</v>
      </c>
      <c r="JP39" s="1">
        <v>6</v>
      </c>
      <c r="JR39" s="1">
        <v>2864041700</v>
      </c>
      <c r="JS39" s="1">
        <v>10226</v>
      </c>
      <c r="JT39" s="1">
        <v>2</v>
      </c>
      <c r="JU39" s="1">
        <v>2</v>
      </c>
      <c r="JV39" s="1">
        <v>109220023</v>
      </c>
      <c r="JW39" s="1">
        <v>1</v>
      </c>
      <c r="JX39" s="1">
        <v>1</v>
      </c>
      <c r="JY39" s="1">
        <v>14</v>
      </c>
      <c r="JZ39" s="1">
        <v>60003760</v>
      </c>
      <c r="KA39" s="1">
        <v>-1</v>
      </c>
      <c r="KB39" s="1">
        <v>0</v>
      </c>
      <c r="KD39" s="1">
        <v>2858465126</v>
      </c>
      <c r="KE39" s="1">
        <v>25605</v>
      </c>
      <c r="KF39" s="1">
        <v>31</v>
      </c>
      <c r="KG39" s="1">
        <v>31</v>
      </c>
      <c r="KH39" s="1">
        <v>114000</v>
      </c>
      <c r="KI39" s="1">
        <v>1</v>
      </c>
      <c r="KJ39" s="1">
        <v>0</v>
      </c>
      <c r="KK39" s="1">
        <v>90</v>
      </c>
      <c r="KL39" s="1">
        <v>60003760</v>
      </c>
      <c r="KM39" s="1">
        <v>32767</v>
      </c>
      <c r="KN39" s="1">
        <v>6</v>
      </c>
      <c r="KP39" s="1">
        <v>2854726839</v>
      </c>
      <c r="KQ39" s="1">
        <v>25624</v>
      </c>
      <c r="KR39" s="1">
        <v>64</v>
      </c>
      <c r="KS39" s="1">
        <v>64</v>
      </c>
      <c r="KT39" s="1">
        <v>19295999</v>
      </c>
      <c r="KU39" s="1">
        <v>1</v>
      </c>
      <c r="KV39" s="1">
        <v>0</v>
      </c>
      <c r="KW39" s="1">
        <v>90</v>
      </c>
      <c r="KX39" s="1">
        <v>60003760</v>
      </c>
      <c r="KY39" s="1">
        <v>32767</v>
      </c>
      <c r="KZ39" s="1">
        <v>1</v>
      </c>
      <c r="LB39" s="1">
        <v>2840927712</v>
      </c>
      <c r="LC39" s="1">
        <v>9832</v>
      </c>
      <c r="LD39" s="1">
        <v>1370</v>
      </c>
      <c r="LE39" s="1">
        <v>1370</v>
      </c>
      <c r="LF39" s="1">
        <v>9727.98</v>
      </c>
      <c r="LG39" s="1">
        <v>1</v>
      </c>
      <c r="LH39" s="1">
        <v>0</v>
      </c>
      <c r="LI39" s="1">
        <v>90</v>
      </c>
      <c r="LJ39" s="1">
        <v>60003760</v>
      </c>
      <c r="LK39" s="1">
        <v>32767</v>
      </c>
      <c r="LL39" s="1">
        <v>0</v>
      </c>
      <c r="LN39" s="1">
        <v>2770663788</v>
      </c>
      <c r="LO39" s="1">
        <v>10209</v>
      </c>
      <c r="LP39" s="1">
        <v>8</v>
      </c>
      <c r="LQ39" s="1">
        <v>8</v>
      </c>
      <c r="LR39" s="1">
        <v>92010001.560000002</v>
      </c>
      <c r="LS39" s="1">
        <v>1</v>
      </c>
      <c r="LT39" s="1">
        <v>1</v>
      </c>
      <c r="LU39" s="1">
        <v>90</v>
      </c>
      <c r="LV39" s="1">
        <v>60003760</v>
      </c>
      <c r="LW39" s="1">
        <v>-1</v>
      </c>
      <c r="LX39" s="1">
        <v>0</v>
      </c>
      <c r="LZ39" s="1">
        <v>2864074288</v>
      </c>
      <c r="MA39" s="1">
        <v>10217</v>
      </c>
      <c r="MB39" s="1">
        <v>1</v>
      </c>
      <c r="MC39" s="1">
        <v>1</v>
      </c>
      <c r="MD39" s="1">
        <v>108000003.02</v>
      </c>
      <c r="ME39" s="1">
        <v>1</v>
      </c>
      <c r="MF39" s="1">
        <v>1</v>
      </c>
      <c r="MG39" s="1">
        <v>90</v>
      </c>
      <c r="MH39" s="1">
        <v>60003760</v>
      </c>
      <c r="MI39" s="1">
        <v>10</v>
      </c>
      <c r="MJ39" s="1">
        <v>0</v>
      </c>
      <c r="ML39" s="1">
        <v>2878584788</v>
      </c>
      <c r="MM39" s="1">
        <v>25625</v>
      </c>
      <c r="MN39" s="1">
        <v>13</v>
      </c>
      <c r="MO39" s="1">
        <v>13</v>
      </c>
      <c r="MP39" s="1">
        <v>4400000</v>
      </c>
      <c r="MQ39" s="1">
        <v>1</v>
      </c>
      <c r="MR39" s="1">
        <v>0</v>
      </c>
      <c r="MS39" s="1">
        <v>14</v>
      </c>
      <c r="MT39" s="1">
        <v>60003760</v>
      </c>
      <c r="MU39" s="1">
        <v>32767</v>
      </c>
      <c r="MV39" s="1">
        <v>0</v>
      </c>
      <c r="MX39" s="1">
        <v>2875588219</v>
      </c>
      <c r="MY39" s="1">
        <v>16672</v>
      </c>
      <c r="MZ39" s="1">
        <v>3562436</v>
      </c>
      <c r="NA39" s="1">
        <v>3562436</v>
      </c>
      <c r="NB39" s="1">
        <v>139.97999999999999</v>
      </c>
      <c r="NC39" s="1">
        <v>1</v>
      </c>
      <c r="ND39" s="1">
        <v>0</v>
      </c>
      <c r="NE39" s="1">
        <v>90</v>
      </c>
      <c r="NF39" s="1">
        <v>60003760</v>
      </c>
      <c r="NG39" s="1">
        <v>32767</v>
      </c>
      <c r="NH39" s="1">
        <v>0</v>
      </c>
      <c r="NJ39" s="1">
        <v>2851125878</v>
      </c>
      <c r="NK39" s="1">
        <v>16673</v>
      </c>
      <c r="NL39" s="1">
        <v>4998654</v>
      </c>
      <c r="NM39" s="1">
        <v>4998654</v>
      </c>
      <c r="NN39" s="1">
        <v>124.39</v>
      </c>
      <c r="NO39" s="1">
        <v>1</v>
      </c>
      <c r="NP39" s="1">
        <v>0</v>
      </c>
      <c r="NQ39" s="1">
        <v>90</v>
      </c>
      <c r="NR39" s="1">
        <v>60003760</v>
      </c>
      <c r="NS39" s="1">
        <v>32767</v>
      </c>
      <c r="NT39" s="1">
        <v>6</v>
      </c>
      <c r="NV39" s="1">
        <v>2846657550</v>
      </c>
      <c r="NW39" s="1">
        <v>3689</v>
      </c>
      <c r="NX39" s="1">
        <v>336</v>
      </c>
      <c r="NY39" s="1">
        <v>336</v>
      </c>
      <c r="NZ39" s="1">
        <v>11095</v>
      </c>
      <c r="OA39" s="1">
        <v>1</v>
      </c>
      <c r="OB39" s="1">
        <v>0</v>
      </c>
      <c r="OC39" s="1">
        <v>90</v>
      </c>
      <c r="OD39" s="1">
        <v>60003760</v>
      </c>
      <c r="OE39" s="1">
        <v>32767</v>
      </c>
      <c r="OF39" s="1">
        <v>0</v>
      </c>
      <c r="OH39" s="1">
        <v>2802939204</v>
      </c>
      <c r="OI39" s="1">
        <v>25598</v>
      </c>
      <c r="OJ39" s="1">
        <v>1718</v>
      </c>
      <c r="OK39" s="1">
        <v>1718</v>
      </c>
      <c r="OL39" s="1">
        <v>169479.97</v>
      </c>
      <c r="OM39" s="1">
        <v>1</v>
      </c>
      <c r="ON39" s="1">
        <v>0</v>
      </c>
      <c r="OO39" s="1">
        <v>90</v>
      </c>
      <c r="OP39" s="1">
        <v>60003760</v>
      </c>
      <c r="OQ39" s="1">
        <v>32767</v>
      </c>
      <c r="OR39" s="1">
        <v>0</v>
      </c>
      <c r="OT39" s="1">
        <v>2787043508</v>
      </c>
      <c r="OU39" s="1">
        <v>25600</v>
      </c>
      <c r="OV39" s="1">
        <v>1720</v>
      </c>
      <c r="OW39" s="1">
        <v>1720</v>
      </c>
      <c r="OX39" s="1">
        <v>32535.98</v>
      </c>
      <c r="OY39" s="1">
        <v>1</v>
      </c>
      <c r="OZ39" s="1">
        <v>0</v>
      </c>
      <c r="PA39" s="1">
        <v>90</v>
      </c>
      <c r="PB39" s="1">
        <v>60003760</v>
      </c>
      <c r="PC39" s="1">
        <v>32767</v>
      </c>
      <c r="PD39" s="1">
        <v>0</v>
      </c>
      <c r="PF39" s="1">
        <v>2858964132</v>
      </c>
      <c r="PG39" s="1">
        <v>16670</v>
      </c>
      <c r="PH39" s="1">
        <v>26760000</v>
      </c>
      <c r="PI39" s="1">
        <v>26760000</v>
      </c>
      <c r="PJ39" s="1">
        <v>129.82</v>
      </c>
      <c r="PK39" s="1">
        <v>1</v>
      </c>
      <c r="PL39" s="1">
        <v>0</v>
      </c>
      <c r="PM39" s="1">
        <v>90</v>
      </c>
      <c r="PN39" s="1">
        <v>60003760</v>
      </c>
      <c r="PO39" s="1">
        <v>32767</v>
      </c>
      <c r="PP39" s="1">
        <v>7</v>
      </c>
      <c r="PR39" s="1">
        <v>2827738089</v>
      </c>
      <c r="PS39" s="1">
        <v>10222</v>
      </c>
      <c r="PT39" s="1">
        <v>1</v>
      </c>
      <c r="PU39" s="1">
        <v>1</v>
      </c>
      <c r="PV39" s="1">
        <v>110167004.7</v>
      </c>
      <c r="PW39" s="1">
        <v>1</v>
      </c>
      <c r="PX39" s="1">
        <v>1</v>
      </c>
      <c r="PY39" s="1">
        <v>90</v>
      </c>
      <c r="PZ39" s="1">
        <v>60003760</v>
      </c>
      <c r="QA39" s="1">
        <v>-1</v>
      </c>
      <c r="QB39" s="1">
        <v>0</v>
      </c>
      <c r="QD39" s="1">
        <v>2875557525</v>
      </c>
      <c r="QE39" s="1">
        <v>9830</v>
      </c>
      <c r="QF39" s="1">
        <v>10470</v>
      </c>
      <c r="QG39" s="1">
        <v>10470</v>
      </c>
      <c r="QH39" s="1">
        <v>7888.85</v>
      </c>
      <c r="QI39" s="1">
        <v>1</v>
      </c>
      <c r="QJ39" s="1">
        <v>0</v>
      </c>
      <c r="QK39" s="1">
        <v>90</v>
      </c>
      <c r="QL39" s="1">
        <v>60003760</v>
      </c>
      <c r="QM39" s="1">
        <v>32767</v>
      </c>
      <c r="QN39" s="1">
        <v>0</v>
      </c>
      <c r="QP39" s="1">
        <v>2871849971</v>
      </c>
      <c r="QQ39" s="1">
        <v>16671</v>
      </c>
      <c r="QR39" s="1">
        <v>50000</v>
      </c>
      <c r="QS39" s="1">
        <v>50000</v>
      </c>
      <c r="QT39" s="1">
        <v>116.58</v>
      </c>
      <c r="QU39" s="1">
        <v>1</v>
      </c>
      <c r="QV39" s="1">
        <v>0</v>
      </c>
      <c r="QW39" s="1">
        <v>90</v>
      </c>
      <c r="QX39" s="1">
        <v>60003760</v>
      </c>
      <c r="QY39" s="1">
        <v>32767</v>
      </c>
      <c r="QZ39" s="1">
        <v>7</v>
      </c>
      <c r="RB39" s="1">
        <v>2873412950</v>
      </c>
      <c r="RC39" s="1">
        <v>16682</v>
      </c>
      <c r="RD39" s="1">
        <v>396750</v>
      </c>
      <c r="RE39" s="1">
        <v>396750</v>
      </c>
      <c r="RF39" s="1">
        <v>3350.54</v>
      </c>
      <c r="RG39" s="1">
        <v>1</v>
      </c>
      <c r="RH39" s="1">
        <v>0</v>
      </c>
      <c r="RI39" s="1">
        <v>90</v>
      </c>
      <c r="RJ39" s="1">
        <v>60003760</v>
      </c>
      <c r="RK39" s="1">
        <v>32767</v>
      </c>
      <c r="RL39" s="1">
        <v>8</v>
      </c>
      <c r="RN39" s="1">
        <v>2879032130</v>
      </c>
      <c r="RO39" s="1">
        <v>16678</v>
      </c>
      <c r="RP39" s="1">
        <v>2940000</v>
      </c>
      <c r="RQ39" s="1">
        <v>2740000</v>
      </c>
      <c r="RR39" s="1">
        <v>284.20999999999998</v>
      </c>
      <c r="RS39" s="1">
        <v>1</v>
      </c>
      <c r="RT39" s="1">
        <v>0</v>
      </c>
      <c r="RU39" s="1">
        <v>90</v>
      </c>
      <c r="RV39" s="1">
        <v>60003760</v>
      </c>
      <c r="RW39" s="1">
        <v>32767</v>
      </c>
      <c r="RX39" s="1">
        <v>0</v>
      </c>
      <c r="RZ39" s="1">
        <v>2865860635</v>
      </c>
      <c r="SA39" s="1">
        <v>30310</v>
      </c>
      <c r="SB39" s="1">
        <v>744</v>
      </c>
      <c r="SC39" s="1">
        <v>744</v>
      </c>
      <c r="SD39" s="1">
        <v>1288700.17</v>
      </c>
      <c r="SE39" s="1">
        <v>1</v>
      </c>
      <c r="SF39" s="1">
        <v>0</v>
      </c>
      <c r="SG39" s="1">
        <v>90</v>
      </c>
      <c r="SH39" s="1">
        <v>60003760</v>
      </c>
      <c r="SI39" s="1">
        <v>32767</v>
      </c>
      <c r="SJ39" s="1">
        <v>0</v>
      </c>
      <c r="SL39" s="1">
        <v>2876989145</v>
      </c>
      <c r="SM39" s="1">
        <v>30311</v>
      </c>
      <c r="SN39" s="1">
        <v>100</v>
      </c>
      <c r="SO39" s="1">
        <v>100</v>
      </c>
      <c r="SP39" s="1">
        <v>3129003</v>
      </c>
      <c r="SQ39" s="1">
        <v>1</v>
      </c>
      <c r="SR39" s="1">
        <v>0</v>
      </c>
      <c r="SS39" s="1">
        <v>90</v>
      </c>
      <c r="ST39" s="1">
        <v>60003760</v>
      </c>
      <c r="SU39" s="1">
        <v>32767</v>
      </c>
      <c r="SV39" s="1">
        <v>0</v>
      </c>
      <c r="SX39" s="1">
        <v>2789984021</v>
      </c>
      <c r="SY39" s="1">
        <v>25595</v>
      </c>
      <c r="SZ39" s="1">
        <v>7</v>
      </c>
      <c r="TA39" s="1">
        <v>7</v>
      </c>
      <c r="TB39" s="1">
        <v>107200.51</v>
      </c>
      <c r="TC39" s="1">
        <v>1</v>
      </c>
      <c r="TD39" s="1">
        <v>0</v>
      </c>
      <c r="TE39" s="1">
        <v>90</v>
      </c>
      <c r="TF39" s="1">
        <v>60003760</v>
      </c>
      <c r="TG39" s="1">
        <v>32767</v>
      </c>
      <c r="TH39" s="1">
        <v>6</v>
      </c>
      <c r="TJ39" s="1">
        <v>2854333914</v>
      </c>
      <c r="TK39" s="1">
        <v>25606</v>
      </c>
      <c r="TL39" s="1">
        <v>20000</v>
      </c>
      <c r="TM39" s="1">
        <v>16430</v>
      </c>
      <c r="TN39" s="1">
        <v>26499</v>
      </c>
      <c r="TO39" s="1">
        <v>1</v>
      </c>
      <c r="TP39" s="1">
        <v>0</v>
      </c>
      <c r="TQ39" s="1">
        <v>90</v>
      </c>
      <c r="TR39" s="1">
        <v>60003760</v>
      </c>
      <c r="TS39" s="1">
        <v>32767</v>
      </c>
      <c r="TT39" s="1">
        <v>0</v>
      </c>
      <c r="TV39" s="1">
        <v>2877371221</v>
      </c>
      <c r="TW39" s="1">
        <v>25622</v>
      </c>
      <c r="TX39" s="1">
        <v>9</v>
      </c>
      <c r="TY39" s="1">
        <v>9</v>
      </c>
      <c r="TZ39" s="1">
        <v>14815999</v>
      </c>
      <c r="UA39" s="1">
        <v>1</v>
      </c>
      <c r="UB39" s="1">
        <v>0</v>
      </c>
      <c r="UC39" s="1">
        <v>90</v>
      </c>
      <c r="UD39" s="1">
        <v>60003760</v>
      </c>
      <c r="UE39" s="1">
        <v>32767</v>
      </c>
      <c r="UF39" s="1">
        <v>0</v>
      </c>
      <c r="UH39" s="1">
        <v>2878281371</v>
      </c>
      <c r="UI39" s="1">
        <v>16680</v>
      </c>
      <c r="UJ39" s="1">
        <v>2250250</v>
      </c>
      <c r="UK39" s="1">
        <v>2250250</v>
      </c>
      <c r="UL39" s="1">
        <v>850</v>
      </c>
      <c r="UM39" s="1">
        <v>1</v>
      </c>
      <c r="UN39" s="1">
        <v>0</v>
      </c>
      <c r="UO39" s="1">
        <v>90</v>
      </c>
      <c r="UP39" s="1">
        <v>60003760</v>
      </c>
      <c r="UQ39" s="1">
        <v>32767</v>
      </c>
      <c r="UR39" s="1">
        <v>6</v>
      </c>
      <c r="UT39" s="1">
        <v>2850382518</v>
      </c>
      <c r="UU39" s="1">
        <v>17317</v>
      </c>
      <c r="UV39" s="1">
        <v>400</v>
      </c>
      <c r="UW39" s="1">
        <v>400</v>
      </c>
      <c r="UX39" s="1">
        <v>24120.11</v>
      </c>
      <c r="UY39" s="1">
        <v>1</v>
      </c>
      <c r="UZ39" s="1">
        <v>1</v>
      </c>
      <c r="VA39" s="1">
        <v>90</v>
      </c>
      <c r="VB39" s="1">
        <v>60003760</v>
      </c>
      <c r="VC39" s="1">
        <v>-1</v>
      </c>
      <c r="VD39" s="1">
        <v>0</v>
      </c>
      <c r="VF39"/>
      <c r="VG39"/>
      <c r="VH39"/>
      <c r="VI39"/>
      <c r="VJ39"/>
      <c r="VK39"/>
      <c r="VL39"/>
      <c r="VM39"/>
      <c r="VN39"/>
      <c r="VO39"/>
      <c r="VP39"/>
    </row>
    <row r="40" spans="2:588" x14ac:dyDescent="0.25">
      <c r="B40" s="1">
        <v>2874334370</v>
      </c>
      <c r="C40" s="1">
        <v>34</v>
      </c>
      <c r="D40" s="1">
        <v>2162044</v>
      </c>
      <c r="E40" s="1">
        <v>2162044</v>
      </c>
      <c r="F40" s="1">
        <v>5.62</v>
      </c>
      <c r="G40" s="1">
        <v>1</v>
      </c>
      <c r="H40" s="1">
        <v>0</v>
      </c>
      <c r="I40" s="1">
        <v>90</v>
      </c>
      <c r="J40" s="1">
        <v>60000448</v>
      </c>
      <c r="K40" s="1">
        <v>32767</v>
      </c>
      <c r="L40" s="1">
        <v>2</v>
      </c>
      <c r="N40" s="1">
        <v>2835685748</v>
      </c>
      <c r="O40" s="1">
        <v>35</v>
      </c>
      <c r="P40" s="1">
        <v>13208798</v>
      </c>
      <c r="Q40" s="1">
        <v>13208798</v>
      </c>
      <c r="R40" s="1">
        <v>16.5</v>
      </c>
      <c r="S40" s="1">
        <v>1</v>
      </c>
      <c r="T40" s="1">
        <v>0</v>
      </c>
      <c r="U40" s="1">
        <v>90</v>
      </c>
      <c r="V40" s="1">
        <v>60003760</v>
      </c>
      <c r="W40" s="1">
        <v>32767</v>
      </c>
      <c r="X40" s="1">
        <v>0</v>
      </c>
      <c r="Z40" s="1">
        <v>2757970370</v>
      </c>
      <c r="AA40" s="1">
        <v>36</v>
      </c>
      <c r="AB40" s="1">
        <v>3815123</v>
      </c>
      <c r="AC40" s="1">
        <v>3815123</v>
      </c>
      <c r="AD40" s="16">
        <v>60</v>
      </c>
      <c r="AE40" s="1">
        <v>1</v>
      </c>
      <c r="AF40" s="1">
        <v>0</v>
      </c>
      <c r="AG40" s="1">
        <v>90</v>
      </c>
      <c r="AH40" s="1">
        <v>60003760</v>
      </c>
      <c r="AI40" s="1">
        <v>32767</v>
      </c>
      <c r="AJ40" s="1">
        <v>11</v>
      </c>
      <c r="AL40" s="1">
        <v>2770735631</v>
      </c>
      <c r="AM40" s="1">
        <v>37</v>
      </c>
      <c r="AN40" s="1">
        <v>2952526</v>
      </c>
      <c r="AO40" s="1">
        <v>2026401</v>
      </c>
      <c r="AP40" s="16">
        <v>153.44999999999999</v>
      </c>
      <c r="AQ40" s="1">
        <v>1</v>
      </c>
      <c r="AR40" s="1">
        <v>0</v>
      </c>
      <c r="AS40" s="1">
        <v>90</v>
      </c>
      <c r="AT40" s="1">
        <v>60003760</v>
      </c>
      <c r="AU40" s="1">
        <v>32767</v>
      </c>
      <c r="AV40" s="1">
        <v>9</v>
      </c>
      <c r="AX40" s="1">
        <v>2712512442</v>
      </c>
      <c r="AY40" s="1">
        <v>38</v>
      </c>
      <c r="AZ40" s="1">
        <v>11128</v>
      </c>
      <c r="BA40" s="1">
        <v>11128</v>
      </c>
      <c r="BB40" s="1">
        <v>880</v>
      </c>
      <c r="BC40" s="1">
        <v>1</v>
      </c>
      <c r="BD40" s="1">
        <v>0</v>
      </c>
      <c r="BE40" s="1">
        <v>90</v>
      </c>
      <c r="BF40" s="1">
        <v>60003760</v>
      </c>
      <c r="BG40" s="1">
        <v>32767</v>
      </c>
      <c r="BH40" s="1">
        <v>5</v>
      </c>
      <c r="BJ40" s="1">
        <v>2863066162</v>
      </c>
      <c r="BK40" s="1">
        <v>39</v>
      </c>
      <c r="BL40" s="1">
        <v>3274</v>
      </c>
      <c r="BM40" s="1">
        <v>3274</v>
      </c>
      <c r="BN40" s="1">
        <v>821.97</v>
      </c>
      <c r="BO40" s="1">
        <v>1</v>
      </c>
      <c r="BP40" s="1">
        <v>0</v>
      </c>
      <c r="BQ40" s="1">
        <v>90</v>
      </c>
      <c r="BR40" s="1">
        <v>60003760</v>
      </c>
      <c r="BS40" s="1">
        <v>32767</v>
      </c>
      <c r="BT40" s="1">
        <v>5</v>
      </c>
      <c r="BV40" s="1">
        <v>2388850579</v>
      </c>
      <c r="BW40" s="1">
        <v>40</v>
      </c>
      <c r="BX40" s="1">
        <v>27</v>
      </c>
      <c r="BY40" s="1">
        <v>27</v>
      </c>
      <c r="BZ40" s="1">
        <v>2902.57</v>
      </c>
      <c r="CA40" s="1">
        <v>1</v>
      </c>
      <c r="CB40" s="1">
        <v>0</v>
      </c>
      <c r="CC40" s="1">
        <v>90</v>
      </c>
      <c r="CD40" s="1">
        <v>60003760</v>
      </c>
      <c r="CE40" s="1">
        <v>32767</v>
      </c>
      <c r="CF40" s="1">
        <v>13</v>
      </c>
      <c r="CH40" s="1">
        <v>2348476560</v>
      </c>
      <c r="CI40" s="1">
        <v>29668</v>
      </c>
      <c r="CJ40" s="1">
        <v>5</v>
      </c>
      <c r="CK40" s="1">
        <v>5</v>
      </c>
      <c r="CL40" s="1">
        <v>590000000</v>
      </c>
      <c r="CM40" s="1">
        <v>1</v>
      </c>
      <c r="CN40" s="1">
        <v>0</v>
      </c>
      <c r="CO40" s="1">
        <v>90</v>
      </c>
      <c r="CP40" s="1">
        <v>60003760</v>
      </c>
      <c r="CQ40" s="1">
        <v>32767</v>
      </c>
      <c r="CR40" s="1">
        <v>0</v>
      </c>
      <c r="CT40" s="1">
        <v>2415808939</v>
      </c>
      <c r="CU40" s="1">
        <v>16649</v>
      </c>
      <c r="CV40" s="1">
        <v>71400</v>
      </c>
      <c r="CW40" s="1">
        <v>69900</v>
      </c>
      <c r="CX40" s="1">
        <v>107694.94</v>
      </c>
      <c r="CY40" s="1">
        <v>1</v>
      </c>
      <c r="CZ40" s="1">
        <v>0</v>
      </c>
      <c r="DA40" s="1">
        <v>7</v>
      </c>
      <c r="DB40" s="1">
        <v>60003760</v>
      </c>
      <c r="DC40" s="1">
        <v>32767</v>
      </c>
      <c r="DD40" s="1">
        <v>0</v>
      </c>
      <c r="DF40" s="1">
        <v>2411276115</v>
      </c>
      <c r="DG40" s="1">
        <v>17887</v>
      </c>
      <c r="DH40" s="1">
        <v>365</v>
      </c>
      <c r="DI40" s="1">
        <v>365</v>
      </c>
      <c r="DJ40" s="1">
        <v>1019.18</v>
      </c>
      <c r="DK40" s="1">
        <v>1</v>
      </c>
      <c r="DL40" s="1">
        <v>0</v>
      </c>
      <c r="DM40" s="1">
        <v>30</v>
      </c>
      <c r="DN40" s="1">
        <v>60003760</v>
      </c>
      <c r="DO40" s="1">
        <v>32767</v>
      </c>
      <c r="DP40" s="1">
        <v>0</v>
      </c>
      <c r="DR40" s="1">
        <v>2863402958</v>
      </c>
      <c r="DS40" s="1">
        <v>17888</v>
      </c>
      <c r="DT40" s="1">
        <v>5693</v>
      </c>
      <c r="DU40" s="1">
        <v>5693</v>
      </c>
      <c r="DV40" s="1">
        <v>342</v>
      </c>
      <c r="DW40" s="1">
        <v>1</v>
      </c>
      <c r="DX40" s="1">
        <v>0</v>
      </c>
      <c r="DY40" s="1">
        <v>90</v>
      </c>
      <c r="DZ40" s="1">
        <v>60003109</v>
      </c>
      <c r="EA40" s="1">
        <v>32767</v>
      </c>
      <c r="EB40" s="1">
        <v>10</v>
      </c>
      <c r="ED40" s="1">
        <v>2866950053</v>
      </c>
      <c r="EE40" s="1">
        <v>16273</v>
      </c>
      <c r="EF40" s="1">
        <v>5000000</v>
      </c>
      <c r="EG40" s="1">
        <v>5000000</v>
      </c>
      <c r="EH40" s="1">
        <v>383.69</v>
      </c>
      <c r="EI40" s="1">
        <v>1</v>
      </c>
      <c r="EJ40" s="1">
        <v>0</v>
      </c>
      <c r="EK40" s="1">
        <v>90</v>
      </c>
      <c r="EL40" s="1">
        <v>60003760</v>
      </c>
      <c r="EM40" s="1">
        <v>32767</v>
      </c>
      <c r="EN40" s="1">
        <v>6</v>
      </c>
      <c r="EP40" s="1">
        <v>2876877023</v>
      </c>
      <c r="EQ40" s="1">
        <v>17889</v>
      </c>
      <c r="ER40" s="1">
        <v>825049</v>
      </c>
      <c r="ES40" s="1">
        <v>378337</v>
      </c>
      <c r="ET40" s="1">
        <v>374</v>
      </c>
      <c r="EU40" s="1">
        <v>1</v>
      </c>
      <c r="EV40" s="1">
        <v>0</v>
      </c>
      <c r="EW40" s="1">
        <v>90</v>
      </c>
      <c r="EX40" s="1">
        <v>60003760</v>
      </c>
      <c r="EY40" s="1">
        <v>32767</v>
      </c>
      <c r="EZ40" s="1">
        <v>7</v>
      </c>
      <c r="FB40" s="1">
        <v>2877809039</v>
      </c>
      <c r="FC40" s="1">
        <v>30259</v>
      </c>
      <c r="FD40" s="1">
        <v>11</v>
      </c>
      <c r="FE40" s="1">
        <v>11</v>
      </c>
      <c r="FF40" s="1">
        <v>5798451.7999999998</v>
      </c>
      <c r="FG40" s="1">
        <v>1</v>
      </c>
      <c r="FH40" s="1">
        <v>0</v>
      </c>
      <c r="FI40" s="1">
        <v>30</v>
      </c>
      <c r="FJ40" s="1">
        <v>60003760</v>
      </c>
      <c r="FK40" s="1">
        <v>32767</v>
      </c>
      <c r="FL40" s="1">
        <v>0</v>
      </c>
      <c r="FN40" s="1">
        <v>2876249924</v>
      </c>
      <c r="FO40" s="1">
        <v>25617</v>
      </c>
      <c r="FP40" s="1">
        <v>11</v>
      </c>
      <c r="FQ40" s="1">
        <v>11</v>
      </c>
      <c r="FR40" s="1">
        <v>4999000000</v>
      </c>
      <c r="FS40" s="1">
        <v>1</v>
      </c>
      <c r="FT40" s="1">
        <v>0</v>
      </c>
      <c r="FU40" s="1">
        <v>90</v>
      </c>
      <c r="FV40" s="1">
        <v>60003760</v>
      </c>
      <c r="FW40" s="1">
        <v>32767</v>
      </c>
      <c r="FX40" s="1">
        <v>0</v>
      </c>
      <c r="FZ40" s="1">
        <v>2869760913</v>
      </c>
      <c r="GA40" s="1">
        <v>44</v>
      </c>
      <c r="GB40" s="1">
        <v>56575</v>
      </c>
      <c r="GC40" s="1">
        <v>6012</v>
      </c>
      <c r="GD40" s="1">
        <v>13100</v>
      </c>
      <c r="GE40" s="1">
        <v>1</v>
      </c>
      <c r="GF40" s="1">
        <v>0</v>
      </c>
      <c r="GG40" s="1">
        <v>30</v>
      </c>
      <c r="GH40" s="1">
        <v>60003760</v>
      </c>
      <c r="GI40" s="1">
        <v>32767</v>
      </c>
      <c r="GJ40" s="1">
        <v>4</v>
      </c>
      <c r="GL40" s="1">
        <v>2414992366</v>
      </c>
      <c r="GM40" s="1">
        <v>16681</v>
      </c>
      <c r="GN40" s="1">
        <v>583500</v>
      </c>
      <c r="GO40" s="1">
        <v>583500</v>
      </c>
      <c r="GP40" s="1">
        <v>6182.95</v>
      </c>
      <c r="GQ40" s="1">
        <v>1</v>
      </c>
      <c r="GR40" s="1">
        <v>0</v>
      </c>
      <c r="GS40" s="1">
        <v>90</v>
      </c>
      <c r="GT40" s="1">
        <v>60003760</v>
      </c>
      <c r="GU40" s="1">
        <v>32767</v>
      </c>
      <c r="GV40" s="1">
        <v>0</v>
      </c>
      <c r="GX40" s="1">
        <v>2878173507</v>
      </c>
      <c r="GY40" s="1">
        <v>16683</v>
      </c>
      <c r="GZ40" s="1">
        <v>50000</v>
      </c>
      <c r="HA40" s="1">
        <v>43955</v>
      </c>
      <c r="HB40" s="1">
        <v>8611.89</v>
      </c>
      <c r="HC40" s="1">
        <v>1</v>
      </c>
      <c r="HD40" s="1">
        <v>0</v>
      </c>
      <c r="HE40" s="1">
        <v>90</v>
      </c>
      <c r="HF40" s="1">
        <v>60003760</v>
      </c>
      <c r="HG40" s="1">
        <v>32767</v>
      </c>
      <c r="HH40" s="1">
        <v>0</v>
      </c>
      <c r="HJ40"/>
      <c r="HK40"/>
      <c r="HL40"/>
      <c r="HM40"/>
      <c r="HN40"/>
      <c r="HO40"/>
      <c r="HP40"/>
      <c r="HQ40"/>
      <c r="HR40"/>
      <c r="HS40"/>
      <c r="HT40"/>
      <c r="HV40" s="1">
        <v>2722605801</v>
      </c>
      <c r="HW40" s="1">
        <v>16274</v>
      </c>
      <c r="HX40" s="1">
        <v>6541666</v>
      </c>
      <c r="HY40" s="1">
        <v>444708</v>
      </c>
      <c r="HZ40" s="1">
        <v>370</v>
      </c>
      <c r="IA40" s="1">
        <v>1</v>
      </c>
      <c r="IB40" s="1">
        <v>0</v>
      </c>
      <c r="IC40" s="1">
        <v>90</v>
      </c>
      <c r="ID40" s="1">
        <v>60003760</v>
      </c>
      <c r="IE40" s="1">
        <v>32767</v>
      </c>
      <c r="IF40" s="1">
        <v>2</v>
      </c>
      <c r="IH40" s="1">
        <v>2868538783</v>
      </c>
      <c r="II40" s="1">
        <v>10213</v>
      </c>
      <c r="IJ40" s="1">
        <v>3</v>
      </c>
      <c r="IK40" s="1">
        <v>3</v>
      </c>
      <c r="IL40" s="1">
        <v>112000501</v>
      </c>
      <c r="IM40" s="1">
        <v>1</v>
      </c>
      <c r="IN40" s="1">
        <v>1</v>
      </c>
      <c r="IO40" s="1">
        <v>30</v>
      </c>
      <c r="IP40" s="1">
        <v>60003760</v>
      </c>
      <c r="IQ40" s="1">
        <v>-1</v>
      </c>
      <c r="IR40" s="1">
        <v>0</v>
      </c>
      <c r="IT40" s="1">
        <v>2840068918</v>
      </c>
      <c r="IU40" s="1">
        <v>16679</v>
      </c>
      <c r="IV40" s="1">
        <v>250000</v>
      </c>
      <c r="IW40" s="1">
        <v>250000</v>
      </c>
      <c r="IX40" s="1">
        <v>2150</v>
      </c>
      <c r="IY40" s="1">
        <v>1</v>
      </c>
      <c r="IZ40" s="1">
        <v>0</v>
      </c>
      <c r="JA40" s="1">
        <v>90</v>
      </c>
      <c r="JB40" s="1">
        <v>60003760</v>
      </c>
      <c r="JC40" s="1">
        <v>32767</v>
      </c>
      <c r="JD40" s="1">
        <v>0</v>
      </c>
      <c r="JF40" s="1">
        <v>2875455539</v>
      </c>
      <c r="JG40" s="1">
        <v>16272</v>
      </c>
      <c r="JH40" s="1">
        <v>572280</v>
      </c>
      <c r="JI40" s="1">
        <v>10280</v>
      </c>
      <c r="JJ40" s="1">
        <v>78.45</v>
      </c>
      <c r="JK40" s="1">
        <v>1</v>
      </c>
      <c r="JL40" s="1">
        <v>0</v>
      </c>
      <c r="JM40" s="1">
        <v>90</v>
      </c>
      <c r="JN40" s="1">
        <v>60003760</v>
      </c>
      <c r="JO40" s="1">
        <v>32767</v>
      </c>
      <c r="JP40" s="1">
        <v>6</v>
      </c>
      <c r="JR40" s="1">
        <v>2864083624</v>
      </c>
      <c r="JS40" s="1">
        <v>10226</v>
      </c>
      <c r="JT40" s="1">
        <v>1</v>
      </c>
      <c r="JU40" s="1">
        <v>1</v>
      </c>
      <c r="JV40" s="1">
        <v>105000001.01000001</v>
      </c>
      <c r="JW40" s="1">
        <v>1</v>
      </c>
      <c r="JX40" s="1">
        <v>1</v>
      </c>
      <c r="JY40" s="1">
        <v>90</v>
      </c>
      <c r="JZ40" s="1">
        <v>60003760</v>
      </c>
      <c r="KA40" s="1">
        <v>10</v>
      </c>
      <c r="KB40" s="1">
        <v>0</v>
      </c>
      <c r="KD40" s="1">
        <v>2318278624</v>
      </c>
      <c r="KE40" s="1">
        <v>25605</v>
      </c>
      <c r="KF40" s="1">
        <v>1755</v>
      </c>
      <c r="KG40" s="1">
        <v>1755</v>
      </c>
      <c r="KH40" s="1">
        <v>194898</v>
      </c>
      <c r="KI40" s="1">
        <v>1</v>
      </c>
      <c r="KJ40" s="1">
        <v>0</v>
      </c>
      <c r="KK40" s="1">
        <v>90</v>
      </c>
      <c r="KL40" s="1">
        <v>60003760</v>
      </c>
      <c r="KM40" s="1">
        <v>32767</v>
      </c>
      <c r="KN40" s="1">
        <v>6</v>
      </c>
      <c r="KP40" s="1">
        <v>2863638774</v>
      </c>
      <c r="KQ40" s="1">
        <v>25624</v>
      </c>
      <c r="KR40" s="1">
        <v>7</v>
      </c>
      <c r="KS40" s="1">
        <v>1</v>
      </c>
      <c r="KT40" s="1">
        <v>18825950</v>
      </c>
      <c r="KU40" s="1">
        <v>1</v>
      </c>
      <c r="KV40" s="1">
        <v>0</v>
      </c>
      <c r="KW40" s="1">
        <v>90</v>
      </c>
      <c r="KX40" s="1">
        <v>60003760</v>
      </c>
      <c r="KY40" s="1">
        <v>32767</v>
      </c>
      <c r="KZ40" s="1">
        <v>1</v>
      </c>
      <c r="LB40" s="1">
        <v>2840924649</v>
      </c>
      <c r="LC40" s="1">
        <v>9832</v>
      </c>
      <c r="LD40" s="1">
        <v>10000</v>
      </c>
      <c r="LE40" s="1">
        <v>10000</v>
      </c>
      <c r="LF40" s="1">
        <v>9728</v>
      </c>
      <c r="LG40" s="1">
        <v>1</v>
      </c>
      <c r="LH40" s="1">
        <v>0</v>
      </c>
      <c r="LI40" s="1">
        <v>90</v>
      </c>
      <c r="LJ40" s="1">
        <v>60003760</v>
      </c>
      <c r="LK40" s="1">
        <v>32767</v>
      </c>
      <c r="LL40" s="1">
        <v>0</v>
      </c>
      <c r="LN40" s="1">
        <v>2771636639</v>
      </c>
      <c r="LO40" s="1">
        <v>10209</v>
      </c>
      <c r="LP40" s="1">
        <v>1</v>
      </c>
      <c r="LQ40" s="1">
        <v>1</v>
      </c>
      <c r="LR40" s="1">
        <v>75000000</v>
      </c>
      <c r="LS40" s="1">
        <v>1</v>
      </c>
      <c r="LT40" s="1">
        <v>1</v>
      </c>
      <c r="LU40" s="1">
        <v>90</v>
      </c>
      <c r="LV40" s="1">
        <v>60003760</v>
      </c>
      <c r="LW40" s="1">
        <v>-1</v>
      </c>
      <c r="LX40" s="1">
        <v>0</v>
      </c>
      <c r="LZ40" s="1">
        <v>2859116790</v>
      </c>
      <c r="MA40" s="1">
        <v>10217</v>
      </c>
      <c r="MB40" s="1">
        <v>20</v>
      </c>
      <c r="MC40" s="1">
        <v>19</v>
      </c>
      <c r="MD40" s="1">
        <v>110501000</v>
      </c>
      <c r="ME40" s="1">
        <v>1</v>
      </c>
      <c r="MF40" s="1">
        <v>1</v>
      </c>
      <c r="MG40" s="1">
        <v>90</v>
      </c>
      <c r="MH40" s="1">
        <v>60003760</v>
      </c>
      <c r="MI40" s="1">
        <v>-1</v>
      </c>
      <c r="MJ40" s="1">
        <v>0</v>
      </c>
      <c r="ML40" s="1">
        <v>2834638159</v>
      </c>
      <c r="MM40" s="1">
        <v>25625</v>
      </c>
      <c r="MN40" s="1">
        <v>107</v>
      </c>
      <c r="MO40" s="1">
        <v>9</v>
      </c>
      <c r="MP40" s="1">
        <v>4937998.9400000004</v>
      </c>
      <c r="MQ40" s="1">
        <v>1</v>
      </c>
      <c r="MR40" s="1">
        <v>0</v>
      </c>
      <c r="MS40" s="1">
        <v>30</v>
      </c>
      <c r="MT40" s="1">
        <v>60003760</v>
      </c>
      <c r="MU40" s="1">
        <v>32767</v>
      </c>
      <c r="MV40" s="1">
        <v>0</v>
      </c>
      <c r="MX40" s="1">
        <v>2875588338</v>
      </c>
      <c r="MY40" s="1">
        <v>16672</v>
      </c>
      <c r="MZ40" s="1">
        <v>3978867</v>
      </c>
      <c r="NA40" s="1">
        <v>3978867</v>
      </c>
      <c r="NB40" s="1">
        <v>139.97999999999999</v>
      </c>
      <c r="NC40" s="1">
        <v>1</v>
      </c>
      <c r="ND40" s="1">
        <v>0</v>
      </c>
      <c r="NE40" s="1">
        <v>90</v>
      </c>
      <c r="NF40" s="1">
        <v>60003760</v>
      </c>
      <c r="NG40" s="1">
        <v>32767</v>
      </c>
      <c r="NH40" s="1">
        <v>0</v>
      </c>
      <c r="NJ40" s="1">
        <v>2851125447</v>
      </c>
      <c r="NK40" s="1">
        <v>16673</v>
      </c>
      <c r="NL40" s="1">
        <v>4581346</v>
      </c>
      <c r="NM40" s="1">
        <v>4581346</v>
      </c>
      <c r="NN40" s="1">
        <v>124.37</v>
      </c>
      <c r="NO40" s="1">
        <v>1</v>
      </c>
      <c r="NP40" s="1">
        <v>0</v>
      </c>
      <c r="NQ40" s="1">
        <v>90</v>
      </c>
      <c r="NR40" s="1">
        <v>60003760</v>
      </c>
      <c r="NS40" s="1">
        <v>32767</v>
      </c>
      <c r="NT40" s="1">
        <v>6</v>
      </c>
      <c r="NV40" s="1">
        <v>2846918060</v>
      </c>
      <c r="NW40" s="1">
        <v>3689</v>
      </c>
      <c r="NX40" s="1">
        <v>1465</v>
      </c>
      <c r="NY40" s="1">
        <v>1465</v>
      </c>
      <c r="NZ40" s="1">
        <v>11091.98</v>
      </c>
      <c r="OA40" s="1">
        <v>1</v>
      </c>
      <c r="OB40" s="1">
        <v>0</v>
      </c>
      <c r="OC40" s="1">
        <v>90</v>
      </c>
      <c r="OD40" s="1">
        <v>60003760</v>
      </c>
      <c r="OE40" s="1">
        <v>32767</v>
      </c>
      <c r="OF40" s="1">
        <v>0</v>
      </c>
      <c r="OH40" s="1">
        <v>2802657485</v>
      </c>
      <c r="OI40" s="1">
        <v>25598</v>
      </c>
      <c r="OJ40" s="1">
        <v>5827</v>
      </c>
      <c r="OK40" s="1">
        <v>5827</v>
      </c>
      <c r="OL40" s="1">
        <v>170000</v>
      </c>
      <c r="OM40" s="1">
        <v>1</v>
      </c>
      <c r="ON40" s="1">
        <v>0</v>
      </c>
      <c r="OO40" s="1">
        <v>90</v>
      </c>
      <c r="OP40" s="1">
        <v>60003760</v>
      </c>
      <c r="OQ40" s="1">
        <v>32767</v>
      </c>
      <c r="OR40" s="1">
        <v>0</v>
      </c>
      <c r="OT40" s="1">
        <v>2787316823</v>
      </c>
      <c r="OU40" s="1">
        <v>25600</v>
      </c>
      <c r="OV40" s="1">
        <v>14</v>
      </c>
      <c r="OW40" s="1">
        <v>14</v>
      </c>
      <c r="OX40" s="1">
        <v>39000</v>
      </c>
      <c r="OY40" s="1">
        <v>1</v>
      </c>
      <c r="OZ40" s="1">
        <v>0</v>
      </c>
      <c r="PA40" s="1">
        <v>90</v>
      </c>
      <c r="PB40" s="1">
        <v>60003760</v>
      </c>
      <c r="PC40" s="1">
        <v>32767</v>
      </c>
      <c r="PD40" s="1">
        <v>0</v>
      </c>
      <c r="PF40" s="1">
        <v>2858894077</v>
      </c>
      <c r="PG40" s="1">
        <v>16670</v>
      </c>
      <c r="PH40" s="1">
        <v>500000</v>
      </c>
      <c r="PI40" s="1">
        <v>500000</v>
      </c>
      <c r="PJ40" s="1">
        <v>129.99</v>
      </c>
      <c r="PK40" s="1">
        <v>1</v>
      </c>
      <c r="PL40" s="1">
        <v>0</v>
      </c>
      <c r="PM40" s="1">
        <v>90</v>
      </c>
      <c r="PN40" s="1">
        <v>60003760</v>
      </c>
      <c r="PO40" s="1">
        <v>32767</v>
      </c>
      <c r="PP40" s="1">
        <v>7</v>
      </c>
      <c r="PR40" s="1">
        <v>2829420743</v>
      </c>
      <c r="PS40" s="1">
        <v>10222</v>
      </c>
      <c r="PT40" s="1">
        <v>2</v>
      </c>
      <c r="PU40" s="1">
        <v>2</v>
      </c>
      <c r="PV40" s="1">
        <v>75000001</v>
      </c>
      <c r="PW40" s="1">
        <v>1</v>
      </c>
      <c r="PX40" s="1">
        <v>1</v>
      </c>
      <c r="PY40" s="1">
        <v>90</v>
      </c>
      <c r="PZ40" s="1">
        <v>60003760</v>
      </c>
      <c r="QA40" s="1">
        <v>10</v>
      </c>
      <c r="QB40" s="1">
        <v>0</v>
      </c>
      <c r="QD40" s="1">
        <v>2875128073</v>
      </c>
      <c r="QE40" s="1">
        <v>9830</v>
      </c>
      <c r="QF40" s="1">
        <v>56053</v>
      </c>
      <c r="QG40" s="1">
        <v>56053</v>
      </c>
      <c r="QH40" s="1">
        <v>7900</v>
      </c>
      <c r="QI40" s="1">
        <v>1</v>
      </c>
      <c r="QJ40" s="1">
        <v>0</v>
      </c>
      <c r="QK40" s="1">
        <v>90</v>
      </c>
      <c r="QL40" s="1">
        <v>60003760</v>
      </c>
      <c r="QM40" s="1">
        <v>32767</v>
      </c>
      <c r="QN40" s="1">
        <v>0</v>
      </c>
      <c r="QP40" s="1">
        <v>2871850889</v>
      </c>
      <c r="QQ40" s="1">
        <v>16671</v>
      </c>
      <c r="QR40" s="1">
        <v>50000</v>
      </c>
      <c r="QS40" s="1">
        <v>50000</v>
      </c>
      <c r="QT40" s="1">
        <v>116.59</v>
      </c>
      <c r="QU40" s="1">
        <v>1</v>
      </c>
      <c r="QV40" s="1">
        <v>0</v>
      </c>
      <c r="QW40" s="1">
        <v>90</v>
      </c>
      <c r="QX40" s="1">
        <v>60003760</v>
      </c>
      <c r="QY40" s="1">
        <v>32767</v>
      </c>
      <c r="QZ40" s="1">
        <v>7</v>
      </c>
      <c r="RB40" s="1">
        <v>2873413461</v>
      </c>
      <c r="RC40" s="1">
        <v>16682</v>
      </c>
      <c r="RD40" s="1">
        <v>216000</v>
      </c>
      <c r="RE40" s="1">
        <v>110066</v>
      </c>
      <c r="RF40" s="1">
        <v>3350.53</v>
      </c>
      <c r="RG40" s="1">
        <v>1</v>
      </c>
      <c r="RH40" s="1">
        <v>0</v>
      </c>
      <c r="RI40" s="1">
        <v>90</v>
      </c>
      <c r="RJ40" s="1">
        <v>60003760</v>
      </c>
      <c r="RK40" s="1">
        <v>32767</v>
      </c>
      <c r="RL40" s="1">
        <v>8</v>
      </c>
      <c r="RN40" s="1">
        <v>2878858067</v>
      </c>
      <c r="RO40" s="1">
        <v>16678</v>
      </c>
      <c r="RP40" s="1">
        <v>5268000</v>
      </c>
      <c r="RQ40" s="1">
        <v>2095532</v>
      </c>
      <c r="RR40" s="1">
        <v>284.2</v>
      </c>
      <c r="RS40" s="1">
        <v>1</v>
      </c>
      <c r="RT40" s="1">
        <v>0</v>
      </c>
      <c r="RU40" s="1">
        <v>90</v>
      </c>
      <c r="RV40" s="1">
        <v>60003760</v>
      </c>
      <c r="RW40" s="1">
        <v>32767</v>
      </c>
      <c r="RX40" s="1">
        <v>0</v>
      </c>
      <c r="RZ40" s="1">
        <v>2857419820</v>
      </c>
      <c r="SA40" s="1">
        <v>30310</v>
      </c>
      <c r="SB40" s="1">
        <v>64</v>
      </c>
      <c r="SC40" s="1">
        <v>64</v>
      </c>
      <c r="SD40" s="1">
        <v>1288699.95</v>
      </c>
      <c r="SE40" s="1">
        <v>1</v>
      </c>
      <c r="SF40" s="1">
        <v>0</v>
      </c>
      <c r="SG40" s="1">
        <v>90</v>
      </c>
      <c r="SH40" s="1">
        <v>60003760</v>
      </c>
      <c r="SI40" s="1">
        <v>32767</v>
      </c>
      <c r="SJ40" s="1">
        <v>0</v>
      </c>
      <c r="SL40" s="1">
        <v>2875882925</v>
      </c>
      <c r="SM40" s="1">
        <v>30311</v>
      </c>
      <c r="SN40" s="1">
        <v>97</v>
      </c>
      <c r="SO40" s="1">
        <v>97</v>
      </c>
      <c r="SP40" s="1">
        <v>3129002.97</v>
      </c>
      <c r="SQ40" s="1">
        <v>1</v>
      </c>
      <c r="SR40" s="1">
        <v>0</v>
      </c>
      <c r="SS40" s="1">
        <v>90</v>
      </c>
      <c r="ST40" s="1">
        <v>60003760</v>
      </c>
      <c r="SU40" s="1">
        <v>32767</v>
      </c>
      <c r="SV40" s="1">
        <v>0</v>
      </c>
      <c r="SX40" s="1">
        <v>2783315977</v>
      </c>
      <c r="SY40" s="1">
        <v>25595</v>
      </c>
      <c r="SZ40" s="1">
        <v>344</v>
      </c>
      <c r="TA40" s="1">
        <v>344</v>
      </c>
      <c r="TB40" s="1">
        <v>103490.86</v>
      </c>
      <c r="TC40" s="1">
        <v>1</v>
      </c>
      <c r="TD40" s="1">
        <v>0</v>
      </c>
      <c r="TE40" s="1">
        <v>90</v>
      </c>
      <c r="TF40" s="1">
        <v>60003760</v>
      </c>
      <c r="TG40" s="1">
        <v>32767</v>
      </c>
      <c r="TH40" s="1">
        <v>6</v>
      </c>
      <c r="TJ40" s="1">
        <v>2854059286</v>
      </c>
      <c r="TK40" s="1">
        <v>25606</v>
      </c>
      <c r="TL40" s="1">
        <v>12072</v>
      </c>
      <c r="TM40" s="1">
        <v>12072</v>
      </c>
      <c r="TN40" s="1">
        <v>26994.98</v>
      </c>
      <c r="TO40" s="1">
        <v>1</v>
      </c>
      <c r="TP40" s="1">
        <v>0</v>
      </c>
      <c r="TQ40" s="1">
        <v>90</v>
      </c>
      <c r="TR40" s="1">
        <v>60003760</v>
      </c>
      <c r="TS40" s="1">
        <v>32767</v>
      </c>
      <c r="TT40" s="1">
        <v>0</v>
      </c>
      <c r="TV40" s="1">
        <v>2876996410</v>
      </c>
      <c r="TW40" s="1">
        <v>25622</v>
      </c>
      <c r="TX40" s="1">
        <v>4</v>
      </c>
      <c r="TY40" s="1">
        <v>4</v>
      </c>
      <c r="TZ40" s="1">
        <v>14997000.07</v>
      </c>
      <c r="UA40" s="1">
        <v>1</v>
      </c>
      <c r="UB40" s="1">
        <v>0</v>
      </c>
      <c r="UC40" s="1">
        <v>90</v>
      </c>
      <c r="UD40" s="1">
        <v>60003760</v>
      </c>
      <c r="UE40" s="1">
        <v>32767</v>
      </c>
      <c r="UF40" s="1">
        <v>0</v>
      </c>
      <c r="UH40" s="1">
        <v>2876684265</v>
      </c>
      <c r="UI40" s="1">
        <v>16680</v>
      </c>
      <c r="UJ40" s="1">
        <v>180400</v>
      </c>
      <c r="UK40" s="1">
        <v>180400</v>
      </c>
      <c r="UL40" s="1">
        <v>703</v>
      </c>
      <c r="UM40" s="1">
        <v>1</v>
      </c>
      <c r="UN40" s="1">
        <v>0</v>
      </c>
      <c r="UO40" s="1">
        <v>90</v>
      </c>
      <c r="UP40" s="1">
        <v>60003760</v>
      </c>
      <c r="UQ40" s="1">
        <v>32767</v>
      </c>
      <c r="UR40" s="1">
        <v>6</v>
      </c>
      <c r="UT40" s="1">
        <v>2397786473</v>
      </c>
      <c r="UU40" s="1">
        <v>17317</v>
      </c>
      <c r="UV40" s="1">
        <v>200000</v>
      </c>
      <c r="UW40" s="1">
        <v>200000</v>
      </c>
      <c r="UX40" s="1">
        <v>15002.01</v>
      </c>
      <c r="UY40" s="1">
        <v>1</v>
      </c>
      <c r="UZ40" s="1">
        <v>1</v>
      </c>
      <c r="VA40" s="1">
        <v>90</v>
      </c>
      <c r="VB40" s="1">
        <v>60003760</v>
      </c>
      <c r="VC40" s="1">
        <v>-1</v>
      </c>
      <c r="VD40" s="1">
        <v>0</v>
      </c>
      <c r="VF40"/>
      <c r="VG40"/>
      <c r="VH40"/>
      <c r="VI40"/>
      <c r="VJ40"/>
      <c r="VK40"/>
      <c r="VL40"/>
      <c r="VM40"/>
      <c r="VN40"/>
      <c r="VO40"/>
      <c r="VP40"/>
    </row>
    <row r="41" spans="2:588" x14ac:dyDescent="0.25">
      <c r="B41" s="1">
        <v>2844127028</v>
      </c>
      <c r="C41" s="1">
        <v>34</v>
      </c>
      <c r="D41" s="1">
        <v>1080000</v>
      </c>
      <c r="E41" s="1">
        <v>1080000</v>
      </c>
      <c r="F41" s="1">
        <v>5.97</v>
      </c>
      <c r="G41" s="1">
        <v>1</v>
      </c>
      <c r="H41" s="1">
        <v>0</v>
      </c>
      <c r="I41" s="1">
        <v>90</v>
      </c>
      <c r="J41" s="1">
        <v>60003763</v>
      </c>
      <c r="K41" s="1">
        <v>32767</v>
      </c>
      <c r="L41" s="1">
        <v>1</v>
      </c>
      <c r="N41" s="1">
        <v>2836025700</v>
      </c>
      <c r="O41" s="1">
        <v>35</v>
      </c>
      <c r="P41" s="1">
        <v>2825965</v>
      </c>
      <c r="Q41" s="1">
        <v>2825965</v>
      </c>
      <c r="R41" s="1">
        <v>16</v>
      </c>
      <c r="S41" s="1">
        <v>1</v>
      </c>
      <c r="T41" s="1">
        <v>0</v>
      </c>
      <c r="U41" s="1">
        <v>90</v>
      </c>
      <c r="V41" s="1">
        <v>60003760</v>
      </c>
      <c r="W41" s="1">
        <v>32767</v>
      </c>
      <c r="X41" s="1">
        <v>0</v>
      </c>
      <c r="Z41" s="1">
        <v>2758210466</v>
      </c>
      <c r="AA41" s="1">
        <v>36</v>
      </c>
      <c r="AB41" s="1">
        <v>165712</v>
      </c>
      <c r="AC41" s="1">
        <v>165712</v>
      </c>
      <c r="AD41" s="16">
        <v>56.28</v>
      </c>
      <c r="AE41" s="1">
        <v>1</v>
      </c>
      <c r="AF41" s="1">
        <v>0</v>
      </c>
      <c r="AG41" s="1">
        <v>90</v>
      </c>
      <c r="AH41" s="1">
        <v>60003760</v>
      </c>
      <c r="AI41" s="1">
        <v>32767</v>
      </c>
      <c r="AJ41" s="1">
        <v>11</v>
      </c>
      <c r="AL41" s="1">
        <v>2774791138</v>
      </c>
      <c r="AM41" s="1">
        <v>37</v>
      </c>
      <c r="AN41" s="1">
        <v>7341050</v>
      </c>
      <c r="AO41" s="1">
        <v>740658</v>
      </c>
      <c r="AP41" s="16">
        <v>153.33000000000001</v>
      </c>
      <c r="AQ41" s="1">
        <v>1</v>
      </c>
      <c r="AR41" s="1">
        <v>0</v>
      </c>
      <c r="AS41" s="1">
        <v>90</v>
      </c>
      <c r="AT41" s="1">
        <v>60003760</v>
      </c>
      <c r="AU41" s="1">
        <v>32767</v>
      </c>
      <c r="AV41" s="1">
        <v>9</v>
      </c>
      <c r="AX41" s="1">
        <v>2712568458</v>
      </c>
      <c r="AY41" s="1">
        <v>38</v>
      </c>
      <c r="AZ41" s="1">
        <v>1891617</v>
      </c>
      <c r="BA41" s="1">
        <v>1891617</v>
      </c>
      <c r="BB41" s="1">
        <v>864.35</v>
      </c>
      <c r="BC41" s="1">
        <v>1</v>
      </c>
      <c r="BD41" s="1">
        <v>0</v>
      </c>
      <c r="BE41" s="1">
        <v>90</v>
      </c>
      <c r="BF41" s="1">
        <v>60003760</v>
      </c>
      <c r="BG41" s="1">
        <v>32767</v>
      </c>
      <c r="BH41" s="1">
        <v>5</v>
      </c>
      <c r="BJ41" s="1">
        <v>2863237732</v>
      </c>
      <c r="BK41" s="1">
        <v>39</v>
      </c>
      <c r="BL41" s="1">
        <v>66566</v>
      </c>
      <c r="BM41" s="1">
        <v>66566</v>
      </c>
      <c r="BN41" s="1">
        <v>825</v>
      </c>
      <c r="BO41" s="1">
        <v>1</v>
      </c>
      <c r="BP41" s="1">
        <v>0</v>
      </c>
      <c r="BQ41" s="1">
        <v>90</v>
      </c>
      <c r="BR41" s="1">
        <v>60003760</v>
      </c>
      <c r="BS41" s="1">
        <v>32767</v>
      </c>
      <c r="BT41" s="1">
        <v>5</v>
      </c>
      <c r="BV41" s="1">
        <v>2394052712</v>
      </c>
      <c r="BW41" s="1">
        <v>40</v>
      </c>
      <c r="BX41" s="1">
        <v>22280</v>
      </c>
      <c r="BY41" s="1">
        <v>22280</v>
      </c>
      <c r="BZ41" s="1">
        <v>2800</v>
      </c>
      <c r="CA41" s="1">
        <v>1</v>
      </c>
      <c r="CB41" s="1">
        <v>0</v>
      </c>
      <c r="CC41" s="1">
        <v>90</v>
      </c>
      <c r="CD41" s="1">
        <v>60003760</v>
      </c>
      <c r="CE41" s="1">
        <v>32767</v>
      </c>
      <c r="CF41" s="1">
        <v>13</v>
      </c>
      <c r="CH41" s="1">
        <v>2347893725</v>
      </c>
      <c r="CI41" s="1">
        <v>29668</v>
      </c>
      <c r="CJ41" s="1">
        <v>6</v>
      </c>
      <c r="CK41" s="1">
        <v>6</v>
      </c>
      <c r="CL41" s="1">
        <v>594997995</v>
      </c>
      <c r="CM41" s="1">
        <v>1</v>
      </c>
      <c r="CN41" s="1">
        <v>0</v>
      </c>
      <c r="CO41" s="1">
        <v>90</v>
      </c>
      <c r="CP41" s="1">
        <v>60003760</v>
      </c>
      <c r="CQ41" s="1">
        <v>32767</v>
      </c>
      <c r="CR41" s="1">
        <v>0</v>
      </c>
      <c r="CT41" s="1">
        <v>2415849591</v>
      </c>
      <c r="CU41" s="1">
        <v>16649</v>
      </c>
      <c r="CV41" s="1">
        <v>5000</v>
      </c>
      <c r="CW41" s="1">
        <v>5000</v>
      </c>
      <c r="CX41" s="1">
        <v>107694.92</v>
      </c>
      <c r="CY41" s="1">
        <v>1</v>
      </c>
      <c r="CZ41" s="1">
        <v>0</v>
      </c>
      <c r="DA41" s="1">
        <v>90</v>
      </c>
      <c r="DB41" s="1">
        <v>60003760</v>
      </c>
      <c r="DC41" s="1">
        <v>32767</v>
      </c>
      <c r="DD41" s="1">
        <v>0</v>
      </c>
      <c r="DF41" s="1">
        <v>2410942383</v>
      </c>
      <c r="DG41" s="1">
        <v>17887</v>
      </c>
      <c r="DH41" s="1">
        <v>1036200</v>
      </c>
      <c r="DI41" s="1">
        <v>1036200</v>
      </c>
      <c r="DJ41" s="1">
        <v>1020.85</v>
      </c>
      <c r="DK41" s="1">
        <v>1</v>
      </c>
      <c r="DL41" s="1">
        <v>0</v>
      </c>
      <c r="DM41" s="1">
        <v>90</v>
      </c>
      <c r="DN41" s="1">
        <v>60003760</v>
      </c>
      <c r="DO41" s="1">
        <v>32767</v>
      </c>
      <c r="DP41" s="1">
        <v>0</v>
      </c>
      <c r="DR41" s="1">
        <v>2877914610</v>
      </c>
      <c r="DS41" s="1">
        <v>17888</v>
      </c>
      <c r="DT41" s="1">
        <v>2742</v>
      </c>
      <c r="DU41" s="1">
        <v>2742</v>
      </c>
      <c r="DV41" s="1">
        <v>336</v>
      </c>
      <c r="DW41" s="1">
        <v>1</v>
      </c>
      <c r="DX41" s="1">
        <v>0</v>
      </c>
      <c r="DY41" s="1">
        <v>90</v>
      </c>
      <c r="DZ41" s="1">
        <v>60003109</v>
      </c>
      <c r="EA41" s="1">
        <v>32767</v>
      </c>
      <c r="EB41" s="1">
        <v>10</v>
      </c>
      <c r="ED41" s="1">
        <v>2866769435</v>
      </c>
      <c r="EE41" s="1">
        <v>16273</v>
      </c>
      <c r="EF41" s="1">
        <v>54053</v>
      </c>
      <c r="EG41" s="1">
        <v>29853</v>
      </c>
      <c r="EH41" s="1">
        <v>384.99</v>
      </c>
      <c r="EI41" s="1">
        <v>1</v>
      </c>
      <c r="EJ41" s="1">
        <v>0</v>
      </c>
      <c r="EK41" s="1">
        <v>90</v>
      </c>
      <c r="EL41" s="1">
        <v>60003760</v>
      </c>
      <c r="EM41" s="1">
        <v>32767</v>
      </c>
      <c r="EN41" s="1">
        <v>6</v>
      </c>
      <c r="EP41" s="1">
        <v>2876744455</v>
      </c>
      <c r="EQ41" s="1">
        <v>17889</v>
      </c>
      <c r="ER41" s="1">
        <v>3916726</v>
      </c>
      <c r="ES41" s="1">
        <v>3323605</v>
      </c>
      <c r="ET41" s="1">
        <v>373.92</v>
      </c>
      <c r="EU41" s="1">
        <v>1</v>
      </c>
      <c r="EV41" s="1">
        <v>0</v>
      </c>
      <c r="EW41" s="1">
        <v>90</v>
      </c>
      <c r="EX41" s="1">
        <v>60003760</v>
      </c>
      <c r="EY41" s="1">
        <v>32767</v>
      </c>
      <c r="EZ41" s="1">
        <v>7</v>
      </c>
      <c r="FB41" s="1">
        <v>2877912332</v>
      </c>
      <c r="FC41" s="1">
        <v>30259</v>
      </c>
      <c r="FD41" s="1">
        <v>59</v>
      </c>
      <c r="FE41" s="1">
        <v>35</v>
      </c>
      <c r="FF41" s="1">
        <v>5794450</v>
      </c>
      <c r="FG41" s="1">
        <v>1</v>
      </c>
      <c r="FH41" s="1">
        <v>0</v>
      </c>
      <c r="FI41" s="1">
        <v>90</v>
      </c>
      <c r="FJ41" s="1">
        <v>60003760</v>
      </c>
      <c r="FK41" s="1">
        <v>32767</v>
      </c>
      <c r="FL41" s="1">
        <v>0</v>
      </c>
      <c r="FN41" s="1">
        <v>2877178017</v>
      </c>
      <c r="FO41" s="1">
        <v>25617</v>
      </c>
      <c r="FP41" s="1">
        <v>75</v>
      </c>
      <c r="FQ41" s="1">
        <v>33</v>
      </c>
      <c r="FR41" s="1">
        <v>5149999.99</v>
      </c>
      <c r="FS41" s="1">
        <v>1</v>
      </c>
      <c r="FT41" s="1">
        <v>0</v>
      </c>
      <c r="FU41" s="1">
        <v>90</v>
      </c>
      <c r="FV41" s="1">
        <v>60003760</v>
      </c>
      <c r="FW41" s="1">
        <v>32767</v>
      </c>
      <c r="FX41" s="1">
        <v>0</v>
      </c>
      <c r="FZ41" s="1">
        <v>2869627327</v>
      </c>
      <c r="GA41" s="1">
        <v>44</v>
      </c>
      <c r="GB41" s="1">
        <v>335</v>
      </c>
      <c r="GC41" s="1">
        <v>335</v>
      </c>
      <c r="GD41" s="1">
        <v>13497.83</v>
      </c>
      <c r="GE41" s="1">
        <v>1</v>
      </c>
      <c r="GF41" s="1">
        <v>0</v>
      </c>
      <c r="GG41" s="1">
        <v>14</v>
      </c>
      <c r="GH41" s="1">
        <v>60003760</v>
      </c>
      <c r="GI41" s="1">
        <v>32767</v>
      </c>
      <c r="GJ41" s="1">
        <v>4</v>
      </c>
      <c r="GL41" s="1">
        <v>2415777681</v>
      </c>
      <c r="GM41" s="1">
        <v>16681</v>
      </c>
      <c r="GN41" s="1">
        <v>680000</v>
      </c>
      <c r="GO41" s="1">
        <v>242762</v>
      </c>
      <c r="GP41" s="1">
        <v>6182.94</v>
      </c>
      <c r="GQ41" s="1">
        <v>1</v>
      </c>
      <c r="GR41" s="1">
        <v>0</v>
      </c>
      <c r="GS41" s="1">
        <v>90</v>
      </c>
      <c r="GT41" s="1">
        <v>60003760</v>
      </c>
      <c r="GU41" s="1">
        <v>32767</v>
      </c>
      <c r="GV41" s="1">
        <v>0</v>
      </c>
      <c r="GX41" s="1">
        <v>2878478998</v>
      </c>
      <c r="GY41" s="1">
        <v>16683</v>
      </c>
      <c r="GZ41" s="1">
        <v>113600</v>
      </c>
      <c r="HA41" s="1">
        <v>54089</v>
      </c>
      <c r="HB41" s="1">
        <v>8611.7900000000009</v>
      </c>
      <c r="HC41" s="1">
        <v>1</v>
      </c>
      <c r="HD41" s="1">
        <v>0</v>
      </c>
      <c r="HE41" s="1">
        <v>90</v>
      </c>
      <c r="HF41" s="1">
        <v>60003760</v>
      </c>
      <c r="HG41" s="1">
        <v>32767</v>
      </c>
      <c r="HH41" s="1">
        <v>0</v>
      </c>
      <c r="HJ41"/>
      <c r="HK41"/>
      <c r="HL41"/>
      <c r="HM41"/>
      <c r="HN41"/>
      <c r="HO41"/>
      <c r="HP41"/>
      <c r="HQ41"/>
      <c r="HR41"/>
      <c r="HS41"/>
      <c r="HT41"/>
      <c r="HV41" s="1">
        <v>2706360192</v>
      </c>
      <c r="HW41" s="1">
        <v>16274</v>
      </c>
      <c r="HX41" s="1">
        <v>247000</v>
      </c>
      <c r="HY41" s="1">
        <v>247000</v>
      </c>
      <c r="HZ41" s="1">
        <v>442.71</v>
      </c>
      <c r="IA41" s="1">
        <v>1</v>
      </c>
      <c r="IB41" s="1">
        <v>0</v>
      </c>
      <c r="IC41" s="1">
        <v>90</v>
      </c>
      <c r="ID41" s="1">
        <v>60003760</v>
      </c>
      <c r="IE41" s="1">
        <v>32767</v>
      </c>
      <c r="IF41" s="1">
        <v>2</v>
      </c>
      <c r="IH41" s="1">
        <v>2872819817</v>
      </c>
      <c r="II41" s="1">
        <v>10213</v>
      </c>
      <c r="IJ41" s="1">
        <v>1</v>
      </c>
      <c r="IK41" s="1">
        <v>1</v>
      </c>
      <c r="IL41" s="1">
        <v>113000000</v>
      </c>
      <c r="IM41" s="1">
        <v>1</v>
      </c>
      <c r="IN41" s="1">
        <v>1</v>
      </c>
      <c r="IO41" s="1">
        <v>90</v>
      </c>
      <c r="IP41" s="1">
        <v>60003760</v>
      </c>
      <c r="IQ41" s="1">
        <v>-1</v>
      </c>
      <c r="IR41" s="1">
        <v>0</v>
      </c>
      <c r="IT41" s="1">
        <v>2840069135</v>
      </c>
      <c r="IU41" s="1">
        <v>16679</v>
      </c>
      <c r="IV41" s="1">
        <v>250000</v>
      </c>
      <c r="IW41" s="1">
        <v>250000</v>
      </c>
      <c r="IX41" s="1">
        <v>2250</v>
      </c>
      <c r="IY41" s="1">
        <v>1</v>
      </c>
      <c r="IZ41" s="1">
        <v>0</v>
      </c>
      <c r="JA41" s="1">
        <v>90</v>
      </c>
      <c r="JB41" s="1">
        <v>60003760</v>
      </c>
      <c r="JC41" s="1">
        <v>32767</v>
      </c>
      <c r="JD41" s="1">
        <v>0</v>
      </c>
      <c r="JF41" s="1">
        <v>2875473246</v>
      </c>
      <c r="JG41" s="1">
        <v>16272</v>
      </c>
      <c r="JH41" s="1">
        <v>3386374</v>
      </c>
      <c r="JI41" s="1">
        <v>2337374</v>
      </c>
      <c r="JJ41" s="1">
        <v>78.44</v>
      </c>
      <c r="JK41" s="1">
        <v>1</v>
      </c>
      <c r="JL41" s="1">
        <v>0</v>
      </c>
      <c r="JM41" s="1">
        <v>90</v>
      </c>
      <c r="JN41" s="1">
        <v>60003760</v>
      </c>
      <c r="JO41" s="1">
        <v>32767</v>
      </c>
      <c r="JP41" s="1">
        <v>6</v>
      </c>
      <c r="JR41" s="1">
        <v>2862679964</v>
      </c>
      <c r="JS41" s="1">
        <v>10226</v>
      </c>
      <c r="JT41" s="1">
        <v>5</v>
      </c>
      <c r="JU41" s="1">
        <v>3</v>
      </c>
      <c r="JV41" s="1">
        <v>108000100.01000001</v>
      </c>
      <c r="JW41" s="1">
        <v>1</v>
      </c>
      <c r="JX41" s="1">
        <v>1</v>
      </c>
      <c r="JY41" s="1">
        <v>90</v>
      </c>
      <c r="JZ41" s="1">
        <v>60003760</v>
      </c>
      <c r="KA41" s="1">
        <v>-1</v>
      </c>
      <c r="KB41" s="1">
        <v>0</v>
      </c>
      <c r="KD41" s="1">
        <v>2375004179</v>
      </c>
      <c r="KE41" s="1">
        <v>25605</v>
      </c>
      <c r="KF41" s="1">
        <v>1184</v>
      </c>
      <c r="KG41" s="1">
        <v>1184</v>
      </c>
      <c r="KH41" s="1">
        <v>194898.91</v>
      </c>
      <c r="KI41" s="1">
        <v>1</v>
      </c>
      <c r="KJ41" s="1">
        <v>0</v>
      </c>
      <c r="KK41" s="1">
        <v>90</v>
      </c>
      <c r="KL41" s="1">
        <v>60003760</v>
      </c>
      <c r="KM41" s="1">
        <v>32767</v>
      </c>
      <c r="KN41" s="1">
        <v>6</v>
      </c>
      <c r="KP41" s="1">
        <v>2861094255</v>
      </c>
      <c r="KQ41" s="1">
        <v>25624</v>
      </c>
      <c r="KR41" s="1">
        <v>1</v>
      </c>
      <c r="KS41" s="1">
        <v>1</v>
      </c>
      <c r="KT41" s="1">
        <v>19000000</v>
      </c>
      <c r="KU41" s="1">
        <v>1</v>
      </c>
      <c r="KV41" s="1">
        <v>0</v>
      </c>
      <c r="KW41" s="1">
        <v>14</v>
      </c>
      <c r="KX41" s="1">
        <v>60003760</v>
      </c>
      <c r="KY41" s="1">
        <v>32767</v>
      </c>
      <c r="KZ41" s="1">
        <v>1</v>
      </c>
      <c r="LB41" s="1">
        <v>2840931460</v>
      </c>
      <c r="LC41" s="1">
        <v>9832</v>
      </c>
      <c r="LD41" s="1">
        <v>10000</v>
      </c>
      <c r="LE41" s="1">
        <v>3278</v>
      </c>
      <c r="LF41" s="1">
        <v>9720</v>
      </c>
      <c r="LG41" s="1">
        <v>1</v>
      </c>
      <c r="LH41" s="1">
        <v>0</v>
      </c>
      <c r="LI41" s="1">
        <v>90</v>
      </c>
      <c r="LJ41" s="1">
        <v>60003760</v>
      </c>
      <c r="LK41" s="1">
        <v>32767</v>
      </c>
      <c r="LL41" s="1">
        <v>0</v>
      </c>
      <c r="LN41" s="1">
        <v>2770956182</v>
      </c>
      <c r="LO41" s="1">
        <v>10209</v>
      </c>
      <c r="LP41" s="1">
        <v>3</v>
      </c>
      <c r="LQ41" s="1">
        <v>3</v>
      </c>
      <c r="LR41" s="1">
        <v>101095099.44</v>
      </c>
      <c r="LS41" s="1">
        <v>1</v>
      </c>
      <c r="LT41" s="1">
        <v>1</v>
      </c>
      <c r="LU41" s="1">
        <v>90</v>
      </c>
      <c r="LV41" s="1">
        <v>60003760</v>
      </c>
      <c r="LW41" s="1">
        <v>-1</v>
      </c>
      <c r="LX41" s="1">
        <v>0</v>
      </c>
      <c r="LZ41" s="1">
        <v>2724488774</v>
      </c>
      <c r="MA41" s="1">
        <v>10217</v>
      </c>
      <c r="MB41" s="1">
        <v>2</v>
      </c>
      <c r="MC41" s="1">
        <v>2</v>
      </c>
      <c r="MD41" s="1">
        <v>105000000</v>
      </c>
      <c r="ME41" s="1">
        <v>1</v>
      </c>
      <c r="MF41" s="1">
        <v>1</v>
      </c>
      <c r="MG41" s="1">
        <v>90</v>
      </c>
      <c r="MH41" s="1">
        <v>60003760</v>
      </c>
      <c r="MI41" s="1">
        <v>-1</v>
      </c>
      <c r="MJ41" s="1">
        <v>0</v>
      </c>
      <c r="ML41" s="1">
        <v>2866530947</v>
      </c>
      <c r="MM41" s="1">
        <v>25625</v>
      </c>
      <c r="MN41" s="1">
        <v>95</v>
      </c>
      <c r="MO41" s="1">
        <v>77</v>
      </c>
      <c r="MP41" s="1">
        <v>4937998.9400000004</v>
      </c>
      <c r="MQ41" s="1">
        <v>1</v>
      </c>
      <c r="MR41" s="1">
        <v>0</v>
      </c>
      <c r="MS41" s="1">
        <v>90</v>
      </c>
      <c r="MT41" s="1">
        <v>60003760</v>
      </c>
      <c r="MU41" s="1">
        <v>32767</v>
      </c>
      <c r="MV41" s="1">
        <v>0</v>
      </c>
      <c r="MX41" s="1">
        <v>2875126283</v>
      </c>
      <c r="MY41" s="1">
        <v>16672</v>
      </c>
      <c r="MZ41" s="1">
        <v>2062160</v>
      </c>
      <c r="NA41" s="1">
        <v>2062160</v>
      </c>
      <c r="NB41" s="1">
        <v>132.86000000000001</v>
      </c>
      <c r="NC41" s="1">
        <v>1</v>
      </c>
      <c r="ND41" s="1">
        <v>0</v>
      </c>
      <c r="NE41" s="1">
        <v>90</v>
      </c>
      <c r="NF41" s="1">
        <v>60003760</v>
      </c>
      <c r="NG41" s="1">
        <v>32767</v>
      </c>
      <c r="NH41" s="1">
        <v>0</v>
      </c>
      <c r="NJ41" s="1">
        <v>2857880684</v>
      </c>
      <c r="NK41" s="1">
        <v>16673</v>
      </c>
      <c r="NL41" s="1">
        <v>1500000</v>
      </c>
      <c r="NM41" s="1">
        <v>1463120</v>
      </c>
      <c r="NN41" s="1">
        <v>105.96</v>
      </c>
      <c r="NO41" s="1">
        <v>1</v>
      </c>
      <c r="NP41" s="1">
        <v>0</v>
      </c>
      <c r="NQ41" s="1">
        <v>90</v>
      </c>
      <c r="NR41" s="1">
        <v>60003760</v>
      </c>
      <c r="NS41" s="1">
        <v>32767</v>
      </c>
      <c r="NT41" s="1">
        <v>6</v>
      </c>
      <c r="NV41" s="1">
        <v>2846808387</v>
      </c>
      <c r="NW41" s="1">
        <v>3689</v>
      </c>
      <c r="NX41" s="1">
        <v>1055</v>
      </c>
      <c r="NY41" s="1">
        <v>345</v>
      </c>
      <c r="NZ41" s="1">
        <v>11093</v>
      </c>
      <c r="OA41" s="1">
        <v>1</v>
      </c>
      <c r="OB41" s="1">
        <v>0</v>
      </c>
      <c r="OC41" s="1">
        <v>90</v>
      </c>
      <c r="OD41" s="1">
        <v>60003760</v>
      </c>
      <c r="OE41" s="1">
        <v>32767</v>
      </c>
      <c r="OF41" s="1">
        <v>0</v>
      </c>
      <c r="OH41" s="1">
        <v>2788809877</v>
      </c>
      <c r="OI41" s="1">
        <v>25598</v>
      </c>
      <c r="OJ41" s="1">
        <v>2</v>
      </c>
      <c r="OK41" s="1">
        <v>2</v>
      </c>
      <c r="OL41" s="1">
        <v>199000</v>
      </c>
      <c r="OM41" s="1">
        <v>1</v>
      </c>
      <c r="ON41" s="1">
        <v>0</v>
      </c>
      <c r="OO41" s="1">
        <v>90</v>
      </c>
      <c r="OP41" s="1">
        <v>60003760</v>
      </c>
      <c r="OQ41" s="1">
        <v>32767</v>
      </c>
      <c r="OR41" s="1">
        <v>0</v>
      </c>
      <c r="OT41" s="1">
        <v>2783777301</v>
      </c>
      <c r="OU41" s="1">
        <v>25600</v>
      </c>
      <c r="OV41" s="1">
        <v>13457</v>
      </c>
      <c r="OW41" s="1">
        <v>10034</v>
      </c>
      <c r="OX41" s="1">
        <v>34499.99</v>
      </c>
      <c r="OY41" s="1">
        <v>1</v>
      </c>
      <c r="OZ41" s="1">
        <v>0</v>
      </c>
      <c r="PA41" s="1">
        <v>90</v>
      </c>
      <c r="PB41" s="1">
        <v>60003760</v>
      </c>
      <c r="PC41" s="1">
        <v>32767</v>
      </c>
      <c r="PD41" s="1">
        <v>0</v>
      </c>
      <c r="PF41" s="1">
        <v>2673113412</v>
      </c>
      <c r="PG41" s="1">
        <v>16670</v>
      </c>
      <c r="PH41" s="1">
        <v>5000000</v>
      </c>
      <c r="PI41" s="1">
        <v>5000000</v>
      </c>
      <c r="PJ41" s="1">
        <v>155.5</v>
      </c>
      <c r="PK41" s="1">
        <v>1</v>
      </c>
      <c r="PL41" s="1">
        <v>0</v>
      </c>
      <c r="PM41" s="1">
        <v>90</v>
      </c>
      <c r="PN41" s="1">
        <v>60003760</v>
      </c>
      <c r="PO41" s="1">
        <v>32767</v>
      </c>
      <c r="PP41" s="1">
        <v>7</v>
      </c>
      <c r="PR41" s="1">
        <v>2820752985</v>
      </c>
      <c r="PS41" s="1">
        <v>10222</v>
      </c>
      <c r="PT41" s="1">
        <v>4</v>
      </c>
      <c r="PU41" s="1">
        <v>4</v>
      </c>
      <c r="PV41" s="1">
        <v>105108000.7</v>
      </c>
      <c r="PW41" s="1">
        <v>1</v>
      </c>
      <c r="PX41" s="1">
        <v>1</v>
      </c>
      <c r="PY41" s="1">
        <v>90</v>
      </c>
      <c r="PZ41" s="1">
        <v>60003760</v>
      </c>
      <c r="QA41" s="1">
        <v>-1</v>
      </c>
      <c r="QB41" s="1">
        <v>0</v>
      </c>
      <c r="QD41" s="1">
        <v>2874587854</v>
      </c>
      <c r="QE41" s="1">
        <v>9830</v>
      </c>
      <c r="QF41" s="1">
        <v>30000</v>
      </c>
      <c r="QG41" s="1">
        <v>18023</v>
      </c>
      <c r="QH41" s="1">
        <v>7887.99</v>
      </c>
      <c r="QI41" s="1">
        <v>1</v>
      </c>
      <c r="QJ41" s="1">
        <v>0</v>
      </c>
      <c r="QK41" s="1">
        <v>90</v>
      </c>
      <c r="QL41" s="1">
        <v>60003760</v>
      </c>
      <c r="QM41" s="1">
        <v>32767</v>
      </c>
      <c r="QN41" s="1">
        <v>0</v>
      </c>
      <c r="QP41" s="1">
        <v>2871851443</v>
      </c>
      <c r="QQ41" s="1">
        <v>16671</v>
      </c>
      <c r="QR41" s="1">
        <v>50000</v>
      </c>
      <c r="QS41" s="1">
        <v>50000</v>
      </c>
      <c r="QT41" s="1">
        <v>116.6</v>
      </c>
      <c r="QU41" s="1">
        <v>1</v>
      </c>
      <c r="QV41" s="1">
        <v>0</v>
      </c>
      <c r="QW41" s="1">
        <v>90</v>
      </c>
      <c r="QX41" s="1">
        <v>60003760</v>
      </c>
      <c r="QY41" s="1">
        <v>32767</v>
      </c>
      <c r="QZ41" s="1">
        <v>7</v>
      </c>
      <c r="RB41" s="1">
        <v>2872698148</v>
      </c>
      <c r="RC41" s="1">
        <v>16682</v>
      </c>
      <c r="RD41" s="1">
        <v>353437</v>
      </c>
      <c r="RE41" s="1">
        <v>353437</v>
      </c>
      <c r="RF41" s="1">
        <v>3352.88</v>
      </c>
      <c r="RG41" s="1">
        <v>1</v>
      </c>
      <c r="RH41" s="1">
        <v>0</v>
      </c>
      <c r="RI41" s="1">
        <v>90</v>
      </c>
      <c r="RJ41" s="1">
        <v>60003760</v>
      </c>
      <c r="RK41" s="1">
        <v>32767</v>
      </c>
      <c r="RL41" s="1">
        <v>8</v>
      </c>
      <c r="RN41" s="1">
        <v>2874542800</v>
      </c>
      <c r="RO41" s="1">
        <v>16678</v>
      </c>
      <c r="RP41" s="1">
        <v>1285954</v>
      </c>
      <c r="RQ41" s="1">
        <v>706354</v>
      </c>
      <c r="RR41" s="1">
        <v>284.19</v>
      </c>
      <c r="RS41" s="1">
        <v>1</v>
      </c>
      <c r="RT41" s="1">
        <v>0</v>
      </c>
      <c r="RU41" s="1">
        <v>90</v>
      </c>
      <c r="RV41" s="1">
        <v>60003760</v>
      </c>
      <c r="RW41" s="1">
        <v>32767</v>
      </c>
      <c r="RX41" s="1">
        <v>6</v>
      </c>
      <c r="RZ41" s="1">
        <v>2874090122</v>
      </c>
      <c r="SA41" s="1">
        <v>30310</v>
      </c>
      <c r="SB41" s="1">
        <v>872</v>
      </c>
      <c r="SC41" s="1">
        <v>396</v>
      </c>
      <c r="SD41" s="1">
        <v>1288699</v>
      </c>
      <c r="SE41" s="1">
        <v>1</v>
      </c>
      <c r="SF41" s="1">
        <v>0</v>
      </c>
      <c r="SG41" s="1">
        <v>90</v>
      </c>
      <c r="SH41" s="1">
        <v>60003760</v>
      </c>
      <c r="SI41" s="1">
        <v>32767</v>
      </c>
      <c r="SJ41" s="1">
        <v>0</v>
      </c>
      <c r="SL41" s="1">
        <v>2875588615</v>
      </c>
      <c r="SM41" s="1">
        <v>30311</v>
      </c>
      <c r="SN41" s="1">
        <v>314</v>
      </c>
      <c r="SO41" s="1">
        <v>209</v>
      </c>
      <c r="SP41" s="1">
        <v>3129002.97</v>
      </c>
      <c r="SQ41" s="1">
        <v>1</v>
      </c>
      <c r="SR41" s="1">
        <v>0</v>
      </c>
      <c r="SS41" s="1">
        <v>90</v>
      </c>
      <c r="ST41" s="1">
        <v>60003760</v>
      </c>
      <c r="SU41" s="1">
        <v>32767</v>
      </c>
      <c r="SV41" s="1">
        <v>0</v>
      </c>
      <c r="SX41" s="1">
        <v>2784920814</v>
      </c>
      <c r="SY41" s="1">
        <v>25595</v>
      </c>
      <c r="SZ41" s="1">
        <v>2500</v>
      </c>
      <c r="TA41" s="1">
        <v>2500</v>
      </c>
      <c r="TB41" s="1">
        <v>103490.79</v>
      </c>
      <c r="TC41" s="1">
        <v>1</v>
      </c>
      <c r="TD41" s="1">
        <v>0</v>
      </c>
      <c r="TE41" s="1">
        <v>90</v>
      </c>
      <c r="TF41" s="1">
        <v>60003760</v>
      </c>
      <c r="TG41" s="1">
        <v>32767</v>
      </c>
      <c r="TH41" s="1">
        <v>6</v>
      </c>
      <c r="TJ41" s="1">
        <v>2854142149</v>
      </c>
      <c r="TK41" s="1">
        <v>25606</v>
      </c>
      <c r="TL41" s="1">
        <v>1154</v>
      </c>
      <c r="TM41" s="1">
        <v>1154</v>
      </c>
      <c r="TN41" s="1">
        <v>26994</v>
      </c>
      <c r="TO41" s="1">
        <v>1</v>
      </c>
      <c r="TP41" s="1">
        <v>0</v>
      </c>
      <c r="TQ41" s="1">
        <v>90</v>
      </c>
      <c r="TR41" s="1">
        <v>60003760</v>
      </c>
      <c r="TS41" s="1">
        <v>32767</v>
      </c>
      <c r="TT41" s="1">
        <v>0</v>
      </c>
      <c r="TV41" s="1">
        <v>2877001769</v>
      </c>
      <c r="TW41" s="1">
        <v>25622</v>
      </c>
      <c r="TX41" s="1">
        <v>29</v>
      </c>
      <c r="TY41" s="1">
        <v>29</v>
      </c>
      <c r="TZ41" s="1">
        <v>14817000.07</v>
      </c>
      <c r="UA41" s="1">
        <v>1</v>
      </c>
      <c r="UB41" s="1">
        <v>0</v>
      </c>
      <c r="UC41" s="1">
        <v>30</v>
      </c>
      <c r="UD41" s="1">
        <v>60003760</v>
      </c>
      <c r="UE41" s="1">
        <v>32767</v>
      </c>
      <c r="UF41" s="1">
        <v>0</v>
      </c>
      <c r="UH41" s="1">
        <v>2876660396</v>
      </c>
      <c r="UI41" s="1">
        <v>16680</v>
      </c>
      <c r="UJ41" s="1">
        <v>384902</v>
      </c>
      <c r="UK41" s="1">
        <v>384902</v>
      </c>
      <c r="UL41" s="1">
        <v>799</v>
      </c>
      <c r="UM41" s="1">
        <v>1</v>
      </c>
      <c r="UN41" s="1">
        <v>0</v>
      </c>
      <c r="UO41" s="1">
        <v>90</v>
      </c>
      <c r="UP41" s="1">
        <v>60003760</v>
      </c>
      <c r="UQ41" s="1">
        <v>32767</v>
      </c>
      <c r="UR41" s="1">
        <v>6</v>
      </c>
      <c r="UT41" s="1">
        <v>2645143309</v>
      </c>
      <c r="UU41" s="1">
        <v>17317</v>
      </c>
      <c r="UV41" s="1">
        <v>500</v>
      </c>
      <c r="UW41" s="1">
        <v>500</v>
      </c>
      <c r="UX41" s="1">
        <v>18112.259999999998</v>
      </c>
      <c r="UY41" s="1">
        <v>1</v>
      </c>
      <c r="UZ41" s="1">
        <v>1</v>
      </c>
      <c r="VA41" s="1">
        <v>90</v>
      </c>
      <c r="VB41" s="1">
        <v>60003760</v>
      </c>
      <c r="VC41" s="1">
        <v>-1</v>
      </c>
      <c r="VD41" s="1">
        <v>0</v>
      </c>
      <c r="VF41"/>
      <c r="VG41"/>
      <c r="VH41"/>
      <c r="VI41"/>
      <c r="VJ41"/>
      <c r="VK41"/>
      <c r="VL41"/>
      <c r="VM41"/>
      <c r="VN41"/>
      <c r="VO41"/>
      <c r="VP41"/>
    </row>
    <row r="42" spans="2:588" x14ac:dyDescent="0.25">
      <c r="B42" s="1">
        <v>2846559420</v>
      </c>
      <c r="C42" s="1">
        <v>34</v>
      </c>
      <c r="D42" s="1">
        <v>1000000</v>
      </c>
      <c r="E42" s="1">
        <v>1000000</v>
      </c>
      <c r="F42" s="1">
        <v>5.95</v>
      </c>
      <c r="G42" s="1">
        <v>1</v>
      </c>
      <c r="H42" s="1">
        <v>0</v>
      </c>
      <c r="I42" s="1">
        <v>90</v>
      </c>
      <c r="J42" s="1">
        <v>60003763</v>
      </c>
      <c r="K42" s="1">
        <v>32767</v>
      </c>
      <c r="L42" s="1">
        <v>1</v>
      </c>
      <c r="N42" s="1">
        <v>2836477679</v>
      </c>
      <c r="O42" s="1">
        <v>35</v>
      </c>
      <c r="P42" s="1">
        <v>113309876</v>
      </c>
      <c r="Q42" s="1">
        <v>113309876</v>
      </c>
      <c r="R42" s="1">
        <v>15.98</v>
      </c>
      <c r="S42" s="1">
        <v>1</v>
      </c>
      <c r="T42" s="1">
        <v>0</v>
      </c>
      <c r="U42" s="1">
        <v>90</v>
      </c>
      <c r="V42" s="1">
        <v>60003760</v>
      </c>
      <c r="W42" s="1">
        <v>32767</v>
      </c>
      <c r="X42" s="1">
        <v>0</v>
      </c>
      <c r="Z42" s="1">
        <v>2758110217</v>
      </c>
      <c r="AA42" s="1">
        <v>36</v>
      </c>
      <c r="AB42" s="1">
        <v>5646342</v>
      </c>
      <c r="AC42" s="1">
        <v>5646342</v>
      </c>
      <c r="AD42" s="16">
        <v>56.54</v>
      </c>
      <c r="AE42" s="1">
        <v>1</v>
      </c>
      <c r="AF42" s="1">
        <v>0</v>
      </c>
      <c r="AG42" s="1">
        <v>90</v>
      </c>
      <c r="AH42" s="1">
        <v>60003760</v>
      </c>
      <c r="AI42" s="1">
        <v>32767</v>
      </c>
      <c r="AJ42" s="1">
        <v>11</v>
      </c>
      <c r="AL42" s="1">
        <v>2775037226</v>
      </c>
      <c r="AM42" s="1">
        <v>37</v>
      </c>
      <c r="AN42" s="1">
        <v>12162578</v>
      </c>
      <c r="AO42" s="1">
        <v>12162578</v>
      </c>
      <c r="AP42" s="16">
        <v>160</v>
      </c>
      <c r="AQ42" s="1">
        <v>1</v>
      </c>
      <c r="AR42" s="1">
        <v>0</v>
      </c>
      <c r="AS42" s="1">
        <v>90</v>
      </c>
      <c r="AT42" s="1">
        <v>60003760</v>
      </c>
      <c r="AU42" s="1">
        <v>32767</v>
      </c>
      <c r="AV42" s="1">
        <v>9</v>
      </c>
      <c r="AX42" s="1">
        <v>2867568496</v>
      </c>
      <c r="AY42" s="1">
        <v>38</v>
      </c>
      <c r="AZ42" s="1">
        <v>59696</v>
      </c>
      <c r="BA42" s="1">
        <v>59696</v>
      </c>
      <c r="BB42" s="1">
        <v>1175</v>
      </c>
      <c r="BC42" s="1">
        <v>1</v>
      </c>
      <c r="BD42" s="1">
        <v>0</v>
      </c>
      <c r="BE42" s="1">
        <v>90</v>
      </c>
      <c r="BF42" s="1">
        <v>60004423</v>
      </c>
      <c r="BG42" s="1">
        <v>32767</v>
      </c>
      <c r="BH42" s="1">
        <v>5</v>
      </c>
      <c r="BJ42" s="1">
        <v>2863822535</v>
      </c>
      <c r="BK42" s="1">
        <v>39</v>
      </c>
      <c r="BL42" s="1">
        <v>1500122</v>
      </c>
      <c r="BM42" s="1">
        <v>1324548</v>
      </c>
      <c r="BN42" s="1">
        <v>820</v>
      </c>
      <c r="BO42" s="1">
        <v>1</v>
      </c>
      <c r="BP42" s="1">
        <v>0</v>
      </c>
      <c r="BQ42" s="1">
        <v>90</v>
      </c>
      <c r="BR42" s="1">
        <v>60003760</v>
      </c>
      <c r="BS42" s="1">
        <v>32767</v>
      </c>
      <c r="BT42" s="1">
        <v>5</v>
      </c>
      <c r="BV42" s="1">
        <v>2394649002</v>
      </c>
      <c r="BW42" s="1">
        <v>40</v>
      </c>
      <c r="BX42" s="1">
        <v>264200</v>
      </c>
      <c r="BY42" s="1">
        <v>164200</v>
      </c>
      <c r="BZ42" s="1">
        <v>2848.89</v>
      </c>
      <c r="CA42" s="1">
        <v>1</v>
      </c>
      <c r="CB42" s="1">
        <v>0</v>
      </c>
      <c r="CC42" s="1">
        <v>90</v>
      </c>
      <c r="CD42" s="1">
        <v>60003760</v>
      </c>
      <c r="CE42" s="1">
        <v>32767</v>
      </c>
      <c r="CF42" s="1">
        <v>13</v>
      </c>
      <c r="CH42" s="1">
        <v>2347894433</v>
      </c>
      <c r="CI42" s="1">
        <v>29668</v>
      </c>
      <c r="CJ42" s="1">
        <v>6</v>
      </c>
      <c r="CK42" s="1">
        <v>6</v>
      </c>
      <c r="CL42" s="1">
        <v>594997993</v>
      </c>
      <c r="CM42" s="1">
        <v>1</v>
      </c>
      <c r="CN42" s="1">
        <v>0</v>
      </c>
      <c r="CO42" s="1">
        <v>90</v>
      </c>
      <c r="CP42" s="1">
        <v>60003760</v>
      </c>
      <c r="CQ42" s="1">
        <v>32767</v>
      </c>
      <c r="CR42" s="1">
        <v>0</v>
      </c>
      <c r="CT42" s="1">
        <v>2415848360</v>
      </c>
      <c r="CU42" s="1">
        <v>16649</v>
      </c>
      <c r="CV42" s="1">
        <v>2500</v>
      </c>
      <c r="CW42" s="1">
        <v>2500</v>
      </c>
      <c r="CX42" s="1">
        <v>107694.91</v>
      </c>
      <c r="CY42" s="1">
        <v>1</v>
      </c>
      <c r="CZ42" s="1">
        <v>0</v>
      </c>
      <c r="DA42" s="1">
        <v>90</v>
      </c>
      <c r="DB42" s="1">
        <v>60003760</v>
      </c>
      <c r="DC42" s="1">
        <v>32767</v>
      </c>
      <c r="DD42" s="1">
        <v>0</v>
      </c>
      <c r="DF42" s="1">
        <v>2410942604</v>
      </c>
      <c r="DG42" s="1">
        <v>17887</v>
      </c>
      <c r="DH42" s="1">
        <v>1025838</v>
      </c>
      <c r="DI42" s="1">
        <v>1025838</v>
      </c>
      <c r="DJ42" s="1">
        <v>1020.83</v>
      </c>
      <c r="DK42" s="1">
        <v>1</v>
      </c>
      <c r="DL42" s="1">
        <v>0</v>
      </c>
      <c r="DM42" s="1">
        <v>90</v>
      </c>
      <c r="DN42" s="1">
        <v>60003760</v>
      </c>
      <c r="DO42" s="1">
        <v>32767</v>
      </c>
      <c r="DP42" s="1">
        <v>0</v>
      </c>
      <c r="DR42" s="1">
        <v>2810177646</v>
      </c>
      <c r="DS42" s="1">
        <v>17888</v>
      </c>
      <c r="DT42" s="1">
        <v>159798</v>
      </c>
      <c r="DU42" s="1">
        <v>159798</v>
      </c>
      <c r="DV42" s="1">
        <v>400</v>
      </c>
      <c r="DW42" s="1">
        <v>1</v>
      </c>
      <c r="DX42" s="1">
        <v>0</v>
      </c>
      <c r="DY42" s="1">
        <v>90</v>
      </c>
      <c r="DZ42" s="1">
        <v>60006430</v>
      </c>
      <c r="EA42" s="1">
        <v>32767</v>
      </c>
      <c r="EB42" s="1">
        <v>11</v>
      </c>
      <c r="ED42" s="1">
        <v>2866444552</v>
      </c>
      <c r="EE42" s="1">
        <v>16273</v>
      </c>
      <c r="EF42" s="1">
        <v>34841</v>
      </c>
      <c r="EG42" s="1">
        <v>34841</v>
      </c>
      <c r="EH42" s="1">
        <v>385.6</v>
      </c>
      <c r="EI42" s="1">
        <v>1</v>
      </c>
      <c r="EJ42" s="1">
        <v>0</v>
      </c>
      <c r="EK42" s="1">
        <v>90</v>
      </c>
      <c r="EL42" s="1">
        <v>60003760</v>
      </c>
      <c r="EM42" s="1">
        <v>32767</v>
      </c>
      <c r="EN42" s="1">
        <v>6</v>
      </c>
      <c r="EP42" s="1">
        <v>2787121517</v>
      </c>
      <c r="EQ42" s="1">
        <v>17889</v>
      </c>
      <c r="ER42" s="1">
        <v>1000000</v>
      </c>
      <c r="ES42" s="1">
        <v>1000000</v>
      </c>
      <c r="ET42" s="1">
        <v>748</v>
      </c>
      <c r="EU42" s="1">
        <v>1</v>
      </c>
      <c r="EV42" s="1">
        <v>0</v>
      </c>
      <c r="EW42" s="1">
        <v>90</v>
      </c>
      <c r="EX42" s="1">
        <v>60010192</v>
      </c>
      <c r="EY42" s="1">
        <v>32767</v>
      </c>
      <c r="EZ42" s="1">
        <v>4</v>
      </c>
      <c r="FB42" s="1">
        <v>2877721063</v>
      </c>
      <c r="FC42" s="1">
        <v>30259</v>
      </c>
      <c r="FD42" s="1">
        <v>212</v>
      </c>
      <c r="FE42" s="1">
        <v>212</v>
      </c>
      <c r="FF42" s="1">
        <v>5798455.9699999997</v>
      </c>
      <c r="FG42" s="1">
        <v>1</v>
      </c>
      <c r="FH42" s="1">
        <v>0</v>
      </c>
      <c r="FI42" s="1">
        <v>90</v>
      </c>
      <c r="FJ42" s="1">
        <v>60003760</v>
      </c>
      <c r="FK42" s="1">
        <v>32767</v>
      </c>
      <c r="FL42" s="1">
        <v>0</v>
      </c>
      <c r="FN42" s="1">
        <v>2877123564</v>
      </c>
      <c r="FO42" s="1">
        <v>25617</v>
      </c>
      <c r="FP42" s="1">
        <v>1</v>
      </c>
      <c r="FQ42" s="1">
        <v>1</v>
      </c>
      <c r="FR42" s="1">
        <v>5157880</v>
      </c>
      <c r="FS42" s="1">
        <v>1</v>
      </c>
      <c r="FT42" s="1">
        <v>0</v>
      </c>
      <c r="FU42" s="1">
        <v>14</v>
      </c>
      <c r="FV42" s="1">
        <v>60003760</v>
      </c>
      <c r="FW42" s="1">
        <v>32767</v>
      </c>
      <c r="FX42" s="1">
        <v>0</v>
      </c>
      <c r="FZ42" s="1">
        <v>2864787382</v>
      </c>
      <c r="GA42" s="1">
        <v>44</v>
      </c>
      <c r="GB42" s="1">
        <v>24375</v>
      </c>
      <c r="GC42" s="1">
        <v>24375</v>
      </c>
      <c r="GD42" s="1">
        <v>14000</v>
      </c>
      <c r="GE42" s="1">
        <v>1</v>
      </c>
      <c r="GF42" s="1">
        <v>0</v>
      </c>
      <c r="GG42" s="1">
        <v>90</v>
      </c>
      <c r="GH42" s="1">
        <v>60003760</v>
      </c>
      <c r="GI42" s="1">
        <v>32767</v>
      </c>
      <c r="GJ42" s="1">
        <v>4</v>
      </c>
      <c r="GL42" s="1">
        <v>2415777811</v>
      </c>
      <c r="GM42" s="1">
        <v>16681</v>
      </c>
      <c r="GN42" s="1">
        <v>680000</v>
      </c>
      <c r="GO42" s="1">
        <v>680000</v>
      </c>
      <c r="GP42" s="1">
        <v>6182.94</v>
      </c>
      <c r="GQ42" s="1">
        <v>1</v>
      </c>
      <c r="GR42" s="1">
        <v>0</v>
      </c>
      <c r="GS42" s="1">
        <v>90</v>
      </c>
      <c r="GT42" s="1">
        <v>60003760</v>
      </c>
      <c r="GU42" s="1">
        <v>32767</v>
      </c>
      <c r="GV42" s="1">
        <v>0</v>
      </c>
      <c r="GX42" s="1">
        <v>2840768541</v>
      </c>
      <c r="GY42" s="1">
        <v>16683</v>
      </c>
      <c r="GZ42" s="1">
        <v>8000</v>
      </c>
      <c r="HA42" s="1">
        <v>5400</v>
      </c>
      <c r="HB42" s="1">
        <v>8603</v>
      </c>
      <c r="HC42" s="1">
        <v>1</v>
      </c>
      <c r="HD42" s="1">
        <v>0</v>
      </c>
      <c r="HE42" s="1">
        <v>30</v>
      </c>
      <c r="HF42" s="1">
        <v>60003760</v>
      </c>
      <c r="HG42" s="1">
        <v>32767</v>
      </c>
      <c r="HH42" s="1">
        <v>0</v>
      </c>
      <c r="HJ42"/>
      <c r="HK42"/>
      <c r="HL42"/>
      <c r="HM42"/>
      <c r="HN42"/>
      <c r="HO42"/>
      <c r="HP42"/>
      <c r="HQ42"/>
      <c r="HR42"/>
      <c r="HS42"/>
      <c r="HT42"/>
      <c r="HV42" s="1">
        <v>2692775085</v>
      </c>
      <c r="HW42" s="1">
        <v>16274</v>
      </c>
      <c r="HX42" s="1">
        <v>2000000</v>
      </c>
      <c r="HY42" s="1">
        <v>2000000</v>
      </c>
      <c r="HZ42" s="1">
        <v>536.98</v>
      </c>
      <c r="IA42" s="1">
        <v>1</v>
      </c>
      <c r="IB42" s="1">
        <v>0</v>
      </c>
      <c r="IC42" s="1">
        <v>90</v>
      </c>
      <c r="ID42" s="1">
        <v>60003760</v>
      </c>
      <c r="IE42" s="1">
        <v>32767</v>
      </c>
      <c r="IF42" s="1">
        <v>2</v>
      </c>
      <c r="IH42" s="1">
        <v>2874410393</v>
      </c>
      <c r="II42" s="1">
        <v>10213</v>
      </c>
      <c r="IJ42" s="1">
        <v>1</v>
      </c>
      <c r="IK42" s="1">
        <v>1</v>
      </c>
      <c r="IL42" s="1">
        <v>113308000.19</v>
      </c>
      <c r="IM42" s="1">
        <v>1</v>
      </c>
      <c r="IN42" s="1">
        <v>1</v>
      </c>
      <c r="IO42" s="1">
        <v>90</v>
      </c>
      <c r="IP42" s="1">
        <v>60003760</v>
      </c>
      <c r="IQ42" s="1">
        <v>-1</v>
      </c>
      <c r="IR42" s="1">
        <v>0</v>
      </c>
      <c r="IT42" s="1">
        <v>2839172564</v>
      </c>
      <c r="IU42" s="1">
        <v>16679</v>
      </c>
      <c r="IV42" s="1">
        <v>132000</v>
      </c>
      <c r="IW42" s="1">
        <v>132000</v>
      </c>
      <c r="IX42" s="1">
        <v>2300</v>
      </c>
      <c r="IY42" s="1">
        <v>1</v>
      </c>
      <c r="IZ42" s="1">
        <v>0</v>
      </c>
      <c r="JA42" s="1">
        <v>90</v>
      </c>
      <c r="JB42" s="1">
        <v>60003760</v>
      </c>
      <c r="JC42" s="1">
        <v>32767</v>
      </c>
      <c r="JD42" s="1">
        <v>0</v>
      </c>
      <c r="JF42" s="1">
        <v>2875532587</v>
      </c>
      <c r="JG42" s="1">
        <v>16272</v>
      </c>
      <c r="JH42" s="1">
        <v>125000000</v>
      </c>
      <c r="JI42" s="1">
        <v>125000000</v>
      </c>
      <c r="JJ42" s="1">
        <v>103</v>
      </c>
      <c r="JK42" s="1">
        <v>1</v>
      </c>
      <c r="JL42" s="1">
        <v>0</v>
      </c>
      <c r="JM42" s="1">
        <v>90</v>
      </c>
      <c r="JN42" s="1">
        <v>60003760</v>
      </c>
      <c r="JO42" s="1">
        <v>32767</v>
      </c>
      <c r="JP42" s="1">
        <v>6</v>
      </c>
      <c r="JR42" s="1">
        <v>2625868676</v>
      </c>
      <c r="JS42" s="1">
        <v>10226</v>
      </c>
      <c r="JT42" s="1">
        <v>1</v>
      </c>
      <c r="JU42" s="1">
        <v>1</v>
      </c>
      <c r="JV42" s="1">
        <v>62427000.020000003</v>
      </c>
      <c r="JW42" s="1">
        <v>1</v>
      </c>
      <c r="JX42" s="1">
        <v>1</v>
      </c>
      <c r="JY42" s="1">
        <v>90</v>
      </c>
      <c r="JZ42" s="1">
        <v>60003760</v>
      </c>
      <c r="KA42" s="1">
        <v>32767</v>
      </c>
      <c r="KB42" s="1">
        <v>0</v>
      </c>
      <c r="KD42" s="1">
        <v>2411715181</v>
      </c>
      <c r="KE42" s="1">
        <v>25605</v>
      </c>
      <c r="KF42" s="1">
        <v>1000</v>
      </c>
      <c r="KG42" s="1">
        <v>1000</v>
      </c>
      <c r="KH42" s="1">
        <v>119988.99</v>
      </c>
      <c r="KI42" s="1">
        <v>1</v>
      </c>
      <c r="KJ42" s="1">
        <v>0</v>
      </c>
      <c r="KK42" s="1">
        <v>90</v>
      </c>
      <c r="KL42" s="1">
        <v>60003760</v>
      </c>
      <c r="KM42" s="1">
        <v>32767</v>
      </c>
      <c r="KN42" s="1">
        <v>6</v>
      </c>
      <c r="KP42" s="1">
        <v>2861026784</v>
      </c>
      <c r="KQ42" s="1">
        <v>25624</v>
      </c>
      <c r="KR42" s="1">
        <v>46</v>
      </c>
      <c r="KS42" s="1">
        <v>30</v>
      </c>
      <c r="KT42" s="1">
        <v>19000000</v>
      </c>
      <c r="KU42" s="1">
        <v>1</v>
      </c>
      <c r="KV42" s="1">
        <v>0</v>
      </c>
      <c r="KW42" s="1">
        <v>90</v>
      </c>
      <c r="KX42" s="1">
        <v>60003760</v>
      </c>
      <c r="KY42" s="1">
        <v>32767</v>
      </c>
      <c r="KZ42" s="1">
        <v>1</v>
      </c>
      <c r="LB42" s="1">
        <v>2840232213</v>
      </c>
      <c r="LC42" s="1">
        <v>9832</v>
      </c>
      <c r="LD42" s="1">
        <v>490</v>
      </c>
      <c r="LE42" s="1">
        <v>490</v>
      </c>
      <c r="LF42" s="1">
        <v>9749.99</v>
      </c>
      <c r="LG42" s="1">
        <v>1</v>
      </c>
      <c r="LH42" s="1">
        <v>0</v>
      </c>
      <c r="LI42" s="1">
        <v>90</v>
      </c>
      <c r="LJ42" s="1">
        <v>60003760</v>
      </c>
      <c r="LK42" s="1">
        <v>32767</v>
      </c>
      <c r="LL42" s="1">
        <v>0</v>
      </c>
      <c r="LN42" s="1">
        <v>2776507968</v>
      </c>
      <c r="LO42" s="1">
        <v>10209</v>
      </c>
      <c r="LP42" s="1">
        <v>1</v>
      </c>
      <c r="LQ42" s="1">
        <v>1</v>
      </c>
      <c r="LR42" s="1">
        <v>102101003</v>
      </c>
      <c r="LS42" s="1">
        <v>1</v>
      </c>
      <c r="LT42" s="1">
        <v>1</v>
      </c>
      <c r="LU42" s="1">
        <v>90</v>
      </c>
      <c r="LV42" s="1">
        <v>60003760</v>
      </c>
      <c r="LW42" s="1">
        <v>-1</v>
      </c>
      <c r="LX42" s="1">
        <v>0</v>
      </c>
      <c r="LZ42" s="1">
        <v>2747968884</v>
      </c>
      <c r="MA42" s="1">
        <v>10217</v>
      </c>
      <c r="MB42" s="1">
        <v>1</v>
      </c>
      <c r="MC42" s="1">
        <v>1</v>
      </c>
      <c r="MD42" s="1">
        <v>87000000</v>
      </c>
      <c r="ME42" s="1">
        <v>1</v>
      </c>
      <c r="MF42" s="1">
        <v>1</v>
      </c>
      <c r="MG42" s="1">
        <v>90</v>
      </c>
      <c r="MH42" s="1">
        <v>60003760</v>
      </c>
      <c r="MI42" s="1">
        <v>32767</v>
      </c>
      <c r="MJ42" s="1">
        <v>0</v>
      </c>
      <c r="ML42" s="1">
        <v>2878790237</v>
      </c>
      <c r="MM42" s="1">
        <v>25625</v>
      </c>
      <c r="MN42" s="1">
        <v>22</v>
      </c>
      <c r="MO42" s="1">
        <v>22</v>
      </c>
      <c r="MP42" s="1">
        <v>4499998.8899999997</v>
      </c>
      <c r="MQ42" s="1">
        <v>1</v>
      </c>
      <c r="MR42" s="1">
        <v>0</v>
      </c>
      <c r="MS42" s="1">
        <v>90</v>
      </c>
      <c r="MT42" s="1">
        <v>60003760</v>
      </c>
      <c r="MU42" s="1">
        <v>32767</v>
      </c>
      <c r="MV42" s="1">
        <v>0</v>
      </c>
      <c r="MX42" s="1">
        <v>2874965162</v>
      </c>
      <c r="MY42" s="1">
        <v>16672</v>
      </c>
      <c r="MZ42" s="1">
        <v>8900000</v>
      </c>
      <c r="NA42" s="1">
        <v>8900000</v>
      </c>
      <c r="NB42" s="1">
        <v>133.33000000000001</v>
      </c>
      <c r="NC42" s="1">
        <v>1</v>
      </c>
      <c r="ND42" s="1">
        <v>0</v>
      </c>
      <c r="NE42" s="1">
        <v>90</v>
      </c>
      <c r="NF42" s="1">
        <v>60003760</v>
      </c>
      <c r="NG42" s="1">
        <v>32767</v>
      </c>
      <c r="NH42" s="1">
        <v>0</v>
      </c>
      <c r="NJ42" s="1">
        <v>2856162539</v>
      </c>
      <c r="NK42" s="1">
        <v>16673</v>
      </c>
      <c r="NL42" s="1">
        <v>4000000</v>
      </c>
      <c r="NM42" s="1">
        <v>4000000</v>
      </c>
      <c r="NN42" s="1">
        <v>125.97</v>
      </c>
      <c r="NO42" s="1">
        <v>1</v>
      </c>
      <c r="NP42" s="1">
        <v>0</v>
      </c>
      <c r="NQ42" s="1">
        <v>90</v>
      </c>
      <c r="NR42" s="1">
        <v>60003760</v>
      </c>
      <c r="NS42" s="1">
        <v>32767</v>
      </c>
      <c r="NT42" s="1">
        <v>6</v>
      </c>
      <c r="NV42" s="1">
        <v>2857769404</v>
      </c>
      <c r="NW42" s="1">
        <v>3689</v>
      </c>
      <c r="NX42" s="1">
        <v>215</v>
      </c>
      <c r="NY42" s="1">
        <v>215</v>
      </c>
      <c r="NZ42" s="1">
        <v>11077</v>
      </c>
      <c r="OA42" s="1">
        <v>1</v>
      </c>
      <c r="OB42" s="1">
        <v>0</v>
      </c>
      <c r="OC42" s="1">
        <v>90</v>
      </c>
      <c r="OD42" s="1">
        <v>60003760</v>
      </c>
      <c r="OE42" s="1">
        <v>32767</v>
      </c>
      <c r="OF42" s="1">
        <v>0</v>
      </c>
      <c r="OH42" s="1">
        <v>2785000590</v>
      </c>
      <c r="OI42" s="1">
        <v>25598</v>
      </c>
      <c r="OJ42" s="1">
        <v>500</v>
      </c>
      <c r="OK42" s="1">
        <v>500</v>
      </c>
      <c r="OL42" s="1">
        <v>174995.99</v>
      </c>
      <c r="OM42" s="1">
        <v>1</v>
      </c>
      <c r="ON42" s="1">
        <v>0</v>
      </c>
      <c r="OO42" s="1">
        <v>90</v>
      </c>
      <c r="OP42" s="1">
        <v>60003760</v>
      </c>
      <c r="OQ42" s="1">
        <v>32767</v>
      </c>
      <c r="OR42" s="1">
        <v>0</v>
      </c>
      <c r="OT42" s="1">
        <v>2784874059</v>
      </c>
      <c r="OU42" s="1">
        <v>25600</v>
      </c>
      <c r="OV42" s="1">
        <v>40</v>
      </c>
      <c r="OW42" s="1">
        <v>40</v>
      </c>
      <c r="OX42" s="1">
        <v>33500</v>
      </c>
      <c r="OY42" s="1">
        <v>1</v>
      </c>
      <c r="OZ42" s="1">
        <v>0</v>
      </c>
      <c r="PA42" s="1">
        <v>90</v>
      </c>
      <c r="PB42" s="1">
        <v>60003760</v>
      </c>
      <c r="PC42" s="1">
        <v>32767</v>
      </c>
      <c r="PD42" s="1">
        <v>0</v>
      </c>
      <c r="PF42" s="1">
        <v>2722345066</v>
      </c>
      <c r="PG42" s="1">
        <v>16670</v>
      </c>
      <c r="PH42" s="1">
        <v>14700000</v>
      </c>
      <c r="PI42" s="1">
        <v>11911284</v>
      </c>
      <c r="PJ42" s="1">
        <v>131.30000000000001</v>
      </c>
      <c r="PK42" s="1">
        <v>1</v>
      </c>
      <c r="PL42" s="1">
        <v>0</v>
      </c>
      <c r="PM42" s="1">
        <v>90</v>
      </c>
      <c r="PN42" s="1">
        <v>60003760</v>
      </c>
      <c r="PO42" s="1">
        <v>32767</v>
      </c>
      <c r="PP42" s="1">
        <v>7</v>
      </c>
      <c r="PR42" s="1">
        <v>2824181946</v>
      </c>
      <c r="PS42" s="1">
        <v>10222</v>
      </c>
      <c r="PT42" s="1">
        <v>1</v>
      </c>
      <c r="PU42" s="1">
        <v>1</v>
      </c>
      <c r="PV42" s="1">
        <v>14949795</v>
      </c>
      <c r="PW42" s="1">
        <v>1</v>
      </c>
      <c r="PX42" s="1">
        <v>1</v>
      </c>
      <c r="PY42" s="1">
        <v>90</v>
      </c>
      <c r="PZ42" s="1">
        <v>60003760</v>
      </c>
      <c r="QA42" s="1">
        <v>32767</v>
      </c>
      <c r="QB42" s="1">
        <v>0</v>
      </c>
      <c r="QD42" s="1">
        <v>2874441946</v>
      </c>
      <c r="QE42" s="1">
        <v>9830</v>
      </c>
      <c r="QF42" s="1">
        <v>50595</v>
      </c>
      <c r="QG42" s="1">
        <v>50595</v>
      </c>
      <c r="QH42" s="1">
        <v>7919.95</v>
      </c>
      <c r="QI42" s="1">
        <v>1</v>
      </c>
      <c r="QJ42" s="1">
        <v>0</v>
      </c>
      <c r="QK42" s="1">
        <v>90</v>
      </c>
      <c r="QL42" s="1">
        <v>60003760</v>
      </c>
      <c r="QM42" s="1">
        <v>32767</v>
      </c>
      <c r="QN42" s="1">
        <v>0</v>
      </c>
      <c r="QP42" s="1">
        <v>2871851983</v>
      </c>
      <c r="QQ42" s="1">
        <v>16671</v>
      </c>
      <c r="QR42" s="1">
        <v>50000</v>
      </c>
      <c r="QS42" s="1">
        <v>50000</v>
      </c>
      <c r="QT42" s="1">
        <v>118.63</v>
      </c>
      <c r="QU42" s="1">
        <v>1</v>
      </c>
      <c r="QV42" s="1">
        <v>0</v>
      </c>
      <c r="QW42" s="1">
        <v>90</v>
      </c>
      <c r="QX42" s="1">
        <v>60003760</v>
      </c>
      <c r="QY42" s="1">
        <v>32767</v>
      </c>
      <c r="QZ42" s="1">
        <v>7</v>
      </c>
      <c r="RB42" s="1">
        <v>2875045511</v>
      </c>
      <c r="RC42" s="1">
        <v>16682</v>
      </c>
      <c r="RD42" s="1">
        <v>947853</v>
      </c>
      <c r="RE42" s="1">
        <v>900273</v>
      </c>
      <c r="RF42" s="1">
        <v>3351.86</v>
      </c>
      <c r="RG42" s="1">
        <v>1</v>
      </c>
      <c r="RH42" s="1">
        <v>0</v>
      </c>
      <c r="RI42" s="1">
        <v>14</v>
      </c>
      <c r="RJ42" s="1">
        <v>60003760</v>
      </c>
      <c r="RK42" s="1">
        <v>32767</v>
      </c>
      <c r="RL42" s="1">
        <v>8</v>
      </c>
      <c r="RN42" s="1">
        <v>2816576582</v>
      </c>
      <c r="RO42" s="1">
        <v>16678</v>
      </c>
      <c r="RP42" s="1">
        <v>10000000</v>
      </c>
      <c r="RQ42" s="1">
        <v>8927008</v>
      </c>
      <c r="RR42" s="1">
        <v>252</v>
      </c>
      <c r="RS42" s="1">
        <v>1</v>
      </c>
      <c r="RT42" s="1">
        <v>1</v>
      </c>
      <c r="RU42" s="1">
        <v>90</v>
      </c>
      <c r="RV42" s="1">
        <v>60004234</v>
      </c>
      <c r="RW42" s="1">
        <v>-1</v>
      </c>
      <c r="RX42" s="1">
        <v>0</v>
      </c>
      <c r="RZ42" s="1">
        <v>2878866091</v>
      </c>
      <c r="SA42" s="1">
        <v>30310</v>
      </c>
      <c r="SB42" s="1">
        <v>960</v>
      </c>
      <c r="SC42" s="1">
        <v>960</v>
      </c>
      <c r="SD42" s="1">
        <v>1288698.95</v>
      </c>
      <c r="SE42" s="1">
        <v>1</v>
      </c>
      <c r="SF42" s="1">
        <v>0</v>
      </c>
      <c r="SG42" s="1">
        <v>30</v>
      </c>
      <c r="SH42" s="1">
        <v>60003760</v>
      </c>
      <c r="SI42" s="1">
        <v>32767</v>
      </c>
      <c r="SJ42" s="1">
        <v>0</v>
      </c>
      <c r="SL42" s="1">
        <v>2878647079</v>
      </c>
      <c r="SM42" s="1">
        <v>30311</v>
      </c>
      <c r="SN42" s="1">
        <v>160</v>
      </c>
      <c r="SO42" s="1">
        <v>160</v>
      </c>
      <c r="SP42" s="1">
        <v>3129001.91</v>
      </c>
      <c r="SQ42" s="1">
        <v>1</v>
      </c>
      <c r="SR42" s="1">
        <v>0</v>
      </c>
      <c r="SS42" s="1">
        <v>90</v>
      </c>
      <c r="ST42" s="1">
        <v>60003760</v>
      </c>
      <c r="SU42" s="1">
        <v>32767</v>
      </c>
      <c r="SV42" s="1">
        <v>0</v>
      </c>
      <c r="SX42" s="1">
        <v>2785623814</v>
      </c>
      <c r="SY42" s="1">
        <v>25595</v>
      </c>
      <c r="SZ42" s="1">
        <v>2017</v>
      </c>
      <c r="TA42" s="1">
        <v>2017</v>
      </c>
      <c r="TB42" s="1">
        <v>110000</v>
      </c>
      <c r="TC42" s="1">
        <v>1</v>
      </c>
      <c r="TD42" s="1">
        <v>0</v>
      </c>
      <c r="TE42" s="1">
        <v>90</v>
      </c>
      <c r="TF42" s="1">
        <v>60003760</v>
      </c>
      <c r="TG42" s="1">
        <v>32767</v>
      </c>
      <c r="TH42" s="1">
        <v>6</v>
      </c>
      <c r="TJ42" s="1">
        <v>2864062020</v>
      </c>
      <c r="TK42" s="1">
        <v>25606</v>
      </c>
      <c r="TL42" s="1">
        <v>102</v>
      </c>
      <c r="TM42" s="1">
        <v>102</v>
      </c>
      <c r="TN42" s="1">
        <v>23990</v>
      </c>
      <c r="TO42" s="1">
        <v>1</v>
      </c>
      <c r="TP42" s="1">
        <v>0</v>
      </c>
      <c r="TQ42" s="1">
        <v>90</v>
      </c>
      <c r="TR42" s="1">
        <v>60003760</v>
      </c>
      <c r="TS42" s="1">
        <v>32767</v>
      </c>
      <c r="TT42" s="1">
        <v>0</v>
      </c>
      <c r="TV42" s="1">
        <v>2877176124</v>
      </c>
      <c r="TW42" s="1">
        <v>25622</v>
      </c>
      <c r="TX42" s="1">
        <v>31</v>
      </c>
      <c r="TY42" s="1">
        <v>31</v>
      </c>
      <c r="TZ42" s="1">
        <v>14999999.99</v>
      </c>
      <c r="UA42" s="1">
        <v>1</v>
      </c>
      <c r="UB42" s="1">
        <v>0</v>
      </c>
      <c r="UC42" s="1">
        <v>90</v>
      </c>
      <c r="UD42" s="1">
        <v>60003760</v>
      </c>
      <c r="UE42" s="1">
        <v>32767</v>
      </c>
      <c r="UF42" s="1">
        <v>0</v>
      </c>
      <c r="UH42" s="1">
        <v>2876460641</v>
      </c>
      <c r="UI42" s="1">
        <v>16680</v>
      </c>
      <c r="UJ42" s="1">
        <v>770000</v>
      </c>
      <c r="UK42" s="1">
        <v>504304</v>
      </c>
      <c r="UL42" s="1">
        <v>703.97</v>
      </c>
      <c r="UM42" s="1">
        <v>1</v>
      </c>
      <c r="UN42" s="1">
        <v>0</v>
      </c>
      <c r="UO42" s="1">
        <v>90</v>
      </c>
      <c r="UP42" s="1">
        <v>60003760</v>
      </c>
      <c r="UQ42" s="1">
        <v>32767</v>
      </c>
      <c r="UR42" s="1">
        <v>6</v>
      </c>
      <c r="UT42" s="1">
        <v>2645443074</v>
      </c>
      <c r="UU42" s="1">
        <v>17317</v>
      </c>
      <c r="UV42" s="1">
        <v>20000</v>
      </c>
      <c r="UW42" s="1">
        <v>8209</v>
      </c>
      <c r="UX42" s="1">
        <v>17011.330000000002</v>
      </c>
      <c r="UY42" s="1">
        <v>1</v>
      </c>
      <c r="UZ42" s="1">
        <v>1</v>
      </c>
      <c r="VA42" s="1">
        <v>90</v>
      </c>
      <c r="VB42" s="1">
        <v>60003760</v>
      </c>
      <c r="VC42" s="1">
        <v>-1</v>
      </c>
      <c r="VD42" s="1">
        <v>0</v>
      </c>
      <c r="VF42"/>
      <c r="VG42"/>
      <c r="VH42"/>
      <c r="VI42"/>
      <c r="VJ42"/>
      <c r="VK42"/>
      <c r="VL42"/>
      <c r="VM42"/>
      <c r="VN42"/>
      <c r="VO42"/>
      <c r="VP42"/>
    </row>
    <row r="43" spans="2:588" x14ac:dyDescent="0.25">
      <c r="B43" s="1">
        <v>2850042117</v>
      </c>
      <c r="C43" s="1">
        <v>34</v>
      </c>
      <c r="D43" s="1">
        <v>2460630</v>
      </c>
      <c r="E43" s="1">
        <v>2459615</v>
      </c>
      <c r="F43" s="1">
        <v>5.85</v>
      </c>
      <c r="G43" s="1">
        <v>1</v>
      </c>
      <c r="H43" s="1">
        <v>0</v>
      </c>
      <c r="I43" s="1">
        <v>90</v>
      </c>
      <c r="J43" s="1">
        <v>60003763</v>
      </c>
      <c r="K43" s="1">
        <v>32767</v>
      </c>
      <c r="L43" s="1">
        <v>1</v>
      </c>
      <c r="N43" s="1">
        <v>2836376639</v>
      </c>
      <c r="O43" s="1">
        <v>35</v>
      </c>
      <c r="P43" s="1">
        <v>7846965</v>
      </c>
      <c r="Q43" s="1">
        <v>7846965</v>
      </c>
      <c r="R43" s="1">
        <v>16.010000000000002</v>
      </c>
      <c r="S43" s="1">
        <v>1</v>
      </c>
      <c r="T43" s="1">
        <v>0</v>
      </c>
      <c r="U43" s="1">
        <v>90</v>
      </c>
      <c r="V43" s="1">
        <v>60003760</v>
      </c>
      <c r="W43" s="1">
        <v>32767</v>
      </c>
      <c r="X43" s="1">
        <v>0</v>
      </c>
      <c r="Z43" s="1">
        <v>2758815473</v>
      </c>
      <c r="AA43" s="1">
        <v>36</v>
      </c>
      <c r="AB43" s="1">
        <v>31020256</v>
      </c>
      <c r="AC43" s="1">
        <v>31020256</v>
      </c>
      <c r="AD43" s="16">
        <v>60.02</v>
      </c>
      <c r="AE43" s="1">
        <v>1</v>
      </c>
      <c r="AF43" s="1">
        <v>0</v>
      </c>
      <c r="AG43" s="1">
        <v>90</v>
      </c>
      <c r="AH43" s="1">
        <v>60003760</v>
      </c>
      <c r="AI43" s="1">
        <v>32767</v>
      </c>
      <c r="AJ43" s="1">
        <v>11</v>
      </c>
      <c r="AL43" s="1">
        <v>2781496293</v>
      </c>
      <c r="AM43" s="1">
        <v>37</v>
      </c>
      <c r="AN43" s="1">
        <v>326819</v>
      </c>
      <c r="AO43" s="1">
        <v>326819</v>
      </c>
      <c r="AP43" s="16">
        <v>159.30000000000001</v>
      </c>
      <c r="AQ43" s="1">
        <v>1</v>
      </c>
      <c r="AR43" s="1">
        <v>0</v>
      </c>
      <c r="AS43" s="1">
        <v>90</v>
      </c>
      <c r="AT43" s="1">
        <v>60003760</v>
      </c>
      <c r="AU43" s="1">
        <v>32767</v>
      </c>
      <c r="AV43" s="1">
        <v>9</v>
      </c>
      <c r="AX43" s="1">
        <v>2870690968</v>
      </c>
      <c r="AY43" s="1">
        <v>38</v>
      </c>
      <c r="AZ43" s="1">
        <v>13076</v>
      </c>
      <c r="BA43" s="1">
        <v>13076</v>
      </c>
      <c r="BB43" s="1">
        <v>8071</v>
      </c>
      <c r="BC43" s="1">
        <v>1</v>
      </c>
      <c r="BD43" s="1">
        <v>0</v>
      </c>
      <c r="BE43" s="1">
        <v>90</v>
      </c>
      <c r="BF43" s="1">
        <v>60003760</v>
      </c>
      <c r="BG43" s="1">
        <v>32767</v>
      </c>
      <c r="BH43" s="1">
        <v>5</v>
      </c>
      <c r="BJ43" s="1">
        <v>2864026475</v>
      </c>
      <c r="BK43" s="1">
        <v>39</v>
      </c>
      <c r="BL43" s="1">
        <v>300000</v>
      </c>
      <c r="BM43" s="1">
        <v>300000</v>
      </c>
      <c r="BN43" s="1">
        <v>810.72</v>
      </c>
      <c r="BO43" s="1">
        <v>1</v>
      </c>
      <c r="BP43" s="1">
        <v>0</v>
      </c>
      <c r="BQ43" s="1">
        <v>90</v>
      </c>
      <c r="BR43" s="1">
        <v>60003760</v>
      </c>
      <c r="BS43" s="1">
        <v>32767</v>
      </c>
      <c r="BT43" s="1">
        <v>5</v>
      </c>
      <c r="BV43" s="1">
        <v>2395755168</v>
      </c>
      <c r="BW43" s="1">
        <v>40</v>
      </c>
      <c r="BX43" s="1">
        <v>58</v>
      </c>
      <c r="BY43" s="1">
        <v>58</v>
      </c>
      <c r="BZ43" s="1">
        <v>3025.55</v>
      </c>
      <c r="CA43" s="1">
        <v>1</v>
      </c>
      <c r="CB43" s="1">
        <v>0</v>
      </c>
      <c r="CC43" s="1">
        <v>30</v>
      </c>
      <c r="CD43" s="1">
        <v>60003760</v>
      </c>
      <c r="CE43" s="1">
        <v>32767</v>
      </c>
      <c r="CF43" s="1">
        <v>13</v>
      </c>
      <c r="CH43" s="1">
        <v>2347894913</v>
      </c>
      <c r="CI43" s="1">
        <v>29668</v>
      </c>
      <c r="CJ43" s="1">
        <v>6</v>
      </c>
      <c r="CK43" s="1">
        <v>6</v>
      </c>
      <c r="CL43" s="1">
        <v>595597993</v>
      </c>
      <c r="CM43" s="1">
        <v>1</v>
      </c>
      <c r="CN43" s="1">
        <v>0</v>
      </c>
      <c r="CO43" s="1">
        <v>90</v>
      </c>
      <c r="CP43" s="1">
        <v>60003760</v>
      </c>
      <c r="CQ43" s="1">
        <v>32767</v>
      </c>
      <c r="CR43" s="1">
        <v>0</v>
      </c>
      <c r="CT43" s="1">
        <v>2413582150</v>
      </c>
      <c r="CU43" s="1">
        <v>16649</v>
      </c>
      <c r="CV43" s="1">
        <v>19900</v>
      </c>
      <c r="CW43" s="1">
        <v>19900</v>
      </c>
      <c r="CX43" s="1">
        <v>95000</v>
      </c>
      <c r="CY43" s="1">
        <v>1000</v>
      </c>
      <c r="CZ43" s="1">
        <v>1</v>
      </c>
      <c r="DA43" s="1">
        <v>90</v>
      </c>
      <c r="DB43" s="1">
        <v>60003760</v>
      </c>
      <c r="DC43" s="1">
        <v>-1</v>
      </c>
      <c r="DD43" s="1">
        <v>0</v>
      </c>
      <c r="DF43" s="1">
        <v>2410941936</v>
      </c>
      <c r="DG43" s="1">
        <v>17887</v>
      </c>
      <c r="DH43" s="1">
        <v>1057239</v>
      </c>
      <c r="DI43" s="1">
        <v>1057239</v>
      </c>
      <c r="DJ43" s="1">
        <v>1020.87</v>
      </c>
      <c r="DK43" s="1">
        <v>1</v>
      </c>
      <c r="DL43" s="1">
        <v>0</v>
      </c>
      <c r="DM43" s="1">
        <v>90</v>
      </c>
      <c r="DN43" s="1">
        <v>60003760</v>
      </c>
      <c r="DO43" s="1">
        <v>32767</v>
      </c>
      <c r="DP43" s="1">
        <v>0</v>
      </c>
      <c r="DR43" s="1">
        <v>2772062320</v>
      </c>
      <c r="DS43" s="1">
        <v>17888</v>
      </c>
      <c r="DT43" s="1">
        <v>1306500</v>
      </c>
      <c r="DU43" s="1">
        <v>1306500</v>
      </c>
      <c r="DV43" s="1">
        <v>500</v>
      </c>
      <c r="DW43" s="1">
        <v>1</v>
      </c>
      <c r="DX43" s="1">
        <v>0</v>
      </c>
      <c r="DY43" s="1">
        <v>90</v>
      </c>
      <c r="DZ43" s="1">
        <v>60006430</v>
      </c>
      <c r="EA43" s="1">
        <v>32767</v>
      </c>
      <c r="EB43" s="1">
        <v>11</v>
      </c>
      <c r="ED43" s="1">
        <v>2864929535</v>
      </c>
      <c r="EE43" s="1">
        <v>16273</v>
      </c>
      <c r="EF43" s="1">
        <v>1397990</v>
      </c>
      <c r="EG43" s="1">
        <v>1397990</v>
      </c>
      <c r="EH43" s="1">
        <v>389</v>
      </c>
      <c r="EI43" s="1">
        <v>1</v>
      </c>
      <c r="EJ43" s="1">
        <v>0</v>
      </c>
      <c r="EK43" s="1">
        <v>90</v>
      </c>
      <c r="EL43" s="1">
        <v>60003760</v>
      </c>
      <c r="EM43" s="1">
        <v>32767</v>
      </c>
      <c r="EN43" s="1">
        <v>6</v>
      </c>
      <c r="EP43" s="1">
        <v>2825005259</v>
      </c>
      <c r="EQ43" s="1">
        <v>17889</v>
      </c>
      <c r="ER43" s="1">
        <v>355200</v>
      </c>
      <c r="ES43" s="1">
        <v>355200</v>
      </c>
      <c r="ET43" s="1">
        <v>450</v>
      </c>
      <c r="EU43" s="1">
        <v>1</v>
      </c>
      <c r="EV43" s="1">
        <v>0</v>
      </c>
      <c r="EW43" s="1">
        <v>90</v>
      </c>
      <c r="EX43" s="1">
        <v>60010192</v>
      </c>
      <c r="EY43" s="1">
        <v>32767</v>
      </c>
      <c r="EZ43" s="1">
        <v>4</v>
      </c>
      <c r="FB43" s="1">
        <v>2877751577</v>
      </c>
      <c r="FC43" s="1">
        <v>30259</v>
      </c>
      <c r="FD43" s="1">
        <v>21</v>
      </c>
      <c r="FE43" s="1">
        <v>21</v>
      </c>
      <c r="FF43" s="1">
        <v>5798453.9000000004</v>
      </c>
      <c r="FG43" s="1">
        <v>1</v>
      </c>
      <c r="FH43" s="1">
        <v>0</v>
      </c>
      <c r="FI43" s="1">
        <v>90</v>
      </c>
      <c r="FJ43" s="1">
        <v>60003760</v>
      </c>
      <c r="FK43" s="1">
        <v>32767</v>
      </c>
      <c r="FL43" s="1">
        <v>0</v>
      </c>
      <c r="FN43" s="1">
        <v>2877172083</v>
      </c>
      <c r="FO43" s="1">
        <v>25617</v>
      </c>
      <c r="FP43" s="1">
        <v>113</v>
      </c>
      <c r="FQ43" s="1">
        <v>113</v>
      </c>
      <c r="FR43" s="1">
        <v>5150000</v>
      </c>
      <c r="FS43" s="1">
        <v>1</v>
      </c>
      <c r="FT43" s="1">
        <v>0</v>
      </c>
      <c r="FU43" s="1">
        <v>90</v>
      </c>
      <c r="FV43" s="1">
        <v>60003760</v>
      </c>
      <c r="FW43" s="1">
        <v>32767</v>
      </c>
      <c r="FX43" s="1">
        <v>0</v>
      </c>
      <c r="FZ43" s="1">
        <v>2870963665</v>
      </c>
      <c r="GA43" s="1">
        <v>44</v>
      </c>
      <c r="GB43" s="1">
        <v>15645</v>
      </c>
      <c r="GC43" s="1">
        <v>15645</v>
      </c>
      <c r="GD43" s="1">
        <v>13497.79</v>
      </c>
      <c r="GE43" s="1">
        <v>1</v>
      </c>
      <c r="GF43" s="1">
        <v>0</v>
      </c>
      <c r="GG43" s="1">
        <v>7</v>
      </c>
      <c r="GH43" s="1">
        <v>60003760</v>
      </c>
      <c r="GI43" s="1">
        <v>32767</v>
      </c>
      <c r="GJ43" s="1">
        <v>4</v>
      </c>
      <c r="GL43" s="1">
        <v>2415093998</v>
      </c>
      <c r="GM43" s="1">
        <v>16681</v>
      </c>
      <c r="GN43" s="1">
        <v>265000</v>
      </c>
      <c r="GO43" s="1">
        <v>235000</v>
      </c>
      <c r="GP43" s="1">
        <v>6182.88</v>
      </c>
      <c r="GQ43" s="1">
        <v>1</v>
      </c>
      <c r="GR43" s="1">
        <v>0</v>
      </c>
      <c r="GS43" s="1">
        <v>14</v>
      </c>
      <c r="GT43" s="1">
        <v>60003760</v>
      </c>
      <c r="GU43" s="1">
        <v>32767</v>
      </c>
      <c r="GV43" s="1">
        <v>0</v>
      </c>
      <c r="GX43" s="1">
        <v>2840768927</v>
      </c>
      <c r="GY43" s="1">
        <v>16683</v>
      </c>
      <c r="GZ43" s="1">
        <v>10000</v>
      </c>
      <c r="HA43" s="1">
        <v>10000</v>
      </c>
      <c r="HB43" s="1">
        <v>8604</v>
      </c>
      <c r="HC43" s="1">
        <v>1</v>
      </c>
      <c r="HD43" s="1">
        <v>0</v>
      </c>
      <c r="HE43" s="1">
        <v>30</v>
      </c>
      <c r="HF43" s="1">
        <v>60003760</v>
      </c>
      <c r="HG43" s="1">
        <v>32767</v>
      </c>
      <c r="HH43" s="1">
        <v>0</v>
      </c>
      <c r="HJ43"/>
      <c r="HK43"/>
      <c r="HL43"/>
      <c r="HM43"/>
      <c r="HN43"/>
      <c r="HO43"/>
      <c r="HP43"/>
      <c r="HQ43"/>
      <c r="HR43"/>
      <c r="HS43"/>
      <c r="HT43"/>
      <c r="HV43" s="1">
        <v>2749731584</v>
      </c>
      <c r="HW43" s="1">
        <v>16274</v>
      </c>
      <c r="HX43" s="1">
        <v>2350200</v>
      </c>
      <c r="HY43" s="1">
        <v>2350200</v>
      </c>
      <c r="HZ43" s="1">
        <v>389.01</v>
      </c>
      <c r="IA43" s="1">
        <v>1</v>
      </c>
      <c r="IB43" s="1">
        <v>0</v>
      </c>
      <c r="IC43" s="1">
        <v>90</v>
      </c>
      <c r="ID43" s="1">
        <v>60003760</v>
      </c>
      <c r="IE43" s="1">
        <v>32767</v>
      </c>
      <c r="IF43" s="1">
        <v>2</v>
      </c>
      <c r="IH43" s="1">
        <v>2875672434</v>
      </c>
      <c r="II43" s="1">
        <v>10213</v>
      </c>
      <c r="IJ43" s="1">
        <v>3</v>
      </c>
      <c r="IK43" s="1">
        <v>3</v>
      </c>
      <c r="IL43" s="1">
        <v>113502003.87</v>
      </c>
      <c r="IM43" s="1">
        <v>1</v>
      </c>
      <c r="IN43" s="1">
        <v>1</v>
      </c>
      <c r="IO43" s="1">
        <v>90</v>
      </c>
      <c r="IP43" s="1">
        <v>60003760</v>
      </c>
      <c r="IQ43" s="1">
        <v>-1</v>
      </c>
      <c r="IR43" s="1">
        <v>0</v>
      </c>
      <c r="IT43" s="1">
        <v>2844264384</v>
      </c>
      <c r="IU43" s="1">
        <v>16679</v>
      </c>
      <c r="IV43" s="1">
        <v>100000</v>
      </c>
      <c r="IW43" s="1">
        <v>100000</v>
      </c>
      <c r="IX43" s="1">
        <v>1899.22</v>
      </c>
      <c r="IY43" s="1">
        <v>1</v>
      </c>
      <c r="IZ43" s="1">
        <v>0</v>
      </c>
      <c r="JA43" s="1">
        <v>90</v>
      </c>
      <c r="JB43" s="1">
        <v>60003760</v>
      </c>
      <c r="JC43" s="1">
        <v>32767</v>
      </c>
      <c r="JD43" s="1">
        <v>0</v>
      </c>
      <c r="JF43" s="1">
        <v>2875198446</v>
      </c>
      <c r="JG43" s="1">
        <v>16272</v>
      </c>
      <c r="JH43" s="1">
        <v>70309</v>
      </c>
      <c r="JI43" s="1">
        <v>70309</v>
      </c>
      <c r="JJ43" s="1">
        <v>79.87</v>
      </c>
      <c r="JK43" s="1">
        <v>1</v>
      </c>
      <c r="JL43" s="1">
        <v>0</v>
      </c>
      <c r="JM43" s="1">
        <v>30</v>
      </c>
      <c r="JN43" s="1">
        <v>60003760</v>
      </c>
      <c r="JO43" s="1">
        <v>32767</v>
      </c>
      <c r="JP43" s="1">
        <v>6</v>
      </c>
      <c r="JR43" s="1">
        <v>2740250079</v>
      </c>
      <c r="JS43" s="1">
        <v>10226</v>
      </c>
      <c r="JT43" s="1">
        <v>10</v>
      </c>
      <c r="JU43" s="1">
        <v>4</v>
      </c>
      <c r="JV43" s="1">
        <v>95100000</v>
      </c>
      <c r="JW43" s="1">
        <v>1</v>
      </c>
      <c r="JX43" s="1">
        <v>1</v>
      </c>
      <c r="JY43" s="1">
        <v>90</v>
      </c>
      <c r="JZ43" s="1">
        <v>60003760</v>
      </c>
      <c r="KA43" s="1">
        <v>-1</v>
      </c>
      <c r="KB43" s="1">
        <v>0</v>
      </c>
      <c r="KD43" s="1">
        <v>2555573943</v>
      </c>
      <c r="KE43" s="1">
        <v>25605</v>
      </c>
      <c r="KF43" s="1">
        <v>24310</v>
      </c>
      <c r="KG43" s="1">
        <v>22591</v>
      </c>
      <c r="KH43" s="1">
        <v>141000.03</v>
      </c>
      <c r="KI43" s="1">
        <v>1</v>
      </c>
      <c r="KJ43" s="1">
        <v>0</v>
      </c>
      <c r="KK43" s="1">
        <v>90</v>
      </c>
      <c r="KL43" s="1">
        <v>60003760</v>
      </c>
      <c r="KM43" s="1">
        <v>32767</v>
      </c>
      <c r="KN43" s="1">
        <v>6</v>
      </c>
      <c r="KP43" s="1">
        <v>2862079714</v>
      </c>
      <c r="KQ43" s="1">
        <v>25624</v>
      </c>
      <c r="KR43" s="1">
        <v>30</v>
      </c>
      <c r="KS43" s="1">
        <v>30</v>
      </c>
      <c r="KT43" s="1">
        <v>19519407.170000002</v>
      </c>
      <c r="KU43" s="1">
        <v>1</v>
      </c>
      <c r="KV43" s="1">
        <v>0</v>
      </c>
      <c r="KW43" s="1">
        <v>90</v>
      </c>
      <c r="KX43" s="1">
        <v>60003760</v>
      </c>
      <c r="KY43" s="1">
        <v>32767</v>
      </c>
      <c r="KZ43" s="1">
        <v>1</v>
      </c>
      <c r="LB43" s="1">
        <v>2840050668</v>
      </c>
      <c r="LC43" s="1">
        <v>9832</v>
      </c>
      <c r="LD43" s="1">
        <v>5000</v>
      </c>
      <c r="LE43" s="1">
        <v>200</v>
      </c>
      <c r="LF43" s="1">
        <v>9799</v>
      </c>
      <c r="LG43" s="1">
        <v>1</v>
      </c>
      <c r="LH43" s="1">
        <v>0</v>
      </c>
      <c r="LI43" s="1">
        <v>90</v>
      </c>
      <c r="LJ43" s="1">
        <v>60003760</v>
      </c>
      <c r="LK43" s="1">
        <v>32767</v>
      </c>
      <c r="LL43" s="1">
        <v>0</v>
      </c>
      <c r="LN43" s="1">
        <v>2785842456</v>
      </c>
      <c r="LO43" s="1">
        <v>10209</v>
      </c>
      <c r="LP43" s="1">
        <v>1</v>
      </c>
      <c r="LQ43" s="1">
        <v>1</v>
      </c>
      <c r="LR43" s="1">
        <v>109102002</v>
      </c>
      <c r="LS43" s="1">
        <v>1</v>
      </c>
      <c r="LT43" s="1">
        <v>1</v>
      </c>
      <c r="LU43" s="1">
        <v>90</v>
      </c>
      <c r="LV43" s="1">
        <v>60003760</v>
      </c>
      <c r="LW43" s="1">
        <v>-1</v>
      </c>
      <c r="LX43" s="1">
        <v>0</v>
      </c>
      <c r="LZ43" s="1">
        <v>2868427233</v>
      </c>
      <c r="MA43" s="1">
        <v>10217</v>
      </c>
      <c r="MB43" s="1">
        <v>2</v>
      </c>
      <c r="MC43" s="1">
        <v>2</v>
      </c>
      <c r="MD43" s="1">
        <v>110500133.15000001</v>
      </c>
      <c r="ME43" s="1">
        <v>1</v>
      </c>
      <c r="MF43" s="1">
        <v>1</v>
      </c>
      <c r="MG43" s="1">
        <v>90</v>
      </c>
      <c r="MH43" s="1">
        <v>60003760</v>
      </c>
      <c r="MI43" s="1">
        <v>-1</v>
      </c>
      <c r="MJ43" s="1">
        <v>0</v>
      </c>
      <c r="ML43" s="1">
        <v>2878380046</v>
      </c>
      <c r="MM43" s="1">
        <v>25625</v>
      </c>
      <c r="MN43" s="1">
        <v>10</v>
      </c>
      <c r="MO43" s="1">
        <v>1</v>
      </c>
      <c r="MP43" s="1">
        <v>4399999.99</v>
      </c>
      <c r="MQ43" s="1">
        <v>1</v>
      </c>
      <c r="MR43" s="1">
        <v>0</v>
      </c>
      <c r="MS43" s="1">
        <v>90</v>
      </c>
      <c r="MT43" s="1">
        <v>60003760</v>
      </c>
      <c r="MU43" s="1">
        <v>32767</v>
      </c>
      <c r="MV43" s="1">
        <v>0</v>
      </c>
      <c r="MX43" s="1">
        <v>2874878399</v>
      </c>
      <c r="MY43" s="1">
        <v>16672</v>
      </c>
      <c r="MZ43" s="1">
        <v>8520000</v>
      </c>
      <c r="NA43" s="1">
        <v>8520000</v>
      </c>
      <c r="NB43" s="1">
        <v>131.69999999999999</v>
      </c>
      <c r="NC43" s="1">
        <v>1</v>
      </c>
      <c r="ND43" s="1">
        <v>0</v>
      </c>
      <c r="NE43" s="1">
        <v>7</v>
      </c>
      <c r="NF43" s="1">
        <v>60003760</v>
      </c>
      <c r="NG43" s="1">
        <v>32767</v>
      </c>
      <c r="NH43" s="1">
        <v>0</v>
      </c>
      <c r="NJ43" s="1">
        <v>2863349003</v>
      </c>
      <c r="NK43" s="1">
        <v>16673</v>
      </c>
      <c r="NL43" s="1">
        <v>3505137</v>
      </c>
      <c r="NM43" s="1">
        <v>3505137</v>
      </c>
      <c r="NN43" s="1">
        <v>125</v>
      </c>
      <c r="NO43" s="1">
        <v>1</v>
      </c>
      <c r="NP43" s="1">
        <v>0</v>
      </c>
      <c r="NQ43" s="1">
        <v>90</v>
      </c>
      <c r="NR43" s="1">
        <v>60000463</v>
      </c>
      <c r="NS43" s="1">
        <v>32767</v>
      </c>
      <c r="NT43" s="1">
        <v>6</v>
      </c>
      <c r="NV43" s="1">
        <v>2858036902</v>
      </c>
      <c r="NW43" s="1">
        <v>3689</v>
      </c>
      <c r="NX43" s="1">
        <v>1344</v>
      </c>
      <c r="NY43" s="1">
        <v>1344</v>
      </c>
      <c r="NZ43" s="1">
        <v>10989.91</v>
      </c>
      <c r="OA43" s="1">
        <v>1</v>
      </c>
      <c r="OB43" s="1">
        <v>0</v>
      </c>
      <c r="OC43" s="1">
        <v>90</v>
      </c>
      <c r="OD43" s="1">
        <v>60003760</v>
      </c>
      <c r="OE43" s="1">
        <v>32767</v>
      </c>
      <c r="OF43" s="1">
        <v>0</v>
      </c>
      <c r="OH43" s="1">
        <v>2785625747</v>
      </c>
      <c r="OI43" s="1">
        <v>25598</v>
      </c>
      <c r="OJ43" s="1">
        <v>6634</v>
      </c>
      <c r="OK43" s="1">
        <v>6634</v>
      </c>
      <c r="OL43" s="1">
        <v>175000</v>
      </c>
      <c r="OM43" s="1">
        <v>1</v>
      </c>
      <c r="ON43" s="1">
        <v>0</v>
      </c>
      <c r="OO43" s="1">
        <v>90</v>
      </c>
      <c r="OP43" s="1">
        <v>60003760</v>
      </c>
      <c r="OQ43" s="1">
        <v>32767</v>
      </c>
      <c r="OR43" s="1">
        <v>0</v>
      </c>
      <c r="OT43" s="1">
        <v>2785059552</v>
      </c>
      <c r="OU43" s="1">
        <v>25600</v>
      </c>
      <c r="OV43" s="1">
        <v>210</v>
      </c>
      <c r="OW43" s="1">
        <v>210</v>
      </c>
      <c r="OX43" s="1">
        <v>33488</v>
      </c>
      <c r="OY43" s="1">
        <v>1</v>
      </c>
      <c r="OZ43" s="1">
        <v>0</v>
      </c>
      <c r="PA43" s="1">
        <v>90</v>
      </c>
      <c r="PB43" s="1">
        <v>60003760</v>
      </c>
      <c r="PC43" s="1">
        <v>32767</v>
      </c>
      <c r="PD43" s="1">
        <v>0</v>
      </c>
      <c r="PF43" s="1">
        <v>2707808915</v>
      </c>
      <c r="PG43" s="1">
        <v>16670</v>
      </c>
      <c r="PH43" s="1">
        <v>5000000</v>
      </c>
      <c r="PI43" s="1">
        <v>5000000</v>
      </c>
      <c r="PJ43" s="1">
        <v>169</v>
      </c>
      <c r="PK43" s="1">
        <v>1</v>
      </c>
      <c r="PL43" s="1">
        <v>0</v>
      </c>
      <c r="PM43" s="1">
        <v>90</v>
      </c>
      <c r="PN43" s="1">
        <v>60003760</v>
      </c>
      <c r="PO43" s="1">
        <v>32767</v>
      </c>
      <c r="PP43" s="1">
        <v>7</v>
      </c>
      <c r="PR43" s="1">
        <v>2755804688</v>
      </c>
      <c r="PS43" s="1">
        <v>10222</v>
      </c>
      <c r="PT43" s="1">
        <v>1</v>
      </c>
      <c r="PU43" s="1">
        <v>1</v>
      </c>
      <c r="PV43" s="1">
        <v>109101000.02</v>
      </c>
      <c r="PW43" s="1">
        <v>1</v>
      </c>
      <c r="PX43" s="1">
        <v>1</v>
      </c>
      <c r="PY43" s="1">
        <v>90</v>
      </c>
      <c r="PZ43" s="1">
        <v>60003760</v>
      </c>
      <c r="QA43" s="1">
        <v>2</v>
      </c>
      <c r="QB43" s="1">
        <v>0</v>
      </c>
      <c r="QD43" s="1">
        <v>2874456897</v>
      </c>
      <c r="QE43" s="1">
        <v>9830</v>
      </c>
      <c r="QF43" s="1">
        <v>19134</v>
      </c>
      <c r="QG43" s="1">
        <v>9455</v>
      </c>
      <c r="QH43" s="1">
        <v>7576.01</v>
      </c>
      <c r="QI43" s="1">
        <v>1</v>
      </c>
      <c r="QJ43" s="1">
        <v>0</v>
      </c>
      <c r="QK43" s="1">
        <v>30</v>
      </c>
      <c r="QL43" s="1">
        <v>60003760</v>
      </c>
      <c r="QM43" s="1">
        <v>32767</v>
      </c>
      <c r="QN43" s="1">
        <v>0</v>
      </c>
      <c r="QP43" s="1">
        <v>2871852464</v>
      </c>
      <c r="QQ43" s="1">
        <v>16671</v>
      </c>
      <c r="QR43" s="1">
        <v>50000</v>
      </c>
      <c r="QS43" s="1">
        <v>50000</v>
      </c>
      <c r="QT43" s="1">
        <v>118.64</v>
      </c>
      <c r="QU43" s="1">
        <v>1</v>
      </c>
      <c r="QV43" s="1">
        <v>0</v>
      </c>
      <c r="QW43" s="1">
        <v>90</v>
      </c>
      <c r="QX43" s="1">
        <v>60003760</v>
      </c>
      <c r="QY43" s="1">
        <v>32767</v>
      </c>
      <c r="QZ43" s="1">
        <v>7</v>
      </c>
      <c r="RB43" s="1">
        <v>2875628708</v>
      </c>
      <c r="RC43" s="1">
        <v>16682</v>
      </c>
      <c r="RD43" s="1">
        <v>313778</v>
      </c>
      <c r="RE43" s="1">
        <v>313778</v>
      </c>
      <c r="RF43" s="1">
        <v>3351.7</v>
      </c>
      <c r="RG43" s="1">
        <v>1</v>
      </c>
      <c r="RH43" s="1">
        <v>0</v>
      </c>
      <c r="RI43" s="1">
        <v>90</v>
      </c>
      <c r="RJ43" s="1">
        <v>60003760</v>
      </c>
      <c r="RK43" s="1">
        <v>32767</v>
      </c>
      <c r="RL43" s="1">
        <v>8</v>
      </c>
      <c r="RN43" s="1">
        <v>2782346962</v>
      </c>
      <c r="RO43" s="1">
        <v>16678</v>
      </c>
      <c r="RP43" s="1">
        <v>6000000</v>
      </c>
      <c r="RQ43" s="1">
        <v>194</v>
      </c>
      <c r="RR43" s="1">
        <v>240</v>
      </c>
      <c r="RS43" s="1">
        <v>1</v>
      </c>
      <c r="RT43" s="1">
        <v>1</v>
      </c>
      <c r="RU43" s="1">
        <v>90</v>
      </c>
      <c r="RV43" s="1">
        <v>60004234</v>
      </c>
      <c r="RW43" s="1">
        <v>-1</v>
      </c>
      <c r="RX43" s="1">
        <v>0</v>
      </c>
      <c r="RZ43" s="1">
        <v>2878867050</v>
      </c>
      <c r="SA43" s="1">
        <v>30310</v>
      </c>
      <c r="SB43" s="1">
        <v>1362</v>
      </c>
      <c r="SC43" s="1">
        <v>1362</v>
      </c>
      <c r="SD43" s="1">
        <v>1288600</v>
      </c>
      <c r="SE43" s="1">
        <v>1</v>
      </c>
      <c r="SF43" s="1">
        <v>0</v>
      </c>
      <c r="SG43" s="1">
        <v>14</v>
      </c>
      <c r="SH43" s="1">
        <v>60003760</v>
      </c>
      <c r="SI43" s="1">
        <v>32767</v>
      </c>
      <c r="SJ43" s="1">
        <v>0</v>
      </c>
      <c r="SL43" s="1">
        <v>2875647928</v>
      </c>
      <c r="SM43" s="1">
        <v>30311</v>
      </c>
      <c r="SN43" s="1">
        <v>80</v>
      </c>
      <c r="SO43" s="1">
        <v>80</v>
      </c>
      <c r="SP43" s="1">
        <v>3129001.9</v>
      </c>
      <c r="SQ43" s="1">
        <v>1</v>
      </c>
      <c r="SR43" s="1">
        <v>0</v>
      </c>
      <c r="SS43" s="1">
        <v>90</v>
      </c>
      <c r="ST43" s="1">
        <v>60003760</v>
      </c>
      <c r="SU43" s="1">
        <v>32767</v>
      </c>
      <c r="SV43" s="1">
        <v>0</v>
      </c>
      <c r="SX43" s="1">
        <v>2791800855</v>
      </c>
      <c r="SY43" s="1">
        <v>25595</v>
      </c>
      <c r="SZ43" s="1">
        <v>7</v>
      </c>
      <c r="TA43" s="1">
        <v>7</v>
      </c>
      <c r="TB43" s="1">
        <v>102399.98</v>
      </c>
      <c r="TC43" s="1">
        <v>1</v>
      </c>
      <c r="TD43" s="1">
        <v>0</v>
      </c>
      <c r="TE43" s="1">
        <v>90</v>
      </c>
      <c r="TF43" s="1">
        <v>60003760</v>
      </c>
      <c r="TG43" s="1">
        <v>32767</v>
      </c>
      <c r="TH43" s="1">
        <v>6</v>
      </c>
      <c r="TJ43" s="1">
        <v>2864075198</v>
      </c>
      <c r="TK43" s="1">
        <v>25606</v>
      </c>
      <c r="TL43" s="1">
        <v>76</v>
      </c>
      <c r="TM43" s="1">
        <v>76</v>
      </c>
      <c r="TN43" s="1">
        <v>23989</v>
      </c>
      <c r="TO43" s="1">
        <v>1</v>
      </c>
      <c r="TP43" s="1">
        <v>0</v>
      </c>
      <c r="TQ43" s="1">
        <v>90</v>
      </c>
      <c r="TR43" s="1">
        <v>60003760</v>
      </c>
      <c r="TS43" s="1">
        <v>32767</v>
      </c>
      <c r="TT43" s="1">
        <v>0</v>
      </c>
      <c r="TV43" s="1">
        <v>2855483512</v>
      </c>
      <c r="TW43" s="1">
        <v>25622</v>
      </c>
      <c r="TX43" s="1">
        <v>13</v>
      </c>
      <c r="TY43" s="1">
        <v>13</v>
      </c>
      <c r="TZ43" s="1">
        <v>15300000</v>
      </c>
      <c r="UA43" s="1">
        <v>1</v>
      </c>
      <c r="UB43" s="1">
        <v>0</v>
      </c>
      <c r="UC43" s="1">
        <v>30</v>
      </c>
      <c r="UD43" s="1">
        <v>60012667</v>
      </c>
      <c r="UE43" s="1">
        <v>32767</v>
      </c>
      <c r="UF43" s="1">
        <v>6</v>
      </c>
      <c r="UH43" s="1">
        <v>2875939311</v>
      </c>
      <c r="UI43" s="1">
        <v>16680</v>
      </c>
      <c r="UJ43" s="1">
        <v>904600</v>
      </c>
      <c r="UK43" s="1">
        <v>602650</v>
      </c>
      <c r="UL43" s="1">
        <v>702.81</v>
      </c>
      <c r="UM43" s="1">
        <v>1</v>
      </c>
      <c r="UN43" s="1">
        <v>0</v>
      </c>
      <c r="UO43" s="1">
        <v>90</v>
      </c>
      <c r="UP43" s="1">
        <v>60003760</v>
      </c>
      <c r="UQ43" s="1">
        <v>32767</v>
      </c>
      <c r="UR43" s="1">
        <v>6</v>
      </c>
      <c r="UT43" s="1">
        <v>2648767371</v>
      </c>
      <c r="UU43" s="1">
        <v>17317</v>
      </c>
      <c r="UV43" s="1">
        <v>24880</v>
      </c>
      <c r="UW43" s="1">
        <v>5320</v>
      </c>
      <c r="UX43" s="1">
        <v>18502.009999999998</v>
      </c>
      <c r="UY43" s="1">
        <v>1</v>
      </c>
      <c r="UZ43" s="1">
        <v>1</v>
      </c>
      <c r="VA43" s="1">
        <v>90</v>
      </c>
      <c r="VB43" s="1">
        <v>60003760</v>
      </c>
      <c r="VC43" s="1">
        <v>-1</v>
      </c>
      <c r="VD43" s="1">
        <v>0</v>
      </c>
      <c r="VF43"/>
      <c r="VG43"/>
      <c r="VH43"/>
      <c r="VI43"/>
      <c r="VJ43"/>
      <c r="VK43"/>
      <c r="VL43"/>
      <c r="VM43"/>
      <c r="VN43"/>
      <c r="VO43"/>
      <c r="VP43"/>
    </row>
    <row r="44" spans="2:588" x14ac:dyDescent="0.25">
      <c r="B44" s="1">
        <v>2859789363</v>
      </c>
      <c r="C44" s="1">
        <v>34</v>
      </c>
      <c r="D44" s="1">
        <v>1000000</v>
      </c>
      <c r="E44" s="1">
        <v>1000000</v>
      </c>
      <c r="F44" s="1">
        <v>5.84</v>
      </c>
      <c r="G44" s="1">
        <v>1</v>
      </c>
      <c r="H44" s="1">
        <v>0</v>
      </c>
      <c r="I44" s="1">
        <v>90</v>
      </c>
      <c r="J44" s="1">
        <v>60003763</v>
      </c>
      <c r="K44" s="1">
        <v>32767</v>
      </c>
      <c r="L44" s="1">
        <v>1</v>
      </c>
      <c r="N44" s="1">
        <v>2836556823</v>
      </c>
      <c r="O44" s="1">
        <v>35</v>
      </c>
      <c r="P44" s="1">
        <v>14817051</v>
      </c>
      <c r="Q44" s="1">
        <v>14817051</v>
      </c>
      <c r="R44" s="1">
        <v>15.36</v>
      </c>
      <c r="S44" s="1">
        <v>1</v>
      </c>
      <c r="T44" s="1">
        <v>0</v>
      </c>
      <c r="U44" s="1">
        <v>30</v>
      </c>
      <c r="V44" s="1">
        <v>60003760</v>
      </c>
      <c r="W44" s="1">
        <v>32767</v>
      </c>
      <c r="X44" s="1">
        <v>0</v>
      </c>
      <c r="Z44" s="1">
        <v>2758736880</v>
      </c>
      <c r="AA44" s="1">
        <v>36</v>
      </c>
      <c r="AB44" s="1">
        <v>3916322</v>
      </c>
      <c r="AC44" s="1">
        <v>3916322</v>
      </c>
      <c r="AD44" s="16">
        <v>60.02</v>
      </c>
      <c r="AE44" s="1">
        <v>1</v>
      </c>
      <c r="AF44" s="1">
        <v>0</v>
      </c>
      <c r="AG44" s="1">
        <v>90</v>
      </c>
      <c r="AH44" s="1">
        <v>60003760</v>
      </c>
      <c r="AI44" s="1">
        <v>32767</v>
      </c>
      <c r="AJ44" s="1">
        <v>11</v>
      </c>
      <c r="AL44" s="1">
        <v>2813421037</v>
      </c>
      <c r="AM44" s="1">
        <v>37</v>
      </c>
      <c r="AN44" s="1">
        <v>4623162</v>
      </c>
      <c r="AO44" s="1">
        <v>4623162</v>
      </c>
      <c r="AP44" s="16">
        <v>153.19</v>
      </c>
      <c r="AQ44" s="1">
        <v>1</v>
      </c>
      <c r="AR44" s="1">
        <v>0</v>
      </c>
      <c r="AS44" s="1">
        <v>90</v>
      </c>
      <c r="AT44" s="1">
        <v>60003760</v>
      </c>
      <c r="AU44" s="1">
        <v>32767</v>
      </c>
      <c r="AV44" s="1">
        <v>9</v>
      </c>
      <c r="AX44" s="1">
        <v>2872313036</v>
      </c>
      <c r="AY44" s="1">
        <v>38</v>
      </c>
      <c r="AZ44" s="1">
        <v>60573</v>
      </c>
      <c r="BA44" s="1">
        <v>35306</v>
      </c>
      <c r="BB44" s="1">
        <v>825.66</v>
      </c>
      <c r="BC44" s="1">
        <v>1</v>
      </c>
      <c r="BD44" s="1">
        <v>0</v>
      </c>
      <c r="BE44" s="1">
        <v>90</v>
      </c>
      <c r="BF44" s="1">
        <v>60003760</v>
      </c>
      <c r="BG44" s="1">
        <v>32767</v>
      </c>
      <c r="BH44" s="1">
        <v>5</v>
      </c>
      <c r="BJ44" s="1">
        <v>2862947734</v>
      </c>
      <c r="BK44" s="1">
        <v>39</v>
      </c>
      <c r="BL44" s="1">
        <v>11</v>
      </c>
      <c r="BM44" s="1">
        <v>11</v>
      </c>
      <c r="BN44" s="1">
        <v>2253</v>
      </c>
      <c r="BO44" s="1">
        <v>1</v>
      </c>
      <c r="BP44" s="1">
        <v>0</v>
      </c>
      <c r="BQ44" s="1">
        <v>90</v>
      </c>
      <c r="BR44" s="1">
        <v>60003760</v>
      </c>
      <c r="BS44" s="1">
        <v>32767</v>
      </c>
      <c r="BT44" s="1">
        <v>5</v>
      </c>
      <c r="BV44" s="1">
        <v>2395463848</v>
      </c>
      <c r="BW44" s="1">
        <v>40</v>
      </c>
      <c r="BX44" s="1">
        <v>507</v>
      </c>
      <c r="BY44" s="1">
        <v>507</v>
      </c>
      <c r="BZ44" s="1">
        <v>2846</v>
      </c>
      <c r="CA44" s="1">
        <v>1</v>
      </c>
      <c r="CB44" s="1">
        <v>0</v>
      </c>
      <c r="CC44" s="1">
        <v>30</v>
      </c>
      <c r="CD44" s="1">
        <v>60003760</v>
      </c>
      <c r="CE44" s="1">
        <v>32767</v>
      </c>
      <c r="CF44" s="1">
        <v>13</v>
      </c>
      <c r="CH44" s="1">
        <v>2347902348</v>
      </c>
      <c r="CI44" s="1">
        <v>29668</v>
      </c>
      <c r="CJ44" s="1">
        <v>6</v>
      </c>
      <c r="CK44" s="1">
        <v>6</v>
      </c>
      <c r="CL44" s="1">
        <v>595597993</v>
      </c>
      <c r="CM44" s="1">
        <v>1</v>
      </c>
      <c r="CN44" s="1">
        <v>0</v>
      </c>
      <c r="CO44" s="1">
        <v>90</v>
      </c>
      <c r="CP44" s="1">
        <v>60003760</v>
      </c>
      <c r="CQ44" s="1">
        <v>32767</v>
      </c>
      <c r="CR44" s="1">
        <v>0</v>
      </c>
      <c r="CT44" s="1">
        <v>2413721820</v>
      </c>
      <c r="CU44" s="1">
        <v>16649</v>
      </c>
      <c r="CV44" s="1">
        <v>100800</v>
      </c>
      <c r="CW44" s="1">
        <v>100800</v>
      </c>
      <c r="CX44" s="1">
        <v>95125.88</v>
      </c>
      <c r="CY44" s="1">
        <v>1</v>
      </c>
      <c r="CZ44" s="1">
        <v>1</v>
      </c>
      <c r="DA44" s="1">
        <v>90</v>
      </c>
      <c r="DB44" s="1">
        <v>60003760</v>
      </c>
      <c r="DC44" s="1">
        <v>-1</v>
      </c>
      <c r="DD44" s="1">
        <v>0</v>
      </c>
      <c r="DF44" s="1">
        <v>2410942146</v>
      </c>
      <c r="DG44" s="1">
        <v>17887</v>
      </c>
      <c r="DH44" s="1">
        <v>1046667</v>
      </c>
      <c r="DI44" s="1">
        <v>1046667</v>
      </c>
      <c r="DJ44" s="1">
        <v>1020.86</v>
      </c>
      <c r="DK44" s="1">
        <v>1</v>
      </c>
      <c r="DL44" s="1">
        <v>0</v>
      </c>
      <c r="DM44" s="1">
        <v>90</v>
      </c>
      <c r="DN44" s="1">
        <v>60003760</v>
      </c>
      <c r="DO44" s="1">
        <v>32767</v>
      </c>
      <c r="DP44" s="1">
        <v>0</v>
      </c>
      <c r="DR44" s="1">
        <v>2861404341</v>
      </c>
      <c r="DS44" s="1">
        <v>17888</v>
      </c>
      <c r="DT44" s="1">
        <v>58133</v>
      </c>
      <c r="DU44" s="1">
        <v>58133</v>
      </c>
      <c r="DV44" s="1">
        <v>341</v>
      </c>
      <c r="DW44" s="1">
        <v>1</v>
      </c>
      <c r="DX44" s="1">
        <v>0</v>
      </c>
      <c r="DY44" s="1">
        <v>90</v>
      </c>
      <c r="DZ44" s="1">
        <v>60006433</v>
      </c>
      <c r="EA44" s="1">
        <v>32767</v>
      </c>
      <c r="EB44" s="1">
        <v>11</v>
      </c>
      <c r="ED44" s="1">
        <v>2864348331</v>
      </c>
      <c r="EE44" s="1">
        <v>16273</v>
      </c>
      <c r="EF44" s="1">
        <v>829485</v>
      </c>
      <c r="EG44" s="1">
        <v>829485</v>
      </c>
      <c r="EH44" s="1">
        <v>372.89</v>
      </c>
      <c r="EI44" s="1">
        <v>1</v>
      </c>
      <c r="EJ44" s="1">
        <v>0</v>
      </c>
      <c r="EK44" s="1">
        <v>90</v>
      </c>
      <c r="EL44" s="1">
        <v>60003760</v>
      </c>
      <c r="EM44" s="1">
        <v>32767</v>
      </c>
      <c r="EN44" s="1">
        <v>6</v>
      </c>
      <c r="EP44" s="1">
        <v>2861880852</v>
      </c>
      <c r="EQ44" s="1">
        <v>17889</v>
      </c>
      <c r="ER44" s="1">
        <v>650000</v>
      </c>
      <c r="ES44" s="1">
        <v>650000</v>
      </c>
      <c r="ET44" s="1">
        <v>650</v>
      </c>
      <c r="EU44" s="1">
        <v>1</v>
      </c>
      <c r="EV44" s="1">
        <v>0</v>
      </c>
      <c r="EW44" s="1">
        <v>90</v>
      </c>
      <c r="EX44" s="1">
        <v>60010192</v>
      </c>
      <c r="EY44" s="1">
        <v>32767</v>
      </c>
      <c r="EZ44" s="1">
        <v>4</v>
      </c>
      <c r="FB44" s="1">
        <v>2876859439</v>
      </c>
      <c r="FC44" s="1">
        <v>30259</v>
      </c>
      <c r="FD44" s="1">
        <v>1</v>
      </c>
      <c r="FE44" s="1">
        <v>1</v>
      </c>
      <c r="FF44" s="1">
        <v>5842970</v>
      </c>
      <c r="FG44" s="1">
        <v>1</v>
      </c>
      <c r="FH44" s="1">
        <v>0</v>
      </c>
      <c r="FI44" s="1">
        <v>90</v>
      </c>
      <c r="FJ44" s="1">
        <v>60003760</v>
      </c>
      <c r="FK44" s="1">
        <v>32767</v>
      </c>
      <c r="FL44" s="1">
        <v>0</v>
      </c>
      <c r="FN44" s="1">
        <v>2750685401</v>
      </c>
      <c r="FO44" s="1">
        <v>25617</v>
      </c>
      <c r="FP44" s="1">
        <v>20</v>
      </c>
      <c r="FQ44" s="1">
        <v>20</v>
      </c>
      <c r="FR44" s="1">
        <v>6000000</v>
      </c>
      <c r="FS44" s="1">
        <v>1</v>
      </c>
      <c r="FT44" s="1">
        <v>0</v>
      </c>
      <c r="FU44" s="1">
        <v>90</v>
      </c>
      <c r="FV44" s="1">
        <v>60006880</v>
      </c>
      <c r="FW44" s="1">
        <v>32767</v>
      </c>
      <c r="FX44" s="1">
        <v>1</v>
      </c>
      <c r="FZ44" s="1">
        <v>2871032733</v>
      </c>
      <c r="GA44" s="1">
        <v>44</v>
      </c>
      <c r="GB44" s="1">
        <v>52330</v>
      </c>
      <c r="GC44" s="1">
        <v>52330</v>
      </c>
      <c r="GD44" s="1">
        <v>14000</v>
      </c>
      <c r="GE44" s="1">
        <v>1</v>
      </c>
      <c r="GF44" s="1">
        <v>0</v>
      </c>
      <c r="GG44" s="1">
        <v>90</v>
      </c>
      <c r="GH44" s="1">
        <v>60003760</v>
      </c>
      <c r="GI44" s="1">
        <v>32767</v>
      </c>
      <c r="GJ44" s="1">
        <v>4</v>
      </c>
      <c r="GL44" s="1">
        <v>2415724664</v>
      </c>
      <c r="GM44" s="1">
        <v>16681</v>
      </c>
      <c r="GN44" s="1">
        <v>259500</v>
      </c>
      <c r="GO44" s="1">
        <v>257100</v>
      </c>
      <c r="GP44" s="1">
        <v>6182.86</v>
      </c>
      <c r="GQ44" s="1">
        <v>1</v>
      </c>
      <c r="GR44" s="1">
        <v>0</v>
      </c>
      <c r="GS44" s="1">
        <v>1</v>
      </c>
      <c r="GT44" s="1">
        <v>60003760</v>
      </c>
      <c r="GU44" s="1">
        <v>32767</v>
      </c>
      <c r="GV44" s="1">
        <v>0</v>
      </c>
      <c r="GX44" s="1">
        <v>2858701633</v>
      </c>
      <c r="GY44" s="1">
        <v>16683</v>
      </c>
      <c r="GZ44" s="1">
        <v>41600</v>
      </c>
      <c r="HA44" s="1">
        <v>41600</v>
      </c>
      <c r="HB44" s="1">
        <v>9689.9699999999993</v>
      </c>
      <c r="HC44" s="1">
        <v>1</v>
      </c>
      <c r="HD44" s="1">
        <v>0</v>
      </c>
      <c r="HE44" s="1">
        <v>90</v>
      </c>
      <c r="HF44" s="1">
        <v>60003760</v>
      </c>
      <c r="HG44" s="1">
        <v>32767</v>
      </c>
      <c r="HH44" s="1">
        <v>0</v>
      </c>
      <c r="HJ44"/>
      <c r="HK44"/>
      <c r="HL44"/>
      <c r="HM44"/>
      <c r="HN44"/>
      <c r="HO44"/>
      <c r="HP44"/>
      <c r="HQ44"/>
      <c r="HR44"/>
      <c r="HS44"/>
      <c r="HT44"/>
      <c r="HV44" s="1">
        <v>2745837828</v>
      </c>
      <c r="HW44" s="1">
        <v>16274</v>
      </c>
      <c r="HX44" s="1">
        <v>837546</v>
      </c>
      <c r="HY44" s="1">
        <v>837546</v>
      </c>
      <c r="HZ44" s="1">
        <v>540</v>
      </c>
      <c r="IA44" s="1">
        <v>1</v>
      </c>
      <c r="IB44" s="1">
        <v>0</v>
      </c>
      <c r="IC44" s="1">
        <v>90</v>
      </c>
      <c r="ID44" s="1">
        <v>60003760</v>
      </c>
      <c r="IE44" s="1">
        <v>32767</v>
      </c>
      <c r="IF44" s="1">
        <v>2</v>
      </c>
      <c r="IH44" s="1">
        <v>2660327821</v>
      </c>
      <c r="II44" s="1">
        <v>10213</v>
      </c>
      <c r="IJ44" s="1">
        <v>3</v>
      </c>
      <c r="IK44" s="1">
        <v>3</v>
      </c>
      <c r="IL44" s="1">
        <v>97600001</v>
      </c>
      <c r="IM44" s="1">
        <v>1</v>
      </c>
      <c r="IN44" s="1">
        <v>1</v>
      </c>
      <c r="IO44" s="1">
        <v>90</v>
      </c>
      <c r="IP44" s="1">
        <v>60003754</v>
      </c>
      <c r="IQ44" s="1">
        <v>20</v>
      </c>
      <c r="IR44" s="1">
        <v>0</v>
      </c>
      <c r="IT44" s="1">
        <v>2857887412</v>
      </c>
      <c r="IU44" s="1">
        <v>16679</v>
      </c>
      <c r="IV44" s="1">
        <v>462000</v>
      </c>
      <c r="IW44" s="1">
        <v>462000</v>
      </c>
      <c r="IX44" s="1">
        <v>1799.99</v>
      </c>
      <c r="IY44" s="1">
        <v>1</v>
      </c>
      <c r="IZ44" s="1">
        <v>0</v>
      </c>
      <c r="JA44" s="1">
        <v>90</v>
      </c>
      <c r="JB44" s="1">
        <v>60003760</v>
      </c>
      <c r="JC44" s="1">
        <v>32767</v>
      </c>
      <c r="JD44" s="1">
        <v>0</v>
      </c>
      <c r="JF44" s="1">
        <v>2875264128</v>
      </c>
      <c r="JG44" s="1">
        <v>16272</v>
      </c>
      <c r="JH44" s="1">
        <v>500000</v>
      </c>
      <c r="JI44" s="1">
        <v>200599</v>
      </c>
      <c r="JJ44" s="1">
        <v>78.47</v>
      </c>
      <c r="JK44" s="1">
        <v>1</v>
      </c>
      <c r="JL44" s="1">
        <v>0</v>
      </c>
      <c r="JM44" s="1">
        <v>14</v>
      </c>
      <c r="JN44" s="1">
        <v>60003760</v>
      </c>
      <c r="JO44" s="1">
        <v>32767</v>
      </c>
      <c r="JP44" s="1">
        <v>6</v>
      </c>
      <c r="JR44" s="1">
        <v>2723770258</v>
      </c>
      <c r="JS44" s="1">
        <v>10226</v>
      </c>
      <c r="JT44" s="1">
        <v>2</v>
      </c>
      <c r="JU44" s="1">
        <v>2</v>
      </c>
      <c r="JV44" s="1">
        <v>102000000</v>
      </c>
      <c r="JW44" s="1">
        <v>1</v>
      </c>
      <c r="JX44" s="1">
        <v>1</v>
      </c>
      <c r="JY44" s="1">
        <v>90</v>
      </c>
      <c r="JZ44" s="1">
        <v>60003760</v>
      </c>
      <c r="KA44" s="1">
        <v>-1</v>
      </c>
      <c r="KB44" s="1">
        <v>0</v>
      </c>
      <c r="KD44" s="1">
        <v>2718901124</v>
      </c>
      <c r="KE44" s="1">
        <v>25605</v>
      </c>
      <c r="KF44" s="1">
        <v>6500</v>
      </c>
      <c r="KG44" s="1">
        <v>6500</v>
      </c>
      <c r="KH44" s="1">
        <v>134974.99</v>
      </c>
      <c r="KI44" s="1">
        <v>1</v>
      </c>
      <c r="KJ44" s="1">
        <v>0</v>
      </c>
      <c r="KK44" s="1">
        <v>90</v>
      </c>
      <c r="KL44" s="1">
        <v>60003760</v>
      </c>
      <c r="KM44" s="1">
        <v>32767</v>
      </c>
      <c r="KN44" s="1">
        <v>6</v>
      </c>
      <c r="KP44" s="1">
        <v>2862356978</v>
      </c>
      <c r="KQ44" s="1">
        <v>25624</v>
      </c>
      <c r="KR44" s="1">
        <v>3</v>
      </c>
      <c r="KS44" s="1">
        <v>3</v>
      </c>
      <c r="KT44" s="1">
        <v>18899995</v>
      </c>
      <c r="KU44" s="1">
        <v>1</v>
      </c>
      <c r="KV44" s="1">
        <v>0</v>
      </c>
      <c r="KW44" s="1">
        <v>90</v>
      </c>
      <c r="KX44" s="1">
        <v>60003760</v>
      </c>
      <c r="KY44" s="1">
        <v>32767</v>
      </c>
      <c r="KZ44" s="1">
        <v>1</v>
      </c>
      <c r="LB44" s="1">
        <v>2840145379</v>
      </c>
      <c r="LC44" s="1">
        <v>9832</v>
      </c>
      <c r="LD44" s="1">
        <v>2000</v>
      </c>
      <c r="LE44" s="1">
        <v>2000</v>
      </c>
      <c r="LF44" s="1">
        <v>9796.99</v>
      </c>
      <c r="LG44" s="1">
        <v>1</v>
      </c>
      <c r="LH44" s="1">
        <v>0</v>
      </c>
      <c r="LI44" s="1">
        <v>90</v>
      </c>
      <c r="LJ44" s="1">
        <v>60003760</v>
      </c>
      <c r="LK44" s="1">
        <v>32767</v>
      </c>
      <c r="LL44" s="1">
        <v>0</v>
      </c>
      <c r="LN44" s="1">
        <v>2854594888</v>
      </c>
      <c r="LO44" s="1">
        <v>10209</v>
      </c>
      <c r="LP44" s="1">
        <v>10</v>
      </c>
      <c r="LQ44" s="1">
        <v>10</v>
      </c>
      <c r="LR44" s="1">
        <v>109501005.03</v>
      </c>
      <c r="LS44" s="1">
        <v>1</v>
      </c>
      <c r="LT44" s="1">
        <v>1</v>
      </c>
      <c r="LU44" s="1">
        <v>90</v>
      </c>
      <c r="LV44" s="1">
        <v>60003760</v>
      </c>
      <c r="LW44" s="1">
        <v>-1</v>
      </c>
      <c r="LX44" s="1">
        <v>0</v>
      </c>
      <c r="LZ44" s="1">
        <v>2868539128</v>
      </c>
      <c r="MA44" s="1">
        <v>10217</v>
      </c>
      <c r="MB44" s="1">
        <v>2</v>
      </c>
      <c r="MC44" s="1">
        <v>2</v>
      </c>
      <c r="MD44" s="1">
        <v>110500270.56999999</v>
      </c>
      <c r="ME44" s="1">
        <v>1</v>
      </c>
      <c r="MF44" s="1">
        <v>1</v>
      </c>
      <c r="MG44" s="1">
        <v>30</v>
      </c>
      <c r="MH44" s="1">
        <v>60003760</v>
      </c>
      <c r="MI44" s="1">
        <v>-1</v>
      </c>
      <c r="MJ44" s="1">
        <v>0</v>
      </c>
      <c r="ML44" s="1">
        <v>2879023550</v>
      </c>
      <c r="MM44" s="1">
        <v>25625</v>
      </c>
      <c r="MN44" s="1">
        <v>16</v>
      </c>
      <c r="MO44" s="1">
        <v>16</v>
      </c>
      <c r="MP44" s="1">
        <v>4399999.9800000004</v>
      </c>
      <c r="MQ44" s="1">
        <v>1</v>
      </c>
      <c r="MR44" s="1">
        <v>0</v>
      </c>
      <c r="MS44" s="1">
        <v>90</v>
      </c>
      <c r="MT44" s="1">
        <v>60003760</v>
      </c>
      <c r="MU44" s="1">
        <v>32767</v>
      </c>
      <c r="MV44" s="1">
        <v>0</v>
      </c>
      <c r="MX44" s="1">
        <v>2874674336</v>
      </c>
      <c r="MY44" s="1">
        <v>16672</v>
      </c>
      <c r="MZ44" s="1">
        <v>890000</v>
      </c>
      <c r="NA44" s="1">
        <v>890000</v>
      </c>
      <c r="NB44" s="1">
        <v>132.97</v>
      </c>
      <c r="NC44" s="1">
        <v>1</v>
      </c>
      <c r="ND44" s="1">
        <v>0</v>
      </c>
      <c r="NE44" s="1">
        <v>90</v>
      </c>
      <c r="NF44" s="1">
        <v>60003760</v>
      </c>
      <c r="NG44" s="1">
        <v>32767</v>
      </c>
      <c r="NH44" s="1">
        <v>0</v>
      </c>
      <c r="NJ44" s="1">
        <v>2862096485</v>
      </c>
      <c r="NK44" s="1">
        <v>16673</v>
      </c>
      <c r="NL44" s="1">
        <v>5000000</v>
      </c>
      <c r="NM44" s="1">
        <v>5000000</v>
      </c>
      <c r="NN44" s="1">
        <v>134</v>
      </c>
      <c r="NO44" s="1">
        <v>1</v>
      </c>
      <c r="NP44" s="1">
        <v>0</v>
      </c>
      <c r="NQ44" s="1">
        <v>90</v>
      </c>
      <c r="NR44" s="1">
        <v>60003760</v>
      </c>
      <c r="NS44" s="1">
        <v>32767</v>
      </c>
      <c r="NT44" s="1">
        <v>6</v>
      </c>
      <c r="NV44" s="1">
        <v>2858011938</v>
      </c>
      <c r="NW44" s="1">
        <v>3689</v>
      </c>
      <c r="NX44" s="1">
        <v>3813</v>
      </c>
      <c r="NY44" s="1">
        <v>3313</v>
      </c>
      <c r="NZ44" s="1">
        <v>10989.87</v>
      </c>
      <c r="OA44" s="1">
        <v>1</v>
      </c>
      <c r="OB44" s="1">
        <v>0</v>
      </c>
      <c r="OC44" s="1">
        <v>90</v>
      </c>
      <c r="OD44" s="1">
        <v>60003760</v>
      </c>
      <c r="OE44" s="1">
        <v>32767</v>
      </c>
      <c r="OF44" s="1">
        <v>0</v>
      </c>
      <c r="OH44" s="1">
        <v>2785131273</v>
      </c>
      <c r="OI44" s="1">
        <v>25598</v>
      </c>
      <c r="OJ44" s="1">
        <v>6140</v>
      </c>
      <c r="OK44" s="1">
        <v>6140</v>
      </c>
      <c r="OL44" s="1">
        <v>173986.98</v>
      </c>
      <c r="OM44" s="1">
        <v>1</v>
      </c>
      <c r="ON44" s="1">
        <v>0</v>
      </c>
      <c r="OO44" s="1">
        <v>90</v>
      </c>
      <c r="OP44" s="1">
        <v>60003760</v>
      </c>
      <c r="OQ44" s="1">
        <v>32767</v>
      </c>
      <c r="OR44" s="1">
        <v>0</v>
      </c>
      <c r="OT44" s="1">
        <v>2784300992</v>
      </c>
      <c r="OU44" s="1">
        <v>25600</v>
      </c>
      <c r="OV44" s="1">
        <v>531</v>
      </c>
      <c r="OW44" s="1">
        <v>531</v>
      </c>
      <c r="OX44" s="1">
        <v>34405.06</v>
      </c>
      <c r="OY44" s="1">
        <v>1</v>
      </c>
      <c r="OZ44" s="1">
        <v>0</v>
      </c>
      <c r="PA44" s="1">
        <v>90</v>
      </c>
      <c r="PB44" s="1">
        <v>60003760</v>
      </c>
      <c r="PC44" s="1">
        <v>32767</v>
      </c>
      <c r="PD44" s="1">
        <v>0</v>
      </c>
      <c r="PF44" s="1">
        <v>2710030102</v>
      </c>
      <c r="PG44" s="1">
        <v>16670</v>
      </c>
      <c r="PH44" s="1">
        <v>13000000</v>
      </c>
      <c r="PI44" s="1">
        <v>13000000</v>
      </c>
      <c r="PJ44" s="1">
        <v>144.96</v>
      </c>
      <c r="PK44" s="1">
        <v>1</v>
      </c>
      <c r="PL44" s="1">
        <v>0</v>
      </c>
      <c r="PM44" s="1">
        <v>90</v>
      </c>
      <c r="PN44" s="1">
        <v>60003760</v>
      </c>
      <c r="PO44" s="1">
        <v>32767</v>
      </c>
      <c r="PP44" s="1">
        <v>7</v>
      </c>
      <c r="PR44" s="1">
        <v>2757652204</v>
      </c>
      <c r="PS44" s="1">
        <v>10222</v>
      </c>
      <c r="PT44" s="1">
        <v>10</v>
      </c>
      <c r="PU44" s="1">
        <v>10</v>
      </c>
      <c r="PV44" s="1">
        <v>94100000</v>
      </c>
      <c r="PW44" s="1">
        <v>1</v>
      </c>
      <c r="PX44" s="1">
        <v>1</v>
      </c>
      <c r="PY44" s="1">
        <v>90</v>
      </c>
      <c r="PZ44" s="1">
        <v>60003760</v>
      </c>
      <c r="QA44" s="1">
        <v>-1</v>
      </c>
      <c r="QB44" s="1">
        <v>0</v>
      </c>
      <c r="QD44" s="1">
        <v>2877881951</v>
      </c>
      <c r="QE44" s="1">
        <v>9830</v>
      </c>
      <c r="QF44" s="1">
        <v>23726</v>
      </c>
      <c r="QG44" s="1">
        <v>10253</v>
      </c>
      <c r="QH44" s="1">
        <v>7585.49</v>
      </c>
      <c r="QI44" s="1">
        <v>1</v>
      </c>
      <c r="QJ44" s="1">
        <v>0</v>
      </c>
      <c r="QK44" s="1">
        <v>90</v>
      </c>
      <c r="QL44" s="1">
        <v>60003760</v>
      </c>
      <c r="QM44" s="1">
        <v>32767</v>
      </c>
      <c r="QN44" s="1">
        <v>0</v>
      </c>
      <c r="QP44" s="1">
        <v>2871853136</v>
      </c>
      <c r="QQ44" s="1">
        <v>16671</v>
      </c>
      <c r="QR44" s="1">
        <v>50000</v>
      </c>
      <c r="QS44" s="1">
        <v>50000</v>
      </c>
      <c r="QT44" s="1">
        <v>119.99</v>
      </c>
      <c r="QU44" s="1">
        <v>1</v>
      </c>
      <c r="QV44" s="1">
        <v>0</v>
      </c>
      <c r="QW44" s="1">
        <v>90</v>
      </c>
      <c r="QX44" s="1">
        <v>60003760</v>
      </c>
      <c r="QY44" s="1">
        <v>32767</v>
      </c>
      <c r="QZ44" s="1">
        <v>7</v>
      </c>
      <c r="RB44" s="1">
        <v>2877681118</v>
      </c>
      <c r="RC44" s="1">
        <v>16682</v>
      </c>
      <c r="RD44" s="1">
        <v>226195</v>
      </c>
      <c r="RE44" s="1">
        <v>226195</v>
      </c>
      <c r="RF44" s="1">
        <v>3350.59</v>
      </c>
      <c r="RG44" s="1">
        <v>1</v>
      </c>
      <c r="RH44" s="1">
        <v>0</v>
      </c>
      <c r="RI44" s="1">
        <v>3</v>
      </c>
      <c r="RJ44" s="1">
        <v>60003760</v>
      </c>
      <c r="RK44" s="1">
        <v>32767</v>
      </c>
      <c r="RL44" s="1">
        <v>8</v>
      </c>
      <c r="RN44" s="1">
        <v>2828894886</v>
      </c>
      <c r="RO44" s="1">
        <v>16678</v>
      </c>
      <c r="RP44" s="1">
        <v>350000</v>
      </c>
      <c r="RQ44" s="1">
        <v>350000</v>
      </c>
      <c r="RR44" s="1">
        <v>247.3</v>
      </c>
      <c r="RS44" s="1">
        <v>1</v>
      </c>
      <c r="RT44" s="1">
        <v>1</v>
      </c>
      <c r="RU44" s="1">
        <v>90</v>
      </c>
      <c r="RV44" s="1">
        <v>60003760</v>
      </c>
      <c r="RW44" s="1">
        <v>-1</v>
      </c>
      <c r="RX44" s="1">
        <v>0</v>
      </c>
      <c r="RZ44" s="1">
        <v>2878532190</v>
      </c>
      <c r="SA44" s="1">
        <v>30310</v>
      </c>
      <c r="SB44" s="1">
        <v>336</v>
      </c>
      <c r="SC44" s="1">
        <v>136</v>
      </c>
      <c r="SD44" s="1">
        <v>1288599.8999999999</v>
      </c>
      <c r="SE44" s="1">
        <v>1</v>
      </c>
      <c r="SF44" s="1">
        <v>0</v>
      </c>
      <c r="SG44" s="1">
        <v>30</v>
      </c>
      <c r="SH44" s="1">
        <v>60003760</v>
      </c>
      <c r="SI44" s="1">
        <v>32767</v>
      </c>
      <c r="SJ44" s="1">
        <v>0</v>
      </c>
      <c r="SL44" s="1">
        <v>2877871605</v>
      </c>
      <c r="SM44" s="1">
        <v>30311</v>
      </c>
      <c r="SN44" s="1">
        <v>72</v>
      </c>
      <c r="SO44" s="1">
        <v>42</v>
      </c>
      <c r="SP44" s="1">
        <v>3129000</v>
      </c>
      <c r="SQ44" s="1">
        <v>1</v>
      </c>
      <c r="SR44" s="1">
        <v>0</v>
      </c>
      <c r="SS44" s="1">
        <v>90</v>
      </c>
      <c r="ST44" s="1">
        <v>60003760</v>
      </c>
      <c r="SU44" s="1">
        <v>32767</v>
      </c>
      <c r="SV44" s="1">
        <v>0</v>
      </c>
      <c r="SX44" s="1">
        <v>2793531965</v>
      </c>
      <c r="SY44" s="1">
        <v>25595</v>
      </c>
      <c r="SZ44" s="1">
        <v>69</v>
      </c>
      <c r="TA44" s="1">
        <v>69</v>
      </c>
      <c r="TB44" s="1">
        <v>102389.98</v>
      </c>
      <c r="TC44" s="1">
        <v>1</v>
      </c>
      <c r="TD44" s="1">
        <v>0</v>
      </c>
      <c r="TE44" s="1">
        <v>90</v>
      </c>
      <c r="TF44" s="1">
        <v>60003760</v>
      </c>
      <c r="TG44" s="1">
        <v>32767</v>
      </c>
      <c r="TH44" s="1">
        <v>6</v>
      </c>
      <c r="TJ44" s="1">
        <v>2864114088</v>
      </c>
      <c r="TK44" s="1">
        <v>25606</v>
      </c>
      <c r="TL44" s="1">
        <v>131</v>
      </c>
      <c r="TM44" s="1">
        <v>131</v>
      </c>
      <c r="TN44" s="1">
        <v>23989.98</v>
      </c>
      <c r="TO44" s="1">
        <v>1</v>
      </c>
      <c r="TP44" s="1">
        <v>0</v>
      </c>
      <c r="TQ44" s="1">
        <v>90</v>
      </c>
      <c r="TR44" s="1">
        <v>60003760</v>
      </c>
      <c r="TS44" s="1">
        <v>32767</v>
      </c>
      <c r="TT44" s="1">
        <v>0</v>
      </c>
      <c r="TV44" s="1">
        <v>2849954404</v>
      </c>
      <c r="TW44" s="1">
        <v>25622</v>
      </c>
      <c r="TX44" s="1">
        <v>2</v>
      </c>
      <c r="TY44" s="1">
        <v>2</v>
      </c>
      <c r="TZ44" s="1">
        <v>16250000</v>
      </c>
      <c r="UA44" s="1">
        <v>1</v>
      </c>
      <c r="UB44" s="1">
        <v>0</v>
      </c>
      <c r="UC44" s="1">
        <v>90</v>
      </c>
      <c r="UD44" s="1">
        <v>60013141</v>
      </c>
      <c r="UE44" s="1">
        <v>32767</v>
      </c>
      <c r="UF44" s="1">
        <v>10</v>
      </c>
      <c r="UH44" s="1">
        <v>2769384709</v>
      </c>
      <c r="UI44" s="1">
        <v>16680</v>
      </c>
      <c r="UJ44" s="1">
        <v>82924</v>
      </c>
      <c r="UK44" s="1">
        <v>76780</v>
      </c>
      <c r="UL44" s="1">
        <v>850</v>
      </c>
      <c r="UM44" s="1">
        <v>1</v>
      </c>
      <c r="UN44" s="1">
        <v>0</v>
      </c>
      <c r="UO44" s="1">
        <v>90</v>
      </c>
      <c r="UP44" s="1">
        <v>60002737</v>
      </c>
      <c r="UQ44" s="1">
        <v>32767</v>
      </c>
      <c r="UR44" s="1">
        <v>6</v>
      </c>
      <c r="UT44" s="1">
        <v>2749941129</v>
      </c>
      <c r="UU44" s="1">
        <v>17317</v>
      </c>
      <c r="UV44" s="1">
        <v>400000</v>
      </c>
      <c r="UW44" s="1">
        <v>400000</v>
      </c>
      <c r="UX44" s="1">
        <v>15007</v>
      </c>
      <c r="UY44" s="1">
        <v>1</v>
      </c>
      <c r="UZ44" s="1">
        <v>1</v>
      </c>
      <c r="VA44" s="1">
        <v>90</v>
      </c>
      <c r="VB44" s="1">
        <v>60003760</v>
      </c>
      <c r="VC44" s="1">
        <v>-1</v>
      </c>
      <c r="VD44" s="1">
        <v>0</v>
      </c>
      <c r="VF44"/>
      <c r="VG44"/>
      <c r="VH44"/>
      <c r="VI44"/>
      <c r="VJ44"/>
      <c r="VK44"/>
      <c r="VL44"/>
      <c r="VM44"/>
      <c r="VN44"/>
      <c r="VO44"/>
      <c r="VP44"/>
    </row>
    <row r="45" spans="2:588" x14ac:dyDescent="0.25">
      <c r="B45" s="1">
        <v>2746504336</v>
      </c>
      <c r="C45" s="1">
        <v>34</v>
      </c>
      <c r="D45" s="1">
        <v>5735</v>
      </c>
      <c r="E45" s="1">
        <v>5735</v>
      </c>
      <c r="F45" s="1">
        <v>6.2</v>
      </c>
      <c r="G45" s="1">
        <v>1</v>
      </c>
      <c r="H45" s="1">
        <v>0</v>
      </c>
      <c r="I45" s="1">
        <v>90</v>
      </c>
      <c r="J45" s="1">
        <v>60003454</v>
      </c>
      <c r="K45" s="1">
        <v>32767</v>
      </c>
      <c r="L45" s="1">
        <v>1</v>
      </c>
      <c r="N45" s="1">
        <v>2836738054</v>
      </c>
      <c r="O45" s="1">
        <v>35</v>
      </c>
      <c r="P45" s="1">
        <v>3161200</v>
      </c>
      <c r="Q45" s="1">
        <v>3161200</v>
      </c>
      <c r="R45" s="1">
        <v>16.37</v>
      </c>
      <c r="S45" s="1">
        <v>1</v>
      </c>
      <c r="T45" s="1">
        <v>0</v>
      </c>
      <c r="U45" s="1">
        <v>30</v>
      </c>
      <c r="V45" s="1">
        <v>60003760</v>
      </c>
      <c r="W45" s="1">
        <v>32767</v>
      </c>
      <c r="X45" s="1">
        <v>0</v>
      </c>
      <c r="Z45" s="1">
        <v>2758757357</v>
      </c>
      <c r="AA45" s="1">
        <v>36</v>
      </c>
      <c r="AB45" s="1">
        <v>3494722</v>
      </c>
      <c r="AC45" s="1">
        <v>3494722</v>
      </c>
      <c r="AD45" s="16">
        <v>60.02</v>
      </c>
      <c r="AE45" s="1">
        <v>1</v>
      </c>
      <c r="AF45" s="1">
        <v>0</v>
      </c>
      <c r="AG45" s="1">
        <v>90</v>
      </c>
      <c r="AH45" s="1">
        <v>60003760</v>
      </c>
      <c r="AI45" s="1">
        <v>32767</v>
      </c>
      <c r="AJ45" s="1">
        <v>11</v>
      </c>
      <c r="AL45" s="1">
        <v>2807984629</v>
      </c>
      <c r="AM45" s="1">
        <v>37</v>
      </c>
      <c r="AN45" s="1">
        <v>20172</v>
      </c>
      <c r="AO45" s="1">
        <v>20172</v>
      </c>
      <c r="AP45" s="16">
        <v>153.62</v>
      </c>
      <c r="AQ45" s="1">
        <v>1</v>
      </c>
      <c r="AR45" s="1">
        <v>0</v>
      </c>
      <c r="AS45" s="1">
        <v>90</v>
      </c>
      <c r="AT45" s="1">
        <v>60003760</v>
      </c>
      <c r="AU45" s="1">
        <v>32767</v>
      </c>
      <c r="AV45" s="1">
        <v>9</v>
      </c>
      <c r="AX45" s="1">
        <v>2872515319</v>
      </c>
      <c r="AY45" s="1">
        <v>38</v>
      </c>
      <c r="AZ45" s="1">
        <v>5654141</v>
      </c>
      <c r="BA45" s="1">
        <v>5411215</v>
      </c>
      <c r="BB45" s="1">
        <v>825.5</v>
      </c>
      <c r="BC45" s="1">
        <v>1</v>
      </c>
      <c r="BD45" s="1">
        <v>0</v>
      </c>
      <c r="BE45" s="1">
        <v>90</v>
      </c>
      <c r="BF45" s="1">
        <v>60003760</v>
      </c>
      <c r="BG45" s="1">
        <v>32767</v>
      </c>
      <c r="BH45" s="1">
        <v>5</v>
      </c>
      <c r="BJ45" s="1">
        <v>2862954907</v>
      </c>
      <c r="BK45" s="1">
        <v>39</v>
      </c>
      <c r="BL45" s="1">
        <v>167494</v>
      </c>
      <c r="BM45" s="1">
        <v>129910</v>
      </c>
      <c r="BN45" s="1">
        <v>822.02</v>
      </c>
      <c r="BO45" s="1">
        <v>1</v>
      </c>
      <c r="BP45" s="1">
        <v>0</v>
      </c>
      <c r="BQ45" s="1">
        <v>90</v>
      </c>
      <c r="BR45" s="1">
        <v>60003760</v>
      </c>
      <c r="BS45" s="1">
        <v>32767</v>
      </c>
      <c r="BT45" s="1">
        <v>5</v>
      </c>
      <c r="BV45" s="1">
        <v>2395525437</v>
      </c>
      <c r="BW45" s="1">
        <v>40</v>
      </c>
      <c r="BX45" s="1">
        <v>500000</v>
      </c>
      <c r="BY45" s="1">
        <v>377938</v>
      </c>
      <c r="BZ45" s="1">
        <v>2827.3</v>
      </c>
      <c r="CA45" s="1">
        <v>1</v>
      </c>
      <c r="CB45" s="1">
        <v>0</v>
      </c>
      <c r="CC45" s="1">
        <v>90</v>
      </c>
      <c r="CD45" s="1">
        <v>60003760</v>
      </c>
      <c r="CE45" s="1">
        <v>32767</v>
      </c>
      <c r="CF45" s="1">
        <v>13</v>
      </c>
      <c r="CH45" s="1">
        <v>2347977147</v>
      </c>
      <c r="CI45" s="1">
        <v>29668</v>
      </c>
      <c r="CJ45" s="1">
        <v>8</v>
      </c>
      <c r="CK45" s="1">
        <v>8</v>
      </c>
      <c r="CL45" s="1">
        <v>999596993</v>
      </c>
      <c r="CM45" s="1">
        <v>1</v>
      </c>
      <c r="CN45" s="1">
        <v>0</v>
      </c>
      <c r="CO45" s="1">
        <v>90</v>
      </c>
      <c r="CP45" s="1">
        <v>60003760</v>
      </c>
      <c r="CQ45" s="1">
        <v>32767</v>
      </c>
      <c r="CR45" s="1">
        <v>0</v>
      </c>
      <c r="CT45" s="1">
        <v>2413882071</v>
      </c>
      <c r="CU45" s="1">
        <v>16649</v>
      </c>
      <c r="CV45" s="1">
        <v>5000</v>
      </c>
      <c r="CW45" s="1">
        <v>5000</v>
      </c>
      <c r="CX45" s="1">
        <v>98006.18</v>
      </c>
      <c r="CY45" s="1">
        <v>1</v>
      </c>
      <c r="CZ45" s="1">
        <v>1</v>
      </c>
      <c r="DA45" s="1">
        <v>90</v>
      </c>
      <c r="DB45" s="1">
        <v>60003760</v>
      </c>
      <c r="DC45" s="1">
        <v>-1</v>
      </c>
      <c r="DD45" s="1">
        <v>0</v>
      </c>
      <c r="DF45" s="1">
        <v>2410942861</v>
      </c>
      <c r="DG45" s="1">
        <v>17887</v>
      </c>
      <c r="DH45" s="1">
        <v>1015580</v>
      </c>
      <c r="DI45" s="1">
        <v>985580</v>
      </c>
      <c r="DJ45" s="1">
        <v>1020.82</v>
      </c>
      <c r="DK45" s="1">
        <v>1</v>
      </c>
      <c r="DL45" s="1">
        <v>0</v>
      </c>
      <c r="DM45" s="1">
        <v>90</v>
      </c>
      <c r="DN45" s="1">
        <v>60003760</v>
      </c>
      <c r="DO45" s="1">
        <v>32767</v>
      </c>
      <c r="DP45" s="1">
        <v>0</v>
      </c>
      <c r="DR45" s="1">
        <v>2866457289</v>
      </c>
      <c r="DS45" s="1">
        <v>17888</v>
      </c>
      <c r="DT45" s="1">
        <v>61184</v>
      </c>
      <c r="DU45" s="1">
        <v>61184</v>
      </c>
      <c r="DV45" s="1">
        <v>340</v>
      </c>
      <c r="DW45" s="1">
        <v>1</v>
      </c>
      <c r="DX45" s="1">
        <v>0</v>
      </c>
      <c r="DY45" s="1">
        <v>90</v>
      </c>
      <c r="DZ45" s="1">
        <v>60006430</v>
      </c>
      <c r="EA45" s="1">
        <v>32767</v>
      </c>
      <c r="EB45" s="1">
        <v>11</v>
      </c>
      <c r="ED45" s="1">
        <v>2872315339</v>
      </c>
      <c r="EE45" s="1">
        <v>16273</v>
      </c>
      <c r="EF45" s="1">
        <v>95000</v>
      </c>
      <c r="EG45" s="1">
        <v>95000</v>
      </c>
      <c r="EH45" s="1">
        <v>384</v>
      </c>
      <c r="EI45" s="1">
        <v>1</v>
      </c>
      <c r="EJ45" s="1">
        <v>0</v>
      </c>
      <c r="EK45" s="1">
        <v>90</v>
      </c>
      <c r="EL45" s="1">
        <v>60003760</v>
      </c>
      <c r="EM45" s="1">
        <v>32767</v>
      </c>
      <c r="EN45" s="1">
        <v>6</v>
      </c>
      <c r="EP45" s="1">
        <v>2649826225</v>
      </c>
      <c r="EQ45" s="1">
        <v>17889</v>
      </c>
      <c r="ER45" s="1">
        <v>1007166</v>
      </c>
      <c r="ES45" s="1">
        <v>125165</v>
      </c>
      <c r="ET45" s="1">
        <v>449.07</v>
      </c>
      <c r="EU45" s="1">
        <v>1</v>
      </c>
      <c r="EV45" s="1">
        <v>0</v>
      </c>
      <c r="EW45" s="1">
        <v>30</v>
      </c>
      <c r="EX45" s="1">
        <v>60010192</v>
      </c>
      <c r="EY45" s="1">
        <v>32767</v>
      </c>
      <c r="EZ45" s="1">
        <v>4</v>
      </c>
      <c r="FB45" s="1">
        <v>2876734522</v>
      </c>
      <c r="FC45" s="1">
        <v>30259</v>
      </c>
      <c r="FD45" s="1">
        <v>1</v>
      </c>
      <c r="FE45" s="1">
        <v>1</v>
      </c>
      <c r="FF45" s="1">
        <v>5843968.9000000004</v>
      </c>
      <c r="FG45" s="1">
        <v>1</v>
      </c>
      <c r="FH45" s="1">
        <v>0</v>
      </c>
      <c r="FI45" s="1">
        <v>90</v>
      </c>
      <c r="FJ45" s="1">
        <v>60003760</v>
      </c>
      <c r="FK45" s="1">
        <v>32767</v>
      </c>
      <c r="FL45" s="1">
        <v>0</v>
      </c>
      <c r="FN45" s="1">
        <v>2877258879</v>
      </c>
      <c r="FO45" s="1">
        <v>25617</v>
      </c>
      <c r="FP45" s="1">
        <v>2</v>
      </c>
      <c r="FQ45" s="1">
        <v>2</v>
      </c>
      <c r="FR45" s="1">
        <v>5189999</v>
      </c>
      <c r="FS45" s="1">
        <v>1</v>
      </c>
      <c r="FT45" s="1">
        <v>0</v>
      </c>
      <c r="FU45" s="1">
        <v>14</v>
      </c>
      <c r="FV45" s="1">
        <v>60004219</v>
      </c>
      <c r="FW45" s="1">
        <v>32767</v>
      </c>
      <c r="FX45" s="1">
        <v>2</v>
      </c>
      <c r="FZ45" s="1">
        <v>2871183312</v>
      </c>
      <c r="GA45" s="1">
        <v>44</v>
      </c>
      <c r="GB45" s="1">
        <v>4200</v>
      </c>
      <c r="GC45" s="1">
        <v>200</v>
      </c>
      <c r="GD45" s="1">
        <v>13099.86</v>
      </c>
      <c r="GE45" s="1">
        <v>1</v>
      </c>
      <c r="GF45" s="1">
        <v>0</v>
      </c>
      <c r="GG45" s="1">
        <v>7</v>
      </c>
      <c r="GH45" s="1">
        <v>60003760</v>
      </c>
      <c r="GI45" s="1">
        <v>32767</v>
      </c>
      <c r="GJ45" s="1">
        <v>4</v>
      </c>
      <c r="GL45" s="1">
        <v>2415842608</v>
      </c>
      <c r="GM45" s="1">
        <v>16681</v>
      </c>
      <c r="GN45" s="1">
        <v>70000</v>
      </c>
      <c r="GO45" s="1">
        <v>70000</v>
      </c>
      <c r="GP45" s="1">
        <v>6182.36</v>
      </c>
      <c r="GQ45" s="1">
        <v>1</v>
      </c>
      <c r="GR45" s="1">
        <v>0</v>
      </c>
      <c r="GS45" s="1">
        <v>90</v>
      </c>
      <c r="GT45" s="1">
        <v>60003760</v>
      </c>
      <c r="GU45" s="1">
        <v>32767</v>
      </c>
      <c r="GV45" s="1">
        <v>0</v>
      </c>
      <c r="GX45" s="1">
        <v>2848608763</v>
      </c>
      <c r="GY45" s="1">
        <v>16683</v>
      </c>
      <c r="GZ45" s="1">
        <v>94400</v>
      </c>
      <c r="HA45" s="1">
        <v>61222</v>
      </c>
      <c r="HB45" s="1">
        <v>8602.9699999999993</v>
      </c>
      <c r="HC45" s="1">
        <v>1</v>
      </c>
      <c r="HD45" s="1">
        <v>0</v>
      </c>
      <c r="HE45" s="1">
        <v>90</v>
      </c>
      <c r="HF45" s="1">
        <v>60003760</v>
      </c>
      <c r="HG45" s="1">
        <v>32767</v>
      </c>
      <c r="HH45" s="1">
        <v>0</v>
      </c>
      <c r="HJ45"/>
      <c r="HK45"/>
      <c r="HL45"/>
      <c r="HM45"/>
      <c r="HN45"/>
      <c r="HO45"/>
      <c r="HP45"/>
      <c r="HQ45"/>
      <c r="HR45"/>
      <c r="HS45"/>
      <c r="HT45"/>
      <c r="HV45" s="1">
        <v>2864771087</v>
      </c>
      <c r="HW45" s="1">
        <v>16274</v>
      </c>
      <c r="HX45" s="1">
        <v>1662558</v>
      </c>
      <c r="HY45" s="1">
        <v>1662558</v>
      </c>
      <c r="HZ45" s="1">
        <v>374.85</v>
      </c>
      <c r="IA45" s="1">
        <v>1</v>
      </c>
      <c r="IB45" s="1">
        <v>0</v>
      </c>
      <c r="IC45" s="1">
        <v>90</v>
      </c>
      <c r="ID45" s="1">
        <v>60003760</v>
      </c>
      <c r="IE45" s="1">
        <v>32767</v>
      </c>
      <c r="IF45" s="1">
        <v>2</v>
      </c>
      <c r="IH45" s="1">
        <v>2860621574</v>
      </c>
      <c r="II45" s="1">
        <v>10213</v>
      </c>
      <c r="IJ45" s="1">
        <v>1</v>
      </c>
      <c r="IK45" s="1">
        <v>1</v>
      </c>
      <c r="IL45" s="1">
        <v>110000001</v>
      </c>
      <c r="IM45" s="1">
        <v>1</v>
      </c>
      <c r="IN45" s="1">
        <v>1</v>
      </c>
      <c r="IO45" s="1">
        <v>90</v>
      </c>
      <c r="IP45" s="1">
        <v>60003934</v>
      </c>
      <c r="IQ45" s="1">
        <v>32767</v>
      </c>
      <c r="IR45" s="1">
        <v>0</v>
      </c>
      <c r="IT45" s="1">
        <v>2858109288</v>
      </c>
      <c r="IU45" s="1">
        <v>16679</v>
      </c>
      <c r="IV45" s="1">
        <v>977250</v>
      </c>
      <c r="IW45" s="1">
        <v>509896</v>
      </c>
      <c r="IX45" s="1">
        <v>1762</v>
      </c>
      <c r="IY45" s="1">
        <v>1</v>
      </c>
      <c r="IZ45" s="1">
        <v>0</v>
      </c>
      <c r="JA45" s="1">
        <v>90</v>
      </c>
      <c r="JB45" s="1">
        <v>60003760</v>
      </c>
      <c r="JC45" s="1">
        <v>32767</v>
      </c>
      <c r="JD45" s="1">
        <v>0</v>
      </c>
      <c r="JF45" s="1">
        <v>2875203712</v>
      </c>
      <c r="JG45" s="1">
        <v>16272</v>
      </c>
      <c r="JH45" s="1">
        <v>300000</v>
      </c>
      <c r="JI45" s="1">
        <v>300000</v>
      </c>
      <c r="JJ45" s="1">
        <v>79</v>
      </c>
      <c r="JK45" s="1">
        <v>1</v>
      </c>
      <c r="JL45" s="1">
        <v>0</v>
      </c>
      <c r="JM45" s="1">
        <v>90</v>
      </c>
      <c r="JN45" s="1">
        <v>60003760</v>
      </c>
      <c r="JO45" s="1">
        <v>32767</v>
      </c>
      <c r="JP45" s="1">
        <v>6</v>
      </c>
      <c r="JR45" s="1">
        <v>2719083551</v>
      </c>
      <c r="JS45" s="1">
        <v>10226</v>
      </c>
      <c r="JT45" s="1">
        <v>10</v>
      </c>
      <c r="JU45" s="1">
        <v>9</v>
      </c>
      <c r="JV45" s="1">
        <v>101515357</v>
      </c>
      <c r="JW45" s="1">
        <v>1</v>
      </c>
      <c r="JX45" s="1">
        <v>1</v>
      </c>
      <c r="JY45" s="1">
        <v>90</v>
      </c>
      <c r="JZ45" s="1">
        <v>60003760</v>
      </c>
      <c r="KA45" s="1">
        <v>-1</v>
      </c>
      <c r="KB45" s="1">
        <v>0</v>
      </c>
      <c r="KD45" s="1">
        <v>2866487026</v>
      </c>
      <c r="KE45" s="1">
        <v>25605</v>
      </c>
      <c r="KF45" s="1">
        <v>10000</v>
      </c>
      <c r="KG45" s="1">
        <v>8298</v>
      </c>
      <c r="KH45" s="1">
        <v>112499.8</v>
      </c>
      <c r="KI45" s="1">
        <v>1</v>
      </c>
      <c r="KJ45" s="1">
        <v>0</v>
      </c>
      <c r="KK45" s="1">
        <v>90</v>
      </c>
      <c r="KL45" s="1">
        <v>60003760</v>
      </c>
      <c r="KM45" s="1">
        <v>32767</v>
      </c>
      <c r="KN45" s="1">
        <v>6</v>
      </c>
      <c r="KP45" s="1">
        <v>2736603831</v>
      </c>
      <c r="KQ45" s="1">
        <v>25624</v>
      </c>
      <c r="KR45" s="1">
        <v>89</v>
      </c>
      <c r="KS45" s="1">
        <v>89</v>
      </c>
      <c r="KT45" s="1">
        <v>34999998</v>
      </c>
      <c r="KU45" s="1">
        <v>1</v>
      </c>
      <c r="KV45" s="1">
        <v>0</v>
      </c>
      <c r="KW45" s="1">
        <v>90</v>
      </c>
      <c r="KX45" s="1">
        <v>60003760</v>
      </c>
      <c r="KY45" s="1">
        <v>32767</v>
      </c>
      <c r="KZ45" s="1">
        <v>1</v>
      </c>
      <c r="LB45" s="1">
        <v>2840181725</v>
      </c>
      <c r="LC45" s="1">
        <v>9832</v>
      </c>
      <c r="LD45" s="1">
        <v>579</v>
      </c>
      <c r="LE45" s="1">
        <v>579</v>
      </c>
      <c r="LF45" s="1">
        <v>9796.9500000000007</v>
      </c>
      <c r="LG45" s="1">
        <v>1</v>
      </c>
      <c r="LH45" s="1">
        <v>0</v>
      </c>
      <c r="LI45" s="1">
        <v>90</v>
      </c>
      <c r="LJ45" s="1">
        <v>60003760</v>
      </c>
      <c r="LK45" s="1">
        <v>32767</v>
      </c>
      <c r="LL45" s="1">
        <v>0</v>
      </c>
      <c r="LN45" s="1">
        <v>2864075257</v>
      </c>
      <c r="LO45" s="1">
        <v>10209</v>
      </c>
      <c r="LP45" s="1">
        <v>1</v>
      </c>
      <c r="LQ45" s="1">
        <v>1</v>
      </c>
      <c r="LR45" s="1">
        <v>100000005.02</v>
      </c>
      <c r="LS45" s="1">
        <v>1</v>
      </c>
      <c r="LT45" s="1">
        <v>1</v>
      </c>
      <c r="LU45" s="1">
        <v>90</v>
      </c>
      <c r="LV45" s="1">
        <v>60003760</v>
      </c>
      <c r="LW45" s="1">
        <v>10</v>
      </c>
      <c r="LX45" s="1">
        <v>0</v>
      </c>
      <c r="LZ45" s="1">
        <v>2866982592</v>
      </c>
      <c r="MA45" s="1">
        <v>10217</v>
      </c>
      <c r="MB45" s="1">
        <v>1</v>
      </c>
      <c r="MC45" s="1">
        <v>1</v>
      </c>
      <c r="MD45" s="1">
        <v>112100000.63</v>
      </c>
      <c r="ME45" s="1">
        <v>1</v>
      </c>
      <c r="MF45" s="1">
        <v>1</v>
      </c>
      <c r="MG45" s="1">
        <v>90</v>
      </c>
      <c r="MH45" s="1">
        <v>60003760</v>
      </c>
      <c r="MI45" s="1">
        <v>-1</v>
      </c>
      <c r="MJ45" s="1">
        <v>0</v>
      </c>
      <c r="ML45" s="1">
        <v>2879087855</v>
      </c>
      <c r="MM45" s="1">
        <v>25625</v>
      </c>
      <c r="MN45" s="1">
        <v>11</v>
      </c>
      <c r="MO45" s="1">
        <v>11</v>
      </c>
      <c r="MP45" s="1">
        <v>4399999</v>
      </c>
      <c r="MQ45" s="1">
        <v>1</v>
      </c>
      <c r="MR45" s="1">
        <v>0</v>
      </c>
      <c r="MS45" s="1">
        <v>1</v>
      </c>
      <c r="MT45" s="1">
        <v>60003760</v>
      </c>
      <c r="MU45" s="1">
        <v>32767</v>
      </c>
      <c r="MV45" s="1">
        <v>0</v>
      </c>
      <c r="MX45" s="1">
        <v>2874610736</v>
      </c>
      <c r="MY45" s="1">
        <v>16672</v>
      </c>
      <c r="MZ45" s="1">
        <v>7000000</v>
      </c>
      <c r="NA45" s="1">
        <v>7000000</v>
      </c>
      <c r="NB45" s="1">
        <v>139.99</v>
      </c>
      <c r="NC45" s="1">
        <v>1</v>
      </c>
      <c r="ND45" s="1">
        <v>0</v>
      </c>
      <c r="NE45" s="1">
        <v>90</v>
      </c>
      <c r="NF45" s="1">
        <v>60003760</v>
      </c>
      <c r="NG45" s="1">
        <v>32767</v>
      </c>
      <c r="NH45" s="1">
        <v>0</v>
      </c>
      <c r="NJ45" s="1">
        <v>2862107777</v>
      </c>
      <c r="NK45" s="1">
        <v>16673</v>
      </c>
      <c r="NL45" s="1">
        <v>3610000</v>
      </c>
      <c r="NM45" s="1">
        <v>3610000</v>
      </c>
      <c r="NN45" s="1">
        <v>124.36</v>
      </c>
      <c r="NO45" s="1">
        <v>1</v>
      </c>
      <c r="NP45" s="1">
        <v>0</v>
      </c>
      <c r="NQ45" s="1">
        <v>90</v>
      </c>
      <c r="NR45" s="1">
        <v>60003760</v>
      </c>
      <c r="NS45" s="1">
        <v>32767</v>
      </c>
      <c r="NT45" s="1">
        <v>6</v>
      </c>
      <c r="NV45" s="1">
        <v>2856705652</v>
      </c>
      <c r="NW45" s="1">
        <v>3689</v>
      </c>
      <c r="NX45" s="1">
        <v>2925</v>
      </c>
      <c r="NY45" s="1">
        <v>2925</v>
      </c>
      <c r="NZ45" s="1">
        <v>11079.85</v>
      </c>
      <c r="OA45" s="1">
        <v>1</v>
      </c>
      <c r="OB45" s="1">
        <v>0</v>
      </c>
      <c r="OC45" s="1">
        <v>30</v>
      </c>
      <c r="OD45" s="1">
        <v>60003760</v>
      </c>
      <c r="OE45" s="1">
        <v>32767</v>
      </c>
      <c r="OF45" s="1">
        <v>0</v>
      </c>
      <c r="OH45" s="1">
        <v>2785200227</v>
      </c>
      <c r="OI45" s="1">
        <v>25598</v>
      </c>
      <c r="OJ45" s="1">
        <v>430</v>
      </c>
      <c r="OK45" s="1">
        <v>430</v>
      </c>
      <c r="OL45" s="1">
        <v>173996</v>
      </c>
      <c r="OM45" s="1">
        <v>1</v>
      </c>
      <c r="ON45" s="1">
        <v>0</v>
      </c>
      <c r="OO45" s="1">
        <v>90</v>
      </c>
      <c r="OP45" s="1">
        <v>60003760</v>
      </c>
      <c r="OQ45" s="1">
        <v>32767</v>
      </c>
      <c r="OR45" s="1">
        <v>0</v>
      </c>
      <c r="OT45" s="1">
        <v>2784451630</v>
      </c>
      <c r="OU45" s="1">
        <v>25600</v>
      </c>
      <c r="OV45" s="1">
        <v>193</v>
      </c>
      <c r="OW45" s="1">
        <v>193</v>
      </c>
      <c r="OX45" s="1">
        <v>33999</v>
      </c>
      <c r="OY45" s="1">
        <v>1</v>
      </c>
      <c r="OZ45" s="1">
        <v>0</v>
      </c>
      <c r="PA45" s="1">
        <v>90</v>
      </c>
      <c r="PB45" s="1">
        <v>60003760</v>
      </c>
      <c r="PC45" s="1">
        <v>32767</v>
      </c>
      <c r="PD45" s="1">
        <v>0</v>
      </c>
      <c r="PF45" s="1">
        <v>2710030442</v>
      </c>
      <c r="PG45" s="1">
        <v>16670</v>
      </c>
      <c r="PH45" s="1">
        <v>6500000</v>
      </c>
      <c r="PI45" s="1">
        <v>6500000</v>
      </c>
      <c r="PJ45" s="1">
        <v>148.97</v>
      </c>
      <c r="PK45" s="1">
        <v>1</v>
      </c>
      <c r="PL45" s="1">
        <v>0</v>
      </c>
      <c r="PM45" s="1">
        <v>90</v>
      </c>
      <c r="PN45" s="1">
        <v>60003760</v>
      </c>
      <c r="PO45" s="1">
        <v>32767</v>
      </c>
      <c r="PP45" s="1">
        <v>7</v>
      </c>
      <c r="PR45" s="1">
        <v>2757942259</v>
      </c>
      <c r="PS45" s="1">
        <v>10222</v>
      </c>
      <c r="PT45" s="1">
        <v>10</v>
      </c>
      <c r="PU45" s="1">
        <v>10</v>
      </c>
      <c r="PV45" s="1">
        <v>95000000</v>
      </c>
      <c r="PW45" s="1">
        <v>1</v>
      </c>
      <c r="PX45" s="1">
        <v>1</v>
      </c>
      <c r="PY45" s="1">
        <v>90</v>
      </c>
      <c r="PZ45" s="1">
        <v>60003760</v>
      </c>
      <c r="QA45" s="1">
        <v>-1</v>
      </c>
      <c r="QB45" s="1">
        <v>0</v>
      </c>
      <c r="QD45" s="1">
        <v>2878064690</v>
      </c>
      <c r="QE45" s="1">
        <v>9830</v>
      </c>
      <c r="QF45" s="1">
        <v>27760</v>
      </c>
      <c r="QG45" s="1">
        <v>27040</v>
      </c>
      <c r="QH45" s="1">
        <v>7576.03</v>
      </c>
      <c r="QI45" s="1">
        <v>1</v>
      </c>
      <c r="QJ45" s="1">
        <v>0</v>
      </c>
      <c r="QK45" s="1">
        <v>90</v>
      </c>
      <c r="QL45" s="1">
        <v>60003760</v>
      </c>
      <c r="QM45" s="1">
        <v>32767</v>
      </c>
      <c r="QN45" s="1">
        <v>0</v>
      </c>
      <c r="QP45" s="1">
        <v>2871853414</v>
      </c>
      <c r="QQ45" s="1">
        <v>16671</v>
      </c>
      <c r="QR45" s="1">
        <v>50000</v>
      </c>
      <c r="QS45" s="1">
        <v>50000</v>
      </c>
      <c r="QT45" s="1">
        <v>120</v>
      </c>
      <c r="QU45" s="1">
        <v>1</v>
      </c>
      <c r="QV45" s="1">
        <v>0</v>
      </c>
      <c r="QW45" s="1">
        <v>90</v>
      </c>
      <c r="QX45" s="1">
        <v>60003760</v>
      </c>
      <c r="QY45" s="1">
        <v>32767</v>
      </c>
      <c r="QZ45" s="1">
        <v>7</v>
      </c>
      <c r="RB45" s="1">
        <v>2877681309</v>
      </c>
      <c r="RC45" s="1">
        <v>16682</v>
      </c>
      <c r="RD45" s="1">
        <v>250000</v>
      </c>
      <c r="RE45" s="1">
        <v>250000</v>
      </c>
      <c r="RF45" s="1">
        <v>3350.58</v>
      </c>
      <c r="RG45" s="1">
        <v>1</v>
      </c>
      <c r="RH45" s="1">
        <v>0</v>
      </c>
      <c r="RI45" s="1">
        <v>3</v>
      </c>
      <c r="RJ45" s="1">
        <v>60003760</v>
      </c>
      <c r="RK45" s="1">
        <v>32767</v>
      </c>
      <c r="RL45" s="1">
        <v>8</v>
      </c>
      <c r="RN45" s="1">
        <v>2828268790</v>
      </c>
      <c r="RO45" s="1">
        <v>16678</v>
      </c>
      <c r="RP45" s="1">
        <v>4500000</v>
      </c>
      <c r="RQ45" s="1">
        <v>4500000</v>
      </c>
      <c r="RR45" s="1">
        <v>247.02</v>
      </c>
      <c r="RS45" s="1">
        <v>1</v>
      </c>
      <c r="RT45" s="1">
        <v>1</v>
      </c>
      <c r="RU45" s="1">
        <v>90</v>
      </c>
      <c r="RV45" s="1">
        <v>60003760</v>
      </c>
      <c r="RW45" s="1">
        <v>-1</v>
      </c>
      <c r="RX45" s="1">
        <v>0</v>
      </c>
      <c r="RZ45" s="1">
        <v>2878530440</v>
      </c>
      <c r="SA45" s="1">
        <v>30310</v>
      </c>
      <c r="SB45" s="1">
        <v>226</v>
      </c>
      <c r="SC45" s="1">
        <v>156</v>
      </c>
      <c r="SD45" s="1">
        <v>1288599.8799999999</v>
      </c>
      <c r="SE45" s="1">
        <v>1</v>
      </c>
      <c r="SF45" s="1">
        <v>0</v>
      </c>
      <c r="SG45" s="1">
        <v>14</v>
      </c>
      <c r="SH45" s="1">
        <v>60003760</v>
      </c>
      <c r="SI45" s="1">
        <v>32767</v>
      </c>
      <c r="SJ45" s="1">
        <v>0</v>
      </c>
      <c r="SL45" s="1">
        <v>2876011474</v>
      </c>
      <c r="SM45" s="1">
        <v>30311</v>
      </c>
      <c r="SN45" s="1">
        <v>892</v>
      </c>
      <c r="SO45" s="1">
        <v>471</v>
      </c>
      <c r="SP45" s="1">
        <v>3129000</v>
      </c>
      <c r="SQ45" s="1">
        <v>1</v>
      </c>
      <c r="SR45" s="1">
        <v>0</v>
      </c>
      <c r="SS45" s="1">
        <v>90</v>
      </c>
      <c r="ST45" s="1">
        <v>60003760</v>
      </c>
      <c r="SU45" s="1">
        <v>32767</v>
      </c>
      <c r="SV45" s="1">
        <v>0</v>
      </c>
      <c r="SX45" s="1">
        <v>2793763849</v>
      </c>
      <c r="SY45" s="1">
        <v>25595</v>
      </c>
      <c r="SZ45" s="1">
        <v>3981</v>
      </c>
      <c r="TA45" s="1">
        <v>725</v>
      </c>
      <c r="TB45" s="1">
        <v>102000</v>
      </c>
      <c r="TC45" s="1">
        <v>1</v>
      </c>
      <c r="TD45" s="1">
        <v>0</v>
      </c>
      <c r="TE45" s="1">
        <v>90</v>
      </c>
      <c r="TF45" s="1">
        <v>60003760</v>
      </c>
      <c r="TG45" s="1">
        <v>32767</v>
      </c>
      <c r="TH45" s="1">
        <v>6</v>
      </c>
      <c r="TJ45" s="1">
        <v>2864166856</v>
      </c>
      <c r="TK45" s="1">
        <v>25606</v>
      </c>
      <c r="TL45" s="1">
        <v>52</v>
      </c>
      <c r="TM45" s="1">
        <v>52</v>
      </c>
      <c r="TN45" s="1">
        <v>23988.98</v>
      </c>
      <c r="TO45" s="1">
        <v>1</v>
      </c>
      <c r="TP45" s="1">
        <v>0</v>
      </c>
      <c r="TQ45" s="1">
        <v>30</v>
      </c>
      <c r="TR45" s="1">
        <v>60003760</v>
      </c>
      <c r="TS45" s="1">
        <v>32767</v>
      </c>
      <c r="TT45" s="1">
        <v>0</v>
      </c>
      <c r="TV45" s="1">
        <v>2877218155</v>
      </c>
      <c r="TW45" s="1">
        <v>25622</v>
      </c>
      <c r="TX45" s="1">
        <v>2</v>
      </c>
      <c r="TY45" s="1">
        <v>2</v>
      </c>
      <c r="TZ45" s="1">
        <v>14449989.949999999</v>
      </c>
      <c r="UA45" s="1">
        <v>1</v>
      </c>
      <c r="UB45" s="1">
        <v>0</v>
      </c>
      <c r="UC45" s="1">
        <v>90</v>
      </c>
      <c r="UD45" s="1">
        <v>60003760</v>
      </c>
      <c r="UE45" s="1">
        <v>32767</v>
      </c>
      <c r="UF45" s="1">
        <v>0</v>
      </c>
      <c r="UH45" s="1">
        <v>2877229252</v>
      </c>
      <c r="UI45" s="1">
        <v>16680</v>
      </c>
      <c r="UJ45" s="1">
        <v>369600</v>
      </c>
      <c r="UK45" s="1">
        <v>156165</v>
      </c>
      <c r="UL45" s="1">
        <v>702.7</v>
      </c>
      <c r="UM45" s="1">
        <v>1</v>
      </c>
      <c r="UN45" s="1">
        <v>0</v>
      </c>
      <c r="UO45" s="1">
        <v>14</v>
      </c>
      <c r="UP45" s="1">
        <v>60003760</v>
      </c>
      <c r="UQ45" s="1">
        <v>32767</v>
      </c>
      <c r="UR45" s="1">
        <v>6</v>
      </c>
      <c r="UT45" s="1">
        <v>2873748800</v>
      </c>
      <c r="UU45" s="1">
        <v>17317</v>
      </c>
      <c r="UV45" s="1">
        <v>8547</v>
      </c>
      <c r="UW45" s="1">
        <v>8547</v>
      </c>
      <c r="UX45" s="1">
        <v>26150</v>
      </c>
      <c r="UY45" s="1">
        <v>1</v>
      </c>
      <c r="UZ45" s="1">
        <v>1</v>
      </c>
      <c r="VA45" s="1">
        <v>90</v>
      </c>
      <c r="VB45" s="1">
        <v>60003760</v>
      </c>
      <c r="VC45" s="1">
        <v>-1</v>
      </c>
      <c r="VD45" s="1">
        <v>0</v>
      </c>
      <c r="VF45"/>
      <c r="VG45"/>
      <c r="VH45"/>
      <c r="VI45"/>
      <c r="VJ45"/>
      <c r="VK45"/>
      <c r="VL45"/>
      <c r="VM45"/>
      <c r="VN45"/>
      <c r="VO45"/>
      <c r="VP45"/>
    </row>
    <row r="46" spans="2:588" x14ac:dyDescent="0.25">
      <c r="B46" s="1">
        <v>2876788630</v>
      </c>
      <c r="C46" s="1">
        <v>34</v>
      </c>
      <c r="D46" s="1">
        <v>5372</v>
      </c>
      <c r="E46" s="1">
        <v>5372</v>
      </c>
      <c r="F46" s="1">
        <v>5.7</v>
      </c>
      <c r="G46" s="1">
        <v>1</v>
      </c>
      <c r="H46" s="1">
        <v>0</v>
      </c>
      <c r="I46" s="1">
        <v>30</v>
      </c>
      <c r="J46" s="1">
        <v>60003763</v>
      </c>
      <c r="K46" s="1">
        <v>32767</v>
      </c>
      <c r="L46" s="1">
        <v>1</v>
      </c>
      <c r="N46" s="1">
        <v>2834809554</v>
      </c>
      <c r="O46" s="1">
        <v>35</v>
      </c>
      <c r="P46" s="1">
        <v>4396213</v>
      </c>
      <c r="Q46" s="1">
        <v>4396213</v>
      </c>
      <c r="R46" s="1">
        <v>16.5</v>
      </c>
      <c r="S46" s="1">
        <v>1</v>
      </c>
      <c r="T46" s="1">
        <v>0</v>
      </c>
      <c r="U46" s="1">
        <v>90</v>
      </c>
      <c r="V46" s="1">
        <v>60003760</v>
      </c>
      <c r="W46" s="1">
        <v>32767</v>
      </c>
      <c r="X46" s="1">
        <v>0</v>
      </c>
      <c r="Z46" s="1">
        <v>2758776195</v>
      </c>
      <c r="AA46" s="1">
        <v>36</v>
      </c>
      <c r="AB46" s="1">
        <v>581250</v>
      </c>
      <c r="AC46" s="1">
        <v>581250</v>
      </c>
      <c r="AD46" s="16">
        <v>60.03</v>
      </c>
      <c r="AE46" s="1">
        <v>1</v>
      </c>
      <c r="AF46" s="1">
        <v>0</v>
      </c>
      <c r="AG46" s="1">
        <v>90</v>
      </c>
      <c r="AH46" s="1">
        <v>60003760</v>
      </c>
      <c r="AI46" s="1">
        <v>32767</v>
      </c>
      <c r="AJ46" s="1">
        <v>11</v>
      </c>
      <c r="AL46" s="1">
        <v>2805786079</v>
      </c>
      <c r="AM46" s="1">
        <v>37</v>
      </c>
      <c r="AN46" s="1">
        <v>11198</v>
      </c>
      <c r="AO46" s="1">
        <v>11198</v>
      </c>
      <c r="AP46" s="16">
        <v>199.99</v>
      </c>
      <c r="AQ46" s="1">
        <v>1</v>
      </c>
      <c r="AR46" s="1">
        <v>0</v>
      </c>
      <c r="AS46" s="1">
        <v>90</v>
      </c>
      <c r="AT46" s="1">
        <v>60003760</v>
      </c>
      <c r="AU46" s="1">
        <v>32767</v>
      </c>
      <c r="AV46" s="1">
        <v>9</v>
      </c>
      <c r="AX46" s="1">
        <v>2875604149</v>
      </c>
      <c r="AY46" s="1">
        <v>38</v>
      </c>
      <c r="AZ46" s="1">
        <v>23884</v>
      </c>
      <c r="BA46" s="1">
        <v>23884</v>
      </c>
      <c r="BB46" s="1">
        <v>819.8</v>
      </c>
      <c r="BC46" s="1">
        <v>1</v>
      </c>
      <c r="BD46" s="1">
        <v>0</v>
      </c>
      <c r="BE46" s="1">
        <v>7</v>
      </c>
      <c r="BF46" s="1">
        <v>60003760</v>
      </c>
      <c r="BG46" s="1">
        <v>32767</v>
      </c>
      <c r="BH46" s="1">
        <v>5</v>
      </c>
      <c r="BJ46" s="1">
        <v>2862142282</v>
      </c>
      <c r="BK46" s="1">
        <v>39</v>
      </c>
      <c r="BL46" s="1">
        <v>4500</v>
      </c>
      <c r="BM46" s="1">
        <v>4500</v>
      </c>
      <c r="BN46" s="1">
        <v>833</v>
      </c>
      <c r="BO46" s="1">
        <v>1</v>
      </c>
      <c r="BP46" s="1">
        <v>0</v>
      </c>
      <c r="BQ46" s="1">
        <v>14</v>
      </c>
      <c r="BR46" s="1">
        <v>60003760</v>
      </c>
      <c r="BS46" s="1">
        <v>32767</v>
      </c>
      <c r="BT46" s="1">
        <v>5</v>
      </c>
      <c r="BV46" s="1">
        <v>2394881794</v>
      </c>
      <c r="BW46" s="1">
        <v>40</v>
      </c>
      <c r="BX46" s="1">
        <v>200000</v>
      </c>
      <c r="BY46" s="1">
        <v>200000</v>
      </c>
      <c r="BZ46" s="1">
        <v>2847.97</v>
      </c>
      <c r="CA46" s="1">
        <v>1</v>
      </c>
      <c r="CB46" s="1">
        <v>0</v>
      </c>
      <c r="CC46" s="1">
        <v>90</v>
      </c>
      <c r="CD46" s="1">
        <v>60003760</v>
      </c>
      <c r="CE46" s="1">
        <v>32767</v>
      </c>
      <c r="CF46" s="1">
        <v>13</v>
      </c>
      <c r="CH46" s="1">
        <v>2347977555</v>
      </c>
      <c r="CI46" s="1">
        <v>29668</v>
      </c>
      <c r="CJ46" s="1">
        <v>8</v>
      </c>
      <c r="CK46" s="1">
        <v>8</v>
      </c>
      <c r="CL46" s="1">
        <v>999596992</v>
      </c>
      <c r="CM46" s="1">
        <v>1</v>
      </c>
      <c r="CN46" s="1">
        <v>0</v>
      </c>
      <c r="CO46" s="1">
        <v>90</v>
      </c>
      <c r="CP46" s="1">
        <v>60003760</v>
      </c>
      <c r="CQ46" s="1">
        <v>32767</v>
      </c>
      <c r="CR46" s="1">
        <v>0</v>
      </c>
      <c r="CT46" s="1">
        <v>2413882447</v>
      </c>
      <c r="CU46" s="1">
        <v>16649</v>
      </c>
      <c r="CV46" s="1">
        <v>32000</v>
      </c>
      <c r="CW46" s="1">
        <v>32000</v>
      </c>
      <c r="CX46" s="1">
        <v>98006.77</v>
      </c>
      <c r="CY46" s="1">
        <v>1</v>
      </c>
      <c r="CZ46" s="1">
        <v>1</v>
      </c>
      <c r="DA46" s="1">
        <v>90</v>
      </c>
      <c r="DB46" s="1">
        <v>60003760</v>
      </c>
      <c r="DC46" s="1">
        <v>0</v>
      </c>
      <c r="DD46" s="1">
        <v>0</v>
      </c>
      <c r="DF46" s="1">
        <v>2411653989</v>
      </c>
      <c r="DG46" s="1">
        <v>17887</v>
      </c>
      <c r="DH46" s="1">
        <v>900000</v>
      </c>
      <c r="DI46" s="1">
        <v>612000</v>
      </c>
      <c r="DJ46" s="1">
        <v>979.97</v>
      </c>
      <c r="DK46" s="1">
        <v>1</v>
      </c>
      <c r="DL46" s="1">
        <v>0</v>
      </c>
      <c r="DM46" s="1">
        <v>90</v>
      </c>
      <c r="DN46" s="1">
        <v>60003760</v>
      </c>
      <c r="DO46" s="1">
        <v>32767</v>
      </c>
      <c r="DP46" s="1">
        <v>0</v>
      </c>
      <c r="DR46" s="1">
        <v>2866457363</v>
      </c>
      <c r="DS46" s="1">
        <v>17888</v>
      </c>
      <c r="DT46" s="1">
        <v>69123</v>
      </c>
      <c r="DU46" s="1">
        <v>69123</v>
      </c>
      <c r="DV46" s="1">
        <v>340</v>
      </c>
      <c r="DW46" s="1">
        <v>1</v>
      </c>
      <c r="DX46" s="1">
        <v>0</v>
      </c>
      <c r="DY46" s="1">
        <v>90</v>
      </c>
      <c r="DZ46" s="1">
        <v>60006433</v>
      </c>
      <c r="EA46" s="1">
        <v>32767</v>
      </c>
      <c r="EB46" s="1">
        <v>11</v>
      </c>
      <c r="ED46" s="1">
        <v>2874170816</v>
      </c>
      <c r="EE46" s="1">
        <v>16273</v>
      </c>
      <c r="EF46" s="1">
        <v>612457</v>
      </c>
      <c r="EG46" s="1">
        <v>347178</v>
      </c>
      <c r="EH46" s="1">
        <v>372.91</v>
      </c>
      <c r="EI46" s="1">
        <v>1</v>
      </c>
      <c r="EJ46" s="1">
        <v>0</v>
      </c>
      <c r="EK46" s="1">
        <v>90</v>
      </c>
      <c r="EL46" s="1">
        <v>60003760</v>
      </c>
      <c r="EM46" s="1">
        <v>32767</v>
      </c>
      <c r="EN46" s="1">
        <v>6</v>
      </c>
      <c r="EP46" s="1">
        <v>2785313184</v>
      </c>
      <c r="EQ46" s="1">
        <v>17889</v>
      </c>
      <c r="ER46" s="1">
        <v>161981</v>
      </c>
      <c r="ES46" s="1">
        <v>156981</v>
      </c>
      <c r="ET46" s="1">
        <v>499</v>
      </c>
      <c r="EU46" s="1">
        <v>1</v>
      </c>
      <c r="EV46" s="1">
        <v>0</v>
      </c>
      <c r="EW46" s="1">
        <v>90</v>
      </c>
      <c r="EX46" s="1">
        <v>60003049</v>
      </c>
      <c r="EY46" s="1">
        <v>32767</v>
      </c>
      <c r="EZ46" s="1">
        <v>5</v>
      </c>
      <c r="FB46" s="1">
        <v>2876408614</v>
      </c>
      <c r="FC46" s="1">
        <v>30259</v>
      </c>
      <c r="FD46" s="1">
        <v>1000</v>
      </c>
      <c r="FE46" s="1">
        <v>1000</v>
      </c>
      <c r="FF46" s="1">
        <v>5842367.5</v>
      </c>
      <c r="FG46" s="1">
        <v>1</v>
      </c>
      <c r="FH46" s="1">
        <v>0</v>
      </c>
      <c r="FI46" s="1">
        <v>90</v>
      </c>
      <c r="FJ46" s="1">
        <v>60003760</v>
      </c>
      <c r="FK46" s="1">
        <v>32767</v>
      </c>
      <c r="FL46" s="1">
        <v>0</v>
      </c>
      <c r="FN46" s="1">
        <v>2877632698</v>
      </c>
      <c r="FO46" s="1">
        <v>25617</v>
      </c>
      <c r="FP46" s="1">
        <v>3</v>
      </c>
      <c r="FQ46" s="1">
        <v>3</v>
      </c>
      <c r="FR46" s="1">
        <v>4750000</v>
      </c>
      <c r="FS46" s="1">
        <v>1</v>
      </c>
      <c r="FT46" s="1">
        <v>0</v>
      </c>
      <c r="FU46" s="1">
        <v>90</v>
      </c>
      <c r="FV46" s="1">
        <v>60004081</v>
      </c>
      <c r="FW46" s="1">
        <v>32767</v>
      </c>
      <c r="FX46" s="1">
        <v>10</v>
      </c>
      <c r="FZ46" s="1">
        <v>2871063872</v>
      </c>
      <c r="GA46" s="1">
        <v>44</v>
      </c>
      <c r="GB46" s="1">
        <v>4675</v>
      </c>
      <c r="GC46" s="1">
        <v>1595</v>
      </c>
      <c r="GD46" s="1">
        <v>12720.98</v>
      </c>
      <c r="GE46" s="1">
        <v>1</v>
      </c>
      <c r="GF46" s="1">
        <v>0</v>
      </c>
      <c r="GG46" s="1">
        <v>30</v>
      </c>
      <c r="GH46" s="1">
        <v>60003760</v>
      </c>
      <c r="GI46" s="1">
        <v>32767</v>
      </c>
      <c r="GJ46" s="1">
        <v>4</v>
      </c>
      <c r="GL46" s="1">
        <v>2415842873</v>
      </c>
      <c r="GM46" s="1">
        <v>16681</v>
      </c>
      <c r="GN46" s="1">
        <v>70500</v>
      </c>
      <c r="GO46" s="1">
        <v>70500</v>
      </c>
      <c r="GP46" s="1">
        <v>6376.08</v>
      </c>
      <c r="GQ46" s="1">
        <v>1</v>
      </c>
      <c r="GR46" s="1">
        <v>0</v>
      </c>
      <c r="GS46" s="1">
        <v>90</v>
      </c>
      <c r="GT46" s="1">
        <v>60003760</v>
      </c>
      <c r="GU46" s="1">
        <v>32767</v>
      </c>
      <c r="GV46" s="1">
        <v>0</v>
      </c>
      <c r="GX46" s="1">
        <v>2863980017</v>
      </c>
      <c r="GY46" s="1">
        <v>16683</v>
      </c>
      <c r="GZ46" s="1">
        <v>115200</v>
      </c>
      <c r="HA46" s="1">
        <v>54473</v>
      </c>
      <c r="HB46" s="1">
        <v>8602.9</v>
      </c>
      <c r="HC46" s="1">
        <v>1</v>
      </c>
      <c r="HD46" s="1">
        <v>0</v>
      </c>
      <c r="HE46" s="1">
        <v>90</v>
      </c>
      <c r="HF46" s="1">
        <v>60003760</v>
      </c>
      <c r="HG46" s="1">
        <v>32767</v>
      </c>
      <c r="HH46" s="1">
        <v>0</v>
      </c>
      <c r="HJ46"/>
      <c r="HK46"/>
      <c r="HL46"/>
      <c r="HM46"/>
      <c r="HN46"/>
      <c r="HO46"/>
      <c r="HP46"/>
      <c r="HQ46"/>
      <c r="HR46"/>
      <c r="HS46"/>
      <c r="HT46"/>
      <c r="HV46" s="1">
        <v>2864771231</v>
      </c>
      <c r="HW46" s="1">
        <v>16274</v>
      </c>
      <c r="HX46" s="1">
        <v>1347342</v>
      </c>
      <c r="HY46" s="1">
        <v>1347342</v>
      </c>
      <c r="HZ46" s="1">
        <v>374.8</v>
      </c>
      <c r="IA46" s="1">
        <v>1</v>
      </c>
      <c r="IB46" s="1">
        <v>0</v>
      </c>
      <c r="IC46" s="1">
        <v>90</v>
      </c>
      <c r="ID46" s="1">
        <v>60003760</v>
      </c>
      <c r="IE46" s="1">
        <v>32767</v>
      </c>
      <c r="IF46" s="1">
        <v>2</v>
      </c>
      <c r="IH46" s="1">
        <v>2860554944</v>
      </c>
      <c r="II46" s="1">
        <v>10213</v>
      </c>
      <c r="IJ46" s="1">
        <v>2</v>
      </c>
      <c r="IK46" s="1">
        <v>2</v>
      </c>
      <c r="IL46" s="1">
        <v>110000018</v>
      </c>
      <c r="IM46" s="1">
        <v>1</v>
      </c>
      <c r="IN46" s="1">
        <v>1</v>
      </c>
      <c r="IO46" s="1">
        <v>90</v>
      </c>
      <c r="IP46" s="1">
        <v>60010192</v>
      </c>
      <c r="IQ46" s="1">
        <v>32767</v>
      </c>
      <c r="IR46" s="1">
        <v>0</v>
      </c>
      <c r="IT46" s="1">
        <v>2854557777</v>
      </c>
      <c r="IU46" s="1">
        <v>16679</v>
      </c>
      <c r="IV46" s="1">
        <v>3760000</v>
      </c>
      <c r="IW46" s="1">
        <v>3760000</v>
      </c>
      <c r="IX46" s="1">
        <v>1970</v>
      </c>
      <c r="IY46" s="1">
        <v>1</v>
      </c>
      <c r="IZ46" s="1">
        <v>0</v>
      </c>
      <c r="JA46" s="1">
        <v>90</v>
      </c>
      <c r="JB46" s="1">
        <v>60003760</v>
      </c>
      <c r="JC46" s="1">
        <v>32767</v>
      </c>
      <c r="JD46" s="1">
        <v>0</v>
      </c>
      <c r="JF46" s="1">
        <v>2875222276</v>
      </c>
      <c r="JG46" s="1">
        <v>16272</v>
      </c>
      <c r="JH46" s="1">
        <v>152627</v>
      </c>
      <c r="JI46" s="1">
        <v>152627</v>
      </c>
      <c r="JJ46" s="1">
        <v>78.5</v>
      </c>
      <c r="JK46" s="1">
        <v>1</v>
      </c>
      <c r="JL46" s="1">
        <v>0</v>
      </c>
      <c r="JM46" s="1">
        <v>14</v>
      </c>
      <c r="JN46" s="1">
        <v>60003760</v>
      </c>
      <c r="JO46" s="1">
        <v>32767</v>
      </c>
      <c r="JP46" s="1">
        <v>6</v>
      </c>
      <c r="JR46" s="1">
        <v>2684353930</v>
      </c>
      <c r="JS46" s="1">
        <v>10226</v>
      </c>
      <c r="JT46" s="1">
        <v>99</v>
      </c>
      <c r="JU46" s="1">
        <v>95</v>
      </c>
      <c r="JV46" s="1">
        <v>92510006.269999996</v>
      </c>
      <c r="JW46" s="1">
        <v>1</v>
      </c>
      <c r="JX46" s="1">
        <v>1</v>
      </c>
      <c r="JY46" s="1">
        <v>90</v>
      </c>
      <c r="JZ46" s="1">
        <v>60003760</v>
      </c>
      <c r="KA46" s="1">
        <v>-1</v>
      </c>
      <c r="KB46" s="1">
        <v>0</v>
      </c>
      <c r="KD46" s="1">
        <v>2866188266</v>
      </c>
      <c r="KE46" s="1">
        <v>25605</v>
      </c>
      <c r="KF46" s="1">
        <v>662</v>
      </c>
      <c r="KG46" s="1">
        <v>662</v>
      </c>
      <c r="KH46" s="1">
        <v>112500</v>
      </c>
      <c r="KI46" s="1">
        <v>1</v>
      </c>
      <c r="KJ46" s="1">
        <v>0</v>
      </c>
      <c r="KK46" s="1">
        <v>90</v>
      </c>
      <c r="KL46" s="1">
        <v>60003760</v>
      </c>
      <c r="KM46" s="1">
        <v>32767</v>
      </c>
      <c r="KN46" s="1">
        <v>6</v>
      </c>
      <c r="KP46" s="1">
        <v>2737128166</v>
      </c>
      <c r="KQ46" s="1">
        <v>25624</v>
      </c>
      <c r="KR46" s="1">
        <v>200</v>
      </c>
      <c r="KS46" s="1">
        <v>200</v>
      </c>
      <c r="KT46" s="1">
        <v>20448999.66</v>
      </c>
      <c r="KU46" s="1">
        <v>1</v>
      </c>
      <c r="KV46" s="1">
        <v>0</v>
      </c>
      <c r="KW46" s="1">
        <v>90</v>
      </c>
      <c r="KX46" s="1">
        <v>60003760</v>
      </c>
      <c r="KY46" s="1">
        <v>32767</v>
      </c>
      <c r="KZ46" s="1">
        <v>1</v>
      </c>
      <c r="LB46" s="1">
        <v>2840196326</v>
      </c>
      <c r="LC46" s="1">
        <v>9832</v>
      </c>
      <c r="LD46" s="1">
        <v>3475</v>
      </c>
      <c r="LE46" s="1">
        <v>3475</v>
      </c>
      <c r="LF46" s="1">
        <v>9796.9599999999991</v>
      </c>
      <c r="LG46" s="1">
        <v>1</v>
      </c>
      <c r="LH46" s="1">
        <v>0</v>
      </c>
      <c r="LI46" s="1">
        <v>90</v>
      </c>
      <c r="LJ46" s="1">
        <v>60003760</v>
      </c>
      <c r="LK46" s="1">
        <v>32767</v>
      </c>
      <c r="LL46" s="1">
        <v>0</v>
      </c>
      <c r="LN46" s="1">
        <v>2723768659</v>
      </c>
      <c r="LO46" s="1">
        <v>10209</v>
      </c>
      <c r="LP46" s="1">
        <v>3</v>
      </c>
      <c r="LQ46" s="1">
        <v>3</v>
      </c>
      <c r="LR46" s="1">
        <v>103000000</v>
      </c>
      <c r="LS46" s="1">
        <v>1</v>
      </c>
      <c r="LT46" s="1">
        <v>1</v>
      </c>
      <c r="LU46" s="1">
        <v>90</v>
      </c>
      <c r="LV46" s="1">
        <v>60003760</v>
      </c>
      <c r="LW46" s="1">
        <v>-1</v>
      </c>
      <c r="LX46" s="1">
        <v>0</v>
      </c>
      <c r="LZ46" s="1">
        <v>2865762140</v>
      </c>
      <c r="MA46" s="1">
        <v>10217</v>
      </c>
      <c r="MB46" s="1">
        <v>2</v>
      </c>
      <c r="MC46" s="1">
        <v>2</v>
      </c>
      <c r="MD46" s="1">
        <v>109108001</v>
      </c>
      <c r="ME46" s="1">
        <v>1</v>
      </c>
      <c r="MF46" s="1">
        <v>1</v>
      </c>
      <c r="MG46" s="1">
        <v>90</v>
      </c>
      <c r="MH46" s="1">
        <v>60003760</v>
      </c>
      <c r="MI46" s="1">
        <v>-1</v>
      </c>
      <c r="MJ46" s="1">
        <v>0</v>
      </c>
      <c r="ML46" s="1">
        <v>2879089291</v>
      </c>
      <c r="MM46" s="1">
        <v>25625</v>
      </c>
      <c r="MN46" s="1">
        <v>1</v>
      </c>
      <c r="MO46" s="1">
        <v>1</v>
      </c>
      <c r="MP46" s="1">
        <v>4397003.24</v>
      </c>
      <c r="MQ46" s="1">
        <v>1</v>
      </c>
      <c r="MR46" s="1">
        <v>0</v>
      </c>
      <c r="MS46" s="1">
        <v>90</v>
      </c>
      <c r="MT46" s="1">
        <v>60003760</v>
      </c>
      <c r="MU46" s="1">
        <v>32767</v>
      </c>
      <c r="MV46" s="1">
        <v>0</v>
      </c>
      <c r="MX46" s="1">
        <v>2874615798</v>
      </c>
      <c r="MY46" s="1">
        <v>16672</v>
      </c>
      <c r="MZ46" s="1">
        <v>10000000</v>
      </c>
      <c r="NA46" s="1">
        <v>10000000</v>
      </c>
      <c r="NB46" s="1">
        <v>144.99</v>
      </c>
      <c r="NC46" s="1">
        <v>1</v>
      </c>
      <c r="ND46" s="1">
        <v>0</v>
      </c>
      <c r="NE46" s="1">
        <v>90</v>
      </c>
      <c r="NF46" s="1">
        <v>60003760</v>
      </c>
      <c r="NG46" s="1">
        <v>32767</v>
      </c>
      <c r="NH46" s="1">
        <v>0</v>
      </c>
      <c r="NJ46" s="1">
        <v>2741208190</v>
      </c>
      <c r="NK46" s="1">
        <v>16673</v>
      </c>
      <c r="NL46" s="1">
        <v>10000000</v>
      </c>
      <c r="NM46" s="1">
        <v>10000000</v>
      </c>
      <c r="NN46" s="1">
        <v>148.96</v>
      </c>
      <c r="NO46" s="1">
        <v>1</v>
      </c>
      <c r="NP46" s="1">
        <v>0</v>
      </c>
      <c r="NQ46" s="1">
        <v>90</v>
      </c>
      <c r="NR46" s="1">
        <v>60003760</v>
      </c>
      <c r="NS46" s="1">
        <v>32767</v>
      </c>
      <c r="NT46" s="1">
        <v>6</v>
      </c>
      <c r="NV46" s="1">
        <v>2856692483</v>
      </c>
      <c r="NW46" s="1">
        <v>3689</v>
      </c>
      <c r="NX46" s="1">
        <v>1620</v>
      </c>
      <c r="NY46" s="1">
        <v>1620</v>
      </c>
      <c r="NZ46" s="1">
        <v>11079.89</v>
      </c>
      <c r="OA46" s="1">
        <v>1</v>
      </c>
      <c r="OB46" s="1">
        <v>0</v>
      </c>
      <c r="OC46" s="1">
        <v>90</v>
      </c>
      <c r="OD46" s="1">
        <v>60003760</v>
      </c>
      <c r="OE46" s="1">
        <v>32767</v>
      </c>
      <c r="OF46" s="1">
        <v>0</v>
      </c>
      <c r="OH46" s="1">
        <v>2785146149</v>
      </c>
      <c r="OI46" s="1">
        <v>25598</v>
      </c>
      <c r="OJ46" s="1">
        <v>2133</v>
      </c>
      <c r="OK46" s="1">
        <v>2133</v>
      </c>
      <c r="OL46" s="1">
        <v>173986.95</v>
      </c>
      <c r="OM46" s="1">
        <v>1</v>
      </c>
      <c r="ON46" s="1">
        <v>0</v>
      </c>
      <c r="OO46" s="1">
        <v>90</v>
      </c>
      <c r="OP46" s="1">
        <v>60003760</v>
      </c>
      <c r="OQ46" s="1">
        <v>32767</v>
      </c>
      <c r="OR46" s="1">
        <v>0</v>
      </c>
      <c r="OT46" s="1">
        <v>2784348058</v>
      </c>
      <c r="OU46" s="1">
        <v>25600</v>
      </c>
      <c r="OV46" s="1">
        <v>1479</v>
      </c>
      <c r="OW46" s="1">
        <v>691</v>
      </c>
      <c r="OX46" s="1">
        <v>34299.99</v>
      </c>
      <c r="OY46" s="1">
        <v>1</v>
      </c>
      <c r="OZ46" s="1">
        <v>0</v>
      </c>
      <c r="PA46" s="1">
        <v>90</v>
      </c>
      <c r="PB46" s="1">
        <v>60003760</v>
      </c>
      <c r="PC46" s="1">
        <v>32767</v>
      </c>
      <c r="PD46" s="1">
        <v>0</v>
      </c>
      <c r="PF46" s="1">
        <v>2704693389</v>
      </c>
      <c r="PG46" s="1">
        <v>16670</v>
      </c>
      <c r="PH46" s="1">
        <v>900000</v>
      </c>
      <c r="PI46" s="1">
        <v>900000</v>
      </c>
      <c r="PJ46" s="1">
        <v>149.04</v>
      </c>
      <c r="PK46" s="1">
        <v>1</v>
      </c>
      <c r="PL46" s="1">
        <v>0</v>
      </c>
      <c r="PM46" s="1">
        <v>90</v>
      </c>
      <c r="PN46" s="1">
        <v>60003760</v>
      </c>
      <c r="PO46" s="1">
        <v>32767</v>
      </c>
      <c r="PP46" s="1">
        <v>7</v>
      </c>
      <c r="PR46" s="1">
        <v>2758692025</v>
      </c>
      <c r="PS46" s="1">
        <v>10222</v>
      </c>
      <c r="PT46" s="1">
        <v>1</v>
      </c>
      <c r="PU46" s="1">
        <v>1</v>
      </c>
      <c r="PV46" s="1">
        <v>95001001</v>
      </c>
      <c r="PW46" s="1">
        <v>1</v>
      </c>
      <c r="PX46" s="1">
        <v>1</v>
      </c>
      <c r="PY46" s="1">
        <v>90</v>
      </c>
      <c r="PZ46" s="1">
        <v>60003760</v>
      </c>
      <c r="QA46" s="1">
        <v>-1</v>
      </c>
      <c r="QB46" s="1">
        <v>0</v>
      </c>
      <c r="QD46" s="1">
        <v>2878230796</v>
      </c>
      <c r="QE46" s="1">
        <v>9830</v>
      </c>
      <c r="QF46" s="1">
        <v>32191</v>
      </c>
      <c r="QG46" s="1">
        <v>31791</v>
      </c>
      <c r="QH46" s="1">
        <v>7575</v>
      </c>
      <c r="QI46" s="1">
        <v>1</v>
      </c>
      <c r="QJ46" s="1">
        <v>0</v>
      </c>
      <c r="QK46" s="1">
        <v>90</v>
      </c>
      <c r="QL46" s="1">
        <v>60003760</v>
      </c>
      <c r="QM46" s="1">
        <v>32767</v>
      </c>
      <c r="QN46" s="1">
        <v>0</v>
      </c>
      <c r="QP46" s="1">
        <v>2871853894</v>
      </c>
      <c r="QQ46" s="1">
        <v>16671</v>
      </c>
      <c r="QR46" s="1">
        <v>50000</v>
      </c>
      <c r="QS46" s="1">
        <v>50000</v>
      </c>
      <c r="QT46" s="1">
        <v>120.94</v>
      </c>
      <c r="QU46" s="1">
        <v>1</v>
      </c>
      <c r="QV46" s="1">
        <v>0</v>
      </c>
      <c r="QW46" s="1">
        <v>90</v>
      </c>
      <c r="QX46" s="1">
        <v>60003760</v>
      </c>
      <c r="QY46" s="1">
        <v>32767</v>
      </c>
      <c r="QZ46" s="1">
        <v>7</v>
      </c>
      <c r="RB46" s="1">
        <v>2877681443</v>
      </c>
      <c r="RC46" s="1">
        <v>16682</v>
      </c>
      <c r="RD46" s="1">
        <v>225000</v>
      </c>
      <c r="RE46" s="1">
        <v>215000</v>
      </c>
      <c r="RF46" s="1">
        <v>3350.57</v>
      </c>
      <c r="RG46" s="1">
        <v>1</v>
      </c>
      <c r="RH46" s="1">
        <v>0</v>
      </c>
      <c r="RI46" s="1">
        <v>3</v>
      </c>
      <c r="RJ46" s="1">
        <v>60003760</v>
      </c>
      <c r="RK46" s="1">
        <v>32767</v>
      </c>
      <c r="RL46" s="1">
        <v>8</v>
      </c>
      <c r="RN46" s="1">
        <v>2818813430</v>
      </c>
      <c r="RO46" s="1">
        <v>16678</v>
      </c>
      <c r="RP46" s="1">
        <v>1000000</v>
      </c>
      <c r="RQ46" s="1">
        <v>1000000</v>
      </c>
      <c r="RR46" s="1">
        <v>132.35</v>
      </c>
      <c r="RS46" s="1">
        <v>1</v>
      </c>
      <c r="RT46" s="1">
        <v>1</v>
      </c>
      <c r="RU46" s="1">
        <v>90</v>
      </c>
      <c r="RV46" s="1">
        <v>60003760</v>
      </c>
      <c r="RW46" s="1">
        <v>-1</v>
      </c>
      <c r="RX46" s="1">
        <v>0</v>
      </c>
      <c r="RZ46" s="1">
        <v>2878444850</v>
      </c>
      <c r="SA46" s="1">
        <v>30310</v>
      </c>
      <c r="SB46" s="1">
        <v>320</v>
      </c>
      <c r="SC46" s="1">
        <v>320</v>
      </c>
      <c r="SD46" s="1">
        <v>1288599.8700000001</v>
      </c>
      <c r="SE46" s="1">
        <v>1</v>
      </c>
      <c r="SF46" s="1">
        <v>0</v>
      </c>
      <c r="SG46" s="1">
        <v>90</v>
      </c>
      <c r="SH46" s="1">
        <v>60003760</v>
      </c>
      <c r="SI46" s="1">
        <v>32767</v>
      </c>
      <c r="SJ46" s="1">
        <v>0</v>
      </c>
      <c r="SL46" s="1">
        <v>2878663451</v>
      </c>
      <c r="SM46" s="1">
        <v>30311</v>
      </c>
      <c r="SN46" s="1">
        <v>168</v>
      </c>
      <c r="SO46" s="1">
        <v>168</v>
      </c>
      <c r="SP46" s="1">
        <v>3128000</v>
      </c>
      <c r="SQ46" s="1">
        <v>1</v>
      </c>
      <c r="SR46" s="1">
        <v>0</v>
      </c>
      <c r="SS46" s="1">
        <v>90</v>
      </c>
      <c r="ST46" s="1">
        <v>60003760</v>
      </c>
      <c r="SU46" s="1">
        <v>32767</v>
      </c>
      <c r="SV46" s="1">
        <v>0</v>
      </c>
      <c r="SX46" s="1">
        <v>2793033523</v>
      </c>
      <c r="SY46" s="1">
        <v>25595</v>
      </c>
      <c r="SZ46" s="1">
        <v>3054</v>
      </c>
      <c r="TA46" s="1">
        <v>3054</v>
      </c>
      <c r="TB46" s="1">
        <v>102389.99</v>
      </c>
      <c r="TC46" s="1">
        <v>1</v>
      </c>
      <c r="TD46" s="1">
        <v>0</v>
      </c>
      <c r="TE46" s="1">
        <v>90</v>
      </c>
      <c r="TF46" s="1">
        <v>60003760</v>
      </c>
      <c r="TG46" s="1">
        <v>32767</v>
      </c>
      <c r="TH46" s="1">
        <v>6</v>
      </c>
      <c r="TJ46" s="1">
        <v>2861989707</v>
      </c>
      <c r="TK46" s="1">
        <v>25606</v>
      </c>
      <c r="TL46" s="1">
        <v>324</v>
      </c>
      <c r="TM46" s="1">
        <v>324</v>
      </c>
      <c r="TN46" s="1">
        <v>83499.960000000006</v>
      </c>
      <c r="TO46" s="1">
        <v>1</v>
      </c>
      <c r="TP46" s="1">
        <v>0</v>
      </c>
      <c r="TQ46" s="1">
        <v>90</v>
      </c>
      <c r="TR46" s="1">
        <v>60003760</v>
      </c>
      <c r="TS46" s="1">
        <v>32767</v>
      </c>
      <c r="TT46" s="1">
        <v>0</v>
      </c>
      <c r="TV46" s="1">
        <v>2877539487</v>
      </c>
      <c r="TW46" s="1">
        <v>25622</v>
      </c>
      <c r="TX46" s="1">
        <v>29</v>
      </c>
      <c r="TY46" s="1">
        <v>13</v>
      </c>
      <c r="TZ46" s="1">
        <v>14449950</v>
      </c>
      <c r="UA46" s="1">
        <v>1</v>
      </c>
      <c r="UB46" s="1">
        <v>0</v>
      </c>
      <c r="UC46" s="1">
        <v>90</v>
      </c>
      <c r="UD46" s="1">
        <v>60003760</v>
      </c>
      <c r="UE46" s="1">
        <v>32767</v>
      </c>
      <c r="UF46" s="1">
        <v>0</v>
      </c>
      <c r="UH46" s="1">
        <v>2875607358</v>
      </c>
      <c r="UI46" s="1">
        <v>16680</v>
      </c>
      <c r="UJ46" s="1">
        <v>986300</v>
      </c>
      <c r="UK46" s="1">
        <v>972930</v>
      </c>
      <c r="UL46" s="1">
        <v>702.69</v>
      </c>
      <c r="UM46" s="1">
        <v>1</v>
      </c>
      <c r="UN46" s="1">
        <v>0</v>
      </c>
      <c r="UO46" s="1">
        <v>90</v>
      </c>
      <c r="UP46" s="1">
        <v>60003760</v>
      </c>
      <c r="UQ46" s="1">
        <v>32767</v>
      </c>
      <c r="UR46" s="1">
        <v>6</v>
      </c>
      <c r="UT46" s="1">
        <v>2873562378</v>
      </c>
      <c r="UU46" s="1">
        <v>17317</v>
      </c>
      <c r="UV46" s="1">
        <v>10000</v>
      </c>
      <c r="UW46" s="1">
        <v>9990</v>
      </c>
      <c r="UX46" s="1">
        <v>27720.080000000002</v>
      </c>
      <c r="UY46" s="1">
        <v>1</v>
      </c>
      <c r="UZ46" s="1">
        <v>1</v>
      </c>
      <c r="VA46" s="1">
        <v>90</v>
      </c>
      <c r="VB46" s="1">
        <v>60003760</v>
      </c>
      <c r="VC46" s="1">
        <v>-1</v>
      </c>
      <c r="VD46" s="1">
        <v>0</v>
      </c>
      <c r="VF46"/>
      <c r="VG46"/>
      <c r="VH46"/>
      <c r="VI46"/>
      <c r="VJ46"/>
      <c r="VK46"/>
      <c r="VL46"/>
      <c r="VM46"/>
      <c r="VN46"/>
      <c r="VO46"/>
      <c r="VP46"/>
    </row>
    <row r="47" spans="2:588" x14ac:dyDescent="0.25">
      <c r="B47" s="1">
        <v>2876375093</v>
      </c>
      <c r="C47" s="1">
        <v>34</v>
      </c>
      <c r="D47" s="1">
        <v>16691839</v>
      </c>
      <c r="E47" s="1">
        <v>5</v>
      </c>
      <c r="F47" s="1">
        <v>5.6</v>
      </c>
      <c r="G47" s="1">
        <v>1</v>
      </c>
      <c r="H47" s="1">
        <v>0</v>
      </c>
      <c r="I47" s="1">
        <v>3</v>
      </c>
      <c r="J47" s="1">
        <v>60003763</v>
      </c>
      <c r="K47" s="1">
        <v>32767</v>
      </c>
      <c r="L47" s="1">
        <v>1</v>
      </c>
      <c r="N47" s="1">
        <v>2834979903</v>
      </c>
      <c r="O47" s="1">
        <v>35</v>
      </c>
      <c r="P47" s="1">
        <v>2049637</v>
      </c>
      <c r="Q47" s="1">
        <v>2049637</v>
      </c>
      <c r="R47" s="1">
        <v>15.7</v>
      </c>
      <c r="S47" s="1">
        <v>1</v>
      </c>
      <c r="T47" s="1">
        <v>0</v>
      </c>
      <c r="U47" s="1">
        <v>90</v>
      </c>
      <c r="V47" s="1">
        <v>60003760</v>
      </c>
      <c r="W47" s="1">
        <v>32767</v>
      </c>
      <c r="X47" s="1">
        <v>0</v>
      </c>
      <c r="Z47" s="1">
        <v>2752206222</v>
      </c>
      <c r="AA47" s="1">
        <v>36</v>
      </c>
      <c r="AB47" s="1">
        <v>5374188</v>
      </c>
      <c r="AC47" s="1">
        <v>5374188</v>
      </c>
      <c r="AD47" s="16">
        <v>60</v>
      </c>
      <c r="AE47" s="1">
        <v>1</v>
      </c>
      <c r="AF47" s="1">
        <v>0</v>
      </c>
      <c r="AG47" s="1">
        <v>90</v>
      </c>
      <c r="AH47" s="1">
        <v>60003760</v>
      </c>
      <c r="AI47" s="1">
        <v>32767</v>
      </c>
      <c r="AJ47" s="1">
        <v>11</v>
      </c>
      <c r="AL47" s="1">
        <v>2800054903</v>
      </c>
      <c r="AM47" s="1">
        <v>37</v>
      </c>
      <c r="AN47" s="1">
        <v>1171999</v>
      </c>
      <c r="AO47" s="1">
        <v>1171999</v>
      </c>
      <c r="AP47" s="16">
        <v>200</v>
      </c>
      <c r="AQ47" s="1">
        <v>1</v>
      </c>
      <c r="AR47" s="1">
        <v>0</v>
      </c>
      <c r="AS47" s="1">
        <v>90</v>
      </c>
      <c r="AT47" s="1">
        <v>60003760</v>
      </c>
      <c r="AU47" s="1">
        <v>32767</v>
      </c>
      <c r="AV47" s="1">
        <v>9</v>
      </c>
      <c r="AX47" s="1">
        <v>2878291323</v>
      </c>
      <c r="AY47" s="1">
        <v>38</v>
      </c>
      <c r="AZ47" s="1">
        <v>999999</v>
      </c>
      <c r="BA47" s="1">
        <v>799999</v>
      </c>
      <c r="BB47" s="1">
        <v>817.99</v>
      </c>
      <c r="BC47" s="1">
        <v>1</v>
      </c>
      <c r="BD47" s="1">
        <v>0</v>
      </c>
      <c r="BE47" s="1">
        <v>90</v>
      </c>
      <c r="BF47" s="1">
        <v>60003760</v>
      </c>
      <c r="BG47" s="1">
        <v>32767</v>
      </c>
      <c r="BH47" s="1">
        <v>5</v>
      </c>
      <c r="BJ47" s="1">
        <v>2862236723</v>
      </c>
      <c r="BK47" s="1">
        <v>39</v>
      </c>
      <c r="BL47" s="1">
        <v>500000</v>
      </c>
      <c r="BM47" s="1">
        <v>500000</v>
      </c>
      <c r="BN47" s="1">
        <v>1299</v>
      </c>
      <c r="BO47" s="1">
        <v>1</v>
      </c>
      <c r="BP47" s="1">
        <v>0</v>
      </c>
      <c r="BQ47" s="1">
        <v>90</v>
      </c>
      <c r="BR47" s="1">
        <v>60003760</v>
      </c>
      <c r="BS47" s="1">
        <v>32767</v>
      </c>
      <c r="BT47" s="1">
        <v>5</v>
      </c>
      <c r="BV47" s="1">
        <v>2394958623</v>
      </c>
      <c r="BW47" s="1">
        <v>40</v>
      </c>
      <c r="BX47" s="1">
        <v>34850</v>
      </c>
      <c r="BY47" s="1">
        <v>34850</v>
      </c>
      <c r="BZ47" s="1">
        <v>2847.84</v>
      </c>
      <c r="CA47" s="1">
        <v>1</v>
      </c>
      <c r="CB47" s="1">
        <v>0</v>
      </c>
      <c r="CC47" s="1">
        <v>90</v>
      </c>
      <c r="CD47" s="1">
        <v>60003760</v>
      </c>
      <c r="CE47" s="1">
        <v>32767</v>
      </c>
      <c r="CF47" s="1">
        <v>13</v>
      </c>
      <c r="CH47" s="1">
        <v>2347977818</v>
      </c>
      <c r="CI47" s="1">
        <v>29668</v>
      </c>
      <c r="CJ47" s="1">
        <v>8</v>
      </c>
      <c r="CK47" s="1">
        <v>8</v>
      </c>
      <c r="CL47" s="1">
        <v>999596991</v>
      </c>
      <c r="CM47" s="1">
        <v>1</v>
      </c>
      <c r="CN47" s="1">
        <v>0</v>
      </c>
      <c r="CO47" s="1">
        <v>90</v>
      </c>
      <c r="CP47" s="1">
        <v>60003760</v>
      </c>
      <c r="CQ47" s="1">
        <v>32767</v>
      </c>
      <c r="CR47" s="1">
        <v>0</v>
      </c>
      <c r="CT47" s="1">
        <v>2413759752</v>
      </c>
      <c r="CU47" s="1">
        <v>16649</v>
      </c>
      <c r="CV47" s="1">
        <v>20000</v>
      </c>
      <c r="CW47" s="1">
        <v>20000</v>
      </c>
      <c r="CX47" s="1">
        <v>98005.49</v>
      </c>
      <c r="CY47" s="1">
        <v>1</v>
      </c>
      <c r="CZ47" s="1">
        <v>1</v>
      </c>
      <c r="DA47" s="1">
        <v>90</v>
      </c>
      <c r="DB47" s="1">
        <v>60003760</v>
      </c>
      <c r="DC47" s="1">
        <v>-1</v>
      </c>
      <c r="DD47" s="1">
        <v>0</v>
      </c>
      <c r="DF47" s="1">
        <v>2411362723</v>
      </c>
      <c r="DG47" s="1">
        <v>17887</v>
      </c>
      <c r="DH47" s="1">
        <v>1011879</v>
      </c>
      <c r="DI47" s="1">
        <v>1011879</v>
      </c>
      <c r="DJ47" s="1">
        <v>1019.13</v>
      </c>
      <c r="DK47" s="1">
        <v>1</v>
      </c>
      <c r="DL47" s="1">
        <v>0</v>
      </c>
      <c r="DM47" s="1">
        <v>90</v>
      </c>
      <c r="DN47" s="1">
        <v>60003760</v>
      </c>
      <c r="DO47" s="1">
        <v>32767</v>
      </c>
      <c r="DP47" s="1">
        <v>0</v>
      </c>
      <c r="DR47" s="1">
        <v>2865125801</v>
      </c>
      <c r="DS47" s="1">
        <v>17888</v>
      </c>
      <c r="DT47" s="1">
        <v>599322</v>
      </c>
      <c r="DU47" s="1">
        <v>39322</v>
      </c>
      <c r="DV47" s="1">
        <v>340</v>
      </c>
      <c r="DW47" s="1">
        <v>1</v>
      </c>
      <c r="DX47" s="1">
        <v>0</v>
      </c>
      <c r="DY47" s="1">
        <v>90</v>
      </c>
      <c r="DZ47" s="1">
        <v>60006430</v>
      </c>
      <c r="EA47" s="1">
        <v>32767</v>
      </c>
      <c r="EB47" s="1">
        <v>11</v>
      </c>
      <c r="ED47" s="1">
        <v>2873405388</v>
      </c>
      <c r="EE47" s="1">
        <v>16273</v>
      </c>
      <c r="EF47" s="1">
        <v>23037</v>
      </c>
      <c r="EG47" s="1">
        <v>23037</v>
      </c>
      <c r="EH47" s="1">
        <v>379.98</v>
      </c>
      <c r="EI47" s="1">
        <v>1</v>
      </c>
      <c r="EJ47" s="1">
        <v>0</v>
      </c>
      <c r="EK47" s="1">
        <v>30</v>
      </c>
      <c r="EL47" s="1">
        <v>60003760</v>
      </c>
      <c r="EM47" s="1">
        <v>32767</v>
      </c>
      <c r="EN47" s="1">
        <v>6</v>
      </c>
      <c r="EP47" s="1">
        <v>2871058303</v>
      </c>
      <c r="EQ47" s="1">
        <v>17889</v>
      </c>
      <c r="ER47" s="1">
        <v>1000000</v>
      </c>
      <c r="ES47" s="1">
        <v>735000</v>
      </c>
      <c r="ET47" s="1">
        <v>400</v>
      </c>
      <c r="EU47" s="1">
        <v>1</v>
      </c>
      <c r="EV47" s="1">
        <v>0</v>
      </c>
      <c r="EW47" s="1">
        <v>90</v>
      </c>
      <c r="EX47" s="1">
        <v>60003145</v>
      </c>
      <c r="EY47" s="1">
        <v>32767</v>
      </c>
      <c r="EZ47" s="1">
        <v>5</v>
      </c>
      <c r="FB47" s="1">
        <v>2877538088</v>
      </c>
      <c r="FC47" s="1">
        <v>30259</v>
      </c>
      <c r="FD47" s="1">
        <v>21</v>
      </c>
      <c r="FE47" s="1">
        <v>21</v>
      </c>
      <c r="FF47" s="1">
        <v>5798499</v>
      </c>
      <c r="FG47" s="1">
        <v>1</v>
      </c>
      <c r="FH47" s="1">
        <v>0</v>
      </c>
      <c r="FI47" s="1">
        <v>14</v>
      </c>
      <c r="FJ47" s="1">
        <v>60003760</v>
      </c>
      <c r="FK47" s="1">
        <v>32767</v>
      </c>
      <c r="FL47" s="1">
        <v>0</v>
      </c>
      <c r="FN47" s="1">
        <v>2771350238</v>
      </c>
      <c r="FO47" s="1">
        <v>25617</v>
      </c>
      <c r="FP47" s="1">
        <v>3</v>
      </c>
      <c r="FQ47" s="1">
        <v>2</v>
      </c>
      <c r="FR47" s="1">
        <v>6700000</v>
      </c>
      <c r="FS47" s="1">
        <v>1</v>
      </c>
      <c r="FT47" s="1">
        <v>0</v>
      </c>
      <c r="FU47" s="1">
        <v>90</v>
      </c>
      <c r="FV47" s="1">
        <v>60000304</v>
      </c>
      <c r="FW47" s="1">
        <v>32767</v>
      </c>
      <c r="FX47" s="1">
        <v>11</v>
      </c>
      <c r="FZ47" s="1">
        <v>2870263884</v>
      </c>
      <c r="GA47" s="1">
        <v>44</v>
      </c>
      <c r="GB47" s="1">
        <v>2600</v>
      </c>
      <c r="GC47" s="1">
        <v>2600</v>
      </c>
      <c r="GD47" s="1">
        <v>13380</v>
      </c>
      <c r="GE47" s="1">
        <v>1</v>
      </c>
      <c r="GF47" s="1">
        <v>0</v>
      </c>
      <c r="GG47" s="1">
        <v>90</v>
      </c>
      <c r="GH47" s="1">
        <v>60003760</v>
      </c>
      <c r="GI47" s="1">
        <v>32767</v>
      </c>
      <c r="GJ47" s="1">
        <v>4</v>
      </c>
      <c r="GL47" s="1">
        <v>2415497698</v>
      </c>
      <c r="GM47" s="1">
        <v>16681</v>
      </c>
      <c r="GN47" s="1">
        <v>200000</v>
      </c>
      <c r="GO47" s="1">
        <v>164202</v>
      </c>
      <c r="GP47" s="1">
        <v>6182.34</v>
      </c>
      <c r="GQ47" s="1">
        <v>1</v>
      </c>
      <c r="GR47" s="1">
        <v>0</v>
      </c>
      <c r="GS47" s="1">
        <v>90</v>
      </c>
      <c r="GT47" s="1">
        <v>60003760</v>
      </c>
      <c r="GU47" s="1">
        <v>32767</v>
      </c>
      <c r="GV47" s="1">
        <v>0</v>
      </c>
      <c r="GX47" s="1">
        <v>2866793978</v>
      </c>
      <c r="GY47" s="1">
        <v>16683</v>
      </c>
      <c r="GZ47" s="1">
        <v>117600</v>
      </c>
      <c r="HA47" s="1">
        <v>12380</v>
      </c>
      <c r="HB47" s="1">
        <v>8602.89</v>
      </c>
      <c r="HC47" s="1">
        <v>1</v>
      </c>
      <c r="HD47" s="1">
        <v>0</v>
      </c>
      <c r="HE47" s="1">
        <v>90</v>
      </c>
      <c r="HF47" s="1">
        <v>60003760</v>
      </c>
      <c r="HG47" s="1">
        <v>32767</v>
      </c>
      <c r="HH47" s="1">
        <v>0</v>
      </c>
      <c r="HJ47"/>
      <c r="HK47"/>
      <c r="HL47"/>
      <c r="HM47"/>
      <c r="HN47"/>
      <c r="HO47"/>
      <c r="HP47"/>
      <c r="HQ47"/>
      <c r="HR47"/>
      <c r="HS47"/>
      <c r="HT47"/>
      <c r="HV47" s="1">
        <v>2864771555</v>
      </c>
      <c r="HW47" s="1">
        <v>16274</v>
      </c>
      <c r="HX47" s="1">
        <v>1489275</v>
      </c>
      <c r="HY47" s="1">
        <v>1489275</v>
      </c>
      <c r="HZ47" s="1">
        <v>374.75</v>
      </c>
      <c r="IA47" s="1">
        <v>1</v>
      </c>
      <c r="IB47" s="1">
        <v>0</v>
      </c>
      <c r="IC47" s="1">
        <v>90</v>
      </c>
      <c r="ID47" s="1">
        <v>60003760</v>
      </c>
      <c r="IE47" s="1">
        <v>32767</v>
      </c>
      <c r="IF47" s="1">
        <v>2</v>
      </c>
      <c r="IH47" s="1">
        <v>2868320440</v>
      </c>
      <c r="II47" s="1">
        <v>10213</v>
      </c>
      <c r="IJ47" s="1">
        <v>59</v>
      </c>
      <c r="IK47" s="1">
        <v>45</v>
      </c>
      <c r="IL47" s="1">
        <v>113556500</v>
      </c>
      <c r="IM47" s="1">
        <v>1</v>
      </c>
      <c r="IN47" s="1">
        <v>1</v>
      </c>
      <c r="IO47" s="1">
        <v>90</v>
      </c>
      <c r="IP47" s="1">
        <v>60003760</v>
      </c>
      <c r="IQ47" s="1">
        <v>-1</v>
      </c>
      <c r="IR47" s="1">
        <v>0</v>
      </c>
      <c r="IT47" s="1">
        <v>2862968768</v>
      </c>
      <c r="IU47" s="1">
        <v>16679</v>
      </c>
      <c r="IV47" s="1">
        <v>528000</v>
      </c>
      <c r="IW47" s="1">
        <v>528000</v>
      </c>
      <c r="IX47" s="1">
        <v>1799.99</v>
      </c>
      <c r="IY47" s="1">
        <v>1</v>
      </c>
      <c r="IZ47" s="1">
        <v>0</v>
      </c>
      <c r="JA47" s="1">
        <v>90</v>
      </c>
      <c r="JB47" s="1">
        <v>60003760</v>
      </c>
      <c r="JC47" s="1">
        <v>32767</v>
      </c>
      <c r="JD47" s="1">
        <v>0</v>
      </c>
      <c r="JF47" s="1">
        <v>2875244268</v>
      </c>
      <c r="JG47" s="1">
        <v>16272</v>
      </c>
      <c r="JH47" s="1">
        <v>60457</v>
      </c>
      <c r="JI47" s="1">
        <v>60457</v>
      </c>
      <c r="JJ47" s="1">
        <v>78.489999999999995</v>
      </c>
      <c r="JK47" s="1">
        <v>1</v>
      </c>
      <c r="JL47" s="1">
        <v>0</v>
      </c>
      <c r="JM47" s="1">
        <v>90</v>
      </c>
      <c r="JN47" s="1">
        <v>60003760</v>
      </c>
      <c r="JO47" s="1">
        <v>32767</v>
      </c>
      <c r="JP47" s="1">
        <v>6</v>
      </c>
      <c r="JR47" s="1">
        <v>2865818266</v>
      </c>
      <c r="JS47" s="1">
        <v>10226</v>
      </c>
      <c r="JT47" s="1">
        <v>5</v>
      </c>
      <c r="JU47" s="1">
        <v>5</v>
      </c>
      <c r="JV47" s="1">
        <v>106000010</v>
      </c>
      <c r="JW47" s="1">
        <v>1</v>
      </c>
      <c r="JX47" s="1">
        <v>1</v>
      </c>
      <c r="JY47" s="1">
        <v>90</v>
      </c>
      <c r="JZ47" s="1">
        <v>60003760</v>
      </c>
      <c r="KA47" s="1">
        <v>32767</v>
      </c>
      <c r="KB47" s="1">
        <v>0</v>
      </c>
      <c r="KD47" s="1">
        <v>2866295559</v>
      </c>
      <c r="KE47" s="1">
        <v>25605</v>
      </c>
      <c r="KF47" s="1">
        <v>28</v>
      </c>
      <c r="KG47" s="1">
        <v>28</v>
      </c>
      <c r="KH47" s="1">
        <v>124051.04</v>
      </c>
      <c r="KI47" s="1">
        <v>1</v>
      </c>
      <c r="KJ47" s="1">
        <v>0</v>
      </c>
      <c r="KK47" s="1">
        <v>30</v>
      </c>
      <c r="KL47" s="1">
        <v>60003760</v>
      </c>
      <c r="KM47" s="1">
        <v>32767</v>
      </c>
      <c r="KN47" s="1">
        <v>6</v>
      </c>
      <c r="KP47" s="1">
        <v>2691362695</v>
      </c>
      <c r="KQ47" s="1">
        <v>25624</v>
      </c>
      <c r="KR47" s="1">
        <v>287</v>
      </c>
      <c r="KS47" s="1">
        <v>287</v>
      </c>
      <c r="KT47" s="1">
        <v>34999998.969999999</v>
      </c>
      <c r="KU47" s="1">
        <v>1</v>
      </c>
      <c r="KV47" s="1">
        <v>0</v>
      </c>
      <c r="KW47" s="1">
        <v>90</v>
      </c>
      <c r="KX47" s="1">
        <v>60003760</v>
      </c>
      <c r="KY47" s="1">
        <v>32767</v>
      </c>
      <c r="KZ47" s="1">
        <v>1</v>
      </c>
      <c r="LB47" s="1">
        <v>2839820554</v>
      </c>
      <c r="LC47" s="1">
        <v>9832</v>
      </c>
      <c r="LD47" s="1">
        <v>700</v>
      </c>
      <c r="LE47" s="1">
        <v>700</v>
      </c>
      <c r="LF47" s="1">
        <v>9819.98</v>
      </c>
      <c r="LG47" s="1">
        <v>1</v>
      </c>
      <c r="LH47" s="1">
        <v>0</v>
      </c>
      <c r="LI47" s="1">
        <v>90</v>
      </c>
      <c r="LJ47" s="1">
        <v>60003760</v>
      </c>
      <c r="LK47" s="1">
        <v>32767</v>
      </c>
      <c r="LL47" s="1">
        <v>0</v>
      </c>
      <c r="LN47" s="1">
        <v>2711978870</v>
      </c>
      <c r="LO47" s="1">
        <v>10209</v>
      </c>
      <c r="LP47" s="1">
        <v>10</v>
      </c>
      <c r="LQ47" s="1">
        <v>10</v>
      </c>
      <c r="LR47" s="1">
        <v>79678501.010000005</v>
      </c>
      <c r="LS47" s="1">
        <v>1</v>
      </c>
      <c r="LT47" s="1">
        <v>1</v>
      </c>
      <c r="LU47" s="1">
        <v>90</v>
      </c>
      <c r="LV47" s="1">
        <v>60003760</v>
      </c>
      <c r="LW47" s="1">
        <v>-1</v>
      </c>
      <c r="LX47" s="1">
        <v>0</v>
      </c>
      <c r="LZ47" s="1">
        <v>2865821408</v>
      </c>
      <c r="MA47" s="1">
        <v>10217</v>
      </c>
      <c r="MB47" s="1">
        <v>2</v>
      </c>
      <c r="MC47" s="1">
        <v>2</v>
      </c>
      <c r="MD47" s="1">
        <v>113276000</v>
      </c>
      <c r="ME47" s="1">
        <v>1</v>
      </c>
      <c r="MF47" s="1">
        <v>1</v>
      </c>
      <c r="MG47" s="1">
        <v>90</v>
      </c>
      <c r="MH47" s="1">
        <v>60003760</v>
      </c>
      <c r="MI47" s="1">
        <v>-1</v>
      </c>
      <c r="MJ47" s="1">
        <v>0</v>
      </c>
      <c r="ML47" s="1">
        <v>2878328819</v>
      </c>
      <c r="MM47" s="1">
        <v>25625</v>
      </c>
      <c r="MN47" s="1">
        <v>30</v>
      </c>
      <c r="MO47" s="1">
        <v>30</v>
      </c>
      <c r="MP47" s="1">
        <v>4397003.2300000004</v>
      </c>
      <c r="MQ47" s="1">
        <v>1</v>
      </c>
      <c r="MR47" s="1">
        <v>0</v>
      </c>
      <c r="MS47" s="1">
        <v>90</v>
      </c>
      <c r="MT47" s="1">
        <v>60003760</v>
      </c>
      <c r="MU47" s="1">
        <v>32767</v>
      </c>
      <c r="MV47" s="1">
        <v>0</v>
      </c>
      <c r="MX47" s="1">
        <v>2874612794</v>
      </c>
      <c r="MY47" s="1">
        <v>16672</v>
      </c>
      <c r="MZ47" s="1">
        <v>7730000</v>
      </c>
      <c r="NA47" s="1">
        <v>7730000</v>
      </c>
      <c r="NB47" s="1">
        <v>145.99</v>
      </c>
      <c r="NC47" s="1">
        <v>1</v>
      </c>
      <c r="ND47" s="1">
        <v>0</v>
      </c>
      <c r="NE47" s="1">
        <v>90</v>
      </c>
      <c r="NF47" s="1">
        <v>60003760</v>
      </c>
      <c r="NG47" s="1">
        <v>32767</v>
      </c>
      <c r="NH47" s="1">
        <v>0</v>
      </c>
      <c r="NJ47" s="1">
        <v>2729195872</v>
      </c>
      <c r="NK47" s="1">
        <v>16673</v>
      </c>
      <c r="NL47" s="1">
        <v>6777712</v>
      </c>
      <c r="NM47" s="1">
        <v>6777712</v>
      </c>
      <c r="NN47" s="1">
        <v>169.98</v>
      </c>
      <c r="NO47" s="1">
        <v>1</v>
      </c>
      <c r="NP47" s="1">
        <v>0</v>
      </c>
      <c r="NQ47" s="1">
        <v>90</v>
      </c>
      <c r="NR47" s="1">
        <v>60003760</v>
      </c>
      <c r="NS47" s="1">
        <v>32767</v>
      </c>
      <c r="NT47" s="1">
        <v>6</v>
      </c>
      <c r="NV47" s="1">
        <v>2856394256</v>
      </c>
      <c r="NW47" s="1">
        <v>3689</v>
      </c>
      <c r="NX47" s="1">
        <v>183447</v>
      </c>
      <c r="NY47" s="1">
        <v>60940</v>
      </c>
      <c r="NZ47" s="1">
        <v>10384.969999999999</v>
      </c>
      <c r="OA47" s="1">
        <v>1</v>
      </c>
      <c r="OB47" s="1">
        <v>0</v>
      </c>
      <c r="OC47" s="1">
        <v>90</v>
      </c>
      <c r="OD47" s="1">
        <v>60003760</v>
      </c>
      <c r="OE47" s="1">
        <v>32767</v>
      </c>
      <c r="OF47" s="1">
        <v>0</v>
      </c>
      <c r="OH47" s="1">
        <v>2784591260</v>
      </c>
      <c r="OI47" s="1">
        <v>25598</v>
      </c>
      <c r="OJ47" s="1">
        <v>788</v>
      </c>
      <c r="OK47" s="1">
        <v>788</v>
      </c>
      <c r="OL47" s="1">
        <v>178005</v>
      </c>
      <c r="OM47" s="1">
        <v>1</v>
      </c>
      <c r="ON47" s="1">
        <v>0</v>
      </c>
      <c r="OO47" s="1">
        <v>90</v>
      </c>
      <c r="OP47" s="1">
        <v>60003760</v>
      </c>
      <c r="OQ47" s="1">
        <v>32767</v>
      </c>
      <c r="OR47" s="1">
        <v>0</v>
      </c>
      <c r="OT47" s="1">
        <v>2784587034</v>
      </c>
      <c r="OU47" s="1">
        <v>25600</v>
      </c>
      <c r="OV47" s="1">
        <v>1109</v>
      </c>
      <c r="OW47" s="1">
        <v>1109</v>
      </c>
      <c r="OX47" s="1">
        <v>33450</v>
      </c>
      <c r="OY47" s="1">
        <v>1</v>
      </c>
      <c r="OZ47" s="1">
        <v>0</v>
      </c>
      <c r="PA47" s="1">
        <v>90</v>
      </c>
      <c r="PB47" s="1">
        <v>60003760</v>
      </c>
      <c r="PC47" s="1">
        <v>32767</v>
      </c>
      <c r="PD47" s="1">
        <v>0</v>
      </c>
      <c r="PF47" s="1">
        <v>2704805808</v>
      </c>
      <c r="PG47" s="1">
        <v>16670</v>
      </c>
      <c r="PH47" s="1">
        <v>2200000</v>
      </c>
      <c r="PI47" s="1">
        <v>2200000</v>
      </c>
      <c r="PJ47" s="1">
        <v>141.94</v>
      </c>
      <c r="PK47" s="1">
        <v>1</v>
      </c>
      <c r="PL47" s="1">
        <v>0</v>
      </c>
      <c r="PM47" s="1">
        <v>90</v>
      </c>
      <c r="PN47" s="1">
        <v>60003760</v>
      </c>
      <c r="PO47" s="1">
        <v>32767</v>
      </c>
      <c r="PP47" s="1">
        <v>7</v>
      </c>
      <c r="PR47" s="1">
        <v>2760973105</v>
      </c>
      <c r="PS47" s="1">
        <v>10222</v>
      </c>
      <c r="PT47" s="1">
        <v>1</v>
      </c>
      <c r="PU47" s="1">
        <v>1</v>
      </c>
      <c r="PV47" s="1">
        <v>90000000.010000005</v>
      </c>
      <c r="PW47" s="1">
        <v>1</v>
      </c>
      <c r="PX47" s="1">
        <v>1</v>
      </c>
      <c r="PY47" s="1">
        <v>90</v>
      </c>
      <c r="PZ47" s="1">
        <v>60003760</v>
      </c>
      <c r="QA47" s="1">
        <v>-1</v>
      </c>
      <c r="QB47" s="1">
        <v>0</v>
      </c>
      <c r="QD47" s="1">
        <v>2876804991</v>
      </c>
      <c r="QE47" s="1">
        <v>9830</v>
      </c>
      <c r="QF47" s="1">
        <v>1070</v>
      </c>
      <c r="QG47" s="1">
        <v>1070</v>
      </c>
      <c r="QH47" s="1">
        <v>7888.85</v>
      </c>
      <c r="QI47" s="1">
        <v>1</v>
      </c>
      <c r="QJ47" s="1">
        <v>0</v>
      </c>
      <c r="QK47" s="1">
        <v>14</v>
      </c>
      <c r="QL47" s="1">
        <v>60003760</v>
      </c>
      <c r="QM47" s="1">
        <v>32767</v>
      </c>
      <c r="QN47" s="1">
        <v>0</v>
      </c>
      <c r="QP47" s="1">
        <v>2872726411</v>
      </c>
      <c r="QQ47" s="1">
        <v>16671</v>
      </c>
      <c r="QR47" s="1">
        <v>1662571</v>
      </c>
      <c r="QS47" s="1">
        <v>1662571</v>
      </c>
      <c r="QT47" s="1">
        <v>113.16</v>
      </c>
      <c r="QU47" s="1">
        <v>1</v>
      </c>
      <c r="QV47" s="1">
        <v>0</v>
      </c>
      <c r="QW47" s="1">
        <v>90</v>
      </c>
      <c r="QX47" s="1">
        <v>60003760</v>
      </c>
      <c r="QY47" s="1">
        <v>32767</v>
      </c>
      <c r="QZ47" s="1">
        <v>7</v>
      </c>
      <c r="RB47" s="1">
        <v>2878026318</v>
      </c>
      <c r="RC47" s="1">
        <v>16682</v>
      </c>
      <c r="RD47" s="1">
        <v>126000</v>
      </c>
      <c r="RE47" s="1">
        <v>88062</v>
      </c>
      <c r="RF47" s="1">
        <v>3350.52</v>
      </c>
      <c r="RG47" s="1">
        <v>1</v>
      </c>
      <c r="RH47" s="1">
        <v>0</v>
      </c>
      <c r="RI47" s="1">
        <v>90</v>
      </c>
      <c r="RJ47" s="1">
        <v>60003760</v>
      </c>
      <c r="RK47" s="1">
        <v>32767</v>
      </c>
      <c r="RL47" s="1">
        <v>8</v>
      </c>
      <c r="RN47" s="1">
        <v>2762001730</v>
      </c>
      <c r="RO47" s="1">
        <v>16678</v>
      </c>
      <c r="RP47" s="1">
        <v>1000000</v>
      </c>
      <c r="RQ47" s="1">
        <v>1000000</v>
      </c>
      <c r="RR47" s="1">
        <v>122</v>
      </c>
      <c r="RS47" s="1">
        <v>10000</v>
      </c>
      <c r="RT47" s="1">
        <v>1</v>
      </c>
      <c r="RU47" s="1">
        <v>90</v>
      </c>
      <c r="RV47" s="1">
        <v>60003760</v>
      </c>
      <c r="RW47" s="1">
        <v>32767</v>
      </c>
      <c r="RX47" s="1">
        <v>0</v>
      </c>
      <c r="RZ47" s="1">
        <v>2878955341</v>
      </c>
      <c r="SA47" s="1">
        <v>30310</v>
      </c>
      <c r="SB47" s="1">
        <v>678</v>
      </c>
      <c r="SC47" s="1">
        <v>678</v>
      </c>
      <c r="SD47" s="1">
        <v>1288599.67</v>
      </c>
      <c r="SE47" s="1">
        <v>1</v>
      </c>
      <c r="SF47" s="1">
        <v>0</v>
      </c>
      <c r="SG47" s="1">
        <v>90</v>
      </c>
      <c r="SH47" s="1">
        <v>60003760</v>
      </c>
      <c r="SI47" s="1">
        <v>32767</v>
      </c>
      <c r="SJ47" s="1">
        <v>0</v>
      </c>
      <c r="SL47" s="1">
        <v>2878183847</v>
      </c>
      <c r="SM47" s="1">
        <v>30311</v>
      </c>
      <c r="SN47" s="1">
        <v>16</v>
      </c>
      <c r="SO47" s="1">
        <v>16</v>
      </c>
      <c r="SP47" s="1">
        <v>3127999.9</v>
      </c>
      <c r="SQ47" s="1">
        <v>1</v>
      </c>
      <c r="SR47" s="1">
        <v>0</v>
      </c>
      <c r="SS47" s="1">
        <v>90</v>
      </c>
      <c r="ST47" s="1">
        <v>60003760</v>
      </c>
      <c r="SU47" s="1">
        <v>32767</v>
      </c>
      <c r="SV47" s="1">
        <v>0</v>
      </c>
      <c r="SX47" s="1">
        <v>2792496708</v>
      </c>
      <c r="SY47" s="1">
        <v>25595</v>
      </c>
      <c r="SZ47" s="1">
        <v>2500</v>
      </c>
      <c r="TA47" s="1">
        <v>2500</v>
      </c>
      <c r="TB47" s="1">
        <v>102394.99</v>
      </c>
      <c r="TC47" s="1">
        <v>1</v>
      </c>
      <c r="TD47" s="1">
        <v>0</v>
      </c>
      <c r="TE47" s="1">
        <v>90</v>
      </c>
      <c r="TF47" s="1">
        <v>60003760</v>
      </c>
      <c r="TG47" s="1">
        <v>32767</v>
      </c>
      <c r="TH47" s="1">
        <v>6</v>
      </c>
      <c r="TJ47" s="1">
        <v>2862889552</v>
      </c>
      <c r="TK47" s="1">
        <v>25606</v>
      </c>
      <c r="TL47" s="1">
        <v>37500</v>
      </c>
      <c r="TM47" s="1">
        <v>37500</v>
      </c>
      <c r="TN47" s="1">
        <v>24949</v>
      </c>
      <c r="TO47" s="1">
        <v>1</v>
      </c>
      <c r="TP47" s="1">
        <v>0</v>
      </c>
      <c r="TQ47" s="1">
        <v>90</v>
      </c>
      <c r="TR47" s="1">
        <v>60003760</v>
      </c>
      <c r="TS47" s="1">
        <v>32767</v>
      </c>
      <c r="TT47" s="1">
        <v>0</v>
      </c>
      <c r="TV47" s="1">
        <v>2878208170</v>
      </c>
      <c r="TW47" s="1">
        <v>25622</v>
      </c>
      <c r="TX47" s="1">
        <v>5</v>
      </c>
      <c r="TY47" s="1">
        <v>5</v>
      </c>
      <c r="TZ47" s="1">
        <v>14449299.99</v>
      </c>
      <c r="UA47" s="1">
        <v>1</v>
      </c>
      <c r="UB47" s="1">
        <v>0</v>
      </c>
      <c r="UC47" s="1">
        <v>30</v>
      </c>
      <c r="UD47" s="1">
        <v>60003760</v>
      </c>
      <c r="UE47" s="1">
        <v>32767</v>
      </c>
      <c r="UF47" s="1">
        <v>0</v>
      </c>
      <c r="UH47" s="1">
        <v>2874886920</v>
      </c>
      <c r="UI47" s="1">
        <v>16680</v>
      </c>
      <c r="UJ47" s="1">
        <v>786300</v>
      </c>
      <c r="UK47" s="1">
        <v>786300</v>
      </c>
      <c r="UL47" s="1">
        <v>702.69</v>
      </c>
      <c r="UM47" s="1">
        <v>1</v>
      </c>
      <c r="UN47" s="1">
        <v>0</v>
      </c>
      <c r="UO47" s="1">
        <v>90</v>
      </c>
      <c r="UP47" s="1">
        <v>60003760</v>
      </c>
      <c r="UQ47" s="1">
        <v>32767</v>
      </c>
      <c r="UR47" s="1">
        <v>6</v>
      </c>
      <c r="UT47" s="1">
        <v>2874119197</v>
      </c>
      <c r="UU47" s="1">
        <v>17317</v>
      </c>
      <c r="UV47" s="1">
        <v>60</v>
      </c>
      <c r="UW47" s="1">
        <v>60</v>
      </c>
      <c r="UX47" s="1">
        <v>27000.11</v>
      </c>
      <c r="UY47" s="1">
        <v>1</v>
      </c>
      <c r="UZ47" s="1">
        <v>1</v>
      </c>
      <c r="VA47" s="1">
        <v>30</v>
      </c>
      <c r="VB47" s="1">
        <v>60003760</v>
      </c>
      <c r="VC47" s="1">
        <v>-1</v>
      </c>
      <c r="VD47" s="1">
        <v>0</v>
      </c>
      <c r="VF47"/>
      <c r="VG47"/>
      <c r="VH47"/>
      <c r="VI47"/>
      <c r="VJ47"/>
      <c r="VK47"/>
      <c r="VL47"/>
      <c r="VM47"/>
      <c r="VN47"/>
      <c r="VO47"/>
      <c r="VP47"/>
    </row>
    <row r="48" spans="2:588" x14ac:dyDescent="0.25">
      <c r="B48" s="1">
        <v>2827647919</v>
      </c>
      <c r="C48" s="1">
        <v>34</v>
      </c>
      <c r="D48" s="1">
        <v>1342438</v>
      </c>
      <c r="E48" s="1">
        <v>224</v>
      </c>
      <c r="F48" s="1">
        <v>5.95</v>
      </c>
      <c r="G48" s="1">
        <v>1</v>
      </c>
      <c r="H48" s="1">
        <v>0</v>
      </c>
      <c r="I48" s="1">
        <v>90</v>
      </c>
      <c r="J48" s="1">
        <v>60014659</v>
      </c>
      <c r="K48" s="1">
        <v>32767</v>
      </c>
      <c r="L48" s="1">
        <v>3</v>
      </c>
      <c r="N48" s="1">
        <v>2835006352</v>
      </c>
      <c r="O48" s="1">
        <v>35</v>
      </c>
      <c r="P48" s="1">
        <v>250000</v>
      </c>
      <c r="Q48" s="1">
        <v>250000</v>
      </c>
      <c r="R48" s="1">
        <v>16.34</v>
      </c>
      <c r="S48" s="1">
        <v>1</v>
      </c>
      <c r="T48" s="1">
        <v>0</v>
      </c>
      <c r="U48" s="1">
        <v>90</v>
      </c>
      <c r="V48" s="1">
        <v>60003760</v>
      </c>
      <c r="W48" s="1">
        <v>32767</v>
      </c>
      <c r="X48" s="1">
        <v>0</v>
      </c>
      <c r="Z48" s="1">
        <v>2751861949</v>
      </c>
      <c r="AA48" s="1">
        <v>36</v>
      </c>
      <c r="AB48" s="1">
        <v>2000000</v>
      </c>
      <c r="AC48" s="1">
        <v>2000000</v>
      </c>
      <c r="AD48" s="16">
        <v>60</v>
      </c>
      <c r="AE48" s="1">
        <v>1</v>
      </c>
      <c r="AF48" s="1">
        <v>0</v>
      </c>
      <c r="AG48" s="1">
        <v>90</v>
      </c>
      <c r="AH48" s="1">
        <v>60003760</v>
      </c>
      <c r="AI48" s="1">
        <v>32767</v>
      </c>
      <c r="AJ48" s="1">
        <v>11</v>
      </c>
      <c r="AL48" s="1">
        <v>2800011512</v>
      </c>
      <c r="AM48" s="1">
        <v>37</v>
      </c>
      <c r="AN48" s="1">
        <v>3063573</v>
      </c>
      <c r="AO48" s="1">
        <v>3063573</v>
      </c>
      <c r="AP48" s="16">
        <v>159.51</v>
      </c>
      <c r="AQ48" s="1">
        <v>1</v>
      </c>
      <c r="AR48" s="1">
        <v>0</v>
      </c>
      <c r="AS48" s="1">
        <v>90</v>
      </c>
      <c r="AT48" s="1">
        <v>60003760</v>
      </c>
      <c r="AU48" s="1">
        <v>32767</v>
      </c>
      <c r="AV48" s="1">
        <v>9</v>
      </c>
      <c r="AX48" s="1">
        <v>2878273572</v>
      </c>
      <c r="AY48" s="1">
        <v>38</v>
      </c>
      <c r="AZ48" s="1">
        <v>176022</v>
      </c>
      <c r="BA48" s="1">
        <v>173022</v>
      </c>
      <c r="BB48" s="1">
        <v>818.03</v>
      </c>
      <c r="BC48" s="1">
        <v>1</v>
      </c>
      <c r="BD48" s="1">
        <v>0</v>
      </c>
      <c r="BE48" s="1">
        <v>30</v>
      </c>
      <c r="BF48" s="1">
        <v>60003760</v>
      </c>
      <c r="BG48" s="1">
        <v>32767</v>
      </c>
      <c r="BH48" s="1">
        <v>5</v>
      </c>
      <c r="BJ48" s="1">
        <v>2862237035</v>
      </c>
      <c r="BK48" s="1">
        <v>39</v>
      </c>
      <c r="BL48" s="1">
        <v>1667102</v>
      </c>
      <c r="BM48" s="1">
        <v>1667102</v>
      </c>
      <c r="BN48" s="1">
        <v>1999</v>
      </c>
      <c r="BO48" s="1">
        <v>1</v>
      </c>
      <c r="BP48" s="1">
        <v>0</v>
      </c>
      <c r="BQ48" s="1">
        <v>90</v>
      </c>
      <c r="BR48" s="1">
        <v>60003760</v>
      </c>
      <c r="BS48" s="1">
        <v>32767</v>
      </c>
      <c r="BT48" s="1">
        <v>5</v>
      </c>
      <c r="BV48" s="1">
        <v>2395206055</v>
      </c>
      <c r="BW48" s="1">
        <v>40</v>
      </c>
      <c r="BX48" s="1">
        <v>3575</v>
      </c>
      <c r="BY48" s="1">
        <v>3575</v>
      </c>
      <c r="BZ48" s="1">
        <v>2847.59</v>
      </c>
      <c r="CA48" s="1">
        <v>1</v>
      </c>
      <c r="CB48" s="1">
        <v>0</v>
      </c>
      <c r="CC48" s="1">
        <v>90</v>
      </c>
      <c r="CD48" s="1">
        <v>60003760</v>
      </c>
      <c r="CE48" s="1">
        <v>32767</v>
      </c>
      <c r="CF48" s="1">
        <v>13</v>
      </c>
      <c r="CH48" s="1">
        <v>2347979024</v>
      </c>
      <c r="CI48" s="1">
        <v>29668</v>
      </c>
      <c r="CJ48" s="1">
        <v>2</v>
      </c>
      <c r="CK48" s="1">
        <v>2</v>
      </c>
      <c r="CL48" s="1">
        <v>595598458</v>
      </c>
      <c r="CM48" s="1">
        <v>1</v>
      </c>
      <c r="CN48" s="1">
        <v>0</v>
      </c>
      <c r="CO48" s="1">
        <v>90</v>
      </c>
      <c r="CP48" s="1">
        <v>60003760</v>
      </c>
      <c r="CQ48" s="1">
        <v>32767</v>
      </c>
      <c r="CR48" s="1">
        <v>0</v>
      </c>
      <c r="CT48" s="1">
        <v>2413990159</v>
      </c>
      <c r="CU48" s="1">
        <v>16649</v>
      </c>
      <c r="CV48" s="1">
        <v>20000</v>
      </c>
      <c r="CW48" s="1">
        <v>20000</v>
      </c>
      <c r="CX48" s="1">
        <v>99000.03</v>
      </c>
      <c r="CY48" s="1">
        <v>1</v>
      </c>
      <c r="CZ48" s="1">
        <v>1</v>
      </c>
      <c r="DA48" s="1">
        <v>14</v>
      </c>
      <c r="DB48" s="1">
        <v>60003760</v>
      </c>
      <c r="DC48" s="1">
        <v>-1</v>
      </c>
      <c r="DD48" s="1">
        <v>0</v>
      </c>
      <c r="DF48" s="1">
        <v>2411362984</v>
      </c>
      <c r="DG48" s="1">
        <v>17887</v>
      </c>
      <c r="DH48" s="1">
        <v>1001760</v>
      </c>
      <c r="DI48" s="1">
        <v>1001760</v>
      </c>
      <c r="DJ48" s="1">
        <v>1019.12</v>
      </c>
      <c r="DK48" s="1">
        <v>1</v>
      </c>
      <c r="DL48" s="1">
        <v>0</v>
      </c>
      <c r="DM48" s="1">
        <v>90</v>
      </c>
      <c r="DN48" s="1">
        <v>60003760</v>
      </c>
      <c r="DO48" s="1">
        <v>32767</v>
      </c>
      <c r="DP48" s="1">
        <v>0</v>
      </c>
      <c r="DR48" s="1">
        <v>2865125902</v>
      </c>
      <c r="DS48" s="1">
        <v>17888</v>
      </c>
      <c r="DT48" s="1">
        <v>2530</v>
      </c>
      <c r="DU48" s="1">
        <v>2530</v>
      </c>
      <c r="DV48" s="1">
        <v>340</v>
      </c>
      <c r="DW48" s="1">
        <v>1</v>
      </c>
      <c r="DX48" s="1">
        <v>0</v>
      </c>
      <c r="DY48" s="1">
        <v>90</v>
      </c>
      <c r="DZ48" s="1">
        <v>60006433</v>
      </c>
      <c r="EA48" s="1">
        <v>32767</v>
      </c>
      <c r="EB48" s="1">
        <v>11</v>
      </c>
      <c r="ED48" s="1">
        <v>2874925558</v>
      </c>
      <c r="EE48" s="1">
        <v>16273</v>
      </c>
      <c r="EF48" s="1">
        <v>3721500</v>
      </c>
      <c r="EG48" s="1">
        <v>3055204</v>
      </c>
      <c r="EH48" s="1">
        <v>371.92</v>
      </c>
      <c r="EI48" s="1">
        <v>1</v>
      </c>
      <c r="EJ48" s="1">
        <v>0</v>
      </c>
      <c r="EK48" s="1">
        <v>90</v>
      </c>
      <c r="EL48" s="1">
        <v>60003760</v>
      </c>
      <c r="EM48" s="1">
        <v>32767</v>
      </c>
      <c r="EN48" s="1">
        <v>6</v>
      </c>
      <c r="EP48" s="1">
        <v>2814536352</v>
      </c>
      <c r="EQ48" s="1">
        <v>17889</v>
      </c>
      <c r="ER48" s="1">
        <v>400000</v>
      </c>
      <c r="ES48" s="1">
        <v>150000</v>
      </c>
      <c r="ET48" s="1">
        <v>497.98</v>
      </c>
      <c r="EU48" s="1">
        <v>1</v>
      </c>
      <c r="EV48" s="1">
        <v>0</v>
      </c>
      <c r="EW48" s="1">
        <v>90</v>
      </c>
      <c r="EX48" s="1">
        <v>60004081</v>
      </c>
      <c r="EY48" s="1">
        <v>32767</v>
      </c>
      <c r="EZ48" s="1">
        <v>4</v>
      </c>
      <c r="FB48" s="1">
        <v>2877323909</v>
      </c>
      <c r="FC48" s="1">
        <v>30259</v>
      </c>
      <c r="FD48" s="1">
        <v>514</v>
      </c>
      <c r="FE48" s="1">
        <v>184</v>
      </c>
      <c r="FF48" s="1">
        <v>5798455.96</v>
      </c>
      <c r="FG48" s="1">
        <v>1</v>
      </c>
      <c r="FH48" s="1">
        <v>0</v>
      </c>
      <c r="FI48" s="1">
        <v>90</v>
      </c>
      <c r="FJ48" s="1">
        <v>60003760</v>
      </c>
      <c r="FK48" s="1">
        <v>32767</v>
      </c>
      <c r="FL48" s="1">
        <v>0</v>
      </c>
      <c r="FN48" s="1">
        <v>2878666845</v>
      </c>
      <c r="FO48" s="1">
        <v>25617</v>
      </c>
      <c r="FP48" s="1">
        <v>46</v>
      </c>
      <c r="FQ48" s="1">
        <v>46</v>
      </c>
      <c r="FR48" s="1">
        <v>5107001</v>
      </c>
      <c r="FS48" s="1">
        <v>1</v>
      </c>
      <c r="FT48" s="1">
        <v>0</v>
      </c>
      <c r="FU48" s="1">
        <v>90</v>
      </c>
      <c r="FV48" s="1">
        <v>60003760</v>
      </c>
      <c r="FW48" s="1">
        <v>32767</v>
      </c>
      <c r="FX48" s="1">
        <v>0</v>
      </c>
      <c r="FZ48" s="1">
        <v>2870392637</v>
      </c>
      <c r="GA48" s="1">
        <v>44</v>
      </c>
      <c r="GB48" s="1">
        <v>9083</v>
      </c>
      <c r="GC48" s="1">
        <v>9083</v>
      </c>
      <c r="GD48" s="1">
        <v>13384.97</v>
      </c>
      <c r="GE48" s="1">
        <v>1</v>
      </c>
      <c r="GF48" s="1">
        <v>0</v>
      </c>
      <c r="GG48" s="1">
        <v>90</v>
      </c>
      <c r="GH48" s="1">
        <v>60003760</v>
      </c>
      <c r="GI48" s="1">
        <v>32767</v>
      </c>
      <c r="GJ48" s="1">
        <v>4</v>
      </c>
      <c r="GL48" s="1">
        <v>2413856983</v>
      </c>
      <c r="GM48" s="1">
        <v>16681</v>
      </c>
      <c r="GN48" s="1">
        <v>400000</v>
      </c>
      <c r="GO48" s="1">
        <v>400000</v>
      </c>
      <c r="GP48" s="1">
        <v>5920.1</v>
      </c>
      <c r="GQ48" s="1">
        <v>1</v>
      </c>
      <c r="GR48" s="1">
        <v>1</v>
      </c>
      <c r="GS48" s="1">
        <v>30</v>
      </c>
      <c r="GT48" s="1">
        <v>60003760</v>
      </c>
      <c r="GU48" s="1">
        <v>-1</v>
      </c>
      <c r="GV48" s="1">
        <v>0</v>
      </c>
      <c r="GX48" s="1">
        <v>2879008391</v>
      </c>
      <c r="GY48" s="1">
        <v>16683</v>
      </c>
      <c r="GZ48" s="1">
        <v>100000</v>
      </c>
      <c r="HA48" s="1">
        <v>63800</v>
      </c>
      <c r="HB48" s="1">
        <v>8602.8799999999992</v>
      </c>
      <c r="HC48" s="1">
        <v>1</v>
      </c>
      <c r="HD48" s="1">
        <v>0</v>
      </c>
      <c r="HE48" s="1">
        <v>90</v>
      </c>
      <c r="HF48" s="1">
        <v>60003760</v>
      </c>
      <c r="HG48" s="1">
        <v>32767</v>
      </c>
      <c r="HH48" s="1">
        <v>0</v>
      </c>
      <c r="HJ48"/>
      <c r="HK48"/>
      <c r="HL48"/>
      <c r="HM48"/>
      <c r="HN48"/>
      <c r="HO48"/>
      <c r="HP48"/>
      <c r="HQ48"/>
      <c r="HR48"/>
      <c r="HS48"/>
      <c r="HT48"/>
      <c r="HV48" s="1">
        <v>2864771719</v>
      </c>
      <c r="HW48" s="1">
        <v>16274</v>
      </c>
      <c r="HX48" s="1">
        <v>1599825</v>
      </c>
      <c r="HY48" s="1">
        <v>1599825</v>
      </c>
      <c r="HZ48" s="1">
        <v>374.7</v>
      </c>
      <c r="IA48" s="1">
        <v>1</v>
      </c>
      <c r="IB48" s="1">
        <v>0</v>
      </c>
      <c r="IC48" s="1">
        <v>90</v>
      </c>
      <c r="ID48" s="1">
        <v>60003760</v>
      </c>
      <c r="IE48" s="1">
        <v>32767</v>
      </c>
      <c r="IF48" s="1">
        <v>2</v>
      </c>
      <c r="IH48" s="1">
        <v>2877225856</v>
      </c>
      <c r="II48" s="1">
        <v>10213</v>
      </c>
      <c r="IJ48" s="1">
        <v>6</v>
      </c>
      <c r="IK48" s="1">
        <v>6</v>
      </c>
      <c r="IL48" s="1">
        <v>113555700</v>
      </c>
      <c r="IM48" s="1">
        <v>1</v>
      </c>
      <c r="IN48" s="1">
        <v>1</v>
      </c>
      <c r="IO48" s="1">
        <v>30</v>
      </c>
      <c r="IP48" s="1">
        <v>60003760</v>
      </c>
      <c r="IQ48" s="1">
        <v>-1</v>
      </c>
      <c r="IR48" s="1">
        <v>0</v>
      </c>
      <c r="IT48" s="1">
        <v>2863030570</v>
      </c>
      <c r="IU48" s="1">
        <v>16679</v>
      </c>
      <c r="IV48" s="1">
        <v>500000</v>
      </c>
      <c r="IW48" s="1">
        <v>443750</v>
      </c>
      <c r="IX48" s="1">
        <v>1747.75</v>
      </c>
      <c r="IY48" s="1">
        <v>1</v>
      </c>
      <c r="IZ48" s="1">
        <v>0</v>
      </c>
      <c r="JA48" s="1">
        <v>90</v>
      </c>
      <c r="JB48" s="1">
        <v>60003760</v>
      </c>
      <c r="JC48" s="1">
        <v>32767</v>
      </c>
      <c r="JD48" s="1">
        <v>0</v>
      </c>
      <c r="JF48" s="1">
        <v>2874925125</v>
      </c>
      <c r="JG48" s="1">
        <v>16272</v>
      </c>
      <c r="JH48" s="1">
        <v>746158</v>
      </c>
      <c r="JI48" s="1">
        <v>733158</v>
      </c>
      <c r="JJ48" s="1">
        <v>79.930000000000007</v>
      </c>
      <c r="JK48" s="1">
        <v>1</v>
      </c>
      <c r="JL48" s="1">
        <v>0</v>
      </c>
      <c r="JM48" s="1">
        <v>90</v>
      </c>
      <c r="JN48" s="1">
        <v>60003760</v>
      </c>
      <c r="JO48" s="1">
        <v>32767</v>
      </c>
      <c r="JP48" s="1">
        <v>6</v>
      </c>
      <c r="JR48" s="1">
        <v>2873420845</v>
      </c>
      <c r="JS48" s="1">
        <v>10226</v>
      </c>
      <c r="JT48" s="1">
        <v>10</v>
      </c>
      <c r="JU48" s="1">
        <v>9</v>
      </c>
      <c r="JV48" s="1">
        <v>111002000.29000001</v>
      </c>
      <c r="JW48" s="1">
        <v>1</v>
      </c>
      <c r="JX48" s="1">
        <v>1</v>
      </c>
      <c r="JY48" s="1">
        <v>90</v>
      </c>
      <c r="JZ48" s="1">
        <v>60003760</v>
      </c>
      <c r="KA48" s="1">
        <v>-1</v>
      </c>
      <c r="KB48" s="1">
        <v>0</v>
      </c>
      <c r="KD48" s="1">
        <v>2864891975</v>
      </c>
      <c r="KE48" s="1">
        <v>25605</v>
      </c>
      <c r="KF48" s="1">
        <v>1411</v>
      </c>
      <c r="KG48" s="1">
        <v>189</v>
      </c>
      <c r="KH48" s="1">
        <v>112499.86</v>
      </c>
      <c r="KI48" s="1">
        <v>1</v>
      </c>
      <c r="KJ48" s="1">
        <v>0</v>
      </c>
      <c r="KK48" s="1">
        <v>90</v>
      </c>
      <c r="KL48" s="1">
        <v>60003760</v>
      </c>
      <c r="KM48" s="1">
        <v>32767</v>
      </c>
      <c r="KN48" s="1">
        <v>6</v>
      </c>
      <c r="KP48" s="1">
        <v>2865480667</v>
      </c>
      <c r="KQ48" s="1">
        <v>25624</v>
      </c>
      <c r="KR48" s="1">
        <v>31</v>
      </c>
      <c r="KS48" s="1">
        <v>24</v>
      </c>
      <c r="KT48" s="1">
        <v>18800000</v>
      </c>
      <c r="KU48" s="1">
        <v>1</v>
      </c>
      <c r="KV48" s="1">
        <v>0</v>
      </c>
      <c r="KW48" s="1">
        <v>90</v>
      </c>
      <c r="KX48" s="1">
        <v>60003760</v>
      </c>
      <c r="KY48" s="1">
        <v>32767</v>
      </c>
      <c r="KZ48" s="1">
        <v>1</v>
      </c>
      <c r="LB48" s="1">
        <v>2839732823</v>
      </c>
      <c r="LC48" s="1">
        <v>9832</v>
      </c>
      <c r="LD48" s="1">
        <v>1735</v>
      </c>
      <c r="LE48" s="1">
        <v>1735</v>
      </c>
      <c r="LF48" s="1">
        <v>9949.98</v>
      </c>
      <c r="LG48" s="1">
        <v>1</v>
      </c>
      <c r="LH48" s="1">
        <v>0</v>
      </c>
      <c r="LI48" s="1">
        <v>90</v>
      </c>
      <c r="LJ48" s="1">
        <v>60003760</v>
      </c>
      <c r="LK48" s="1">
        <v>32767</v>
      </c>
      <c r="LL48" s="1">
        <v>0</v>
      </c>
      <c r="LN48" s="1">
        <v>2865815078</v>
      </c>
      <c r="LO48" s="1">
        <v>10209</v>
      </c>
      <c r="LP48" s="1">
        <v>10</v>
      </c>
      <c r="LQ48" s="1">
        <v>10</v>
      </c>
      <c r="LR48" s="1">
        <v>108000002</v>
      </c>
      <c r="LS48" s="1">
        <v>1</v>
      </c>
      <c r="LT48" s="1">
        <v>1</v>
      </c>
      <c r="LU48" s="1">
        <v>90</v>
      </c>
      <c r="LV48" s="1">
        <v>60003760</v>
      </c>
      <c r="LW48" s="1">
        <v>32767</v>
      </c>
      <c r="LX48" s="1">
        <v>0</v>
      </c>
      <c r="LZ48" s="1">
        <v>2865817139</v>
      </c>
      <c r="MA48" s="1">
        <v>10217</v>
      </c>
      <c r="MB48" s="1">
        <v>5</v>
      </c>
      <c r="MC48" s="1">
        <v>5</v>
      </c>
      <c r="MD48" s="1">
        <v>111000008</v>
      </c>
      <c r="ME48" s="1">
        <v>1</v>
      </c>
      <c r="MF48" s="1">
        <v>1</v>
      </c>
      <c r="MG48" s="1">
        <v>90</v>
      </c>
      <c r="MH48" s="1">
        <v>60003760</v>
      </c>
      <c r="MI48" s="1">
        <v>32767</v>
      </c>
      <c r="MJ48" s="1">
        <v>0</v>
      </c>
      <c r="ML48" s="1">
        <v>2878055067</v>
      </c>
      <c r="MM48" s="1">
        <v>25625</v>
      </c>
      <c r="MN48" s="1">
        <v>37</v>
      </c>
      <c r="MO48" s="1">
        <v>37</v>
      </c>
      <c r="MP48" s="1">
        <v>4397003.22</v>
      </c>
      <c r="MQ48" s="1">
        <v>1</v>
      </c>
      <c r="MR48" s="1">
        <v>0</v>
      </c>
      <c r="MS48" s="1">
        <v>90</v>
      </c>
      <c r="MT48" s="1">
        <v>60003760</v>
      </c>
      <c r="MU48" s="1">
        <v>32767</v>
      </c>
      <c r="MV48" s="1">
        <v>0</v>
      </c>
      <c r="MX48" s="1">
        <v>2874613638</v>
      </c>
      <c r="MY48" s="1">
        <v>16672</v>
      </c>
      <c r="MZ48" s="1">
        <v>7000000</v>
      </c>
      <c r="NA48" s="1">
        <v>7000000</v>
      </c>
      <c r="NB48" s="1">
        <v>151.19</v>
      </c>
      <c r="NC48" s="1">
        <v>1</v>
      </c>
      <c r="ND48" s="1">
        <v>0</v>
      </c>
      <c r="NE48" s="1">
        <v>90</v>
      </c>
      <c r="NF48" s="1">
        <v>60003760</v>
      </c>
      <c r="NG48" s="1">
        <v>32767</v>
      </c>
      <c r="NH48" s="1">
        <v>0</v>
      </c>
      <c r="NJ48" s="1">
        <v>2727523451</v>
      </c>
      <c r="NK48" s="1">
        <v>16673</v>
      </c>
      <c r="NL48" s="1">
        <v>6000000</v>
      </c>
      <c r="NM48" s="1">
        <v>6000000</v>
      </c>
      <c r="NN48" s="1">
        <v>149.99</v>
      </c>
      <c r="NO48" s="1">
        <v>1</v>
      </c>
      <c r="NP48" s="1">
        <v>0</v>
      </c>
      <c r="NQ48" s="1">
        <v>90</v>
      </c>
      <c r="NR48" s="1">
        <v>60003760</v>
      </c>
      <c r="NS48" s="1">
        <v>32767</v>
      </c>
      <c r="NT48" s="1">
        <v>6</v>
      </c>
      <c r="NV48" s="1">
        <v>2856308891</v>
      </c>
      <c r="NW48" s="1">
        <v>3689</v>
      </c>
      <c r="NX48" s="1">
        <v>57195</v>
      </c>
      <c r="NY48" s="1">
        <v>11111</v>
      </c>
      <c r="NZ48" s="1">
        <v>11079.99</v>
      </c>
      <c r="OA48" s="1">
        <v>1</v>
      </c>
      <c r="OB48" s="1">
        <v>0</v>
      </c>
      <c r="OC48" s="1">
        <v>90</v>
      </c>
      <c r="OD48" s="1">
        <v>60003760</v>
      </c>
      <c r="OE48" s="1">
        <v>32767</v>
      </c>
      <c r="OF48" s="1">
        <v>0</v>
      </c>
      <c r="OH48" s="1">
        <v>2836363661</v>
      </c>
      <c r="OI48" s="1">
        <v>25598</v>
      </c>
      <c r="OJ48" s="1">
        <v>8613</v>
      </c>
      <c r="OK48" s="1">
        <v>8613</v>
      </c>
      <c r="OL48" s="1">
        <v>161999.98000000001</v>
      </c>
      <c r="OM48" s="1">
        <v>1</v>
      </c>
      <c r="ON48" s="1">
        <v>0</v>
      </c>
      <c r="OO48" s="1">
        <v>90</v>
      </c>
      <c r="OP48" s="1">
        <v>60003760</v>
      </c>
      <c r="OQ48" s="1">
        <v>32767</v>
      </c>
      <c r="OR48" s="1">
        <v>0</v>
      </c>
      <c r="OT48" s="1">
        <v>2834920344</v>
      </c>
      <c r="OU48" s="1">
        <v>25600</v>
      </c>
      <c r="OV48" s="1">
        <v>283</v>
      </c>
      <c r="OW48" s="1">
        <v>283</v>
      </c>
      <c r="OX48" s="1">
        <v>39255.22</v>
      </c>
      <c r="OY48" s="1">
        <v>1</v>
      </c>
      <c r="OZ48" s="1">
        <v>0</v>
      </c>
      <c r="PA48" s="1">
        <v>90</v>
      </c>
      <c r="PB48" s="1">
        <v>60003760</v>
      </c>
      <c r="PC48" s="1">
        <v>32767</v>
      </c>
      <c r="PD48" s="1">
        <v>0</v>
      </c>
      <c r="PF48" s="1">
        <v>2751411244</v>
      </c>
      <c r="PG48" s="1">
        <v>16670</v>
      </c>
      <c r="PH48" s="1">
        <v>7000000</v>
      </c>
      <c r="PI48" s="1">
        <v>7000000</v>
      </c>
      <c r="PJ48" s="1">
        <v>141.9</v>
      </c>
      <c r="PK48" s="1">
        <v>1</v>
      </c>
      <c r="PL48" s="1">
        <v>0</v>
      </c>
      <c r="PM48" s="1">
        <v>90</v>
      </c>
      <c r="PN48" s="1">
        <v>60003760</v>
      </c>
      <c r="PO48" s="1">
        <v>32767</v>
      </c>
      <c r="PP48" s="1">
        <v>7</v>
      </c>
      <c r="PR48" s="1">
        <v>2760031548</v>
      </c>
      <c r="PS48" s="1">
        <v>10222</v>
      </c>
      <c r="PT48" s="1">
        <v>5</v>
      </c>
      <c r="PU48" s="1">
        <v>5</v>
      </c>
      <c r="PV48" s="1">
        <v>95000000</v>
      </c>
      <c r="PW48" s="1">
        <v>1</v>
      </c>
      <c r="PX48" s="1">
        <v>1</v>
      </c>
      <c r="PY48" s="1">
        <v>90</v>
      </c>
      <c r="PZ48" s="1">
        <v>60003760</v>
      </c>
      <c r="QA48" s="1">
        <v>-1</v>
      </c>
      <c r="QB48" s="1">
        <v>0</v>
      </c>
      <c r="QD48" s="1">
        <v>2876739739</v>
      </c>
      <c r="QE48" s="1">
        <v>9830</v>
      </c>
      <c r="QF48" s="1">
        <v>35927</v>
      </c>
      <c r="QG48" s="1">
        <v>35927</v>
      </c>
      <c r="QH48" s="1">
        <v>7649.92</v>
      </c>
      <c r="QI48" s="1">
        <v>1</v>
      </c>
      <c r="QJ48" s="1">
        <v>0</v>
      </c>
      <c r="QK48" s="1">
        <v>90</v>
      </c>
      <c r="QL48" s="1">
        <v>60003760</v>
      </c>
      <c r="QM48" s="1">
        <v>32767</v>
      </c>
      <c r="QN48" s="1">
        <v>0</v>
      </c>
      <c r="QP48" s="1">
        <v>2874906414</v>
      </c>
      <c r="QQ48" s="1">
        <v>16671</v>
      </c>
      <c r="QR48" s="1">
        <v>13592688</v>
      </c>
      <c r="QS48" s="1">
        <v>7766688</v>
      </c>
      <c r="QT48" s="1">
        <v>105.77</v>
      </c>
      <c r="QU48" s="1">
        <v>1</v>
      </c>
      <c r="QV48" s="1">
        <v>0</v>
      </c>
      <c r="QW48" s="1">
        <v>90</v>
      </c>
      <c r="QX48" s="1">
        <v>60003760</v>
      </c>
      <c r="QY48" s="1">
        <v>32767</v>
      </c>
      <c r="QZ48" s="1">
        <v>7</v>
      </c>
      <c r="RB48" s="1">
        <v>2878167063</v>
      </c>
      <c r="RC48" s="1">
        <v>16682</v>
      </c>
      <c r="RD48" s="1">
        <v>31509</v>
      </c>
      <c r="RE48" s="1">
        <v>19369</v>
      </c>
      <c r="RF48" s="1">
        <v>3350</v>
      </c>
      <c r="RG48" s="1">
        <v>1</v>
      </c>
      <c r="RH48" s="1">
        <v>0</v>
      </c>
      <c r="RI48" s="1">
        <v>90</v>
      </c>
      <c r="RJ48" s="1">
        <v>60003760</v>
      </c>
      <c r="RK48" s="1">
        <v>32767</v>
      </c>
      <c r="RL48" s="1">
        <v>8</v>
      </c>
      <c r="RN48" s="1">
        <v>2759734513</v>
      </c>
      <c r="RO48" s="1">
        <v>16678</v>
      </c>
      <c r="RP48" s="1">
        <v>10000000</v>
      </c>
      <c r="RQ48" s="1">
        <v>10000000</v>
      </c>
      <c r="RR48" s="1">
        <v>179.91</v>
      </c>
      <c r="RS48" s="1">
        <v>1</v>
      </c>
      <c r="RT48" s="1">
        <v>1</v>
      </c>
      <c r="RU48" s="1">
        <v>90</v>
      </c>
      <c r="RV48" s="1">
        <v>60003760</v>
      </c>
      <c r="RW48" s="1">
        <v>-1</v>
      </c>
      <c r="RX48" s="1">
        <v>0</v>
      </c>
      <c r="RZ48" s="1">
        <v>2878060790</v>
      </c>
      <c r="SA48" s="1">
        <v>30310</v>
      </c>
      <c r="SB48" s="1">
        <v>960</v>
      </c>
      <c r="SC48" s="1">
        <v>206</v>
      </c>
      <c r="SD48" s="1">
        <v>1288599.6499999999</v>
      </c>
      <c r="SE48" s="1">
        <v>1</v>
      </c>
      <c r="SF48" s="1">
        <v>0</v>
      </c>
      <c r="SG48" s="1">
        <v>7</v>
      </c>
      <c r="SH48" s="1">
        <v>60003760</v>
      </c>
      <c r="SI48" s="1">
        <v>32767</v>
      </c>
      <c r="SJ48" s="1">
        <v>0</v>
      </c>
      <c r="SL48" s="1">
        <v>2876788843</v>
      </c>
      <c r="SM48" s="1">
        <v>30311</v>
      </c>
      <c r="SN48" s="1">
        <v>176</v>
      </c>
      <c r="SO48" s="1">
        <v>98</v>
      </c>
      <c r="SP48" s="1">
        <v>3127999.9</v>
      </c>
      <c r="SQ48" s="1">
        <v>1</v>
      </c>
      <c r="SR48" s="1">
        <v>0</v>
      </c>
      <c r="SS48" s="1">
        <v>90</v>
      </c>
      <c r="ST48" s="1">
        <v>60003760</v>
      </c>
      <c r="SU48" s="1">
        <v>32767</v>
      </c>
      <c r="SV48" s="1">
        <v>0</v>
      </c>
      <c r="SX48" s="1">
        <v>2795431289</v>
      </c>
      <c r="SY48" s="1">
        <v>25595</v>
      </c>
      <c r="SZ48" s="1">
        <v>16</v>
      </c>
      <c r="TA48" s="1">
        <v>16</v>
      </c>
      <c r="TB48" s="1">
        <v>98999.97</v>
      </c>
      <c r="TC48" s="1">
        <v>1</v>
      </c>
      <c r="TD48" s="1">
        <v>0</v>
      </c>
      <c r="TE48" s="1">
        <v>90</v>
      </c>
      <c r="TF48" s="1">
        <v>60003760</v>
      </c>
      <c r="TG48" s="1">
        <v>32767</v>
      </c>
      <c r="TH48" s="1">
        <v>6</v>
      </c>
      <c r="TJ48" s="1">
        <v>2862660895</v>
      </c>
      <c r="TK48" s="1">
        <v>25606</v>
      </c>
      <c r="TL48" s="1">
        <v>1473</v>
      </c>
      <c r="TM48" s="1">
        <v>1473</v>
      </c>
      <c r="TN48" s="1">
        <v>24999.98</v>
      </c>
      <c r="TO48" s="1">
        <v>1</v>
      </c>
      <c r="TP48" s="1">
        <v>0</v>
      </c>
      <c r="TQ48" s="1">
        <v>90</v>
      </c>
      <c r="TR48" s="1">
        <v>60003760</v>
      </c>
      <c r="TS48" s="1">
        <v>32767</v>
      </c>
      <c r="TT48" s="1">
        <v>0</v>
      </c>
      <c r="TV48" s="1">
        <v>2878749057</v>
      </c>
      <c r="TW48" s="1">
        <v>25622</v>
      </c>
      <c r="TX48" s="1">
        <v>3</v>
      </c>
      <c r="TY48" s="1">
        <v>3</v>
      </c>
      <c r="TZ48" s="1">
        <v>14800000</v>
      </c>
      <c r="UA48" s="1">
        <v>1</v>
      </c>
      <c r="UB48" s="1">
        <v>0</v>
      </c>
      <c r="UC48" s="1">
        <v>90</v>
      </c>
      <c r="UD48" s="1">
        <v>60003760</v>
      </c>
      <c r="UE48" s="1">
        <v>32767</v>
      </c>
      <c r="UF48" s="1">
        <v>0</v>
      </c>
      <c r="UH48" s="1">
        <v>2871350962</v>
      </c>
      <c r="UI48" s="1">
        <v>16680</v>
      </c>
      <c r="UJ48" s="1">
        <v>742577</v>
      </c>
      <c r="UK48" s="1">
        <v>254763</v>
      </c>
      <c r="UL48" s="1">
        <v>702.68</v>
      </c>
      <c r="UM48" s="1">
        <v>1</v>
      </c>
      <c r="UN48" s="1">
        <v>0</v>
      </c>
      <c r="UO48" s="1">
        <v>90</v>
      </c>
      <c r="UP48" s="1">
        <v>60003760</v>
      </c>
      <c r="UQ48" s="1">
        <v>32767</v>
      </c>
      <c r="UR48" s="1">
        <v>6</v>
      </c>
      <c r="UT48" s="1">
        <v>2874158865</v>
      </c>
      <c r="UU48" s="1">
        <v>17317</v>
      </c>
      <c r="UV48" s="1">
        <v>5000</v>
      </c>
      <c r="UW48" s="1">
        <v>5000</v>
      </c>
      <c r="UX48" s="1">
        <v>26158.25</v>
      </c>
      <c r="UY48" s="1">
        <v>1</v>
      </c>
      <c r="UZ48" s="1">
        <v>1</v>
      </c>
      <c r="VA48" s="1">
        <v>30</v>
      </c>
      <c r="VB48" s="1">
        <v>60003760</v>
      </c>
      <c r="VC48" s="1">
        <v>-1</v>
      </c>
      <c r="VD48" s="1">
        <v>0</v>
      </c>
      <c r="VF48"/>
      <c r="VG48"/>
      <c r="VH48"/>
      <c r="VI48"/>
      <c r="VJ48"/>
      <c r="VK48"/>
      <c r="VL48"/>
      <c r="VM48"/>
      <c r="VN48"/>
      <c r="VO48"/>
      <c r="VP48"/>
    </row>
    <row r="49" spans="2:588" x14ac:dyDescent="0.25">
      <c r="B49" s="1">
        <v>2862505008</v>
      </c>
      <c r="C49" s="1">
        <v>34</v>
      </c>
      <c r="D49" s="1">
        <v>1</v>
      </c>
      <c r="E49" s="1">
        <v>1</v>
      </c>
      <c r="F49" s="1">
        <v>100000000</v>
      </c>
      <c r="G49" s="1">
        <v>1</v>
      </c>
      <c r="H49" s="1">
        <v>0</v>
      </c>
      <c r="I49" s="1">
        <v>30</v>
      </c>
      <c r="J49" s="1">
        <v>60014659</v>
      </c>
      <c r="K49" s="1">
        <v>32767</v>
      </c>
      <c r="L49" s="1">
        <v>3</v>
      </c>
      <c r="N49" s="1">
        <v>2835009999</v>
      </c>
      <c r="O49" s="1">
        <v>35</v>
      </c>
      <c r="P49" s="1">
        <v>195282577</v>
      </c>
      <c r="Q49" s="1">
        <v>195282577</v>
      </c>
      <c r="R49" s="1">
        <v>16.02</v>
      </c>
      <c r="S49" s="1">
        <v>1</v>
      </c>
      <c r="T49" s="1">
        <v>0</v>
      </c>
      <c r="U49" s="1">
        <v>90</v>
      </c>
      <c r="V49" s="1">
        <v>60003760</v>
      </c>
      <c r="W49" s="1">
        <v>32767</v>
      </c>
      <c r="X49" s="1">
        <v>0</v>
      </c>
      <c r="Z49" s="1">
        <v>2753444822</v>
      </c>
      <c r="AA49" s="1">
        <v>36</v>
      </c>
      <c r="AB49" s="1">
        <v>3207117</v>
      </c>
      <c r="AC49" s="1">
        <v>3207117</v>
      </c>
      <c r="AD49" s="16">
        <v>60</v>
      </c>
      <c r="AE49" s="1">
        <v>1</v>
      </c>
      <c r="AF49" s="1">
        <v>0</v>
      </c>
      <c r="AG49" s="1">
        <v>90</v>
      </c>
      <c r="AH49" s="1">
        <v>60003760</v>
      </c>
      <c r="AI49" s="1">
        <v>32767</v>
      </c>
      <c r="AJ49" s="1">
        <v>11</v>
      </c>
      <c r="AL49" s="1">
        <v>2789365868</v>
      </c>
      <c r="AM49" s="1">
        <v>37</v>
      </c>
      <c r="AN49" s="1">
        <v>8688544</v>
      </c>
      <c r="AO49" s="1">
        <v>8688544</v>
      </c>
      <c r="AP49" s="16">
        <v>168.55</v>
      </c>
      <c r="AQ49" s="1">
        <v>1</v>
      </c>
      <c r="AR49" s="1">
        <v>0</v>
      </c>
      <c r="AS49" s="1">
        <v>90</v>
      </c>
      <c r="AT49" s="1">
        <v>60003760</v>
      </c>
      <c r="AU49" s="1">
        <v>32767</v>
      </c>
      <c r="AV49" s="1">
        <v>9</v>
      </c>
      <c r="AX49" s="1">
        <v>2878286571</v>
      </c>
      <c r="AY49" s="1">
        <v>38</v>
      </c>
      <c r="AZ49" s="1">
        <v>785795</v>
      </c>
      <c r="BA49" s="1">
        <v>785795</v>
      </c>
      <c r="BB49" s="1">
        <v>818</v>
      </c>
      <c r="BC49" s="1">
        <v>1</v>
      </c>
      <c r="BD49" s="1">
        <v>0</v>
      </c>
      <c r="BE49" s="1">
        <v>7</v>
      </c>
      <c r="BF49" s="1">
        <v>60003760</v>
      </c>
      <c r="BG49" s="1">
        <v>32767</v>
      </c>
      <c r="BH49" s="1">
        <v>5</v>
      </c>
      <c r="BJ49" s="1">
        <v>2862236277</v>
      </c>
      <c r="BK49" s="1">
        <v>39</v>
      </c>
      <c r="BL49" s="1">
        <v>1000000</v>
      </c>
      <c r="BM49" s="1">
        <v>1000000</v>
      </c>
      <c r="BN49" s="1">
        <v>899</v>
      </c>
      <c r="BO49" s="1">
        <v>1</v>
      </c>
      <c r="BP49" s="1">
        <v>0</v>
      </c>
      <c r="BQ49" s="1">
        <v>90</v>
      </c>
      <c r="BR49" s="1">
        <v>60003760</v>
      </c>
      <c r="BS49" s="1">
        <v>32767</v>
      </c>
      <c r="BT49" s="1">
        <v>5</v>
      </c>
      <c r="BV49" s="1">
        <v>2395211637</v>
      </c>
      <c r="BW49" s="1">
        <v>40</v>
      </c>
      <c r="BX49" s="1">
        <v>130</v>
      </c>
      <c r="BY49" s="1">
        <v>130</v>
      </c>
      <c r="BZ49" s="1">
        <v>2847.58</v>
      </c>
      <c r="CA49" s="1">
        <v>1</v>
      </c>
      <c r="CB49" s="1">
        <v>0</v>
      </c>
      <c r="CC49" s="1">
        <v>90</v>
      </c>
      <c r="CD49" s="1">
        <v>60003760</v>
      </c>
      <c r="CE49" s="1">
        <v>32767</v>
      </c>
      <c r="CF49" s="1">
        <v>13</v>
      </c>
      <c r="CH49" s="1">
        <v>2347979075</v>
      </c>
      <c r="CI49" s="1">
        <v>29668</v>
      </c>
      <c r="CJ49" s="1">
        <v>2</v>
      </c>
      <c r="CK49" s="1">
        <v>2</v>
      </c>
      <c r="CL49" s="1">
        <v>595598756</v>
      </c>
      <c r="CM49" s="1">
        <v>1</v>
      </c>
      <c r="CN49" s="1">
        <v>0</v>
      </c>
      <c r="CO49" s="1">
        <v>90</v>
      </c>
      <c r="CP49" s="1">
        <v>60003760</v>
      </c>
      <c r="CQ49" s="1">
        <v>32767</v>
      </c>
      <c r="CR49" s="1">
        <v>0</v>
      </c>
      <c r="CT49" s="1">
        <v>2413970198</v>
      </c>
      <c r="CU49" s="1">
        <v>16649</v>
      </c>
      <c r="CV49" s="1">
        <v>10000</v>
      </c>
      <c r="CW49" s="1">
        <v>10000</v>
      </c>
      <c r="CX49" s="1">
        <v>98006.44</v>
      </c>
      <c r="CY49" s="1">
        <v>1</v>
      </c>
      <c r="CZ49" s="1">
        <v>1</v>
      </c>
      <c r="DA49" s="1">
        <v>90</v>
      </c>
      <c r="DB49" s="1">
        <v>60003760</v>
      </c>
      <c r="DC49" s="1">
        <v>-1</v>
      </c>
      <c r="DD49" s="1">
        <v>0</v>
      </c>
      <c r="DF49" s="1">
        <v>2404972779</v>
      </c>
      <c r="DG49" s="1">
        <v>17887</v>
      </c>
      <c r="DH49" s="1">
        <v>55884</v>
      </c>
      <c r="DI49" s="1">
        <v>47884</v>
      </c>
      <c r="DJ49" s="1">
        <v>1079</v>
      </c>
      <c r="DK49" s="1">
        <v>1</v>
      </c>
      <c r="DL49" s="1">
        <v>0</v>
      </c>
      <c r="DM49" s="1">
        <v>30</v>
      </c>
      <c r="DN49" s="1">
        <v>60000451</v>
      </c>
      <c r="DO49" s="1">
        <v>32767</v>
      </c>
      <c r="DP49" s="1">
        <v>0</v>
      </c>
      <c r="DR49" s="1">
        <v>2859787201</v>
      </c>
      <c r="DS49" s="1">
        <v>17888</v>
      </c>
      <c r="DT49" s="1">
        <v>1291</v>
      </c>
      <c r="DU49" s="1">
        <v>1291</v>
      </c>
      <c r="DV49" s="1">
        <v>341.01</v>
      </c>
      <c r="DW49" s="1">
        <v>1</v>
      </c>
      <c r="DX49" s="1">
        <v>0</v>
      </c>
      <c r="DY49" s="1">
        <v>30</v>
      </c>
      <c r="DZ49" s="1">
        <v>60004369</v>
      </c>
      <c r="EA49" s="1">
        <v>32767</v>
      </c>
      <c r="EB49" s="1">
        <v>11</v>
      </c>
      <c r="ED49" s="1">
        <v>2874739561</v>
      </c>
      <c r="EE49" s="1">
        <v>16273</v>
      </c>
      <c r="EF49" s="1">
        <v>23525</v>
      </c>
      <c r="EG49" s="1">
        <v>23525</v>
      </c>
      <c r="EH49" s="1">
        <v>371.98</v>
      </c>
      <c r="EI49" s="1">
        <v>1</v>
      </c>
      <c r="EJ49" s="1">
        <v>0</v>
      </c>
      <c r="EK49" s="1">
        <v>30</v>
      </c>
      <c r="EL49" s="1">
        <v>60003760</v>
      </c>
      <c r="EM49" s="1">
        <v>32767</v>
      </c>
      <c r="EN49" s="1">
        <v>6</v>
      </c>
      <c r="EP49" s="1">
        <v>2862852348</v>
      </c>
      <c r="EQ49" s="1">
        <v>17889</v>
      </c>
      <c r="ER49" s="1">
        <v>130000</v>
      </c>
      <c r="ES49" s="1">
        <v>130000</v>
      </c>
      <c r="ET49" s="1">
        <v>469.99</v>
      </c>
      <c r="EU49" s="1">
        <v>1</v>
      </c>
      <c r="EV49" s="1">
        <v>0</v>
      </c>
      <c r="EW49" s="1">
        <v>90</v>
      </c>
      <c r="EX49" s="1">
        <v>60004081</v>
      </c>
      <c r="EY49" s="1">
        <v>32767</v>
      </c>
      <c r="EZ49" s="1">
        <v>4</v>
      </c>
      <c r="FB49" s="1">
        <v>2876989576</v>
      </c>
      <c r="FC49" s="1">
        <v>30259</v>
      </c>
      <c r="FD49" s="1">
        <v>4</v>
      </c>
      <c r="FE49" s="1">
        <v>4</v>
      </c>
      <c r="FF49" s="1">
        <v>5842449.8799999999</v>
      </c>
      <c r="FG49" s="1">
        <v>1</v>
      </c>
      <c r="FH49" s="1">
        <v>0</v>
      </c>
      <c r="FI49" s="1">
        <v>90</v>
      </c>
      <c r="FJ49" s="1">
        <v>60003760</v>
      </c>
      <c r="FK49" s="1">
        <v>32767</v>
      </c>
      <c r="FL49" s="1">
        <v>0</v>
      </c>
      <c r="FN49" s="1">
        <v>2878863107</v>
      </c>
      <c r="FO49" s="1">
        <v>25617</v>
      </c>
      <c r="FP49" s="1">
        <v>398</v>
      </c>
      <c r="FQ49" s="1">
        <v>398</v>
      </c>
      <c r="FR49" s="1">
        <v>5098009.0199999996</v>
      </c>
      <c r="FS49" s="1">
        <v>1</v>
      </c>
      <c r="FT49" s="1">
        <v>0</v>
      </c>
      <c r="FU49" s="1">
        <v>90</v>
      </c>
      <c r="FV49" s="1">
        <v>60003760</v>
      </c>
      <c r="FW49" s="1">
        <v>32767</v>
      </c>
      <c r="FX49" s="1">
        <v>0</v>
      </c>
      <c r="FZ49" s="1">
        <v>2871411339</v>
      </c>
      <c r="GA49" s="1">
        <v>44</v>
      </c>
      <c r="GB49" s="1">
        <v>48720</v>
      </c>
      <c r="GC49" s="1">
        <v>48720</v>
      </c>
      <c r="GD49" s="1">
        <v>13799.98</v>
      </c>
      <c r="GE49" s="1">
        <v>1</v>
      </c>
      <c r="GF49" s="1">
        <v>0</v>
      </c>
      <c r="GG49" s="1">
        <v>90</v>
      </c>
      <c r="GH49" s="1">
        <v>60003760</v>
      </c>
      <c r="GI49" s="1">
        <v>32767</v>
      </c>
      <c r="GJ49" s="1">
        <v>4</v>
      </c>
      <c r="GL49" s="1">
        <v>2413868772</v>
      </c>
      <c r="GM49" s="1">
        <v>16681</v>
      </c>
      <c r="GN49" s="1">
        <v>4800</v>
      </c>
      <c r="GO49" s="1">
        <v>4800</v>
      </c>
      <c r="GP49" s="1">
        <v>5980</v>
      </c>
      <c r="GQ49" s="1">
        <v>1</v>
      </c>
      <c r="GR49" s="1">
        <v>1</v>
      </c>
      <c r="GS49" s="1">
        <v>90</v>
      </c>
      <c r="GT49" s="1">
        <v>60003760</v>
      </c>
      <c r="GU49" s="1">
        <v>-1</v>
      </c>
      <c r="GV49" s="1">
        <v>0</v>
      </c>
      <c r="GX49" s="1">
        <v>2878261201</v>
      </c>
      <c r="GY49" s="1">
        <v>16683</v>
      </c>
      <c r="GZ49" s="1">
        <v>309200</v>
      </c>
      <c r="HA49" s="1">
        <v>26504</v>
      </c>
      <c r="HB49" s="1">
        <v>8602.86</v>
      </c>
      <c r="HC49" s="1">
        <v>1</v>
      </c>
      <c r="HD49" s="1">
        <v>0</v>
      </c>
      <c r="HE49" s="1">
        <v>90</v>
      </c>
      <c r="HF49" s="1">
        <v>60003760</v>
      </c>
      <c r="HG49" s="1">
        <v>32767</v>
      </c>
      <c r="HH49" s="1">
        <v>0</v>
      </c>
      <c r="HJ49"/>
      <c r="HK49"/>
      <c r="HL49"/>
      <c r="HM49"/>
      <c r="HN49"/>
      <c r="HO49"/>
      <c r="HP49"/>
      <c r="HQ49"/>
      <c r="HR49"/>
      <c r="HS49"/>
      <c r="HT49"/>
      <c r="HV49" s="1">
        <v>2873189406</v>
      </c>
      <c r="HW49" s="1">
        <v>16274</v>
      </c>
      <c r="HX49" s="1">
        <v>6971400</v>
      </c>
      <c r="HY49" s="1">
        <v>6971400</v>
      </c>
      <c r="HZ49" s="1">
        <v>374.69</v>
      </c>
      <c r="IA49" s="1">
        <v>1</v>
      </c>
      <c r="IB49" s="1">
        <v>0</v>
      </c>
      <c r="IC49" s="1">
        <v>90</v>
      </c>
      <c r="ID49" s="1">
        <v>60003760</v>
      </c>
      <c r="IE49" s="1">
        <v>32767</v>
      </c>
      <c r="IF49" s="1">
        <v>2</v>
      </c>
      <c r="IH49" s="1">
        <v>2879107474</v>
      </c>
      <c r="II49" s="1">
        <v>10213</v>
      </c>
      <c r="IJ49" s="1">
        <v>1</v>
      </c>
      <c r="IK49" s="1">
        <v>1</v>
      </c>
      <c r="IL49" s="1">
        <v>113556500.05</v>
      </c>
      <c r="IM49" s="1">
        <v>1</v>
      </c>
      <c r="IN49" s="1">
        <v>1</v>
      </c>
      <c r="IO49" s="1">
        <v>90</v>
      </c>
      <c r="IP49" s="1">
        <v>60003760</v>
      </c>
      <c r="IQ49" s="1">
        <v>-1</v>
      </c>
      <c r="IR49" s="1">
        <v>0</v>
      </c>
      <c r="IT49" s="1">
        <v>2860612372</v>
      </c>
      <c r="IU49" s="1">
        <v>16679</v>
      </c>
      <c r="IV49" s="1">
        <v>1336454</v>
      </c>
      <c r="IW49" s="1">
        <v>1336454</v>
      </c>
      <c r="IX49" s="1">
        <v>1795.82</v>
      </c>
      <c r="IY49" s="1">
        <v>1</v>
      </c>
      <c r="IZ49" s="1">
        <v>0</v>
      </c>
      <c r="JA49" s="1">
        <v>90</v>
      </c>
      <c r="JB49" s="1">
        <v>60003760</v>
      </c>
      <c r="JC49" s="1">
        <v>32767</v>
      </c>
      <c r="JD49" s="1">
        <v>0</v>
      </c>
      <c r="JF49" s="1">
        <v>2874740372</v>
      </c>
      <c r="JG49" s="1">
        <v>16272</v>
      </c>
      <c r="JH49" s="1">
        <v>47050</v>
      </c>
      <c r="JI49" s="1">
        <v>47050</v>
      </c>
      <c r="JJ49" s="1">
        <v>80.040000000000006</v>
      </c>
      <c r="JK49" s="1">
        <v>1</v>
      </c>
      <c r="JL49" s="1">
        <v>0</v>
      </c>
      <c r="JM49" s="1">
        <v>30</v>
      </c>
      <c r="JN49" s="1">
        <v>60003760</v>
      </c>
      <c r="JO49" s="1">
        <v>32767</v>
      </c>
      <c r="JP49" s="1">
        <v>6</v>
      </c>
      <c r="JR49" s="1">
        <v>2872986277</v>
      </c>
      <c r="JS49" s="1">
        <v>10226</v>
      </c>
      <c r="JT49" s="1">
        <v>1</v>
      </c>
      <c r="JU49" s="1">
        <v>1</v>
      </c>
      <c r="JV49" s="1">
        <v>111000000.14</v>
      </c>
      <c r="JW49" s="1">
        <v>1</v>
      </c>
      <c r="JX49" s="1">
        <v>1</v>
      </c>
      <c r="JY49" s="1">
        <v>90</v>
      </c>
      <c r="JZ49" s="1">
        <v>60003760</v>
      </c>
      <c r="KA49" s="1">
        <v>-1</v>
      </c>
      <c r="KB49" s="1">
        <v>0</v>
      </c>
      <c r="KD49" s="1">
        <v>2871426548</v>
      </c>
      <c r="KE49" s="1">
        <v>25605</v>
      </c>
      <c r="KF49" s="1">
        <v>2094</v>
      </c>
      <c r="KG49" s="1">
        <v>2094</v>
      </c>
      <c r="KH49" s="1">
        <v>112499.79</v>
      </c>
      <c r="KI49" s="1">
        <v>1</v>
      </c>
      <c r="KJ49" s="1">
        <v>0</v>
      </c>
      <c r="KK49" s="1">
        <v>90</v>
      </c>
      <c r="KL49" s="1">
        <v>60003760</v>
      </c>
      <c r="KM49" s="1">
        <v>32767</v>
      </c>
      <c r="KN49" s="1">
        <v>6</v>
      </c>
      <c r="KP49" s="1">
        <v>2873155696</v>
      </c>
      <c r="KQ49" s="1">
        <v>25624</v>
      </c>
      <c r="KR49" s="1">
        <v>60</v>
      </c>
      <c r="KS49" s="1">
        <v>60</v>
      </c>
      <c r="KT49" s="1">
        <v>18496948.91</v>
      </c>
      <c r="KU49" s="1">
        <v>1</v>
      </c>
      <c r="KV49" s="1">
        <v>0</v>
      </c>
      <c r="KW49" s="1">
        <v>90</v>
      </c>
      <c r="KX49" s="1">
        <v>60003760</v>
      </c>
      <c r="KY49" s="1">
        <v>32767</v>
      </c>
      <c r="KZ49" s="1">
        <v>1</v>
      </c>
      <c r="LB49" s="1">
        <v>2838831038</v>
      </c>
      <c r="LC49" s="1">
        <v>9832</v>
      </c>
      <c r="LD49" s="1">
        <v>36695</v>
      </c>
      <c r="LE49" s="1">
        <v>36695</v>
      </c>
      <c r="LF49" s="1">
        <v>9842.9699999999993</v>
      </c>
      <c r="LG49" s="1">
        <v>1</v>
      </c>
      <c r="LH49" s="1">
        <v>0</v>
      </c>
      <c r="LI49" s="1">
        <v>90</v>
      </c>
      <c r="LJ49" s="1">
        <v>60003760</v>
      </c>
      <c r="LK49" s="1">
        <v>32767</v>
      </c>
      <c r="LL49" s="1">
        <v>0</v>
      </c>
      <c r="LN49" s="1">
        <v>2873642477</v>
      </c>
      <c r="LO49" s="1">
        <v>10209</v>
      </c>
      <c r="LP49" s="1">
        <v>1</v>
      </c>
      <c r="LQ49" s="1">
        <v>1</v>
      </c>
      <c r="LR49" s="1">
        <v>101100000</v>
      </c>
      <c r="LS49" s="1">
        <v>1</v>
      </c>
      <c r="LT49" s="1">
        <v>1</v>
      </c>
      <c r="LU49" s="1">
        <v>90</v>
      </c>
      <c r="LV49" s="1">
        <v>60003760</v>
      </c>
      <c r="LW49" s="1">
        <v>32767</v>
      </c>
      <c r="LX49" s="1">
        <v>0</v>
      </c>
      <c r="LZ49" s="1">
        <v>2872817057</v>
      </c>
      <c r="MA49" s="1">
        <v>10217</v>
      </c>
      <c r="MB49" s="1">
        <v>2</v>
      </c>
      <c r="MC49" s="1">
        <v>2</v>
      </c>
      <c r="MD49" s="1">
        <v>111000000</v>
      </c>
      <c r="ME49" s="1">
        <v>1</v>
      </c>
      <c r="MF49" s="1">
        <v>1</v>
      </c>
      <c r="MG49" s="1">
        <v>90</v>
      </c>
      <c r="MH49" s="1">
        <v>60003760</v>
      </c>
      <c r="MI49" s="1">
        <v>-1</v>
      </c>
      <c r="MJ49" s="1">
        <v>0</v>
      </c>
      <c r="ML49" s="1">
        <v>2826991415</v>
      </c>
      <c r="MM49" s="1">
        <v>25625</v>
      </c>
      <c r="MN49" s="1">
        <v>50</v>
      </c>
      <c r="MO49" s="1">
        <v>13</v>
      </c>
      <c r="MP49" s="1">
        <v>2600000.0099999998</v>
      </c>
      <c r="MQ49" s="1">
        <v>1</v>
      </c>
      <c r="MR49" s="1">
        <v>1</v>
      </c>
      <c r="MS49" s="1">
        <v>90</v>
      </c>
      <c r="MT49" s="1">
        <v>60003760</v>
      </c>
      <c r="MU49" s="1">
        <v>5</v>
      </c>
      <c r="MV49" s="1">
        <v>0</v>
      </c>
      <c r="MX49" s="1">
        <v>2874459674</v>
      </c>
      <c r="MY49" s="1">
        <v>16672</v>
      </c>
      <c r="MZ49" s="1">
        <v>2000000</v>
      </c>
      <c r="NA49" s="1">
        <v>2000000</v>
      </c>
      <c r="NB49" s="1">
        <v>137.28</v>
      </c>
      <c r="NC49" s="1">
        <v>1</v>
      </c>
      <c r="ND49" s="1">
        <v>0</v>
      </c>
      <c r="NE49" s="1">
        <v>90</v>
      </c>
      <c r="NF49" s="1">
        <v>60003760</v>
      </c>
      <c r="NG49" s="1">
        <v>32767</v>
      </c>
      <c r="NH49" s="1">
        <v>0</v>
      </c>
      <c r="NJ49" s="1">
        <v>2727922586</v>
      </c>
      <c r="NK49" s="1">
        <v>16673</v>
      </c>
      <c r="NL49" s="1">
        <v>50000</v>
      </c>
      <c r="NM49" s="1">
        <v>50000</v>
      </c>
      <c r="NN49" s="1">
        <v>130</v>
      </c>
      <c r="NO49" s="1">
        <v>1</v>
      </c>
      <c r="NP49" s="1">
        <v>0</v>
      </c>
      <c r="NQ49" s="1">
        <v>90</v>
      </c>
      <c r="NR49" s="1">
        <v>60003760</v>
      </c>
      <c r="NS49" s="1">
        <v>32767</v>
      </c>
      <c r="NT49" s="1">
        <v>6</v>
      </c>
      <c r="NV49" s="1">
        <v>2857164812</v>
      </c>
      <c r="NW49" s="1">
        <v>3689</v>
      </c>
      <c r="NX49" s="1">
        <v>14710</v>
      </c>
      <c r="NY49" s="1">
        <v>14710</v>
      </c>
      <c r="NZ49" s="1">
        <v>11551.06</v>
      </c>
      <c r="OA49" s="1">
        <v>1</v>
      </c>
      <c r="OB49" s="1">
        <v>0</v>
      </c>
      <c r="OC49" s="1">
        <v>90</v>
      </c>
      <c r="OD49" s="1">
        <v>60003760</v>
      </c>
      <c r="OE49" s="1">
        <v>32767</v>
      </c>
      <c r="OF49" s="1">
        <v>0</v>
      </c>
      <c r="OH49" s="1">
        <v>2836236964</v>
      </c>
      <c r="OI49" s="1">
        <v>25598</v>
      </c>
      <c r="OJ49" s="1">
        <v>39264</v>
      </c>
      <c r="OK49" s="1">
        <v>39264</v>
      </c>
      <c r="OL49" s="1">
        <v>164997.89000000001</v>
      </c>
      <c r="OM49" s="1">
        <v>1</v>
      </c>
      <c r="ON49" s="1">
        <v>0</v>
      </c>
      <c r="OO49" s="1">
        <v>90</v>
      </c>
      <c r="OP49" s="1">
        <v>60003760</v>
      </c>
      <c r="OQ49" s="1">
        <v>32767</v>
      </c>
      <c r="OR49" s="1">
        <v>0</v>
      </c>
      <c r="OT49" s="1">
        <v>2840782009</v>
      </c>
      <c r="OU49" s="1">
        <v>25600</v>
      </c>
      <c r="OV49" s="1">
        <v>753</v>
      </c>
      <c r="OW49" s="1">
        <v>753</v>
      </c>
      <c r="OX49" s="1">
        <v>34000</v>
      </c>
      <c r="OY49" s="1">
        <v>1</v>
      </c>
      <c r="OZ49" s="1">
        <v>0</v>
      </c>
      <c r="PA49" s="1">
        <v>30</v>
      </c>
      <c r="PB49" s="1">
        <v>60003760</v>
      </c>
      <c r="PC49" s="1">
        <v>32767</v>
      </c>
      <c r="PD49" s="1">
        <v>0</v>
      </c>
      <c r="PF49" s="1">
        <v>2746538898</v>
      </c>
      <c r="PG49" s="1">
        <v>16670</v>
      </c>
      <c r="PH49" s="1">
        <v>10000000</v>
      </c>
      <c r="PI49" s="1">
        <v>10000000</v>
      </c>
      <c r="PJ49" s="1">
        <v>149.93</v>
      </c>
      <c r="PK49" s="1">
        <v>1</v>
      </c>
      <c r="PL49" s="1">
        <v>0</v>
      </c>
      <c r="PM49" s="1">
        <v>30</v>
      </c>
      <c r="PN49" s="1">
        <v>60003760</v>
      </c>
      <c r="PO49" s="1">
        <v>32767</v>
      </c>
      <c r="PP49" s="1">
        <v>7</v>
      </c>
      <c r="PR49" s="1">
        <v>2763933740</v>
      </c>
      <c r="PS49" s="1">
        <v>10222</v>
      </c>
      <c r="PT49" s="1">
        <v>1</v>
      </c>
      <c r="PU49" s="1">
        <v>1</v>
      </c>
      <c r="PV49" s="1">
        <v>91201000</v>
      </c>
      <c r="PW49" s="1">
        <v>1</v>
      </c>
      <c r="PX49" s="1">
        <v>1</v>
      </c>
      <c r="PY49" s="1">
        <v>90</v>
      </c>
      <c r="PZ49" s="1">
        <v>60003760</v>
      </c>
      <c r="QA49" s="1">
        <v>0</v>
      </c>
      <c r="QB49" s="1">
        <v>0</v>
      </c>
      <c r="QD49" s="1">
        <v>2876228354</v>
      </c>
      <c r="QE49" s="1">
        <v>9830</v>
      </c>
      <c r="QF49" s="1">
        <v>47505</v>
      </c>
      <c r="QG49" s="1">
        <v>26116</v>
      </c>
      <c r="QH49" s="1">
        <v>7645</v>
      </c>
      <c r="QI49" s="1">
        <v>1</v>
      </c>
      <c r="QJ49" s="1">
        <v>0</v>
      </c>
      <c r="QK49" s="1">
        <v>3</v>
      </c>
      <c r="QL49" s="1">
        <v>60003760</v>
      </c>
      <c r="QM49" s="1">
        <v>32767</v>
      </c>
      <c r="QN49" s="1">
        <v>0</v>
      </c>
      <c r="QP49" s="1">
        <v>2874549646</v>
      </c>
      <c r="QQ49" s="1">
        <v>16671</v>
      </c>
      <c r="QR49" s="1">
        <v>1000000</v>
      </c>
      <c r="QS49" s="1">
        <v>943199</v>
      </c>
      <c r="QT49" s="1">
        <v>105.87</v>
      </c>
      <c r="QU49" s="1">
        <v>1</v>
      </c>
      <c r="QV49" s="1">
        <v>0</v>
      </c>
      <c r="QW49" s="1">
        <v>90</v>
      </c>
      <c r="QX49" s="1">
        <v>60003760</v>
      </c>
      <c r="QY49" s="1">
        <v>32767</v>
      </c>
      <c r="QZ49" s="1">
        <v>7</v>
      </c>
      <c r="RB49" s="1">
        <v>2877281340</v>
      </c>
      <c r="RC49" s="1">
        <v>16682</v>
      </c>
      <c r="RD49" s="1">
        <v>196500</v>
      </c>
      <c r="RE49" s="1">
        <v>196500</v>
      </c>
      <c r="RF49" s="1">
        <v>3350.96</v>
      </c>
      <c r="RG49" s="1">
        <v>1</v>
      </c>
      <c r="RH49" s="1">
        <v>0</v>
      </c>
      <c r="RI49" s="1">
        <v>90</v>
      </c>
      <c r="RJ49" s="1">
        <v>60003760</v>
      </c>
      <c r="RK49" s="1">
        <v>32767</v>
      </c>
      <c r="RL49" s="1">
        <v>8</v>
      </c>
      <c r="RN49" s="1">
        <v>2771737450</v>
      </c>
      <c r="RO49" s="1">
        <v>16678</v>
      </c>
      <c r="RP49" s="1">
        <v>535788</v>
      </c>
      <c r="RQ49" s="1">
        <v>535788</v>
      </c>
      <c r="RR49" s="1">
        <v>185.09</v>
      </c>
      <c r="RS49" s="1">
        <v>1</v>
      </c>
      <c r="RT49" s="1">
        <v>1</v>
      </c>
      <c r="RU49" s="1">
        <v>90</v>
      </c>
      <c r="RV49" s="1">
        <v>60003760</v>
      </c>
      <c r="RW49" s="1">
        <v>-1</v>
      </c>
      <c r="RX49" s="1">
        <v>0</v>
      </c>
      <c r="RZ49" s="1">
        <v>2878611545</v>
      </c>
      <c r="SA49" s="1">
        <v>30310</v>
      </c>
      <c r="SB49" s="1">
        <v>520</v>
      </c>
      <c r="SC49" s="1">
        <v>520</v>
      </c>
      <c r="SD49" s="1">
        <v>1288599.6200000001</v>
      </c>
      <c r="SE49" s="1">
        <v>1</v>
      </c>
      <c r="SF49" s="1">
        <v>0</v>
      </c>
      <c r="SG49" s="1">
        <v>90</v>
      </c>
      <c r="SH49" s="1">
        <v>60003760</v>
      </c>
      <c r="SI49" s="1">
        <v>32767</v>
      </c>
      <c r="SJ49" s="1">
        <v>0</v>
      </c>
      <c r="SL49" s="1">
        <v>2878864856</v>
      </c>
      <c r="SM49" s="1">
        <v>30311</v>
      </c>
      <c r="SN49" s="1">
        <v>10</v>
      </c>
      <c r="SO49" s="1">
        <v>10</v>
      </c>
      <c r="SP49" s="1">
        <v>3127999.89</v>
      </c>
      <c r="SQ49" s="1">
        <v>1</v>
      </c>
      <c r="SR49" s="1">
        <v>0</v>
      </c>
      <c r="SS49" s="1">
        <v>30</v>
      </c>
      <c r="ST49" s="1">
        <v>60003760</v>
      </c>
      <c r="SU49" s="1">
        <v>32767</v>
      </c>
      <c r="SV49" s="1">
        <v>0</v>
      </c>
      <c r="SX49" s="1">
        <v>2796798480</v>
      </c>
      <c r="SY49" s="1">
        <v>25595</v>
      </c>
      <c r="SZ49" s="1">
        <v>1016</v>
      </c>
      <c r="TA49" s="1">
        <v>1016</v>
      </c>
      <c r="TB49" s="1">
        <v>110000</v>
      </c>
      <c r="TC49" s="1">
        <v>1</v>
      </c>
      <c r="TD49" s="1">
        <v>0</v>
      </c>
      <c r="TE49" s="1">
        <v>90</v>
      </c>
      <c r="TF49" s="1">
        <v>60003760</v>
      </c>
      <c r="TG49" s="1">
        <v>32767</v>
      </c>
      <c r="TH49" s="1">
        <v>6</v>
      </c>
      <c r="TJ49" s="1">
        <v>2862288421</v>
      </c>
      <c r="TK49" s="1">
        <v>25606</v>
      </c>
      <c r="TL49" s="1">
        <v>23</v>
      </c>
      <c r="TM49" s="1">
        <v>23</v>
      </c>
      <c r="TN49" s="1">
        <v>25189.9</v>
      </c>
      <c r="TO49" s="1">
        <v>1</v>
      </c>
      <c r="TP49" s="1">
        <v>0</v>
      </c>
      <c r="TQ49" s="1">
        <v>14</v>
      </c>
      <c r="TR49" s="1">
        <v>60003760</v>
      </c>
      <c r="TS49" s="1">
        <v>32767</v>
      </c>
      <c r="TT49" s="1">
        <v>0</v>
      </c>
      <c r="TV49" s="1">
        <v>2878867332</v>
      </c>
      <c r="TW49" s="1">
        <v>25622</v>
      </c>
      <c r="TX49" s="1">
        <v>5</v>
      </c>
      <c r="TY49" s="1">
        <v>5</v>
      </c>
      <c r="TZ49" s="1">
        <v>14449000.02</v>
      </c>
      <c r="UA49" s="1">
        <v>1</v>
      </c>
      <c r="UB49" s="1">
        <v>0</v>
      </c>
      <c r="UC49" s="1">
        <v>90</v>
      </c>
      <c r="UD49" s="1">
        <v>60003760</v>
      </c>
      <c r="UE49" s="1">
        <v>32767</v>
      </c>
      <c r="UF49" s="1">
        <v>0</v>
      </c>
      <c r="UH49" s="1">
        <v>2868841746</v>
      </c>
      <c r="UI49" s="1">
        <v>16680</v>
      </c>
      <c r="UJ49" s="1">
        <v>2877600</v>
      </c>
      <c r="UK49" s="1">
        <v>2067138</v>
      </c>
      <c r="UL49" s="1">
        <v>702.67</v>
      </c>
      <c r="UM49" s="1">
        <v>1</v>
      </c>
      <c r="UN49" s="1">
        <v>0</v>
      </c>
      <c r="UO49" s="1">
        <v>90</v>
      </c>
      <c r="UP49" s="1">
        <v>60003760</v>
      </c>
      <c r="UQ49" s="1">
        <v>32767</v>
      </c>
      <c r="UR49" s="1">
        <v>6</v>
      </c>
      <c r="UT49" s="1">
        <v>2873229895</v>
      </c>
      <c r="UU49" s="1">
        <v>17317</v>
      </c>
      <c r="UV49" s="1">
        <v>260</v>
      </c>
      <c r="UW49" s="1">
        <v>260</v>
      </c>
      <c r="UX49" s="1">
        <v>26105.08</v>
      </c>
      <c r="UY49" s="1">
        <v>1</v>
      </c>
      <c r="UZ49" s="1">
        <v>1</v>
      </c>
      <c r="VA49" s="1">
        <v>90</v>
      </c>
      <c r="VB49" s="1">
        <v>60003760</v>
      </c>
      <c r="VC49" s="1">
        <v>-1</v>
      </c>
      <c r="VD49" s="1">
        <v>0</v>
      </c>
      <c r="VF49"/>
      <c r="VG49"/>
      <c r="VH49"/>
      <c r="VI49"/>
      <c r="VJ49"/>
      <c r="VK49"/>
      <c r="VL49"/>
      <c r="VM49"/>
      <c r="VN49"/>
      <c r="VO49"/>
      <c r="VP49"/>
    </row>
    <row r="50" spans="2:588" x14ac:dyDescent="0.25">
      <c r="B50" s="1">
        <v>2840685217</v>
      </c>
      <c r="C50" s="1">
        <v>34</v>
      </c>
      <c r="D50" s="1">
        <v>1274825</v>
      </c>
      <c r="E50" s="1">
        <v>234070</v>
      </c>
      <c r="F50" s="1">
        <v>5.93</v>
      </c>
      <c r="G50" s="1">
        <v>1</v>
      </c>
      <c r="H50" s="1">
        <v>0</v>
      </c>
      <c r="I50" s="1">
        <v>90</v>
      </c>
      <c r="J50" s="1">
        <v>60014659</v>
      </c>
      <c r="K50" s="1">
        <v>32767</v>
      </c>
      <c r="L50" s="1">
        <v>3</v>
      </c>
      <c r="N50" s="1">
        <v>2838054540</v>
      </c>
      <c r="O50" s="1">
        <v>35</v>
      </c>
      <c r="P50" s="1">
        <v>4781086</v>
      </c>
      <c r="Q50" s="1">
        <v>4781086</v>
      </c>
      <c r="R50" s="1">
        <v>15.69</v>
      </c>
      <c r="S50" s="1">
        <v>1</v>
      </c>
      <c r="T50" s="1">
        <v>0</v>
      </c>
      <c r="U50" s="1">
        <v>90</v>
      </c>
      <c r="V50" s="1">
        <v>60003760</v>
      </c>
      <c r="W50" s="1">
        <v>32767</v>
      </c>
      <c r="X50" s="1">
        <v>0</v>
      </c>
      <c r="Z50" s="1">
        <v>2753462886</v>
      </c>
      <c r="AA50" s="1">
        <v>36</v>
      </c>
      <c r="AB50" s="1">
        <v>2501593</v>
      </c>
      <c r="AC50" s="1">
        <v>2501593</v>
      </c>
      <c r="AD50" s="16">
        <v>60</v>
      </c>
      <c r="AE50" s="1">
        <v>1</v>
      </c>
      <c r="AF50" s="1">
        <v>0</v>
      </c>
      <c r="AG50" s="1">
        <v>90</v>
      </c>
      <c r="AH50" s="1">
        <v>60003760</v>
      </c>
      <c r="AI50" s="1">
        <v>32767</v>
      </c>
      <c r="AJ50" s="1">
        <v>11</v>
      </c>
      <c r="AL50" s="1">
        <v>2783142279</v>
      </c>
      <c r="AM50" s="1">
        <v>37</v>
      </c>
      <c r="AN50" s="1">
        <v>14431</v>
      </c>
      <c r="AO50" s="1">
        <v>14431</v>
      </c>
      <c r="AP50" s="16">
        <v>190.38</v>
      </c>
      <c r="AQ50" s="1">
        <v>1</v>
      </c>
      <c r="AR50" s="1">
        <v>0</v>
      </c>
      <c r="AS50" s="1">
        <v>90</v>
      </c>
      <c r="AT50" s="1">
        <v>60003760</v>
      </c>
      <c r="AU50" s="1">
        <v>32767</v>
      </c>
      <c r="AV50" s="1">
        <v>9</v>
      </c>
      <c r="AX50" s="1">
        <v>2878273850</v>
      </c>
      <c r="AY50" s="1">
        <v>38</v>
      </c>
      <c r="AZ50" s="1">
        <v>2194653</v>
      </c>
      <c r="BA50" s="1">
        <v>2194653</v>
      </c>
      <c r="BB50" s="1">
        <v>819.77</v>
      </c>
      <c r="BC50" s="1">
        <v>1</v>
      </c>
      <c r="BD50" s="1">
        <v>0</v>
      </c>
      <c r="BE50" s="1">
        <v>90</v>
      </c>
      <c r="BF50" s="1">
        <v>60003760</v>
      </c>
      <c r="BG50" s="1">
        <v>32767</v>
      </c>
      <c r="BH50" s="1">
        <v>5</v>
      </c>
      <c r="BJ50" s="1">
        <v>2862289732</v>
      </c>
      <c r="BK50" s="1">
        <v>39</v>
      </c>
      <c r="BL50" s="1">
        <v>300000</v>
      </c>
      <c r="BM50" s="1">
        <v>300000</v>
      </c>
      <c r="BN50" s="1">
        <v>822.05</v>
      </c>
      <c r="BO50" s="1">
        <v>1</v>
      </c>
      <c r="BP50" s="1">
        <v>0</v>
      </c>
      <c r="BQ50" s="1">
        <v>90</v>
      </c>
      <c r="BR50" s="1">
        <v>60003760</v>
      </c>
      <c r="BS50" s="1">
        <v>32767</v>
      </c>
      <c r="BT50" s="1">
        <v>5</v>
      </c>
      <c r="BV50" s="1">
        <v>2391485283</v>
      </c>
      <c r="BW50" s="1">
        <v>40</v>
      </c>
      <c r="BX50" s="1">
        <v>4993</v>
      </c>
      <c r="BY50" s="1">
        <v>4993</v>
      </c>
      <c r="BZ50" s="1">
        <v>2869.33</v>
      </c>
      <c r="CA50" s="1">
        <v>1</v>
      </c>
      <c r="CB50" s="1">
        <v>0</v>
      </c>
      <c r="CC50" s="1">
        <v>90</v>
      </c>
      <c r="CD50" s="1">
        <v>60003760</v>
      </c>
      <c r="CE50" s="1">
        <v>32767</v>
      </c>
      <c r="CF50" s="1">
        <v>13</v>
      </c>
      <c r="CH50" s="1">
        <v>2347979127</v>
      </c>
      <c r="CI50" s="1">
        <v>29668</v>
      </c>
      <c r="CJ50" s="1">
        <v>2</v>
      </c>
      <c r="CK50" s="1">
        <v>2</v>
      </c>
      <c r="CL50" s="1">
        <v>595598997</v>
      </c>
      <c r="CM50" s="1">
        <v>1</v>
      </c>
      <c r="CN50" s="1">
        <v>0</v>
      </c>
      <c r="CO50" s="1">
        <v>90</v>
      </c>
      <c r="CP50" s="1">
        <v>60003760</v>
      </c>
      <c r="CQ50" s="1">
        <v>32767</v>
      </c>
      <c r="CR50" s="1">
        <v>0</v>
      </c>
      <c r="CT50" s="1">
        <v>2413286648</v>
      </c>
      <c r="CU50" s="1">
        <v>16649</v>
      </c>
      <c r="CV50" s="1">
        <v>20000</v>
      </c>
      <c r="CW50" s="1">
        <v>19119</v>
      </c>
      <c r="CX50" s="1">
        <v>98005.2</v>
      </c>
      <c r="CY50" s="1">
        <v>1</v>
      </c>
      <c r="CZ50" s="1">
        <v>1</v>
      </c>
      <c r="DA50" s="1">
        <v>7</v>
      </c>
      <c r="DB50" s="1">
        <v>60003760</v>
      </c>
      <c r="DC50" s="1">
        <v>-1</v>
      </c>
      <c r="DD50" s="1">
        <v>0</v>
      </c>
      <c r="DF50" s="1">
        <v>2405675502</v>
      </c>
      <c r="DG50" s="1">
        <v>17887</v>
      </c>
      <c r="DH50" s="1">
        <v>136181</v>
      </c>
      <c r="DI50" s="1">
        <v>136181</v>
      </c>
      <c r="DJ50" s="1">
        <v>1250</v>
      </c>
      <c r="DK50" s="1">
        <v>1</v>
      </c>
      <c r="DL50" s="1">
        <v>0</v>
      </c>
      <c r="DM50" s="1">
        <v>30</v>
      </c>
      <c r="DN50" s="1">
        <v>60003760</v>
      </c>
      <c r="DO50" s="1">
        <v>32767</v>
      </c>
      <c r="DP50" s="1">
        <v>0</v>
      </c>
      <c r="DR50" s="1">
        <v>2863396375</v>
      </c>
      <c r="DS50" s="1">
        <v>17888</v>
      </c>
      <c r="DT50" s="1">
        <v>173700</v>
      </c>
      <c r="DU50" s="1">
        <v>700</v>
      </c>
      <c r="DV50" s="1">
        <v>341</v>
      </c>
      <c r="DW50" s="1">
        <v>1</v>
      </c>
      <c r="DX50" s="1">
        <v>0</v>
      </c>
      <c r="DY50" s="1">
        <v>90</v>
      </c>
      <c r="DZ50" s="1">
        <v>60004360</v>
      </c>
      <c r="EA50" s="1">
        <v>32767</v>
      </c>
      <c r="EB50" s="1">
        <v>11</v>
      </c>
      <c r="ED50" s="1">
        <v>2878277880</v>
      </c>
      <c r="EE50" s="1">
        <v>16273</v>
      </c>
      <c r="EF50" s="1">
        <v>1875100</v>
      </c>
      <c r="EG50" s="1">
        <v>1571236</v>
      </c>
      <c r="EH50" s="1">
        <v>371.78</v>
      </c>
      <c r="EI50" s="1">
        <v>1</v>
      </c>
      <c r="EJ50" s="1">
        <v>0</v>
      </c>
      <c r="EK50" s="1">
        <v>90</v>
      </c>
      <c r="EL50" s="1">
        <v>60003760</v>
      </c>
      <c r="EM50" s="1">
        <v>32767</v>
      </c>
      <c r="EN50" s="1">
        <v>6</v>
      </c>
      <c r="EP50" s="1">
        <v>2848946588</v>
      </c>
      <c r="EQ50" s="1">
        <v>17889</v>
      </c>
      <c r="ER50" s="1">
        <v>409839</v>
      </c>
      <c r="ES50" s="1">
        <v>242887</v>
      </c>
      <c r="ET50" s="1">
        <v>468.97</v>
      </c>
      <c r="EU50" s="1">
        <v>1</v>
      </c>
      <c r="EV50" s="1">
        <v>0</v>
      </c>
      <c r="EW50" s="1">
        <v>90</v>
      </c>
      <c r="EX50" s="1">
        <v>60004081</v>
      </c>
      <c r="EY50" s="1">
        <v>32767</v>
      </c>
      <c r="EZ50" s="1">
        <v>4</v>
      </c>
      <c r="FB50" s="1">
        <v>2876913263</v>
      </c>
      <c r="FC50" s="1">
        <v>30259</v>
      </c>
      <c r="FD50" s="1">
        <v>21</v>
      </c>
      <c r="FE50" s="1">
        <v>21</v>
      </c>
      <c r="FF50" s="1">
        <v>5842489.9699999997</v>
      </c>
      <c r="FG50" s="1">
        <v>1</v>
      </c>
      <c r="FH50" s="1">
        <v>0</v>
      </c>
      <c r="FI50" s="1">
        <v>90</v>
      </c>
      <c r="FJ50" s="1">
        <v>60003760</v>
      </c>
      <c r="FK50" s="1">
        <v>32767</v>
      </c>
      <c r="FL50" s="1">
        <v>0</v>
      </c>
      <c r="FN50" s="1">
        <v>2878870548</v>
      </c>
      <c r="FO50" s="1">
        <v>25617</v>
      </c>
      <c r="FP50" s="1">
        <v>29</v>
      </c>
      <c r="FQ50" s="1">
        <v>29</v>
      </c>
      <c r="FR50" s="1">
        <v>5098009.01</v>
      </c>
      <c r="FS50" s="1">
        <v>1</v>
      </c>
      <c r="FT50" s="1">
        <v>0</v>
      </c>
      <c r="FU50" s="1">
        <v>30</v>
      </c>
      <c r="FV50" s="1">
        <v>60003760</v>
      </c>
      <c r="FW50" s="1">
        <v>32767</v>
      </c>
      <c r="FX50" s="1">
        <v>0</v>
      </c>
      <c r="FZ50" s="1">
        <v>2871945947</v>
      </c>
      <c r="GA50" s="1">
        <v>44</v>
      </c>
      <c r="GB50" s="1">
        <v>3000</v>
      </c>
      <c r="GC50" s="1">
        <v>3000</v>
      </c>
      <c r="GD50" s="1">
        <v>12775.99</v>
      </c>
      <c r="GE50" s="1">
        <v>1</v>
      </c>
      <c r="GF50" s="1">
        <v>0</v>
      </c>
      <c r="GG50" s="1">
        <v>3</v>
      </c>
      <c r="GH50" s="1">
        <v>60003760</v>
      </c>
      <c r="GI50" s="1">
        <v>32767</v>
      </c>
      <c r="GJ50" s="1">
        <v>4</v>
      </c>
      <c r="GL50" s="1">
        <v>2413754446</v>
      </c>
      <c r="GM50" s="1">
        <v>16681</v>
      </c>
      <c r="GN50" s="1">
        <v>200000</v>
      </c>
      <c r="GO50" s="1">
        <v>200000</v>
      </c>
      <c r="GP50" s="1">
        <v>5950</v>
      </c>
      <c r="GQ50" s="1">
        <v>1</v>
      </c>
      <c r="GR50" s="1">
        <v>1</v>
      </c>
      <c r="GS50" s="1">
        <v>1</v>
      </c>
      <c r="GT50" s="1">
        <v>60003760</v>
      </c>
      <c r="GU50" s="1">
        <v>-1</v>
      </c>
      <c r="GV50" s="1">
        <v>0</v>
      </c>
      <c r="GX50" s="1">
        <v>2878345313</v>
      </c>
      <c r="GY50" s="1">
        <v>16683</v>
      </c>
      <c r="GZ50" s="1">
        <v>22400</v>
      </c>
      <c r="HA50" s="1">
        <v>22400</v>
      </c>
      <c r="HB50" s="1">
        <v>8602.86</v>
      </c>
      <c r="HC50" s="1">
        <v>1</v>
      </c>
      <c r="HD50" s="1">
        <v>0</v>
      </c>
      <c r="HE50" s="1">
        <v>7</v>
      </c>
      <c r="HF50" s="1">
        <v>60003760</v>
      </c>
      <c r="HG50" s="1">
        <v>32767</v>
      </c>
      <c r="HH50" s="1">
        <v>0</v>
      </c>
      <c r="HJ50"/>
      <c r="HK50"/>
      <c r="HL50"/>
      <c r="HM50"/>
      <c r="HN50"/>
      <c r="HO50"/>
      <c r="HP50"/>
      <c r="HQ50"/>
      <c r="HR50"/>
      <c r="HS50"/>
      <c r="HT50"/>
      <c r="HV50" s="1">
        <v>2873190755</v>
      </c>
      <c r="HW50" s="1">
        <v>16274</v>
      </c>
      <c r="HX50" s="1">
        <v>3011400</v>
      </c>
      <c r="HY50" s="1">
        <v>3011400</v>
      </c>
      <c r="HZ50" s="1">
        <v>374.67</v>
      </c>
      <c r="IA50" s="1">
        <v>1</v>
      </c>
      <c r="IB50" s="1">
        <v>0</v>
      </c>
      <c r="IC50" s="1">
        <v>90</v>
      </c>
      <c r="ID50" s="1">
        <v>60003760</v>
      </c>
      <c r="IE50" s="1">
        <v>32767</v>
      </c>
      <c r="IF50" s="1">
        <v>2</v>
      </c>
      <c r="IH50" s="1">
        <v>2878167711</v>
      </c>
      <c r="II50" s="1">
        <v>10213</v>
      </c>
      <c r="IJ50" s="1">
        <v>2</v>
      </c>
      <c r="IK50" s="1">
        <v>2</v>
      </c>
      <c r="IL50" s="1">
        <v>110001046.72</v>
      </c>
      <c r="IM50" s="1">
        <v>1</v>
      </c>
      <c r="IN50" s="1">
        <v>1</v>
      </c>
      <c r="IO50" s="1">
        <v>14</v>
      </c>
      <c r="IP50" s="1">
        <v>60003760</v>
      </c>
      <c r="IQ50" s="1">
        <v>0</v>
      </c>
      <c r="IR50" s="1">
        <v>0</v>
      </c>
      <c r="IT50" s="1">
        <v>2542340025</v>
      </c>
      <c r="IU50" s="1">
        <v>16679</v>
      </c>
      <c r="IV50" s="1">
        <v>250000</v>
      </c>
      <c r="IW50" s="1">
        <v>250000</v>
      </c>
      <c r="IX50" s="1">
        <v>4042</v>
      </c>
      <c r="IY50" s="1">
        <v>1</v>
      </c>
      <c r="IZ50" s="1">
        <v>0</v>
      </c>
      <c r="JA50" s="1">
        <v>90</v>
      </c>
      <c r="JB50" s="1">
        <v>60003760</v>
      </c>
      <c r="JC50" s="1">
        <v>32767</v>
      </c>
      <c r="JD50" s="1">
        <v>0</v>
      </c>
      <c r="JF50" s="1">
        <v>2874518402</v>
      </c>
      <c r="JG50" s="1">
        <v>16272</v>
      </c>
      <c r="JH50" s="1">
        <v>2000000</v>
      </c>
      <c r="JI50" s="1">
        <v>2000000</v>
      </c>
      <c r="JJ50" s="1">
        <v>79.86</v>
      </c>
      <c r="JK50" s="1">
        <v>1</v>
      </c>
      <c r="JL50" s="1">
        <v>0</v>
      </c>
      <c r="JM50" s="1">
        <v>90</v>
      </c>
      <c r="JN50" s="1">
        <v>60003760</v>
      </c>
      <c r="JO50" s="1">
        <v>32767</v>
      </c>
      <c r="JP50" s="1">
        <v>6</v>
      </c>
      <c r="JR50" s="1">
        <v>2660327599</v>
      </c>
      <c r="JS50" s="1">
        <v>10226</v>
      </c>
      <c r="JT50" s="1">
        <v>3</v>
      </c>
      <c r="JU50" s="1">
        <v>1</v>
      </c>
      <c r="JV50" s="1">
        <v>97800001</v>
      </c>
      <c r="JW50" s="1">
        <v>1</v>
      </c>
      <c r="JX50" s="1">
        <v>1</v>
      </c>
      <c r="JY50" s="1">
        <v>90</v>
      </c>
      <c r="JZ50" s="1">
        <v>60003754</v>
      </c>
      <c r="KA50" s="1">
        <v>20</v>
      </c>
      <c r="KB50" s="1">
        <v>0</v>
      </c>
      <c r="KD50" s="1">
        <v>2873573169</v>
      </c>
      <c r="KE50" s="1">
        <v>25605</v>
      </c>
      <c r="KF50" s="1">
        <v>14</v>
      </c>
      <c r="KG50" s="1">
        <v>14</v>
      </c>
      <c r="KH50" s="1">
        <v>111950.99</v>
      </c>
      <c r="KI50" s="1">
        <v>1</v>
      </c>
      <c r="KJ50" s="1">
        <v>0</v>
      </c>
      <c r="KK50" s="1">
        <v>30</v>
      </c>
      <c r="KL50" s="1">
        <v>60003760</v>
      </c>
      <c r="KM50" s="1">
        <v>32767</v>
      </c>
      <c r="KN50" s="1">
        <v>6</v>
      </c>
      <c r="KP50" s="1">
        <v>2873164592</v>
      </c>
      <c r="KQ50" s="1">
        <v>25624</v>
      </c>
      <c r="KR50" s="1">
        <v>23</v>
      </c>
      <c r="KS50" s="1">
        <v>15</v>
      </c>
      <c r="KT50" s="1">
        <v>18700000</v>
      </c>
      <c r="KU50" s="1">
        <v>1</v>
      </c>
      <c r="KV50" s="1">
        <v>0</v>
      </c>
      <c r="KW50" s="1">
        <v>90</v>
      </c>
      <c r="KX50" s="1">
        <v>60003760</v>
      </c>
      <c r="KY50" s="1">
        <v>32767</v>
      </c>
      <c r="KZ50" s="1">
        <v>1</v>
      </c>
      <c r="LB50" s="1">
        <v>2838893117</v>
      </c>
      <c r="LC50" s="1">
        <v>9832</v>
      </c>
      <c r="LD50" s="1">
        <v>10766</v>
      </c>
      <c r="LE50" s="1">
        <v>10766</v>
      </c>
      <c r="LF50" s="1">
        <v>9842.9500000000007</v>
      </c>
      <c r="LG50" s="1">
        <v>1</v>
      </c>
      <c r="LH50" s="1">
        <v>0</v>
      </c>
      <c r="LI50" s="1">
        <v>90</v>
      </c>
      <c r="LJ50" s="1">
        <v>60003760</v>
      </c>
      <c r="LK50" s="1">
        <v>32767</v>
      </c>
      <c r="LL50" s="1">
        <v>0</v>
      </c>
      <c r="LN50" s="1">
        <v>2876869043</v>
      </c>
      <c r="LO50" s="1">
        <v>10209</v>
      </c>
      <c r="LP50" s="1">
        <v>15</v>
      </c>
      <c r="LQ50" s="1">
        <v>15</v>
      </c>
      <c r="LR50" s="1">
        <v>109804000</v>
      </c>
      <c r="LS50" s="1">
        <v>1</v>
      </c>
      <c r="LT50" s="1">
        <v>1</v>
      </c>
      <c r="LU50" s="1">
        <v>90</v>
      </c>
      <c r="LV50" s="1">
        <v>60003760</v>
      </c>
      <c r="LW50" s="1">
        <v>-1</v>
      </c>
      <c r="LX50" s="1">
        <v>0</v>
      </c>
      <c r="LZ50" s="1">
        <v>2872819157</v>
      </c>
      <c r="MA50" s="1">
        <v>10217</v>
      </c>
      <c r="MB50" s="1">
        <v>1</v>
      </c>
      <c r="MC50" s="1">
        <v>1</v>
      </c>
      <c r="MD50" s="1">
        <v>113277003.29000001</v>
      </c>
      <c r="ME50" s="1">
        <v>1</v>
      </c>
      <c r="MF50" s="1">
        <v>1</v>
      </c>
      <c r="MG50" s="1">
        <v>90</v>
      </c>
      <c r="MH50" s="1">
        <v>60003760</v>
      </c>
      <c r="MI50" s="1">
        <v>-1</v>
      </c>
      <c r="MJ50" s="1">
        <v>0</v>
      </c>
      <c r="ML50" s="1">
        <v>2817925403</v>
      </c>
      <c r="MM50" s="1">
        <v>25625</v>
      </c>
      <c r="MN50" s="1">
        <v>44</v>
      </c>
      <c r="MO50" s="1">
        <v>42</v>
      </c>
      <c r="MP50" s="1">
        <v>3512000.01</v>
      </c>
      <c r="MQ50" s="1">
        <v>1</v>
      </c>
      <c r="MR50" s="1">
        <v>1</v>
      </c>
      <c r="MS50" s="1">
        <v>90</v>
      </c>
      <c r="MT50" s="1">
        <v>60003760</v>
      </c>
      <c r="MU50" s="1">
        <v>-1</v>
      </c>
      <c r="MV50" s="1">
        <v>0</v>
      </c>
      <c r="MX50" s="1">
        <v>2875772495</v>
      </c>
      <c r="MY50" s="1">
        <v>16672</v>
      </c>
      <c r="MZ50" s="1">
        <v>430000</v>
      </c>
      <c r="NA50" s="1">
        <v>430000</v>
      </c>
      <c r="NB50" s="1">
        <v>129.6</v>
      </c>
      <c r="NC50" s="1">
        <v>1</v>
      </c>
      <c r="ND50" s="1">
        <v>0</v>
      </c>
      <c r="NE50" s="1">
        <v>90</v>
      </c>
      <c r="NF50" s="1">
        <v>60003760</v>
      </c>
      <c r="NG50" s="1">
        <v>32767</v>
      </c>
      <c r="NH50" s="1">
        <v>0</v>
      </c>
      <c r="NJ50" s="1">
        <v>2726659719</v>
      </c>
      <c r="NK50" s="1">
        <v>16673</v>
      </c>
      <c r="NL50" s="1">
        <v>4932260</v>
      </c>
      <c r="NM50" s="1">
        <v>4932260</v>
      </c>
      <c r="NN50" s="1">
        <v>178.97</v>
      </c>
      <c r="NO50" s="1">
        <v>1</v>
      </c>
      <c r="NP50" s="1">
        <v>0</v>
      </c>
      <c r="NQ50" s="1">
        <v>90</v>
      </c>
      <c r="NR50" s="1">
        <v>60003760</v>
      </c>
      <c r="NS50" s="1">
        <v>32767</v>
      </c>
      <c r="NT50" s="1">
        <v>6</v>
      </c>
      <c r="NV50" s="1">
        <v>2856078682</v>
      </c>
      <c r="NW50" s="1">
        <v>3689</v>
      </c>
      <c r="NX50" s="1">
        <v>39337</v>
      </c>
      <c r="NY50" s="1">
        <v>13964</v>
      </c>
      <c r="NZ50" s="1">
        <v>11080</v>
      </c>
      <c r="OA50" s="1">
        <v>1</v>
      </c>
      <c r="OB50" s="1">
        <v>0</v>
      </c>
      <c r="OC50" s="1">
        <v>30</v>
      </c>
      <c r="OD50" s="1">
        <v>60003760</v>
      </c>
      <c r="OE50" s="1">
        <v>32767</v>
      </c>
      <c r="OF50" s="1">
        <v>0</v>
      </c>
      <c r="OH50" s="1">
        <v>2837470732</v>
      </c>
      <c r="OI50" s="1">
        <v>25598</v>
      </c>
      <c r="OJ50" s="1">
        <v>45000</v>
      </c>
      <c r="OK50" s="1">
        <v>32814</v>
      </c>
      <c r="OL50" s="1">
        <v>155999</v>
      </c>
      <c r="OM50" s="1">
        <v>1</v>
      </c>
      <c r="ON50" s="1">
        <v>0</v>
      </c>
      <c r="OO50" s="1">
        <v>90</v>
      </c>
      <c r="OP50" s="1">
        <v>60003760</v>
      </c>
      <c r="OQ50" s="1">
        <v>32767</v>
      </c>
      <c r="OR50" s="1">
        <v>0</v>
      </c>
      <c r="OT50" s="1">
        <v>2843305021</v>
      </c>
      <c r="OU50" s="1">
        <v>25600</v>
      </c>
      <c r="OV50" s="1">
        <v>78</v>
      </c>
      <c r="OW50" s="1">
        <v>78</v>
      </c>
      <c r="OX50" s="1">
        <v>32187.81</v>
      </c>
      <c r="OY50" s="1">
        <v>1</v>
      </c>
      <c r="OZ50" s="1">
        <v>0</v>
      </c>
      <c r="PA50" s="1">
        <v>90</v>
      </c>
      <c r="PB50" s="1">
        <v>60003760</v>
      </c>
      <c r="PC50" s="1">
        <v>32767</v>
      </c>
      <c r="PD50" s="1">
        <v>0</v>
      </c>
      <c r="PF50" s="1">
        <v>2749538405</v>
      </c>
      <c r="PG50" s="1">
        <v>16670</v>
      </c>
      <c r="PH50" s="1">
        <v>5000000</v>
      </c>
      <c r="PI50" s="1">
        <v>5000000</v>
      </c>
      <c r="PJ50" s="1">
        <v>144.85</v>
      </c>
      <c r="PK50" s="1">
        <v>1</v>
      </c>
      <c r="PL50" s="1">
        <v>0</v>
      </c>
      <c r="PM50" s="1">
        <v>90</v>
      </c>
      <c r="PN50" s="1">
        <v>60003760</v>
      </c>
      <c r="PO50" s="1">
        <v>32767</v>
      </c>
      <c r="PP50" s="1">
        <v>7</v>
      </c>
      <c r="PR50" s="1">
        <v>2770663979</v>
      </c>
      <c r="PS50" s="1">
        <v>10222</v>
      </c>
      <c r="PT50" s="1">
        <v>5</v>
      </c>
      <c r="PU50" s="1">
        <v>5</v>
      </c>
      <c r="PV50" s="1">
        <v>96000000.560000002</v>
      </c>
      <c r="PW50" s="1">
        <v>1</v>
      </c>
      <c r="PX50" s="1">
        <v>1</v>
      </c>
      <c r="PY50" s="1">
        <v>90</v>
      </c>
      <c r="PZ50" s="1">
        <v>60003760</v>
      </c>
      <c r="QA50" s="1">
        <v>-1</v>
      </c>
      <c r="QB50" s="1">
        <v>0</v>
      </c>
      <c r="QD50" s="1">
        <v>2877460188</v>
      </c>
      <c r="QE50" s="1">
        <v>9830</v>
      </c>
      <c r="QF50" s="1">
        <v>9290</v>
      </c>
      <c r="QG50" s="1">
        <v>9290</v>
      </c>
      <c r="QH50" s="1">
        <v>7598.97</v>
      </c>
      <c r="QI50" s="1">
        <v>1</v>
      </c>
      <c r="QJ50" s="1">
        <v>0</v>
      </c>
      <c r="QK50" s="1">
        <v>30</v>
      </c>
      <c r="QL50" s="1">
        <v>60003760</v>
      </c>
      <c r="QM50" s="1">
        <v>32767</v>
      </c>
      <c r="QN50" s="1">
        <v>0</v>
      </c>
      <c r="QP50" s="1">
        <v>2874377133</v>
      </c>
      <c r="QQ50" s="1">
        <v>16671</v>
      </c>
      <c r="QR50" s="1">
        <v>1000000</v>
      </c>
      <c r="QS50" s="1">
        <v>760200</v>
      </c>
      <c r="QT50" s="1">
        <v>105.92</v>
      </c>
      <c r="QU50" s="1">
        <v>1</v>
      </c>
      <c r="QV50" s="1">
        <v>0</v>
      </c>
      <c r="QW50" s="1">
        <v>90</v>
      </c>
      <c r="QX50" s="1">
        <v>60003760</v>
      </c>
      <c r="QY50" s="1">
        <v>32767</v>
      </c>
      <c r="QZ50" s="1">
        <v>7</v>
      </c>
      <c r="RB50" s="1">
        <v>2769384129</v>
      </c>
      <c r="RC50" s="1">
        <v>16682</v>
      </c>
      <c r="RD50" s="1">
        <v>30947</v>
      </c>
      <c r="RE50" s="1">
        <v>29947</v>
      </c>
      <c r="RF50" s="1">
        <v>3750</v>
      </c>
      <c r="RG50" s="1">
        <v>1</v>
      </c>
      <c r="RH50" s="1">
        <v>0</v>
      </c>
      <c r="RI50" s="1">
        <v>90</v>
      </c>
      <c r="RJ50" s="1">
        <v>60002737</v>
      </c>
      <c r="RK50" s="1">
        <v>32767</v>
      </c>
      <c r="RL50" s="1">
        <v>8</v>
      </c>
      <c r="RN50" s="1">
        <v>2772011951</v>
      </c>
      <c r="RO50" s="1">
        <v>16678</v>
      </c>
      <c r="RP50" s="1">
        <v>100000</v>
      </c>
      <c r="RQ50" s="1">
        <v>100000</v>
      </c>
      <c r="RR50" s="1">
        <v>215.7</v>
      </c>
      <c r="RS50" s="1">
        <v>1</v>
      </c>
      <c r="RT50" s="1">
        <v>1</v>
      </c>
      <c r="RU50" s="1">
        <v>90</v>
      </c>
      <c r="RV50" s="1">
        <v>60003760</v>
      </c>
      <c r="RW50" s="1">
        <v>-1</v>
      </c>
      <c r="RX50" s="1">
        <v>0</v>
      </c>
      <c r="RZ50" s="1">
        <v>2878957415</v>
      </c>
      <c r="SA50" s="1">
        <v>30310</v>
      </c>
      <c r="SB50" s="1">
        <v>130</v>
      </c>
      <c r="SC50" s="1">
        <v>130</v>
      </c>
      <c r="SD50" s="1">
        <v>1288599.6000000001</v>
      </c>
      <c r="SE50" s="1">
        <v>1</v>
      </c>
      <c r="SF50" s="1">
        <v>0</v>
      </c>
      <c r="SG50" s="1">
        <v>90</v>
      </c>
      <c r="SH50" s="1">
        <v>60003760</v>
      </c>
      <c r="SI50" s="1">
        <v>32767</v>
      </c>
      <c r="SJ50" s="1">
        <v>0</v>
      </c>
      <c r="SL50" s="1">
        <v>2878172295</v>
      </c>
      <c r="SM50" s="1">
        <v>30311</v>
      </c>
      <c r="SN50" s="1">
        <v>154</v>
      </c>
      <c r="SO50" s="1">
        <v>154</v>
      </c>
      <c r="SP50" s="1">
        <v>3127999.88</v>
      </c>
      <c r="SQ50" s="1">
        <v>1</v>
      </c>
      <c r="SR50" s="1">
        <v>0</v>
      </c>
      <c r="SS50" s="1">
        <v>3</v>
      </c>
      <c r="ST50" s="1">
        <v>60003760</v>
      </c>
      <c r="SU50" s="1">
        <v>32767</v>
      </c>
      <c r="SV50" s="1">
        <v>0</v>
      </c>
      <c r="SX50" s="1">
        <v>2797158230</v>
      </c>
      <c r="SY50" s="1">
        <v>25595</v>
      </c>
      <c r="SZ50" s="1">
        <v>1627</v>
      </c>
      <c r="TA50" s="1">
        <v>1627</v>
      </c>
      <c r="TB50" s="1">
        <v>102000</v>
      </c>
      <c r="TC50" s="1">
        <v>1</v>
      </c>
      <c r="TD50" s="1">
        <v>0</v>
      </c>
      <c r="TE50" s="1">
        <v>90</v>
      </c>
      <c r="TF50" s="1">
        <v>60003760</v>
      </c>
      <c r="TG50" s="1">
        <v>32767</v>
      </c>
      <c r="TH50" s="1">
        <v>6</v>
      </c>
      <c r="TJ50" s="1">
        <v>2859251177</v>
      </c>
      <c r="TK50" s="1">
        <v>25606</v>
      </c>
      <c r="TL50" s="1">
        <v>10911</v>
      </c>
      <c r="TM50" s="1">
        <v>5582</v>
      </c>
      <c r="TN50" s="1">
        <v>25189.94</v>
      </c>
      <c r="TO50" s="1">
        <v>1</v>
      </c>
      <c r="TP50" s="1">
        <v>0</v>
      </c>
      <c r="TQ50" s="1">
        <v>90</v>
      </c>
      <c r="TR50" s="1">
        <v>60003760</v>
      </c>
      <c r="TS50" s="1">
        <v>32767</v>
      </c>
      <c r="TT50" s="1">
        <v>0</v>
      </c>
      <c r="TV50" s="1">
        <v>2878420428</v>
      </c>
      <c r="TW50" s="1">
        <v>25622</v>
      </c>
      <c r="TX50" s="1">
        <v>123</v>
      </c>
      <c r="TY50" s="1">
        <v>108</v>
      </c>
      <c r="TZ50" s="1">
        <v>14449000</v>
      </c>
      <c r="UA50" s="1">
        <v>1</v>
      </c>
      <c r="UB50" s="1">
        <v>0</v>
      </c>
      <c r="UC50" s="1">
        <v>30</v>
      </c>
      <c r="UD50" s="1">
        <v>60003760</v>
      </c>
      <c r="UE50" s="1">
        <v>32767</v>
      </c>
      <c r="UF50" s="1">
        <v>0</v>
      </c>
      <c r="UH50" s="1">
        <v>2875607225</v>
      </c>
      <c r="UI50" s="1">
        <v>16680</v>
      </c>
      <c r="UJ50" s="1">
        <v>969523</v>
      </c>
      <c r="UK50" s="1">
        <v>969523</v>
      </c>
      <c r="UL50" s="1">
        <v>702.66</v>
      </c>
      <c r="UM50" s="1">
        <v>1</v>
      </c>
      <c r="UN50" s="1">
        <v>0</v>
      </c>
      <c r="UO50" s="1">
        <v>90</v>
      </c>
      <c r="UP50" s="1">
        <v>60003760</v>
      </c>
      <c r="UQ50" s="1">
        <v>32767</v>
      </c>
      <c r="UR50" s="1">
        <v>6</v>
      </c>
      <c r="UT50" s="1">
        <v>2874730114</v>
      </c>
      <c r="UU50" s="1">
        <v>17317</v>
      </c>
      <c r="UV50" s="1">
        <v>30</v>
      </c>
      <c r="UW50" s="1">
        <v>30</v>
      </c>
      <c r="UX50" s="1">
        <v>27100</v>
      </c>
      <c r="UY50" s="1">
        <v>1</v>
      </c>
      <c r="UZ50" s="1">
        <v>1</v>
      </c>
      <c r="VA50" s="1">
        <v>7</v>
      </c>
      <c r="VB50" s="1">
        <v>60003760</v>
      </c>
      <c r="VC50" s="1">
        <v>-1</v>
      </c>
      <c r="VD50" s="1">
        <v>0</v>
      </c>
      <c r="VF50"/>
      <c r="VG50"/>
      <c r="VH50"/>
      <c r="VI50"/>
      <c r="VJ50"/>
      <c r="VK50"/>
      <c r="VL50"/>
      <c r="VM50"/>
      <c r="VN50"/>
      <c r="VO50"/>
      <c r="VP50"/>
    </row>
    <row r="51" spans="2:588" x14ac:dyDescent="0.25">
      <c r="B51" s="1">
        <v>2867265594</v>
      </c>
      <c r="C51" s="1">
        <v>34</v>
      </c>
      <c r="D51" s="1">
        <v>11902</v>
      </c>
      <c r="E51" s="1">
        <v>11902</v>
      </c>
      <c r="F51" s="1">
        <v>5.8</v>
      </c>
      <c r="G51" s="1">
        <v>1</v>
      </c>
      <c r="H51" s="1">
        <v>0</v>
      </c>
      <c r="I51" s="1">
        <v>90</v>
      </c>
      <c r="J51" s="1">
        <v>60014659</v>
      </c>
      <c r="K51" s="1">
        <v>32767</v>
      </c>
      <c r="L51" s="1">
        <v>3</v>
      </c>
      <c r="N51" s="1">
        <v>2837149340</v>
      </c>
      <c r="O51" s="1">
        <v>35</v>
      </c>
      <c r="P51" s="1">
        <v>21966606</v>
      </c>
      <c r="Q51" s="1">
        <v>21966606</v>
      </c>
      <c r="R51" s="1">
        <v>15.85</v>
      </c>
      <c r="S51" s="1">
        <v>1</v>
      </c>
      <c r="T51" s="1">
        <v>0</v>
      </c>
      <c r="U51" s="1">
        <v>90</v>
      </c>
      <c r="V51" s="1">
        <v>60003760</v>
      </c>
      <c r="W51" s="1">
        <v>32767</v>
      </c>
      <c r="X51" s="1">
        <v>0</v>
      </c>
      <c r="Z51" s="1">
        <v>2754216262</v>
      </c>
      <c r="AA51" s="1">
        <v>36</v>
      </c>
      <c r="AB51" s="1">
        <v>165654</v>
      </c>
      <c r="AC51" s="1">
        <v>165654</v>
      </c>
      <c r="AD51" s="16">
        <v>62</v>
      </c>
      <c r="AE51" s="1">
        <v>1</v>
      </c>
      <c r="AF51" s="1">
        <v>0</v>
      </c>
      <c r="AG51" s="1">
        <v>90</v>
      </c>
      <c r="AH51" s="1">
        <v>60003760</v>
      </c>
      <c r="AI51" s="1">
        <v>32767</v>
      </c>
      <c r="AJ51" s="1">
        <v>11</v>
      </c>
      <c r="AL51" s="1">
        <v>2836736275</v>
      </c>
      <c r="AM51" s="1">
        <v>37</v>
      </c>
      <c r="AN51" s="1">
        <v>454794</v>
      </c>
      <c r="AO51" s="1">
        <v>454794</v>
      </c>
      <c r="AP51" s="16">
        <v>153.16999999999999</v>
      </c>
      <c r="AQ51" s="1">
        <v>1</v>
      </c>
      <c r="AR51" s="1">
        <v>0</v>
      </c>
      <c r="AS51" s="1">
        <v>90</v>
      </c>
      <c r="AT51" s="1">
        <v>60003760</v>
      </c>
      <c r="AU51" s="1">
        <v>32767</v>
      </c>
      <c r="AV51" s="1">
        <v>9</v>
      </c>
      <c r="AX51" s="1">
        <v>2878279947</v>
      </c>
      <c r="AY51" s="1">
        <v>38</v>
      </c>
      <c r="AZ51" s="1">
        <v>138698</v>
      </c>
      <c r="BA51" s="1">
        <v>138698</v>
      </c>
      <c r="BB51" s="1">
        <v>818.03</v>
      </c>
      <c r="BC51" s="1">
        <v>1</v>
      </c>
      <c r="BD51" s="1">
        <v>0</v>
      </c>
      <c r="BE51" s="1">
        <v>30</v>
      </c>
      <c r="BF51" s="1">
        <v>60003760</v>
      </c>
      <c r="BG51" s="1">
        <v>32767</v>
      </c>
      <c r="BH51" s="1">
        <v>5</v>
      </c>
      <c r="BJ51" s="1">
        <v>2858858306</v>
      </c>
      <c r="BK51" s="1">
        <v>39</v>
      </c>
      <c r="BL51" s="1">
        <v>416888</v>
      </c>
      <c r="BM51" s="1">
        <v>416888</v>
      </c>
      <c r="BN51" s="1">
        <v>854.91</v>
      </c>
      <c r="BO51" s="1">
        <v>1</v>
      </c>
      <c r="BP51" s="1">
        <v>0</v>
      </c>
      <c r="BQ51" s="1">
        <v>90</v>
      </c>
      <c r="BR51" s="1">
        <v>60003760</v>
      </c>
      <c r="BS51" s="1">
        <v>32767</v>
      </c>
      <c r="BT51" s="1">
        <v>5</v>
      </c>
      <c r="BV51" s="1">
        <v>2391022350</v>
      </c>
      <c r="BW51" s="1">
        <v>40</v>
      </c>
      <c r="BX51" s="1">
        <v>39002</v>
      </c>
      <c r="BY51" s="1">
        <v>39002</v>
      </c>
      <c r="BZ51" s="1">
        <v>2870</v>
      </c>
      <c r="CA51" s="1">
        <v>1</v>
      </c>
      <c r="CB51" s="1">
        <v>0</v>
      </c>
      <c r="CC51" s="1">
        <v>90</v>
      </c>
      <c r="CD51" s="1">
        <v>60003760</v>
      </c>
      <c r="CE51" s="1">
        <v>32767</v>
      </c>
      <c r="CF51" s="1">
        <v>13</v>
      </c>
      <c r="CH51" s="1">
        <v>2349021347</v>
      </c>
      <c r="CI51" s="1">
        <v>29668</v>
      </c>
      <c r="CJ51" s="1">
        <v>1</v>
      </c>
      <c r="CK51" s="1">
        <v>1</v>
      </c>
      <c r="CL51" s="1">
        <v>512923000.99000001</v>
      </c>
      <c r="CM51" s="1">
        <v>1</v>
      </c>
      <c r="CN51" s="1">
        <v>0</v>
      </c>
      <c r="CO51" s="1">
        <v>90</v>
      </c>
      <c r="CP51" s="1">
        <v>60003760</v>
      </c>
      <c r="CQ51" s="1">
        <v>32767</v>
      </c>
      <c r="CR51" s="1">
        <v>0</v>
      </c>
      <c r="CT51" s="1">
        <v>2413158242</v>
      </c>
      <c r="CU51" s="1">
        <v>16649</v>
      </c>
      <c r="CV51" s="1">
        <v>10000</v>
      </c>
      <c r="CW51" s="1">
        <v>10000</v>
      </c>
      <c r="CX51" s="1">
        <v>98003</v>
      </c>
      <c r="CY51" s="1">
        <v>1</v>
      </c>
      <c r="CZ51" s="1">
        <v>1</v>
      </c>
      <c r="DA51" s="1">
        <v>30</v>
      </c>
      <c r="DB51" s="1">
        <v>60003760</v>
      </c>
      <c r="DC51" s="1">
        <v>-1</v>
      </c>
      <c r="DD51" s="1">
        <v>0</v>
      </c>
      <c r="DF51" s="1">
        <v>2400177049</v>
      </c>
      <c r="DG51" s="1">
        <v>17887</v>
      </c>
      <c r="DH51" s="1">
        <v>7424055</v>
      </c>
      <c r="DI51" s="1">
        <v>247575</v>
      </c>
      <c r="DJ51" s="1">
        <v>1017.99</v>
      </c>
      <c r="DK51" s="1">
        <v>1</v>
      </c>
      <c r="DL51" s="1">
        <v>0</v>
      </c>
      <c r="DM51" s="1">
        <v>90</v>
      </c>
      <c r="DN51" s="1">
        <v>60003760</v>
      </c>
      <c r="DO51" s="1">
        <v>32767</v>
      </c>
      <c r="DP51" s="1">
        <v>0</v>
      </c>
      <c r="DR51" s="1">
        <v>2866457199</v>
      </c>
      <c r="DS51" s="1">
        <v>17888</v>
      </c>
      <c r="DT51" s="1">
        <v>173000</v>
      </c>
      <c r="DU51" s="1">
        <v>173000</v>
      </c>
      <c r="DV51" s="1">
        <v>340</v>
      </c>
      <c r="DW51" s="1">
        <v>1</v>
      </c>
      <c r="DX51" s="1">
        <v>0</v>
      </c>
      <c r="DY51" s="1">
        <v>90</v>
      </c>
      <c r="DZ51" s="1">
        <v>60004360</v>
      </c>
      <c r="EA51" s="1">
        <v>32767</v>
      </c>
      <c r="EB51" s="1">
        <v>11</v>
      </c>
      <c r="ED51" s="1">
        <v>2877854319</v>
      </c>
      <c r="EE51" s="1">
        <v>16273</v>
      </c>
      <c r="EF51" s="1">
        <v>1000000</v>
      </c>
      <c r="EG51" s="1">
        <v>1000000</v>
      </c>
      <c r="EH51" s="1">
        <v>383.5</v>
      </c>
      <c r="EI51" s="1">
        <v>1</v>
      </c>
      <c r="EJ51" s="1">
        <v>0</v>
      </c>
      <c r="EK51" s="1">
        <v>14</v>
      </c>
      <c r="EL51" s="1">
        <v>60003760</v>
      </c>
      <c r="EM51" s="1">
        <v>32767</v>
      </c>
      <c r="EN51" s="1">
        <v>6</v>
      </c>
      <c r="EP51" s="1">
        <v>2848977933</v>
      </c>
      <c r="EQ51" s="1">
        <v>17889</v>
      </c>
      <c r="ER51" s="1">
        <v>8738</v>
      </c>
      <c r="ES51" s="1">
        <v>8738</v>
      </c>
      <c r="ET51" s="1">
        <v>470</v>
      </c>
      <c r="EU51" s="1">
        <v>1</v>
      </c>
      <c r="EV51" s="1">
        <v>0</v>
      </c>
      <c r="EW51" s="1">
        <v>30</v>
      </c>
      <c r="EX51" s="1">
        <v>60000916</v>
      </c>
      <c r="EY51" s="1">
        <v>32767</v>
      </c>
      <c r="EZ51" s="1">
        <v>4</v>
      </c>
      <c r="FB51" s="1">
        <v>2877221650</v>
      </c>
      <c r="FC51" s="1">
        <v>30259</v>
      </c>
      <c r="FD51" s="1">
        <v>100</v>
      </c>
      <c r="FE51" s="1">
        <v>100</v>
      </c>
      <c r="FF51" s="1">
        <v>5806998.8700000001</v>
      </c>
      <c r="FG51" s="1">
        <v>1</v>
      </c>
      <c r="FH51" s="1">
        <v>0</v>
      </c>
      <c r="FI51" s="1">
        <v>90</v>
      </c>
      <c r="FJ51" s="1">
        <v>60003760</v>
      </c>
      <c r="FK51" s="1">
        <v>32767</v>
      </c>
      <c r="FL51" s="1">
        <v>0</v>
      </c>
      <c r="FN51" s="1">
        <v>2878921933</v>
      </c>
      <c r="FO51" s="1">
        <v>25617</v>
      </c>
      <c r="FP51" s="1">
        <v>48</v>
      </c>
      <c r="FQ51" s="1">
        <v>36</v>
      </c>
      <c r="FR51" s="1">
        <v>5098008.9800000004</v>
      </c>
      <c r="FS51" s="1">
        <v>1</v>
      </c>
      <c r="FT51" s="1">
        <v>0</v>
      </c>
      <c r="FU51" s="1">
        <v>90</v>
      </c>
      <c r="FV51" s="1">
        <v>60003760</v>
      </c>
      <c r="FW51" s="1">
        <v>32767</v>
      </c>
      <c r="FX51" s="1">
        <v>0</v>
      </c>
      <c r="FZ51" s="1">
        <v>2871964110</v>
      </c>
      <c r="GA51" s="1">
        <v>44</v>
      </c>
      <c r="GB51" s="1">
        <v>2000</v>
      </c>
      <c r="GC51" s="1">
        <v>2000</v>
      </c>
      <c r="GD51" s="1">
        <v>13099.83</v>
      </c>
      <c r="GE51" s="1">
        <v>1</v>
      </c>
      <c r="GF51" s="1">
        <v>0</v>
      </c>
      <c r="GG51" s="1">
        <v>90</v>
      </c>
      <c r="GH51" s="1">
        <v>60003760</v>
      </c>
      <c r="GI51" s="1">
        <v>32767</v>
      </c>
      <c r="GJ51" s="1">
        <v>4</v>
      </c>
      <c r="GL51" s="1">
        <v>2413987396</v>
      </c>
      <c r="GM51" s="1">
        <v>16681</v>
      </c>
      <c r="GN51" s="1">
        <v>1000</v>
      </c>
      <c r="GO51" s="1">
        <v>1000</v>
      </c>
      <c r="GP51" s="1">
        <v>4982</v>
      </c>
      <c r="GQ51" s="1">
        <v>1</v>
      </c>
      <c r="GR51" s="1">
        <v>1</v>
      </c>
      <c r="GS51" s="1">
        <v>7</v>
      </c>
      <c r="GT51" s="1">
        <v>60003760</v>
      </c>
      <c r="GU51" s="1">
        <v>-1</v>
      </c>
      <c r="GV51" s="1">
        <v>0</v>
      </c>
      <c r="GX51" s="1">
        <v>2816580572</v>
      </c>
      <c r="GY51" s="1">
        <v>16683</v>
      </c>
      <c r="GZ51" s="1">
        <v>30000</v>
      </c>
      <c r="HA51" s="1">
        <v>9378</v>
      </c>
      <c r="HB51" s="1">
        <v>8600</v>
      </c>
      <c r="HC51" s="1">
        <v>1</v>
      </c>
      <c r="HD51" s="1">
        <v>1</v>
      </c>
      <c r="HE51" s="1">
        <v>90</v>
      </c>
      <c r="HF51" s="1">
        <v>60004234</v>
      </c>
      <c r="HG51" s="1">
        <v>-1</v>
      </c>
      <c r="HH51" s="1">
        <v>0</v>
      </c>
      <c r="HJ51"/>
      <c r="HK51"/>
      <c r="HL51"/>
      <c r="HM51"/>
      <c r="HN51"/>
      <c r="HO51"/>
      <c r="HP51"/>
      <c r="HQ51"/>
      <c r="HR51"/>
      <c r="HS51"/>
      <c r="HT51"/>
      <c r="HV51" s="1">
        <v>2781695227</v>
      </c>
      <c r="HW51" s="1">
        <v>16274</v>
      </c>
      <c r="HX51" s="1">
        <v>216469</v>
      </c>
      <c r="HY51" s="1">
        <v>141469</v>
      </c>
      <c r="HZ51" s="1">
        <v>599</v>
      </c>
      <c r="IA51" s="1">
        <v>1</v>
      </c>
      <c r="IB51" s="1">
        <v>0</v>
      </c>
      <c r="IC51" s="1">
        <v>90</v>
      </c>
      <c r="ID51" s="1">
        <v>60010192</v>
      </c>
      <c r="IE51" s="1">
        <v>32767</v>
      </c>
      <c r="IF51" s="1">
        <v>7</v>
      </c>
      <c r="IH51" s="1">
        <v>2879074137</v>
      </c>
      <c r="II51" s="1">
        <v>10213</v>
      </c>
      <c r="IJ51" s="1">
        <v>2</v>
      </c>
      <c r="IK51" s="1">
        <v>2</v>
      </c>
      <c r="IL51" s="1">
        <v>113556500.08</v>
      </c>
      <c r="IM51" s="1">
        <v>1</v>
      </c>
      <c r="IN51" s="1">
        <v>1</v>
      </c>
      <c r="IO51" s="1">
        <v>90</v>
      </c>
      <c r="IP51" s="1">
        <v>60003760</v>
      </c>
      <c r="IQ51" s="1">
        <v>-1</v>
      </c>
      <c r="IR51" s="1">
        <v>0</v>
      </c>
      <c r="IT51" s="1">
        <v>2624010601</v>
      </c>
      <c r="IU51" s="1">
        <v>16679</v>
      </c>
      <c r="IV51" s="1">
        <v>200000</v>
      </c>
      <c r="IW51" s="1">
        <v>200000</v>
      </c>
      <c r="IX51" s="1">
        <v>2999.95</v>
      </c>
      <c r="IY51" s="1">
        <v>1</v>
      </c>
      <c r="IZ51" s="1">
        <v>0</v>
      </c>
      <c r="JA51" s="1">
        <v>90</v>
      </c>
      <c r="JB51" s="1">
        <v>60003760</v>
      </c>
      <c r="JC51" s="1">
        <v>32767</v>
      </c>
      <c r="JD51" s="1">
        <v>0</v>
      </c>
      <c r="JF51" s="1">
        <v>2874399123</v>
      </c>
      <c r="JG51" s="1">
        <v>16272</v>
      </c>
      <c r="JH51" s="1">
        <v>142800</v>
      </c>
      <c r="JI51" s="1">
        <v>142800</v>
      </c>
      <c r="JJ51" s="1">
        <v>80.2</v>
      </c>
      <c r="JK51" s="1">
        <v>1</v>
      </c>
      <c r="JL51" s="1">
        <v>0</v>
      </c>
      <c r="JM51" s="1">
        <v>90</v>
      </c>
      <c r="JN51" s="1">
        <v>60003760</v>
      </c>
      <c r="JO51" s="1">
        <v>32767</v>
      </c>
      <c r="JP51" s="1">
        <v>6</v>
      </c>
      <c r="JR51" s="1">
        <v>2860622349</v>
      </c>
      <c r="JS51" s="1">
        <v>10226</v>
      </c>
      <c r="JT51" s="1">
        <v>1</v>
      </c>
      <c r="JU51" s="1">
        <v>1</v>
      </c>
      <c r="JV51" s="1">
        <v>106000002.16</v>
      </c>
      <c r="JW51" s="1">
        <v>1</v>
      </c>
      <c r="JX51" s="1">
        <v>1</v>
      </c>
      <c r="JY51" s="1">
        <v>90</v>
      </c>
      <c r="JZ51" s="1">
        <v>60003934</v>
      </c>
      <c r="KA51" s="1">
        <v>32767</v>
      </c>
      <c r="KB51" s="1">
        <v>0</v>
      </c>
      <c r="KD51" s="1">
        <v>2872712023</v>
      </c>
      <c r="KE51" s="1">
        <v>25605</v>
      </c>
      <c r="KF51" s="1">
        <v>43100</v>
      </c>
      <c r="KG51" s="1">
        <v>3427</v>
      </c>
      <c r="KH51" s="1">
        <v>111900</v>
      </c>
      <c r="KI51" s="1">
        <v>1</v>
      </c>
      <c r="KJ51" s="1">
        <v>0</v>
      </c>
      <c r="KK51" s="1">
        <v>90</v>
      </c>
      <c r="KL51" s="1">
        <v>60003760</v>
      </c>
      <c r="KM51" s="1">
        <v>32767</v>
      </c>
      <c r="KN51" s="1">
        <v>6</v>
      </c>
      <c r="KP51" s="1">
        <v>2873387939</v>
      </c>
      <c r="KQ51" s="1">
        <v>25624</v>
      </c>
      <c r="KR51" s="1">
        <v>65</v>
      </c>
      <c r="KS51" s="1">
        <v>65</v>
      </c>
      <c r="KT51" s="1">
        <v>18500000</v>
      </c>
      <c r="KU51" s="1">
        <v>1</v>
      </c>
      <c r="KV51" s="1">
        <v>0</v>
      </c>
      <c r="KW51" s="1">
        <v>14</v>
      </c>
      <c r="KX51" s="1">
        <v>60003760</v>
      </c>
      <c r="KY51" s="1">
        <v>32767</v>
      </c>
      <c r="KZ51" s="1">
        <v>1</v>
      </c>
      <c r="LB51" s="1">
        <v>2839093508</v>
      </c>
      <c r="LC51" s="1">
        <v>9832</v>
      </c>
      <c r="LD51" s="1">
        <v>835</v>
      </c>
      <c r="LE51" s="1">
        <v>612</v>
      </c>
      <c r="LF51" s="1">
        <v>9842.93</v>
      </c>
      <c r="LG51" s="1">
        <v>1</v>
      </c>
      <c r="LH51" s="1">
        <v>0</v>
      </c>
      <c r="LI51" s="1">
        <v>90</v>
      </c>
      <c r="LJ51" s="1">
        <v>60003760</v>
      </c>
      <c r="LK51" s="1">
        <v>32767</v>
      </c>
      <c r="LL51" s="1">
        <v>0</v>
      </c>
      <c r="LN51" s="1">
        <v>2876819959</v>
      </c>
      <c r="LO51" s="1">
        <v>10209</v>
      </c>
      <c r="LP51" s="1">
        <v>20</v>
      </c>
      <c r="LQ51" s="1">
        <v>20</v>
      </c>
      <c r="LR51" s="1">
        <v>109603001</v>
      </c>
      <c r="LS51" s="1">
        <v>1</v>
      </c>
      <c r="LT51" s="1">
        <v>1</v>
      </c>
      <c r="LU51" s="1">
        <v>90</v>
      </c>
      <c r="LV51" s="1">
        <v>60003760</v>
      </c>
      <c r="LW51" s="1">
        <v>-1</v>
      </c>
      <c r="LX51" s="1">
        <v>0</v>
      </c>
      <c r="LZ51" s="1">
        <v>2872970566</v>
      </c>
      <c r="MA51" s="1">
        <v>10217</v>
      </c>
      <c r="MB51" s="1">
        <v>2</v>
      </c>
      <c r="MC51" s="1">
        <v>2</v>
      </c>
      <c r="MD51" s="1">
        <v>113000000</v>
      </c>
      <c r="ME51" s="1">
        <v>1</v>
      </c>
      <c r="MF51" s="1">
        <v>1</v>
      </c>
      <c r="MG51" s="1">
        <v>90</v>
      </c>
      <c r="MH51" s="1">
        <v>60003760</v>
      </c>
      <c r="MI51" s="1">
        <v>-1</v>
      </c>
      <c r="MJ51" s="1">
        <v>0</v>
      </c>
      <c r="ML51" s="1">
        <v>2763457925</v>
      </c>
      <c r="MM51" s="1">
        <v>25625</v>
      </c>
      <c r="MN51" s="1">
        <v>1000</v>
      </c>
      <c r="MO51" s="1">
        <v>999</v>
      </c>
      <c r="MP51" s="1">
        <v>512000.08</v>
      </c>
      <c r="MQ51" s="1">
        <v>1</v>
      </c>
      <c r="MR51" s="1">
        <v>1</v>
      </c>
      <c r="MS51" s="1">
        <v>90</v>
      </c>
      <c r="MT51" s="1">
        <v>60003760</v>
      </c>
      <c r="MU51" s="1">
        <v>32767</v>
      </c>
      <c r="MV51" s="1">
        <v>0</v>
      </c>
      <c r="MX51" s="1">
        <v>2875778823</v>
      </c>
      <c r="MY51" s="1">
        <v>16672</v>
      </c>
      <c r="MZ51" s="1">
        <v>5000000</v>
      </c>
      <c r="NA51" s="1">
        <v>3365408</v>
      </c>
      <c r="NB51" s="1">
        <v>128.94</v>
      </c>
      <c r="NC51" s="1">
        <v>1</v>
      </c>
      <c r="ND51" s="1">
        <v>0</v>
      </c>
      <c r="NE51" s="1">
        <v>90</v>
      </c>
      <c r="NF51" s="1">
        <v>60003760</v>
      </c>
      <c r="NG51" s="1">
        <v>32767</v>
      </c>
      <c r="NH51" s="1">
        <v>0</v>
      </c>
      <c r="NJ51" s="1">
        <v>2689996607</v>
      </c>
      <c r="NK51" s="1">
        <v>16673</v>
      </c>
      <c r="NL51" s="1">
        <v>21000000</v>
      </c>
      <c r="NM51" s="1">
        <v>21000000</v>
      </c>
      <c r="NN51" s="1">
        <v>178</v>
      </c>
      <c r="NO51" s="1">
        <v>1</v>
      </c>
      <c r="NP51" s="1">
        <v>0</v>
      </c>
      <c r="NQ51" s="1">
        <v>90</v>
      </c>
      <c r="NR51" s="1">
        <v>60003760</v>
      </c>
      <c r="NS51" s="1">
        <v>32767</v>
      </c>
      <c r="NT51" s="1">
        <v>6</v>
      </c>
      <c r="NV51" s="1">
        <v>2856086564</v>
      </c>
      <c r="NW51" s="1">
        <v>3689</v>
      </c>
      <c r="NX51" s="1">
        <v>3455</v>
      </c>
      <c r="NY51" s="1">
        <v>3455</v>
      </c>
      <c r="NZ51" s="1">
        <v>11100</v>
      </c>
      <c r="OA51" s="1">
        <v>1</v>
      </c>
      <c r="OB51" s="1">
        <v>0</v>
      </c>
      <c r="OC51" s="1">
        <v>30</v>
      </c>
      <c r="OD51" s="1">
        <v>60003760</v>
      </c>
      <c r="OE51" s="1">
        <v>32767</v>
      </c>
      <c r="OF51" s="1">
        <v>0</v>
      </c>
      <c r="OH51" s="1">
        <v>2837804011</v>
      </c>
      <c r="OI51" s="1">
        <v>25598</v>
      </c>
      <c r="OJ51" s="1">
        <v>66</v>
      </c>
      <c r="OK51" s="1">
        <v>66</v>
      </c>
      <c r="OL51" s="1">
        <v>159000</v>
      </c>
      <c r="OM51" s="1">
        <v>1</v>
      </c>
      <c r="ON51" s="1">
        <v>0</v>
      </c>
      <c r="OO51" s="1">
        <v>90</v>
      </c>
      <c r="OP51" s="1">
        <v>60003757</v>
      </c>
      <c r="OQ51" s="1">
        <v>32767</v>
      </c>
      <c r="OR51" s="1">
        <v>0</v>
      </c>
      <c r="OT51" s="1">
        <v>2844076428</v>
      </c>
      <c r="OU51" s="1">
        <v>25600</v>
      </c>
      <c r="OV51" s="1">
        <v>4568</v>
      </c>
      <c r="OW51" s="1">
        <v>4568</v>
      </c>
      <c r="OX51" s="1">
        <v>31998.99</v>
      </c>
      <c r="OY51" s="1">
        <v>1</v>
      </c>
      <c r="OZ51" s="1">
        <v>0</v>
      </c>
      <c r="PA51" s="1">
        <v>90</v>
      </c>
      <c r="PB51" s="1">
        <v>60003760</v>
      </c>
      <c r="PC51" s="1">
        <v>32767</v>
      </c>
      <c r="PD51" s="1">
        <v>0</v>
      </c>
      <c r="PF51" s="1">
        <v>2869083686</v>
      </c>
      <c r="PG51" s="1">
        <v>16670</v>
      </c>
      <c r="PH51" s="1">
        <v>5000000</v>
      </c>
      <c r="PI51" s="1">
        <v>5000000</v>
      </c>
      <c r="PJ51" s="1">
        <v>132</v>
      </c>
      <c r="PK51" s="1">
        <v>1</v>
      </c>
      <c r="PL51" s="1">
        <v>0</v>
      </c>
      <c r="PM51" s="1">
        <v>90</v>
      </c>
      <c r="PN51" s="1">
        <v>60003760</v>
      </c>
      <c r="PO51" s="1">
        <v>32767</v>
      </c>
      <c r="PP51" s="1">
        <v>7</v>
      </c>
      <c r="PR51" s="1">
        <v>2773509706</v>
      </c>
      <c r="PS51" s="1">
        <v>10222</v>
      </c>
      <c r="PT51" s="1">
        <v>5</v>
      </c>
      <c r="PU51" s="1">
        <v>1</v>
      </c>
      <c r="PV51" s="1">
        <v>103000000</v>
      </c>
      <c r="PW51" s="1">
        <v>1</v>
      </c>
      <c r="PX51" s="1">
        <v>1</v>
      </c>
      <c r="PY51" s="1">
        <v>90</v>
      </c>
      <c r="PZ51" s="1">
        <v>60003760</v>
      </c>
      <c r="QA51" s="1">
        <v>-1</v>
      </c>
      <c r="QB51" s="1">
        <v>0</v>
      </c>
      <c r="QD51" s="1">
        <v>2877314109</v>
      </c>
      <c r="QE51" s="1">
        <v>9830</v>
      </c>
      <c r="QF51" s="1">
        <v>4555</v>
      </c>
      <c r="QG51" s="1">
        <v>4555</v>
      </c>
      <c r="QH51" s="1">
        <v>7600</v>
      </c>
      <c r="QI51" s="1">
        <v>1</v>
      </c>
      <c r="QJ51" s="1">
        <v>0</v>
      </c>
      <c r="QK51" s="1">
        <v>30</v>
      </c>
      <c r="QL51" s="1">
        <v>60003760</v>
      </c>
      <c r="QM51" s="1">
        <v>32767</v>
      </c>
      <c r="QN51" s="1">
        <v>0</v>
      </c>
      <c r="QP51" s="1">
        <v>2769350129</v>
      </c>
      <c r="QQ51" s="1">
        <v>16671</v>
      </c>
      <c r="QR51" s="1">
        <v>664080</v>
      </c>
      <c r="QS51" s="1">
        <v>175028</v>
      </c>
      <c r="QT51" s="1">
        <v>140</v>
      </c>
      <c r="QU51" s="1">
        <v>1</v>
      </c>
      <c r="QV51" s="1">
        <v>0</v>
      </c>
      <c r="QW51" s="1">
        <v>90</v>
      </c>
      <c r="QX51" s="1">
        <v>60002737</v>
      </c>
      <c r="QY51" s="1">
        <v>32767</v>
      </c>
      <c r="QZ51" s="1">
        <v>7</v>
      </c>
      <c r="RB51" s="1">
        <v>2710378699</v>
      </c>
      <c r="RC51" s="1">
        <v>16682</v>
      </c>
      <c r="RD51" s="1">
        <v>53445</v>
      </c>
      <c r="RE51" s="1">
        <v>51339</v>
      </c>
      <c r="RF51" s="1">
        <v>4500.01</v>
      </c>
      <c r="RG51" s="1">
        <v>1</v>
      </c>
      <c r="RH51" s="1">
        <v>0</v>
      </c>
      <c r="RI51" s="1">
        <v>90</v>
      </c>
      <c r="RJ51" s="1">
        <v>60004210</v>
      </c>
      <c r="RK51" s="1">
        <v>32767</v>
      </c>
      <c r="RL51" s="1">
        <v>3</v>
      </c>
      <c r="RN51" s="1">
        <v>2772092574</v>
      </c>
      <c r="RO51" s="1">
        <v>16678</v>
      </c>
      <c r="RP51" s="1">
        <v>2000000</v>
      </c>
      <c r="RQ51" s="1">
        <v>2000000</v>
      </c>
      <c r="RR51" s="1">
        <v>216.55</v>
      </c>
      <c r="RS51" s="1">
        <v>1</v>
      </c>
      <c r="RT51" s="1">
        <v>1</v>
      </c>
      <c r="RU51" s="1">
        <v>90</v>
      </c>
      <c r="RV51" s="1">
        <v>60003760</v>
      </c>
      <c r="RW51" s="1">
        <v>-1</v>
      </c>
      <c r="RX51" s="1">
        <v>0</v>
      </c>
      <c r="RZ51" s="1">
        <v>2878611674</v>
      </c>
      <c r="SA51" s="1">
        <v>30310</v>
      </c>
      <c r="SB51" s="1">
        <v>520</v>
      </c>
      <c r="SC51" s="1">
        <v>460</v>
      </c>
      <c r="SD51" s="1">
        <v>1288599.5900000001</v>
      </c>
      <c r="SE51" s="1">
        <v>1</v>
      </c>
      <c r="SF51" s="1">
        <v>0</v>
      </c>
      <c r="SG51" s="1">
        <v>90</v>
      </c>
      <c r="SH51" s="1">
        <v>60003760</v>
      </c>
      <c r="SI51" s="1">
        <v>32767</v>
      </c>
      <c r="SJ51" s="1">
        <v>0</v>
      </c>
      <c r="SL51" s="1">
        <v>2877675404</v>
      </c>
      <c r="SM51" s="1">
        <v>30311</v>
      </c>
      <c r="SN51" s="1">
        <v>30</v>
      </c>
      <c r="SO51" s="1">
        <v>30</v>
      </c>
      <c r="SP51" s="1">
        <v>3127001.97</v>
      </c>
      <c r="SQ51" s="1">
        <v>1</v>
      </c>
      <c r="SR51" s="1">
        <v>0</v>
      </c>
      <c r="SS51" s="1">
        <v>14</v>
      </c>
      <c r="ST51" s="1">
        <v>60003760</v>
      </c>
      <c r="SU51" s="1">
        <v>32767</v>
      </c>
      <c r="SV51" s="1">
        <v>0</v>
      </c>
      <c r="SX51" s="1">
        <v>2837106976</v>
      </c>
      <c r="SY51" s="1">
        <v>25595</v>
      </c>
      <c r="SZ51" s="1">
        <v>2</v>
      </c>
      <c r="TA51" s="1">
        <v>2</v>
      </c>
      <c r="TB51" s="1">
        <v>94001</v>
      </c>
      <c r="TC51" s="1">
        <v>1</v>
      </c>
      <c r="TD51" s="1">
        <v>0</v>
      </c>
      <c r="TE51" s="1">
        <v>30</v>
      </c>
      <c r="TF51" s="1">
        <v>60003760</v>
      </c>
      <c r="TG51" s="1">
        <v>32767</v>
      </c>
      <c r="TH51" s="1">
        <v>6</v>
      </c>
      <c r="TJ51" s="1">
        <v>2858929186</v>
      </c>
      <c r="TK51" s="1">
        <v>25606</v>
      </c>
      <c r="TL51" s="1">
        <v>173</v>
      </c>
      <c r="TM51" s="1">
        <v>173</v>
      </c>
      <c r="TN51" s="1">
        <v>25199.93</v>
      </c>
      <c r="TO51" s="1">
        <v>1</v>
      </c>
      <c r="TP51" s="1">
        <v>0</v>
      </c>
      <c r="TQ51" s="1">
        <v>90</v>
      </c>
      <c r="TR51" s="1">
        <v>60003760</v>
      </c>
      <c r="TS51" s="1">
        <v>32767</v>
      </c>
      <c r="TT51" s="1">
        <v>0</v>
      </c>
      <c r="TV51" s="1">
        <v>2879016389</v>
      </c>
      <c r="TW51" s="1">
        <v>25622</v>
      </c>
      <c r="TX51" s="1">
        <v>29</v>
      </c>
      <c r="TY51" s="1">
        <v>23</v>
      </c>
      <c r="TZ51" s="1">
        <v>14400000</v>
      </c>
      <c r="UA51" s="1">
        <v>1</v>
      </c>
      <c r="UB51" s="1">
        <v>0</v>
      </c>
      <c r="UC51" s="1">
        <v>90</v>
      </c>
      <c r="UD51" s="1">
        <v>60003760</v>
      </c>
      <c r="UE51" s="1">
        <v>32767</v>
      </c>
      <c r="UF51" s="1">
        <v>0</v>
      </c>
      <c r="UH51" s="1">
        <v>2878984819</v>
      </c>
      <c r="UI51" s="1">
        <v>16680</v>
      </c>
      <c r="UJ51" s="1">
        <v>40</v>
      </c>
      <c r="UK51" s="1">
        <v>40</v>
      </c>
      <c r="UL51" s="1">
        <v>702</v>
      </c>
      <c r="UM51" s="1">
        <v>1</v>
      </c>
      <c r="UN51" s="1">
        <v>0</v>
      </c>
      <c r="UO51" s="1">
        <v>3</v>
      </c>
      <c r="UP51" s="1">
        <v>60003073</v>
      </c>
      <c r="UQ51" s="1">
        <v>32767</v>
      </c>
      <c r="UR51" s="1">
        <v>0</v>
      </c>
      <c r="UT51" s="1">
        <v>2874649621</v>
      </c>
      <c r="UU51" s="1">
        <v>17317</v>
      </c>
      <c r="UV51" s="1">
        <v>12700</v>
      </c>
      <c r="UW51" s="1">
        <v>12700</v>
      </c>
      <c r="UX51" s="1">
        <v>26250</v>
      </c>
      <c r="UY51" s="1">
        <v>1</v>
      </c>
      <c r="UZ51" s="1">
        <v>1</v>
      </c>
      <c r="VA51" s="1">
        <v>90</v>
      </c>
      <c r="VB51" s="1">
        <v>60003760</v>
      </c>
      <c r="VC51" s="1">
        <v>-1</v>
      </c>
      <c r="VD51" s="1">
        <v>0</v>
      </c>
      <c r="VF51"/>
      <c r="VG51"/>
      <c r="VH51"/>
      <c r="VI51"/>
      <c r="VJ51"/>
      <c r="VK51"/>
      <c r="VL51"/>
      <c r="VM51"/>
      <c r="VN51"/>
      <c r="VO51"/>
      <c r="VP51"/>
    </row>
    <row r="52" spans="2:588" x14ac:dyDescent="0.25">
      <c r="B52" s="1">
        <v>2867732926</v>
      </c>
      <c r="C52" s="1">
        <v>34</v>
      </c>
      <c r="D52" s="1">
        <v>3504422</v>
      </c>
      <c r="E52" s="1">
        <v>91232</v>
      </c>
      <c r="F52" s="1">
        <v>5.77</v>
      </c>
      <c r="G52" s="1">
        <v>1</v>
      </c>
      <c r="H52" s="1">
        <v>0</v>
      </c>
      <c r="I52" s="1">
        <v>90</v>
      </c>
      <c r="J52" s="1">
        <v>60014659</v>
      </c>
      <c r="K52" s="1">
        <v>32767</v>
      </c>
      <c r="L52" s="1">
        <v>3</v>
      </c>
      <c r="N52" s="1">
        <v>2833317845</v>
      </c>
      <c r="O52" s="1">
        <v>35</v>
      </c>
      <c r="P52" s="1">
        <v>250000</v>
      </c>
      <c r="Q52" s="1">
        <v>250000</v>
      </c>
      <c r="R52" s="1">
        <v>16.920000000000002</v>
      </c>
      <c r="S52" s="1">
        <v>1</v>
      </c>
      <c r="T52" s="1">
        <v>0</v>
      </c>
      <c r="U52" s="1">
        <v>90</v>
      </c>
      <c r="V52" s="1">
        <v>60003760</v>
      </c>
      <c r="W52" s="1">
        <v>32767</v>
      </c>
      <c r="X52" s="1">
        <v>0</v>
      </c>
      <c r="Z52" s="1">
        <v>2753981021</v>
      </c>
      <c r="AA52" s="1">
        <v>36</v>
      </c>
      <c r="AB52" s="1">
        <v>2085745</v>
      </c>
      <c r="AC52" s="1">
        <v>2085745</v>
      </c>
      <c r="AD52" s="16">
        <v>58.92</v>
      </c>
      <c r="AE52" s="1">
        <v>1</v>
      </c>
      <c r="AF52" s="1">
        <v>0</v>
      </c>
      <c r="AG52" s="1">
        <v>90</v>
      </c>
      <c r="AH52" s="1">
        <v>60003760</v>
      </c>
      <c r="AI52" s="1">
        <v>32767</v>
      </c>
      <c r="AJ52" s="1">
        <v>11</v>
      </c>
      <c r="AL52" s="1">
        <v>2829688156</v>
      </c>
      <c r="AM52" s="1">
        <v>37</v>
      </c>
      <c r="AN52" s="1">
        <v>264463</v>
      </c>
      <c r="AO52" s="1">
        <v>264463</v>
      </c>
      <c r="AP52" s="16">
        <v>154.99</v>
      </c>
      <c r="AQ52" s="1">
        <v>1</v>
      </c>
      <c r="AR52" s="1">
        <v>0</v>
      </c>
      <c r="AS52" s="1">
        <v>90</v>
      </c>
      <c r="AT52" s="1">
        <v>60003760</v>
      </c>
      <c r="AU52" s="1">
        <v>32767</v>
      </c>
      <c r="AV52" s="1">
        <v>9</v>
      </c>
      <c r="AX52" s="1">
        <v>2877846643</v>
      </c>
      <c r="AY52" s="1">
        <v>38</v>
      </c>
      <c r="AZ52" s="1">
        <v>5412654</v>
      </c>
      <c r="BA52" s="1">
        <v>3256736</v>
      </c>
      <c r="BB52" s="1">
        <v>824.84</v>
      </c>
      <c r="BC52" s="1">
        <v>1</v>
      </c>
      <c r="BD52" s="1">
        <v>0</v>
      </c>
      <c r="BE52" s="1">
        <v>90</v>
      </c>
      <c r="BF52" s="1">
        <v>60003760</v>
      </c>
      <c r="BG52" s="1">
        <v>32767</v>
      </c>
      <c r="BH52" s="1">
        <v>5</v>
      </c>
      <c r="BJ52" s="1">
        <v>2859134572</v>
      </c>
      <c r="BK52" s="1">
        <v>39</v>
      </c>
      <c r="BL52" s="1">
        <v>10230</v>
      </c>
      <c r="BM52" s="1">
        <v>10230</v>
      </c>
      <c r="BN52" s="1">
        <v>900.88</v>
      </c>
      <c r="BO52" s="1">
        <v>1</v>
      </c>
      <c r="BP52" s="1">
        <v>0</v>
      </c>
      <c r="BQ52" s="1">
        <v>90</v>
      </c>
      <c r="BR52" s="1">
        <v>60003760</v>
      </c>
      <c r="BS52" s="1">
        <v>32767</v>
      </c>
      <c r="BT52" s="1">
        <v>5</v>
      </c>
      <c r="BV52" s="1">
        <v>2391060092</v>
      </c>
      <c r="BW52" s="1">
        <v>40</v>
      </c>
      <c r="BX52" s="1">
        <v>49950</v>
      </c>
      <c r="BY52" s="1">
        <v>49831</v>
      </c>
      <c r="BZ52" s="1">
        <v>2869.77</v>
      </c>
      <c r="CA52" s="1">
        <v>1</v>
      </c>
      <c r="CB52" s="1">
        <v>0</v>
      </c>
      <c r="CC52" s="1">
        <v>90</v>
      </c>
      <c r="CD52" s="1">
        <v>60003760</v>
      </c>
      <c r="CE52" s="1">
        <v>32767</v>
      </c>
      <c r="CF52" s="1">
        <v>13</v>
      </c>
      <c r="CH52" s="1">
        <v>2348975834</v>
      </c>
      <c r="CI52" s="1">
        <v>29668</v>
      </c>
      <c r="CJ52" s="1">
        <v>3</v>
      </c>
      <c r="CK52" s="1">
        <v>3</v>
      </c>
      <c r="CL52" s="1">
        <v>518899999.99000001</v>
      </c>
      <c r="CM52" s="1">
        <v>1</v>
      </c>
      <c r="CN52" s="1">
        <v>0</v>
      </c>
      <c r="CO52" s="1">
        <v>90</v>
      </c>
      <c r="CP52" s="1">
        <v>60003760</v>
      </c>
      <c r="CQ52" s="1">
        <v>32767</v>
      </c>
      <c r="CR52" s="1">
        <v>0</v>
      </c>
      <c r="CT52" s="1">
        <v>2412249645</v>
      </c>
      <c r="CU52" s="1">
        <v>16649</v>
      </c>
      <c r="CV52" s="1">
        <v>50000</v>
      </c>
      <c r="CW52" s="1">
        <v>50000</v>
      </c>
      <c r="CX52" s="1">
        <v>97999.02</v>
      </c>
      <c r="CY52" s="1">
        <v>1</v>
      </c>
      <c r="CZ52" s="1">
        <v>1</v>
      </c>
      <c r="DA52" s="1">
        <v>90</v>
      </c>
      <c r="DB52" s="1">
        <v>60003760</v>
      </c>
      <c r="DC52" s="1">
        <v>-1</v>
      </c>
      <c r="DD52" s="1">
        <v>0</v>
      </c>
      <c r="DF52" s="1">
        <v>2400180107</v>
      </c>
      <c r="DG52" s="1">
        <v>17887</v>
      </c>
      <c r="DH52" s="1">
        <v>51070</v>
      </c>
      <c r="DI52" s="1">
        <v>21070</v>
      </c>
      <c r="DJ52" s="1">
        <v>1115.04</v>
      </c>
      <c r="DK52" s="1">
        <v>1</v>
      </c>
      <c r="DL52" s="1">
        <v>0</v>
      </c>
      <c r="DM52" s="1">
        <v>90</v>
      </c>
      <c r="DN52" s="1">
        <v>60003760</v>
      </c>
      <c r="DO52" s="1">
        <v>32767</v>
      </c>
      <c r="DP52" s="1">
        <v>0</v>
      </c>
      <c r="DR52" s="1">
        <v>2819016788</v>
      </c>
      <c r="DS52" s="1">
        <v>17888</v>
      </c>
      <c r="DT52" s="1">
        <v>614404</v>
      </c>
      <c r="DU52" s="1">
        <v>614404</v>
      </c>
      <c r="DV52" s="1">
        <v>368.98</v>
      </c>
      <c r="DW52" s="1">
        <v>1</v>
      </c>
      <c r="DX52" s="1">
        <v>0</v>
      </c>
      <c r="DY52" s="1">
        <v>90</v>
      </c>
      <c r="DZ52" s="1">
        <v>60003760</v>
      </c>
      <c r="EA52" s="1">
        <v>32767</v>
      </c>
      <c r="EB52" s="1">
        <v>8</v>
      </c>
      <c r="ED52" s="1">
        <v>2878227873</v>
      </c>
      <c r="EE52" s="1">
        <v>16273</v>
      </c>
      <c r="EF52" s="1">
        <v>341916</v>
      </c>
      <c r="EG52" s="1">
        <v>341416</v>
      </c>
      <c r="EH52" s="1">
        <v>371.86</v>
      </c>
      <c r="EI52" s="1">
        <v>1</v>
      </c>
      <c r="EJ52" s="1">
        <v>0</v>
      </c>
      <c r="EK52" s="1">
        <v>90</v>
      </c>
      <c r="EL52" s="1">
        <v>60003760</v>
      </c>
      <c r="EM52" s="1">
        <v>32767</v>
      </c>
      <c r="EN52" s="1">
        <v>6</v>
      </c>
      <c r="EP52" s="1">
        <v>2846990810</v>
      </c>
      <c r="EQ52" s="1">
        <v>17889</v>
      </c>
      <c r="ER52" s="1">
        <v>448703</v>
      </c>
      <c r="ES52" s="1">
        <v>429703</v>
      </c>
      <c r="ET52" s="1">
        <v>469</v>
      </c>
      <c r="EU52" s="1">
        <v>1</v>
      </c>
      <c r="EV52" s="1">
        <v>0</v>
      </c>
      <c r="EW52" s="1">
        <v>90</v>
      </c>
      <c r="EX52" s="1">
        <v>60004081</v>
      </c>
      <c r="EY52" s="1">
        <v>32767</v>
      </c>
      <c r="EZ52" s="1">
        <v>4</v>
      </c>
      <c r="FB52" s="1">
        <v>2877171566</v>
      </c>
      <c r="FC52" s="1">
        <v>30259</v>
      </c>
      <c r="FD52" s="1">
        <v>490</v>
      </c>
      <c r="FE52" s="1">
        <v>490</v>
      </c>
      <c r="FF52" s="1">
        <v>5825000</v>
      </c>
      <c r="FG52" s="1">
        <v>1</v>
      </c>
      <c r="FH52" s="1">
        <v>0</v>
      </c>
      <c r="FI52" s="1">
        <v>90</v>
      </c>
      <c r="FJ52" s="1">
        <v>60003760</v>
      </c>
      <c r="FK52" s="1">
        <v>32767</v>
      </c>
      <c r="FL52" s="1">
        <v>0</v>
      </c>
      <c r="FN52" s="1">
        <v>2879127933</v>
      </c>
      <c r="FO52" s="1">
        <v>25617</v>
      </c>
      <c r="FP52" s="1">
        <v>30</v>
      </c>
      <c r="FQ52" s="1">
        <v>30</v>
      </c>
      <c r="FR52" s="1">
        <v>5098008.9400000004</v>
      </c>
      <c r="FS52" s="1">
        <v>1</v>
      </c>
      <c r="FT52" s="1">
        <v>0</v>
      </c>
      <c r="FU52" s="1">
        <v>90</v>
      </c>
      <c r="FV52" s="1">
        <v>60003760</v>
      </c>
      <c r="FW52" s="1">
        <v>32767</v>
      </c>
      <c r="FX52" s="1">
        <v>0</v>
      </c>
      <c r="FZ52" s="1">
        <v>2873789878</v>
      </c>
      <c r="GA52" s="1">
        <v>44</v>
      </c>
      <c r="GB52" s="1">
        <v>10710</v>
      </c>
      <c r="GC52" s="1">
        <v>964</v>
      </c>
      <c r="GD52" s="1">
        <v>12723.3</v>
      </c>
      <c r="GE52" s="1">
        <v>1</v>
      </c>
      <c r="GF52" s="1">
        <v>0</v>
      </c>
      <c r="GG52" s="1">
        <v>90</v>
      </c>
      <c r="GH52" s="1">
        <v>60003760</v>
      </c>
      <c r="GI52" s="1">
        <v>32767</v>
      </c>
      <c r="GJ52" s="1">
        <v>4</v>
      </c>
      <c r="GL52" s="1">
        <v>2413176696</v>
      </c>
      <c r="GM52" s="1">
        <v>16681</v>
      </c>
      <c r="GN52" s="1">
        <v>160000</v>
      </c>
      <c r="GO52" s="1">
        <v>160000</v>
      </c>
      <c r="GP52" s="1">
        <v>5980.07</v>
      </c>
      <c r="GQ52" s="1">
        <v>1</v>
      </c>
      <c r="GR52" s="1">
        <v>1</v>
      </c>
      <c r="GS52" s="1">
        <v>90</v>
      </c>
      <c r="GT52" s="1">
        <v>60003760</v>
      </c>
      <c r="GU52" s="1">
        <v>-1</v>
      </c>
      <c r="GV52" s="1">
        <v>0</v>
      </c>
      <c r="GX52" s="1">
        <v>2819998390</v>
      </c>
      <c r="GY52" s="1">
        <v>16683</v>
      </c>
      <c r="GZ52" s="1">
        <v>900</v>
      </c>
      <c r="HA52" s="1">
        <v>766</v>
      </c>
      <c r="HB52" s="1">
        <v>4500.1099999999997</v>
      </c>
      <c r="HC52" s="1">
        <v>1</v>
      </c>
      <c r="HD52" s="1">
        <v>1</v>
      </c>
      <c r="HE52" s="1">
        <v>90</v>
      </c>
      <c r="HF52" s="1">
        <v>60000448</v>
      </c>
      <c r="HG52" s="1">
        <v>10</v>
      </c>
      <c r="HH52" s="1">
        <v>0</v>
      </c>
      <c r="HJ52"/>
      <c r="HK52"/>
      <c r="HL52"/>
      <c r="HM52"/>
      <c r="HN52"/>
      <c r="HO52"/>
      <c r="HP52"/>
      <c r="HQ52"/>
      <c r="HR52"/>
      <c r="HS52"/>
      <c r="HT52"/>
      <c r="HV52" s="1">
        <v>2825004237</v>
      </c>
      <c r="HW52" s="1">
        <v>16274</v>
      </c>
      <c r="HX52" s="1">
        <v>558000</v>
      </c>
      <c r="HY52" s="1">
        <v>558000</v>
      </c>
      <c r="HZ52" s="1">
        <v>450</v>
      </c>
      <c r="IA52" s="1">
        <v>1</v>
      </c>
      <c r="IB52" s="1">
        <v>0</v>
      </c>
      <c r="IC52" s="1">
        <v>90</v>
      </c>
      <c r="ID52" s="1">
        <v>60010192</v>
      </c>
      <c r="IE52" s="1">
        <v>32767</v>
      </c>
      <c r="IF52" s="1">
        <v>7</v>
      </c>
      <c r="IH52"/>
      <c r="II52"/>
      <c r="IJ52"/>
      <c r="IK52"/>
      <c r="IL52"/>
      <c r="IM52"/>
      <c r="IN52"/>
      <c r="IO52"/>
      <c r="IP52"/>
      <c r="IQ52"/>
      <c r="IR52"/>
      <c r="IT52" s="1">
        <v>2724036811</v>
      </c>
      <c r="IU52" s="1">
        <v>16679</v>
      </c>
      <c r="IV52" s="1">
        <v>1000000</v>
      </c>
      <c r="IW52" s="1">
        <v>1000000</v>
      </c>
      <c r="IX52" s="1">
        <v>3000</v>
      </c>
      <c r="IY52" s="1">
        <v>1</v>
      </c>
      <c r="IZ52" s="1">
        <v>0</v>
      </c>
      <c r="JA52" s="1">
        <v>90</v>
      </c>
      <c r="JB52" s="1">
        <v>60003760</v>
      </c>
      <c r="JC52" s="1">
        <v>32767</v>
      </c>
      <c r="JD52" s="1">
        <v>0</v>
      </c>
      <c r="JF52" s="1">
        <v>2875665266</v>
      </c>
      <c r="JG52" s="1">
        <v>16272</v>
      </c>
      <c r="JH52" s="1">
        <v>1000000</v>
      </c>
      <c r="JI52" s="1">
        <v>1000000</v>
      </c>
      <c r="JJ52" s="1">
        <v>78.349999999999994</v>
      </c>
      <c r="JK52" s="1">
        <v>1</v>
      </c>
      <c r="JL52" s="1">
        <v>0</v>
      </c>
      <c r="JM52" s="1">
        <v>90</v>
      </c>
      <c r="JN52" s="1">
        <v>60003760</v>
      </c>
      <c r="JO52" s="1">
        <v>32767</v>
      </c>
      <c r="JP52" s="1">
        <v>6</v>
      </c>
      <c r="JR52" s="1">
        <v>2861998979</v>
      </c>
      <c r="JS52" s="1">
        <v>10226</v>
      </c>
      <c r="JT52" s="1">
        <v>99</v>
      </c>
      <c r="JU52" s="1">
        <v>99</v>
      </c>
      <c r="JV52" s="1">
        <v>111100004.34999999</v>
      </c>
      <c r="JW52" s="1">
        <v>1</v>
      </c>
      <c r="JX52" s="1">
        <v>1</v>
      </c>
      <c r="JY52" s="1">
        <v>90</v>
      </c>
      <c r="JZ52" s="1">
        <v>60003760</v>
      </c>
      <c r="KA52" s="1">
        <v>-1</v>
      </c>
      <c r="KB52" s="1">
        <v>0</v>
      </c>
      <c r="KD52" s="1">
        <v>2872663766</v>
      </c>
      <c r="KE52" s="1">
        <v>25605</v>
      </c>
      <c r="KF52" s="1">
        <v>12</v>
      </c>
      <c r="KG52" s="1">
        <v>12</v>
      </c>
      <c r="KH52" s="1">
        <v>113490</v>
      </c>
      <c r="KI52" s="1">
        <v>1</v>
      </c>
      <c r="KJ52" s="1">
        <v>0</v>
      </c>
      <c r="KK52" s="1">
        <v>14</v>
      </c>
      <c r="KL52" s="1">
        <v>60003760</v>
      </c>
      <c r="KM52" s="1">
        <v>32767</v>
      </c>
      <c r="KN52" s="1">
        <v>6</v>
      </c>
      <c r="KP52" s="1">
        <v>2873323361</v>
      </c>
      <c r="KQ52" s="1">
        <v>25624</v>
      </c>
      <c r="KR52" s="1">
        <v>16</v>
      </c>
      <c r="KS52" s="1">
        <v>16</v>
      </c>
      <c r="KT52" s="1">
        <v>18599999.989999998</v>
      </c>
      <c r="KU52" s="1">
        <v>1</v>
      </c>
      <c r="KV52" s="1">
        <v>0</v>
      </c>
      <c r="KW52" s="1">
        <v>90</v>
      </c>
      <c r="KX52" s="1">
        <v>60003760</v>
      </c>
      <c r="KY52" s="1">
        <v>32767</v>
      </c>
      <c r="KZ52" s="1">
        <v>1</v>
      </c>
      <c r="LB52" s="1">
        <v>2846607833</v>
      </c>
      <c r="LC52" s="1">
        <v>9832</v>
      </c>
      <c r="LD52" s="1">
        <v>50</v>
      </c>
      <c r="LE52" s="1">
        <v>50</v>
      </c>
      <c r="LF52" s="1">
        <v>9900</v>
      </c>
      <c r="LG52" s="1">
        <v>1</v>
      </c>
      <c r="LH52" s="1">
        <v>0</v>
      </c>
      <c r="LI52" s="1">
        <v>90</v>
      </c>
      <c r="LJ52" s="1">
        <v>60003760</v>
      </c>
      <c r="LK52" s="1">
        <v>32767</v>
      </c>
      <c r="LL52" s="1">
        <v>0</v>
      </c>
      <c r="LN52" s="1">
        <v>2876508624</v>
      </c>
      <c r="LO52" s="1">
        <v>10209</v>
      </c>
      <c r="LP52" s="1">
        <v>99</v>
      </c>
      <c r="LQ52" s="1">
        <v>91</v>
      </c>
      <c r="LR52" s="1">
        <v>109605100.01000001</v>
      </c>
      <c r="LS52" s="1">
        <v>1</v>
      </c>
      <c r="LT52" s="1">
        <v>1</v>
      </c>
      <c r="LU52" s="1">
        <v>90</v>
      </c>
      <c r="LV52" s="1">
        <v>60003760</v>
      </c>
      <c r="LW52" s="1">
        <v>-1</v>
      </c>
      <c r="LX52" s="1">
        <v>0</v>
      </c>
      <c r="LZ52" s="1">
        <v>2876862927</v>
      </c>
      <c r="MA52" s="1">
        <v>10217</v>
      </c>
      <c r="MB52" s="1">
        <v>1</v>
      </c>
      <c r="MC52" s="1">
        <v>1</v>
      </c>
      <c r="MD52" s="1">
        <v>113300000.15000001</v>
      </c>
      <c r="ME52" s="1">
        <v>1</v>
      </c>
      <c r="MF52" s="1">
        <v>1</v>
      </c>
      <c r="MG52" s="1">
        <v>90</v>
      </c>
      <c r="MH52" s="1">
        <v>60003760</v>
      </c>
      <c r="MI52" s="1">
        <v>-1</v>
      </c>
      <c r="MJ52" s="1">
        <v>0</v>
      </c>
      <c r="ML52" s="1">
        <v>2781682769</v>
      </c>
      <c r="MM52" s="1">
        <v>25625</v>
      </c>
      <c r="MN52" s="1">
        <v>40</v>
      </c>
      <c r="MO52" s="1">
        <v>40</v>
      </c>
      <c r="MP52" s="1">
        <v>511000.11</v>
      </c>
      <c r="MQ52" s="1">
        <v>1</v>
      </c>
      <c r="MR52" s="1">
        <v>1</v>
      </c>
      <c r="MS52" s="1">
        <v>90</v>
      </c>
      <c r="MT52" s="1">
        <v>60003760</v>
      </c>
      <c r="MU52" s="1">
        <v>32767</v>
      </c>
      <c r="MV52" s="1">
        <v>0</v>
      </c>
      <c r="MX52" s="1">
        <v>2877622586</v>
      </c>
      <c r="MY52" s="1">
        <v>16672</v>
      </c>
      <c r="MZ52" s="1">
        <v>2070000</v>
      </c>
      <c r="NA52" s="1">
        <v>1914000</v>
      </c>
      <c r="NB52" s="1">
        <v>123.88</v>
      </c>
      <c r="NC52" s="1">
        <v>1</v>
      </c>
      <c r="ND52" s="1">
        <v>0</v>
      </c>
      <c r="NE52" s="1">
        <v>90</v>
      </c>
      <c r="NF52" s="1">
        <v>60003760</v>
      </c>
      <c r="NG52" s="1">
        <v>32767</v>
      </c>
      <c r="NH52" s="1">
        <v>0</v>
      </c>
      <c r="NJ52" s="1">
        <v>2689997076</v>
      </c>
      <c r="NK52" s="1">
        <v>16673</v>
      </c>
      <c r="NL52" s="1">
        <v>4353000</v>
      </c>
      <c r="NM52" s="1">
        <v>4353000</v>
      </c>
      <c r="NN52" s="1">
        <v>173.99</v>
      </c>
      <c r="NO52" s="1">
        <v>1</v>
      </c>
      <c r="NP52" s="1">
        <v>0</v>
      </c>
      <c r="NQ52" s="1">
        <v>90</v>
      </c>
      <c r="NR52" s="1">
        <v>60003760</v>
      </c>
      <c r="NS52" s="1">
        <v>32767</v>
      </c>
      <c r="NT52" s="1">
        <v>6</v>
      </c>
      <c r="NV52" s="1">
        <v>2854977231</v>
      </c>
      <c r="NW52" s="1">
        <v>3689</v>
      </c>
      <c r="NX52" s="1">
        <v>7545</v>
      </c>
      <c r="NY52" s="1">
        <v>7545</v>
      </c>
      <c r="NZ52" s="1">
        <v>11999.9</v>
      </c>
      <c r="OA52" s="1">
        <v>1</v>
      </c>
      <c r="OB52" s="1">
        <v>0</v>
      </c>
      <c r="OC52" s="1">
        <v>90</v>
      </c>
      <c r="OD52" s="1">
        <v>60003760</v>
      </c>
      <c r="OE52" s="1">
        <v>32767</v>
      </c>
      <c r="OF52" s="1">
        <v>0</v>
      </c>
      <c r="OH52" s="1">
        <v>2842671549</v>
      </c>
      <c r="OI52" s="1">
        <v>25598</v>
      </c>
      <c r="OJ52" s="1">
        <v>33</v>
      </c>
      <c r="OK52" s="1">
        <v>33</v>
      </c>
      <c r="OL52" s="1">
        <v>159000</v>
      </c>
      <c r="OM52" s="1">
        <v>1</v>
      </c>
      <c r="ON52" s="1">
        <v>0</v>
      </c>
      <c r="OO52" s="1">
        <v>30</v>
      </c>
      <c r="OP52" s="1">
        <v>60003760</v>
      </c>
      <c r="OQ52" s="1">
        <v>32767</v>
      </c>
      <c r="OR52" s="1">
        <v>0</v>
      </c>
      <c r="OT52" s="1">
        <v>2844083658</v>
      </c>
      <c r="OU52" s="1">
        <v>25600</v>
      </c>
      <c r="OV52" s="1">
        <v>2808</v>
      </c>
      <c r="OW52" s="1">
        <v>1485</v>
      </c>
      <c r="OX52" s="1">
        <v>31998.98</v>
      </c>
      <c r="OY52" s="1">
        <v>1</v>
      </c>
      <c r="OZ52" s="1">
        <v>0</v>
      </c>
      <c r="PA52" s="1">
        <v>90</v>
      </c>
      <c r="PB52" s="1">
        <v>60003760</v>
      </c>
      <c r="PC52" s="1">
        <v>32767</v>
      </c>
      <c r="PD52" s="1">
        <v>0</v>
      </c>
      <c r="PF52" s="1">
        <v>2869083837</v>
      </c>
      <c r="PG52" s="1">
        <v>16670</v>
      </c>
      <c r="PH52" s="1">
        <v>5000000</v>
      </c>
      <c r="PI52" s="1">
        <v>5000000</v>
      </c>
      <c r="PJ52" s="1">
        <v>132</v>
      </c>
      <c r="PK52" s="1">
        <v>1</v>
      </c>
      <c r="PL52" s="1">
        <v>0</v>
      </c>
      <c r="PM52" s="1">
        <v>90</v>
      </c>
      <c r="PN52" s="1">
        <v>60003760</v>
      </c>
      <c r="PO52" s="1">
        <v>32767</v>
      </c>
      <c r="PP52" s="1">
        <v>7</v>
      </c>
      <c r="PR52" s="1">
        <v>2771828042</v>
      </c>
      <c r="PS52" s="1">
        <v>10222</v>
      </c>
      <c r="PT52" s="1">
        <v>3</v>
      </c>
      <c r="PU52" s="1">
        <v>3</v>
      </c>
      <c r="PV52" s="1">
        <v>99500000.560000002</v>
      </c>
      <c r="PW52" s="1">
        <v>1</v>
      </c>
      <c r="PX52" s="1">
        <v>1</v>
      </c>
      <c r="PY52" s="1">
        <v>90</v>
      </c>
      <c r="PZ52" s="1">
        <v>60003760</v>
      </c>
      <c r="QA52" s="1">
        <v>-1</v>
      </c>
      <c r="QB52" s="1">
        <v>0</v>
      </c>
      <c r="QD52" s="1">
        <v>2877294478</v>
      </c>
      <c r="QE52" s="1">
        <v>9830</v>
      </c>
      <c r="QF52" s="1">
        <v>225</v>
      </c>
      <c r="QG52" s="1">
        <v>225</v>
      </c>
      <c r="QH52" s="1">
        <v>7644</v>
      </c>
      <c r="QI52" s="1">
        <v>1</v>
      </c>
      <c r="QJ52" s="1">
        <v>0</v>
      </c>
      <c r="QK52" s="1">
        <v>30</v>
      </c>
      <c r="QL52" s="1">
        <v>60003760</v>
      </c>
      <c r="QM52" s="1">
        <v>32767</v>
      </c>
      <c r="QN52" s="1">
        <v>0</v>
      </c>
      <c r="QP52" s="1">
        <v>2878595076</v>
      </c>
      <c r="QQ52" s="1">
        <v>16671</v>
      </c>
      <c r="QR52" s="1">
        <v>20460000</v>
      </c>
      <c r="QS52" s="1">
        <v>2562741</v>
      </c>
      <c r="QT52" s="1">
        <v>105.49</v>
      </c>
      <c r="QU52" s="1">
        <v>1</v>
      </c>
      <c r="QV52" s="1">
        <v>0</v>
      </c>
      <c r="QW52" s="1">
        <v>90</v>
      </c>
      <c r="QX52" s="1">
        <v>60003760</v>
      </c>
      <c r="QY52" s="1">
        <v>32767</v>
      </c>
      <c r="QZ52" s="1">
        <v>0</v>
      </c>
      <c r="RB52" s="1">
        <v>2878477575</v>
      </c>
      <c r="RC52" s="1">
        <v>16682</v>
      </c>
      <c r="RD52" s="1">
        <v>98250</v>
      </c>
      <c r="RE52" s="1">
        <v>94250</v>
      </c>
      <c r="RF52" s="1">
        <v>3349.72</v>
      </c>
      <c r="RG52" s="1">
        <v>1</v>
      </c>
      <c r="RH52" s="1">
        <v>0</v>
      </c>
      <c r="RI52" s="1">
        <v>90</v>
      </c>
      <c r="RJ52" s="1">
        <v>60003760</v>
      </c>
      <c r="RK52" s="1">
        <v>32767</v>
      </c>
      <c r="RL52" s="1">
        <v>0</v>
      </c>
      <c r="RN52" s="1">
        <v>2810915736</v>
      </c>
      <c r="RO52" s="1">
        <v>16678</v>
      </c>
      <c r="RP52" s="1">
        <v>500000</v>
      </c>
      <c r="RQ52" s="1">
        <v>500000</v>
      </c>
      <c r="RR52" s="1">
        <v>240.35</v>
      </c>
      <c r="RS52" s="1">
        <v>1</v>
      </c>
      <c r="RT52" s="1">
        <v>1</v>
      </c>
      <c r="RU52" s="1">
        <v>90</v>
      </c>
      <c r="RV52" s="1">
        <v>60003760</v>
      </c>
      <c r="RW52" s="1">
        <v>-1</v>
      </c>
      <c r="RX52" s="1">
        <v>0</v>
      </c>
      <c r="RZ52" s="1">
        <v>2874836916</v>
      </c>
      <c r="SA52" s="1">
        <v>30310</v>
      </c>
      <c r="SB52" s="1">
        <v>2640</v>
      </c>
      <c r="SC52" s="1">
        <v>517</v>
      </c>
      <c r="SD52" s="1">
        <v>1288599.58</v>
      </c>
      <c r="SE52" s="1">
        <v>1</v>
      </c>
      <c r="SF52" s="1">
        <v>0</v>
      </c>
      <c r="SG52" s="1">
        <v>7</v>
      </c>
      <c r="SH52" s="1">
        <v>60003760</v>
      </c>
      <c r="SI52" s="1">
        <v>32767</v>
      </c>
      <c r="SJ52" s="1">
        <v>0</v>
      </c>
      <c r="SL52" s="1">
        <v>2878444671</v>
      </c>
      <c r="SM52" s="1">
        <v>30311</v>
      </c>
      <c r="SN52" s="1">
        <v>540</v>
      </c>
      <c r="SO52" s="1">
        <v>540</v>
      </c>
      <c r="SP52" s="1">
        <v>3127001.96</v>
      </c>
      <c r="SQ52" s="1">
        <v>1</v>
      </c>
      <c r="SR52" s="1">
        <v>0</v>
      </c>
      <c r="SS52" s="1">
        <v>90</v>
      </c>
      <c r="ST52" s="1">
        <v>60003760</v>
      </c>
      <c r="SU52" s="1">
        <v>32767</v>
      </c>
      <c r="SV52" s="1">
        <v>0</v>
      </c>
      <c r="SX52" s="1">
        <v>2837813942</v>
      </c>
      <c r="SY52" s="1">
        <v>25595</v>
      </c>
      <c r="SZ52" s="1">
        <v>3</v>
      </c>
      <c r="TA52" s="1">
        <v>3</v>
      </c>
      <c r="TB52" s="1">
        <v>102751.03</v>
      </c>
      <c r="TC52" s="1">
        <v>1</v>
      </c>
      <c r="TD52" s="1">
        <v>0</v>
      </c>
      <c r="TE52" s="1">
        <v>90</v>
      </c>
      <c r="TF52" s="1">
        <v>60003757</v>
      </c>
      <c r="TG52" s="1">
        <v>32767</v>
      </c>
      <c r="TH52" s="1">
        <v>6</v>
      </c>
      <c r="TJ52" s="1">
        <v>2860151138</v>
      </c>
      <c r="TK52" s="1">
        <v>25606</v>
      </c>
      <c r="TL52" s="1">
        <v>253</v>
      </c>
      <c r="TM52" s="1">
        <v>253</v>
      </c>
      <c r="TN52" s="1">
        <v>25189.919999999998</v>
      </c>
      <c r="TO52" s="1">
        <v>1</v>
      </c>
      <c r="TP52" s="1">
        <v>0</v>
      </c>
      <c r="TQ52" s="1">
        <v>90</v>
      </c>
      <c r="TR52" s="1">
        <v>60003760</v>
      </c>
      <c r="TS52" s="1">
        <v>32767</v>
      </c>
      <c r="TT52" s="1">
        <v>0</v>
      </c>
      <c r="TV52" s="1">
        <v>2821718090</v>
      </c>
      <c r="TW52" s="1">
        <v>25622</v>
      </c>
      <c r="TX52" s="1">
        <v>100</v>
      </c>
      <c r="TY52" s="1">
        <v>100</v>
      </c>
      <c r="TZ52" s="1">
        <v>3527001</v>
      </c>
      <c r="UA52" s="1">
        <v>1</v>
      </c>
      <c r="UB52" s="1">
        <v>1</v>
      </c>
      <c r="UC52" s="1">
        <v>90</v>
      </c>
      <c r="UD52" s="1">
        <v>60003064</v>
      </c>
      <c r="UE52" s="1">
        <v>10</v>
      </c>
      <c r="UF52" s="1">
        <v>0</v>
      </c>
      <c r="UH52" s="1">
        <v>2871185151</v>
      </c>
      <c r="UI52" s="1">
        <v>16680</v>
      </c>
      <c r="UJ52" s="1">
        <v>680777</v>
      </c>
      <c r="UK52" s="1">
        <v>479327</v>
      </c>
      <c r="UL52" s="1">
        <v>702.65</v>
      </c>
      <c r="UM52" s="1">
        <v>1</v>
      </c>
      <c r="UN52" s="1">
        <v>0</v>
      </c>
      <c r="UO52" s="1">
        <v>90</v>
      </c>
      <c r="UP52" s="1">
        <v>60003760</v>
      </c>
      <c r="UQ52" s="1">
        <v>32767</v>
      </c>
      <c r="UR52" s="1">
        <v>6</v>
      </c>
      <c r="UT52" s="1">
        <v>2878283108</v>
      </c>
      <c r="UU52" s="1">
        <v>17317</v>
      </c>
      <c r="UV52" s="1">
        <v>100</v>
      </c>
      <c r="UW52" s="1">
        <v>100</v>
      </c>
      <c r="UX52" s="1">
        <v>27720.16</v>
      </c>
      <c r="UY52" s="1">
        <v>1</v>
      </c>
      <c r="UZ52" s="1">
        <v>1</v>
      </c>
      <c r="VA52" s="1">
        <v>90</v>
      </c>
      <c r="VB52" s="1">
        <v>60003760</v>
      </c>
      <c r="VC52" s="1">
        <v>-1</v>
      </c>
      <c r="VD52" s="1">
        <v>0</v>
      </c>
      <c r="VF52"/>
      <c r="VG52"/>
      <c r="VH52"/>
      <c r="VI52"/>
      <c r="VJ52"/>
      <c r="VK52"/>
      <c r="VL52"/>
      <c r="VM52"/>
      <c r="VN52"/>
      <c r="VO52"/>
      <c r="VP52"/>
    </row>
    <row r="53" spans="2:588" x14ac:dyDescent="0.25">
      <c r="B53" s="1">
        <v>2878315505</v>
      </c>
      <c r="C53" s="1">
        <v>34</v>
      </c>
      <c r="D53" s="1">
        <v>255398</v>
      </c>
      <c r="E53" s="1">
        <v>255396</v>
      </c>
      <c r="F53" s="1">
        <v>5.75</v>
      </c>
      <c r="G53" s="1">
        <v>1</v>
      </c>
      <c r="H53" s="1">
        <v>0</v>
      </c>
      <c r="I53" s="1">
        <v>1</v>
      </c>
      <c r="J53" s="1">
        <v>60014659</v>
      </c>
      <c r="K53" s="1">
        <v>32767</v>
      </c>
      <c r="L53" s="1">
        <v>3</v>
      </c>
      <c r="N53" s="1">
        <v>2834257179</v>
      </c>
      <c r="O53" s="1">
        <v>35</v>
      </c>
      <c r="P53" s="1">
        <v>9957759</v>
      </c>
      <c r="Q53" s="1">
        <v>9957759</v>
      </c>
      <c r="R53" s="1">
        <v>16.079999999999998</v>
      </c>
      <c r="S53" s="1">
        <v>1</v>
      </c>
      <c r="T53" s="1">
        <v>0</v>
      </c>
      <c r="U53" s="1">
        <v>90</v>
      </c>
      <c r="V53" s="1">
        <v>60003760</v>
      </c>
      <c r="W53" s="1">
        <v>32767</v>
      </c>
      <c r="X53" s="1">
        <v>0</v>
      </c>
      <c r="Z53" s="1">
        <v>2761388816</v>
      </c>
      <c r="AA53" s="1">
        <v>36</v>
      </c>
      <c r="AB53" s="1">
        <v>17200</v>
      </c>
      <c r="AC53" s="1">
        <v>17200</v>
      </c>
      <c r="AD53" s="16">
        <v>59.1</v>
      </c>
      <c r="AE53" s="1">
        <v>1</v>
      </c>
      <c r="AF53" s="1">
        <v>0</v>
      </c>
      <c r="AG53" s="1">
        <v>90</v>
      </c>
      <c r="AH53" s="1">
        <v>60003760</v>
      </c>
      <c r="AI53" s="1">
        <v>32767</v>
      </c>
      <c r="AJ53" s="1">
        <v>11</v>
      </c>
      <c r="AL53" s="1">
        <v>2842941957</v>
      </c>
      <c r="AM53" s="1">
        <v>37</v>
      </c>
      <c r="AN53" s="1">
        <v>4433</v>
      </c>
      <c r="AO53" s="1">
        <v>4433</v>
      </c>
      <c r="AP53" s="16">
        <v>155.16999999999999</v>
      </c>
      <c r="AQ53" s="1">
        <v>1</v>
      </c>
      <c r="AR53" s="1">
        <v>0</v>
      </c>
      <c r="AS53" s="1">
        <v>30</v>
      </c>
      <c r="AT53" s="1">
        <v>60003760</v>
      </c>
      <c r="AU53" s="1">
        <v>32767</v>
      </c>
      <c r="AV53" s="1">
        <v>9</v>
      </c>
      <c r="AX53" s="1">
        <v>2877840365</v>
      </c>
      <c r="AY53" s="1">
        <v>38</v>
      </c>
      <c r="AZ53" s="1">
        <v>9712</v>
      </c>
      <c r="BA53" s="1">
        <v>9712</v>
      </c>
      <c r="BB53" s="1">
        <v>824.93</v>
      </c>
      <c r="BC53" s="1">
        <v>1</v>
      </c>
      <c r="BD53" s="1">
        <v>0</v>
      </c>
      <c r="BE53" s="1">
        <v>3</v>
      </c>
      <c r="BF53" s="1">
        <v>60003760</v>
      </c>
      <c r="BG53" s="1">
        <v>32767</v>
      </c>
      <c r="BH53" s="1">
        <v>5</v>
      </c>
      <c r="BJ53" s="1">
        <v>2503357392</v>
      </c>
      <c r="BK53" s="1">
        <v>39</v>
      </c>
      <c r="BL53" s="1">
        <v>316022</v>
      </c>
      <c r="BM53" s="1">
        <v>316022</v>
      </c>
      <c r="BN53" s="1">
        <v>2288.9499999999998</v>
      </c>
      <c r="BO53" s="1">
        <v>1</v>
      </c>
      <c r="BP53" s="1">
        <v>0</v>
      </c>
      <c r="BQ53" s="1">
        <v>90</v>
      </c>
      <c r="BR53" s="1">
        <v>60003760</v>
      </c>
      <c r="BS53" s="1">
        <v>32767</v>
      </c>
      <c r="BT53" s="1">
        <v>5</v>
      </c>
      <c r="BV53" s="1">
        <v>2391049557</v>
      </c>
      <c r="BW53" s="1">
        <v>40</v>
      </c>
      <c r="BX53" s="1">
        <v>863</v>
      </c>
      <c r="BY53" s="1">
        <v>863</v>
      </c>
      <c r="BZ53" s="1">
        <v>2869.87</v>
      </c>
      <c r="CA53" s="1">
        <v>1</v>
      </c>
      <c r="CB53" s="1">
        <v>0</v>
      </c>
      <c r="CC53" s="1">
        <v>90</v>
      </c>
      <c r="CD53" s="1">
        <v>60003760</v>
      </c>
      <c r="CE53" s="1">
        <v>32767</v>
      </c>
      <c r="CF53" s="1">
        <v>13</v>
      </c>
      <c r="CH53" s="1">
        <v>2348864754</v>
      </c>
      <c r="CI53" s="1">
        <v>29668</v>
      </c>
      <c r="CJ53" s="1">
        <v>1</v>
      </c>
      <c r="CK53" s="1">
        <v>1</v>
      </c>
      <c r="CL53" s="1">
        <v>587999998.55999994</v>
      </c>
      <c r="CM53" s="1">
        <v>1</v>
      </c>
      <c r="CN53" s="1">
        <v>0</v>
      </c>
      <c r="CO53" s="1">
        <v>90</v>
      </c>
      <c r="CP53" s="1">
        <v>60003760</v>
      </c>
      <c r="CQ53" s="1">
        <v>32767</v>
      </c>
      <c r="CR53" s="1">
        <v>0</v>
      </c>
      <c r="CT53" s="1">
        <v>2412347072</v>
      </c>
      <c r="CU53" s="1">
        <v>16649</v>
      </c>
      <c r="CV53" s="1">
        <v>20000</v>
      </c>
      <c r="CW53" s="1">
        <v>20000</v>
      </c>
      <c r="CX53" s="1">
        <v>95000</v>
      </c>
      <c r="CY53" s="1">
        <v>1</v>
      </c>
      <c r="CZ53" s="1">
        <v>1</v>
      </c>
      <c r="DA53" s="1">
        <v>90</v>
      </c>
      <c r="DB53" s="1">
        <v>60003760</v>
      </c>
      <c r="DC53" s="1">
        <v>-1</v>
      </c>
      <c r="DD53" s="1">
        <v>0</v>
      </c>
      <c r="DF53" s="1">
        <v>2400082992</v>
      </c>
      <c r="DG53" s="1">
        <v>17887</v>
      </c>
      <c r="DH53" s="1">
        <v>8248950</v>
      </c>
      <c r="DI53" s="1">
        <v>7147346</v>
      </c>
      <c r="DJ53" s="1">
        <v>1041.4000000000001</v>
      </c>
      <c r="DK53" s="1">
        <v>1</v>
      </c>
      <c r="DL53" s="1">
        <v>0</v>
      </c>
      <c r="DM53" s="1">
        <v>90</v>
      </c>
      <c r="DN53" s="1">
        <v>60003760</v>
      </c>
      <c r="DO53" s="1">
        <v>32767</v>
      </c>
      <c r="DP53" s="1">
        <v>0</v>
      </c>
      <c r="DR53" s="1">
        <v>2819910833</v>
      </c>
      <c r="DS53" s="1">
        <v>17888</v>
      </c>
      <c r="DT53" s="1">
        <v>24332100</v>
      </c>
      <c r="DU53" s="1">
        <v>24332100</v>
      </c>
      <c r="DV53" s="1">
        <v>450</v>
      </c>
      <c r="DW53" s="1">
        <v>1</v>
      </c>
      <c r="DX53" s="1">
        <v>0</v>
      </c>
      <c r="DY53" s="1">
        <v>90</v>
      </c>
      <c r="DZ53" s="1">
        <v>60003760</v>
      </c>
      <c r="EA53" s="1">
        <v>32767</v>
      </c>
      <c r="EB53" s="1">
        <v>8</v>
      </c>
      <c r="ED53" s="1">
        <v>2878194872</v>
      </c>
      <c r="EE53" s="1">
        <v>16273</v>
      </c>
      <c r="EF53" s="1">
        <v>275675</v>
      </c>
      <c r="EG53" s="1">
        <v>268650</v>
      </c>
      <c r="EH53" s="1">
        <v>371.88</v>
      </c>
      <c r="EI53" s="1">
        <v>1</v>
      </c>
      <c r="EJ53" s="1">
        <v>0</v>
      </c>
      <c r="EK53" s="1">
        <v>90</v>
      </c>
      <c r="EL53" s="1">
        <v>60003760</v>
      </c>
      <c r="EM53" s="1">
        <v>32767</v>
      </c>
      <c r="EN53" s="1">
        <v>6</v>
      </c>
      <c r="EP53" s="1">
        <v>2870231616</v>
      </c>
      <c r="EQ53" s="1">
        <v>17889</v>
      </c>
      <c r="ER53" s="1">
        <v>2342095</v>
      </c>
      <c r="ES53" s="1">
        <v>2165381</v>
      </c>
      <c r="ET53" s="1">
        <v>466.99</v>
      </c>
      <c r="EU53" s="1">
        <v>1</v>
      </c>
      <c r="EV53" s="1">
        <v>0</v>
      </c>
      <c r="EW53" s="1">
        <v>90</v>
      </c>
      <c r="EX53" s="1">
        <v>60001801</v>
      </c>
      <c r="EY53" s="1">
        <v>32767</v>
      </c>
      <c r="EZ53" s="1">
        <v>4</v>
      </c>
      <c r="FB53" s="1">
        <v>2877164240</v>
      </c>
      <c r="FC53" s="1">
        <v>30259</v>
      </c>
      <c r="FD53" s="1">
        <v>146</v>
      </c>
      <c r="FE53" s="1">
        <v>146</v>
      </c>
      <c r="FF53" s="1">
        <v>5829999.0099999998</v>
      </c>
      <c r="FG53" s="1">
        <v>1</v>
      </c>
      <c r="FH53" s="1">
        <v>0</v>
      </c>
      <c r="FI53" s="1">
        <v>90</v>
      </c>
      <c r="FJ53" s="1">
        <v>60003760</v>
      </c>
      <c r="FK53" s="1">
        <v>32767</v>
      </c>
      <c r="FL53" s="1">
        <v>0</v>
      </c>
      <c r="FN53" s="1">
        <v>2826385756</v>
      </c>
      <c r="FO53" s="1">
        <v>25617</v>
      </c>
      <c r="FP53" s="1">
        <v>150</v>
      </c>
      <c r="FQ53" s="1">
        <v>11</v>
      </c>
      <c r="FR53" s="1">
        <v>4400111</v>
      </c>
      <c r="FS53" s="1">
        <v>1</v>
      </c>
      <c r="FT53" s="1">
        <v>1</v>
      </c>
      <c r="FU53" s="1">
        <v>90</v>
      </c>
      <c r="FV53" s="1">
        <v>60003760</v>
      </c>
      <c r="FW53" s="1">
        <v>-1</v>
      </c>
      <c r="FX53" s="1">
        <v>0</v>
      </c>
      <c r="FZ53" s="1">
        <v>2873452406</v>
      </c>
      <c r="GA53" s="1">
        <v>44</v>
      </c>
      <c r="GB53" s="1">
        <v>16930</v>
      </c>
      <c r="GC53" s="1">
        <v>11170</v>
      </c>
      <c r="GD53" s="1">
        <v>12899.97</v>
      </c>
      <c r="GE53" s="1">
        <v>1</v>
      </c>
      <c r="GF53" s="1">
        <v>0</v>
      </c>
      <c r="GG53" s="1">
        <v>90</v>
      </c>
      <c r="GH53" s="1">
        <v>60003760</v>
      </c>
      <c r="GI53" s="1">
        <v>32767</v>
      </c>
      <c r="GJ53" s="1">
        <v>4</v>
      </c>
      <c r="GL53" s="1">
        <v>2412771218</v>
      </c>
      <c r="GM53" s="1">
        <v>16681</v>
      </c>
      <c r="GN53" s="1">
        <v>5000</v>
      </c>
      <c r="GO53" s="1">
        <v>5000</v>
      </c>
      <c r="GP53" s="1">
        <v>5958.42</v>
      </c>
      <c r="GQ53" s="1">
        <v>1</v>
      </c>
      <c r="GR53" s="1">
        <v>1</v>
      </c>
      <c r="GS53" s="1">
        <v>90</v>
      </c>
      <c r="GT53" s="1">
        <v>60003760</v>
      </c>
      <c r="GU53" s="1">
        <v>-1</v>
      </c>
      <c r="GV53" s="1">
        <v>0</v>
      </c>
      <c r="GX53" s="1">
        <v>2756714063</v>
      </c>
      <c r="GY53" s="1">
        <v>16683</v>
      </c>
      <c r="GZ53" s="1">
        <v>100000</v>
      </c>
      <c r="HA53" s="1">
        <v>99903</v>
      </c>
      <c r="HB53" s="1">
        <v>4400.01</v>
      </c>
      <c r="HC53" s="1">
        <v>1</v>
      </c>
      <c r="HD53" s="1">
        <v>1</v>
      </c>
      <c r="HE53" s="1">
        <v>90</v>
      </c>
      <c r="HF53" s="1">
        <v>60003760</v>
      </c>
      <c r="HG53" s="1">
        <v>10</v>
      </c>
      <c r="HH53" s="1">
        <v>0</v>
      </c>
      <c r="HJ53"/>
      <c r="HK53"/>
      <c r="HL53"/>
      <c r="HM53"/>
      <c r="HN53"/>
      <c r="HO53"/>
      <c r="HP53"/>
      <c r="HQ53"/>
      <c r="HR53"/>
      <c r="HS53"/>
      <c r="HT53"/>
      <c r="HV53" s="1">
        <v>2702345457</v>
      </c>
      <c r="HW53" s="1">
        <v>16274</v>
      </c>
      <c r="HX53" s="1">
        <v>250000</v>
      </c>
      <c r="HY53" s="1">
        <v>250000</v>
      </c>
      <c r="HZ53" s="1">
        <v>800</v>
      </c>
      <c r="IA53" s="1">
        <v>1</v>
      </c>
      <c r="IB53" s="1">
        <v>0</v>
      </c>
      <c r="IC53" s="1">
        <v>90</v>
      </c>
      <c r="ID53" s="1">
        <v>60010192</v>
      </c>
      <c r="IE53" s="1">
        <v>32767</v>
      </c>
      <c r="IF53" s="1">
        <v>7</v>
      </c>
      <c r="IH53"/>
      <c r="II53"/>
      <c r="IJ53"/>
      <c r="IK53"/>
      <c r="IL53"/>
      <c r="IM53"/>
      <c r="IN53"/>
      <c r="IO53"/>
      <c r="IP53"/>
      <c r="IQ53"/>
      <c r="IR53"/>
      <c r="IT53" s="1">
        <v>2710317389</v>
      </c>
      <c r="IU53" s="1">
        <v>16679</v>
      </c>
      <c r="IV53" s="1">
        <v>3000000</v>
      </c>
      <c r="IW53" s="1">
        <v>3000000</v>
      </c>
      <c r="IX53" s="1">
        <v>2155.98</v>
      </c>
      <c r="IY53" s="1">
        <v>1</v>
      </c>
      <c r="IZ53" s="1">
        <v>0</v>
      </c>
      <c r="JA53" s="1">
        <v>90</v>
      </c>
      <c r="JB53" s="1">
        <v>60003760</v>
      </c>
      <c r="JC53" s="1">
        <v>32767</v>
      </c>
      <c r="JD53" s="1">
        <v>0</v>
      </c>
      <c r="JF53" s="1">
        <v>2875806965</v>
      </c>
      <c r="JG53" s="1">
        <v>16272</v>
      </c>
      <c r="JH53" s="1">
        <v>561764</v>
      </c>
      <c r="JI53" s="1">
        <v>530764</v>
      </c>
      <c r="JJ53" s="1">
        <v>77.989999999999995</v>
      </c>
      <c r="JK53" s="1">
        <v>1</v>
      </c>
      <c r="JL53" s="1">
        <v>0</v>
      </c>
      <c r="JM53" s="1">
        <v>90</v>
      </c>
      <c r="JN53" s="1">
        <v>60003760</v>
      </c>
      <c r="JO53" s="1">
        <v>32767</v>
      </c>
      <c r="JP53" s="1">
        <v>6</v>
      </c>
      <c r="JR53" s="1">
        <v>2877241080</v>
      </c>
      <c r="JS53" s="1">
        <v>10226</v>
      </c>
      <c r="JT53" s="1">
        <v>5</v>
      </c>
      <c r="JU53" s="1">
        <v>5</v>
      </c>
      <c r="JV53" s="1">
        <v>111100005</v>
      </c>
      <c r="JW53" s="1">
        <v>1</v>
      </c>
      <c r="JX53" s="1">
        <v>1</v>
      </c>
      <c r="JY53" s="1">
        <v>90</v>
      </c>
      <c r="JZ53" s="1">
        <v>60003760</v>
      </c>
      <c r="KA53" s="1">
        <v>-1</v>
      </c>
      <c r="KB53" s="1">
        <v>0</v>
      </c>
      <c r="KD53" s="1">
        <v>2872932103</v>
      </c>
      <c r="KE53" s="1">
        <v>25605</v>
      </c>
      <c r="KF53" s="1">
        <v>220</v>
      </c>
      <c r="KG53" s="1">
        <v>220</v>
      </c>
      <c r="KH53" s="1">
        <v>149899.99</v>
      </c>
      <c r="KI53" s="1">
        <v>1</v>
      </c>
      <c r="KJ53" s="1">
        <v>0</v>
      </c>
      <c r="KK53" s="1">
        <v>90</v>
      </c>
      <c r="KL53" s="1">
        <v>60003760</v>
      </c>
      <c r="KM53" s="1">
        <v>32767</v>
      </c>
      <c r="KN53" s="1">
        <v>6</v>
      </c>
      <c r="KP53" s="1">
        <v>2875451142</v>
      </c>
      <c r="KQ53" s="1">
        <v>25624</v>
      </c>
      <c r="KR53" s="1">
        <v>1</v>
      </c>
      <c r="KS53" s="1">
        <v>1</v>
      </c>
      <c r="KT53" s="1">
        <v>18497999</v>
      </c>
      <c r="KU53" s="1">
        <v>1</v>
      </c>
      <c r="KV53" s="1">
        <v>0</v>
      </c>
      <c r="KW53" s="1">
        <v>90</v>
      </c>
      <c r="KX53" s="1">
        <v>60003760</v>
      </c>
      <c r="KY53" s="1">
        <v>32767</v>
      </c>
      <c r="KZ53" s="1">
        <v>1</v>
      </c>
      <c r="LB53" s="1">
        <v>2852537628</v>
      </c>
      <c r="LC53" s="1">
        <v>9832</v>
      </c>
      <c r="LD53" s="1">
        <v>23985</v>
      </c>
      <c r="LE53" s="1">
        <v>23985</v>
      </c>
      <c r="LF53" s="1">
        <v>10050</v>
      </c>
      <c r="LG53" s="1">
        <v>1</v>
      </c>
      <c r="LH53" s="1">
        <v>0</v>
      </c>
      <c r="LI53" s="1">
        <v>90</v>
      </c>
      <c r="LJ53" s="1">
        <v>60003760</v>
      </c>
      <c r="LK53" s="1">
        <v>32767</v>
      </c>
      <c r="LL53" s="1">
        <v>0</v>
      </c>
      <c r="LN53" s="1">
        <v>2877582831</v>
      </c>
      <c r="LO53" s="1">
        <v>10209</v>
      </c>
      <c r="LP53" s="1">
        <v>5</v>
      </c>
      <c r="LQ53" s="1">
        <v>3</v>
      </c>
      <c r="LR53" s="1">
        <v>112005001.04000001</v>
      </c>
      <c r="LS53" s="1">
        <v>1</v>
      </c>
      <c r="LT53" s="1">
        <v>1</v>
      </c>
      <c r="LU53" s="1">
        <v>90</v>
      </c>
      <c r="LV53" s="1">
        <v>60003760</v>
      </c>
      <c r="LW53" s="1">
        <v>-1</v>
      </c>
      <c r="LX53" s="1">
        <v>0</v>
      </c>
      <c r="LZ53" s="1">
        <v>2876114335</v>
      </c>
      <c r="MA53" s="1">
        <v>10217</v>
      </c>
      <c r="MB53" s="1">
        <v>1</v>
      </c>
      <c r="MC53" s="1">
        <v>1</v>
      </c>
      <c r="MD53" s="1">
        <v>113278001.86</v>
      </c>
      <c r="ME53" s="1">
        <v>1</v>
      </c>
      <c r="MF53" s="1">
        <v>1</v>
      </c>
      <c r="MG53" s="1">
        <v>90</v>
      </c>
      <c r="MH53" s="1">
        <v>60003760</v>
      </c>
      <c r="MI53" s="1">
        <v>-1</v>
      </c>
      <c r="MJ53" s="1">
        <v>0</v>
      </c>
      <c r="ML53" s="1">
        <v>2799798728</v>
      </c>
      <c r="MM53" s="1">
        <v>25625</v>
      </c>
      <c r="MN53" s="1">
        <v>80</v>
      </c>
      <c r="MO53" s="1">
        <v>80</v>
      </c>
      <c r="MP53" s="1">
        <v>500000.09</v>
      </c>
      <c r="MQ53" s="1">
        <v>1</v>
      </c>
      <c r="MR53" s="1">
        <v>1</v>
      </c>
      <c r="MS53" s="1">
        <v>90</v>
      </c>
      <c r="MT53" s="1">
        <v>60003760</v>
      </c>
      <c r="MU53" s="1">
        <v>32767</v>
      </c>
      <c r="MV53" s="1">
        <v>0</v>
      </c>
      <c r="MX53" s="1">
        <v>2876880525</v>
      </c>
      <c r="MY53" s="1">
        <v>16672</v>
      </c>
      <c r="MZ53" s="1">
        <v>27223581</v>
      </c>
      <c r="NA53" s="1">
        <v>22460000</v>
      </c>
      <c r="NB53" s="1">
        <v>123</v>
      </c>
      <c r="NC53" s="1">
        <v>1</v>
      </c>
      <c r="ND53" s="1">
        <v>0</v>
      </c>
      <c r="NE53" s="1">
        <v>90</v>
      </c>
      <c r="NF53" s="1">
        <v>60003760</v>
      </c>
      <c r="NG53" s="1">
        <v>32767</v>
      </c>
      <c r="NH53" s="1">
        <v>0</v>
      </c>
      <c r="NJ53" s="1">
        <v>2689997697</v>
      </c>
      <c r="NK53" s="1">
        <v>16673</v>
      </c>
      <c r="NL53" s="1">
        <v>2350700</v>
      </c>
      <c r="NM53" s="1">
        <v>2350700</v>
      </c>
      <c r="NN53" s="1">
        <v>173.5</v>
      </c>
      <c r="NO53" s="1">
        <v>1</v>
      </c>
      <c r="NP53" s="1">
        <v>0</v>
      </c>
      <c r="NQ53" s="1">
        <v>90</v>
      </c>
      <c r="NR53" s="1">
        <v>60003760</v>
      </c>
      <c r="NS53" s="1">
        <v>32767</v>
      </c>
      <c r="NT53" s="1">
        <v>6</v>
      </c>
      <c r="NV53" s="1">
        <v>2863404611</v>
      </c>
      <c r="NW53" s="1">
        <v>3689</v>
      </c>
      <c r="NX53" s="1">
        <v>4838</v>
      </c>
      <c r="NY53" s="1">
        <v>4838</v>
      </c>
      <c r="NZ53" s="1">
        <v>10497.97</v>
      </c>
      <c r="OA53" s="1">
        <v>1</v>
      </c>
      <c r="OB53" s="1">
        <v>0</v>
      </c>
      <c r="OC53" s="1">
        <v>90</v>
      </c>
      <c r="OD53" s="1">
        <v>60003760</v>
      </c>
      <c r="OE53" s="1">
        <v>32767</v>
      </c>
      <c r="OF53" s="1">
        <v>0</v>
      </c>
      <c r="OH53" s="1">
        <v>2840771413</v>
      </c>
      <c r="OI53" s="1">
        <v>25598</v>
      </c>
      <c r="OJ53" s="1">
        <v>289</v>
      </c>
      <c r="OK53" s="1">
        <v>289</v>
      </c>
      <c r="OL53" s="1">
        <v>196000</v>
      </c>
      <c r="OM53" s="1">
        <v>1</v>
      </c>
      <c r="ON53" s="1">
        <v>0</v>
      </c>
      <c r="OO53" s="1">
        <v>90</v>
      </c>
      <c r="OP53" s="1">
        <v>60003760</v>
      </c>
      <c r="OQ53" s="1">
        <v>32767</v>
      </c>
      <c r="OR53" s="1">
        <v>0</v>
      </c>
      <c r="OT53" s="1">
        <v>2844312115</v>
      </c>
      <c r="OU53" s="1">
        <v>25600</v>
      </c>
      <c r="OV53" s="1">
        <v>33363</v>
      </c>
      <c r="OW53" s="1">
        <v>18032</v>
      </c>
      <c r="OX53" s="1">
        <v>31000</v>
      </c>
      <c r="OY53" s="1">
        <v>1</v>
      </c>
      <c r="OZ53" s="1">
        <v>0</v>
      </c>
      <c r="PA53" s="1">
        <v>90</v>
      </c>
      <c r="PB53" s="1">
        <v>60003760</v>
      </c>
      <c r="PC53" s="1">
        <v>32767</v>
      </c>
      <c r="PD53" s="1">
        <v>0</v>
      </c>
      <c r="PF53" s="1">
        <v>2869082512</v>
      </c>
      <c r="PG53" s="1">
        <v>16670</v>
      </c>
      <c r="PH53" s="1">
        <v>5000000</v>
      </c>
      <c r="PI53" s="1">
        <v>5000000</v>
      </c>
      <c r="PJ53" s="1">
        <v>130</v>
      </c>
      <c r="PK53" s="1">
        <v>1</v>
      </c>
      <c r="PL53" s="1">
        <v>0</v>
      </c>
      <c r="PM53" s="1">
        <v>90</v>
      </c>
      <c r="PN53" s="1">
        <v>60003760</v>
      </c>
      <c r="PO53" s="1">
        <v>32767</v>
      </c>
      <c r="PP53" s="1">
        <v>7</v>
      </c>
      <c r="PR53" s="1">
        <v>2771637501</v>
      </c>
      <c r="PS53" s="1">
        <v>10222</v>
      </c>
      <c r="PT53" s="1">
        <v>1</v>
      </c>
      <c r="PU53" s="1">
        <v>1</v>
      </c>
      <c r="PV53" s="1">
        <v>75000000</v>
      </c>
      <c r="PW53" s="1">
        <v>1</v>
      </c>
      <c r="PX53" s="1">
        <v>1</v>
      </c>
      <c r="PY53" s="1">
        <v>90</v>
      </c>
      <c r="PZ53" s="1">
        <v>60003760</v>
      </c>
      <c r="QA53" s="1">
        <v>-1</v>
      </c>
      <c r="QB53" s="1">
        <v>0</v>
      </c>
      <c r="QD53" s="1">
        <v>2793887098</v>
      </c>
      <c r="QE53" s="1">
        <v>9830</v>
      </c>
      <c r="QF53" s="1">
        <v>1053</v>
      </c>
      <c r="QG53" s="1">
        <v>568</v>
      </c>
      <c r="QH53" s="1">
        <v>9000</v>
      </c>
      <c r="QI53" s="1">
        <v>1</v>
      </c>
      <c r="QJ53" s="1">
        <v>0</v>
      </c>
      <c r="QK53" s="1">
        <v>90</v>
      </c>
      <c r="QL53" s="1">
        <v>60002737</v>
      </c>
      <c r="QM53" s="1">
        <v>32767</v>
      </c>
      <c r="QN53" s="1">
        <v>6</v>
      </c>
      <c r="QP53" s="1">
        <v>2871833178</v>
      </c>
      <c r="QQ53" s="1">
        <v>16671</v>
      </c>
      <c r="QR53" s="1">
        <v>50000</v>
      </c>
      <c r="QS53" s="1">
        <v>50000</v>
      </c>
      <c r="QT53" s="1">
        <v>105.49</v>
      </c>
      <c r="QU53" s="1">
        <v>1</v>
      </c>
      <c r="QV53" s="1">
        <v>0</v>
      </c>
      <c r="QW53" s="1">
        <v>90</v>
      </c>
      <c r="QX53" s="1">
        <v>60003760</v>
      </c>
      <c r="QY53" s="1">
        <v>32767</v>
      </c>
      <c r="QZ53" s="1">
        <v>7</v>
      </c>
      <c r="RB53" s="1">
        <v>2878479348</v>
      </c>
      <c r="RC53" s="1">
        <v>16682</v>
      </c>
      <c r="RD53" s="1">
        <v>170619</v>
      </c>
      <c r="RE53" s="1">
        <v>169869</v>
      </c>
      <c r="RF53" s="1">
        <v>3349.66</v>
      </c>
      <c r="RG53" s="1">
        <v>1</v>
      </c>
      <c r="RH53" s="1">
        <v>0</v>
      </c>
      <c r="RI53" s="1">
        <v>90</v>
      </c>
      <c r="RJ53" s="1">
        <v>60003760</v>
      </c>
      <c r="RK53" s="1">
        <v>32767</v>
      </c>
      <c r="RL53" s="1">
        <v>0</v>
      </c>
      <c r="RN53" s="1">
        <v>2810202855</v>
      </c>
      <c r="RO53" s="1">
        <v>16678</v>
      </c>
      <c r="RP53" s="1">
        <v>100000</v>
      </c>
      <c r="RQ53" s="1">
        <v>100000</v>
      </c>
      <c r="RR53" s="1">
        <v>240.1</v>
      </c>
      <c r="RS53" s="1">
        <v>1</v>
      </c>
      <c r="RT53" s="1">
        <v>1</v>
      </c>
      <c r="RU53" s="1">
        <v>90</v>
      </c>
      <c r="RV53" s="1">
        <v>60003760</v>
      </c>
      <c r="RW53" s="1">
        <v>-1</v>
      </c>
      <c r="RX53" s="1">
        <v>0</v>
      </c>
      <c r="RZ53" s="1">
        <v>2826614569</v>
      </c>
      <c r="SA53" s="1">
        <v>30310</v>
      </c>
      <c r="SB53" s="1">
        <v>400</v>
      </c>
      <c r="SC53" s="1">
        <v>400</v>
      </c>
      <c r="SD53" s="1">
        <v>1053000</v>
      </c>
      <c r="SE53" s="1">
        <v>1</v>
      </c>
      <c r="SF53" s="1">
        <v>1</v>
      </c>
      <c r="SG53" s="1">
        <v>90</v>
      </c>
      <c r="SH53" s="1">
        <v>60004234</v>
      </c>
      <c r="SI53" s="1">
        <v>-1</v>
      </c>
      <c r="SJ53" s="1">
        <v>0</v>
      </c>
      <c r="SL53" s="1">
        <v>2878449670</v>
      </c>
      <c r="SM53" s="1">
        <v>30311</v>
      </c>
      <c r="SN53" s="1">
        <v>300</v>
      </c>
      <c r="SO53" s="1">
        <v>300</v>
      </c>
      <c r="SP53" s="1">
        <v>3127001.95</v>
      </c>
      <c r="SQ53" s="1">
        <v>1</v>
      </c>
      <c r="SR53" s="1">
        <v>0</v>
      </c>
      <c r="SS53" s="1">
        <v>90</v>
      </c>
      <c r="ST53" s="1">
        <v>60003760</v>
      </c>
      <c r="SU53" s="1">
        <v>32767</v>
      </c>
      <c r="SV53" s="1">
        <v>0</v>
      </c>
      <c r="SX53" s="1">
        <v>2831205855</v>
      </c>
      <c r="SY53" s="1">
        <v>25595</v>
      </c>
      <c r="SZ53" s="1">
        <v>1173</v>
      </c>
      <c r="TA53" s="1">
        <v>1173</v>
      </c>
      <c r="TB53" s="1">
        <v>101999.99</v>
      </c>
      <c r="TC53" s="1">
        <v>1</v>
      </c>
      <c r="TD53" s="1">
        <v>0</v>
      </c>
      <c r="TE53" s="1">
        <v>90</v>
      </c>
      <c r="TF53" s="1">
        <v>60003760</v>
      </c>
      <c r="TG53" s="1">
        <v>32767</v>
      </c>
      <c r="TH53" s="1">
        <v>6</v>
      </c>
      <c r="TJ53" s="1">
        <v>2868667817</v>
      </c>
      <c r="TK53" s="1">
        <v>25606</v>
      </c>
      <c r="TL53" s="1">
        <v>1000</v>
      </c>
      <c r="TM53" s="1">
        <v>1000</v>
      </c>
      <c r="TN53" s="1">
        <v>24900</v>
      </c>
      <c r="TO53" s="1">
        <v>1</v>
      </c>
      <c r="TP53" s="1">
        <v>0</v>
      </c>
      <c r="TQ53" s="1">
        <v>90</v>
      </c>
      <c r="TR53" s="1">
        <v>60003760</v>
      </c>
      <c r="TS53" s="1">
        <v>32767</v>
      </c>
      <c r="TT53" s="1">
        <v>0</v>
      </c>
      <c r="TV53" s="1">
        <v>2840480674</v>
      </c>
      <c r="TW53" s="1">
        <v>25622</v>
      </c>
      <c r="TX53" s="1">
        <v>10</v>
      </c>
      <c r="TY53" s="1">
        <v>9</v>
      </c>
      <c r="TZ53" s="1">
        <v>11061001</v>
      </c>
      <c r="UA53" s="1">
        <v>1</v>
      </c>
      <c r="UB53" s="1">
        <v>1</v>
      </c>
      <c r="UC53" s="1">
        <v>90</v>
      </c>
      <c r="UD53" s="1">
        <v>60006427</v>
      </c>
      <c r="UE53" s="1">
        <v>20</v>
      </c>
      <c r="UF53" s="1">
        <v>0</v>
      </c>
      <c r="UH53" s="1">
        <v>2762000849</v>
      </c>
      <c r="UI53" s="1">
        <v>16680</v>
      </c>
      <c r="UJ53" s="1">
        <v>1000000</v>
      </c>
      <c r="UK53" s="1">
        <v>1000000</v>
      </c>
      <c r="UL53" s="1">
        <v>14</v>
      </c>
      <c r="UM53" s="1">
        <v>1</v>
      </c>
      <c r="UN53" s="1">
        <v>1</v>
      </c>
      <c r="UO53" s="1">
        <v>90</v>
      </c>
      <c r="UP53" s="1">
        <v>60003760</v>
      </c>
      <c r="UQ53" s="1">
        <v>32767</v>
      </c>
      <c r="UR53" s="1">
        <v>0</v>
      </c>
      <c r="UT53" s="1">
        <v>2878219011</v>
      </c>
      <c r="UU53" s="1">
        <v>17317</v>
      </c>
      <c r="UV53" s="1">
        <v>2409</v>
      </c>
      <c r="UW53" s="1">
        <v>2409</v>
      </c>
      <c r="UX53" s="1">
        <v>27720.14</v>
      </c>
      <c r="UY53" s="1">
        <v>1</v>
      </c>
      <c r="UZ53" s="1">
        <v>1</v>
      </c>
      <c r="VA53" s="1">
        <v>90</v>
      </c>
      <c r="VB53" s="1">
        <v>60003760</v>
      </c>
      <c r="VC53" s="1">
        <v>-1</v>
      </c>
      <c r="VD53" s="1">
        <v>0</v>
      </c>
      <c r="VF53"/>
      <c r="VG53"/>
      <c r="VH53"/>
      <c r="VI53"/>
      <c r="VJ53"/>
      <c r="VK53"/>
      <c r="VL53"/>
      <c r="VM53"/>
      <c r="VN53"/>
      <c r="VO53"/>
      <c r="VP53"/>
    </row>
    <row r="54" spans="2:588" x14ac:dyDescent="0.25">
      <c r="B54" s="1">
        <v>2827660693</v>
      </c>
      <c r="C54" s="1">
        <v>34</v>
      </c>
      <c r="D54" s="1">
        <v>500000000</v>
      </c>
      <c r="E54" s="1">
        <v>500000000</v>
      </c>
      <c r="F54" s="1">
        <v>6.35</v>
      </c>
      <c r="G54" s="1">
        <v>1</v>
      </c>
      <c r="H54" s="1">
        <v>0</v>
      </c>
      <c r="I54" s="1">
        <v>90</v>
      </c>
      <c r="J54" s="1">
        <v>60003760</v>
      </c>
      <c r="K54" s="1">
        <v>32767</v>
      </c>
      <c r="L54" s="1">
        <v>0</v>
      </c>
      <c r="N54" s="1">
        <v>2833210322</v>
      </c>
      <c r="O54" s="1">
        <v>35</v>
      </c>
      <c r="P54" s="1">
        <v>1159780</v>
      </c>
      <c r="Q54" s="1">
        <v>1159780</v>
      </c>
      <c r="R54" s="1">
        <v>16.7</v>
      </c>
      <c r="S54" s="1">
        <v>1</v>
      </c>
      <c r="T54" s="1">
        <v>0</v>
      </c>
      <c r="U54" s="1">
        <v>30</v>
      </c>
      <c r="V54" s="1">
        <v>60003760</v>
      </c>
      <c r="W54" s="1">
        <v>32767</v>
      </c>
      <c r="X54" s="1">
        <v>0</v>
      </c>
      <c r="Z54" s="1">
        <v>2760120165</v>
      </c>
      <c r="AA54" s="1">
        <v>36</v>
      </c>
      <c r="AB54" s="1">
        <v>151194</v>
      </c>
      <c r="AC54" s="1">
        <v>151194</v>
      </c>
      <c r="AD54" s="16">
        <v>59.1</v>
      </c>
      <c r="AE54" s="1">
        <v>1</v>
      </c>
      <c r="AF54" s="1">
        <v>0</v>
      </c>
      <c r="AG54" s="1">
        <v>90</v>
      </c>
      <c r="AH54" s="1">
        <v>60003760</v>
      </c>
      <c r="AI54" s="1">
        <v>32767</v>
      </c>
      <c r="AJ54" s="1">
        <v>11</v>
      </c>
      <c r="AL54" s="1">
        <v>2843657446</v>
      </c>
      <c r="AM54" s="1">
        <v>37</v>
      </c>
      <c r="AN54" s="1">
        <v>1216717</v>
      </c>
      <c r="AO54" s="1">
        <v>1216717</v>
      </c>
      <c r="AP54" s="16">
        <v>151.97999999999999</v>
      </c>
      <c r="AQ54" s="1">
        <v>1</v>
      </c>
      <c r="AR54" s="1">
        <v>0</v>
      </c>
      <c r="AS54" s="1">
        <v>90</v>
      </c>
      <c r="AT54" s="1">
        <v>60003760</v>
      </c>
      <c r="AU54" s="1">
        <v>32767</v>
      </c>
      <c r="AV54" s="1">
        <v>9</v>
      </c>
      <c r="AX54" s="1">
        <v>2877832049</v>
      </c>
      <c r="AY54" s="1">
        <v>38</v>
      </c>
      <c r="AZ54" s="1">
        <v>99665</v>
      </c>
      <c r="BA54" s="1">
        <v>52655</v>
      </c>
      <c r="BB54" s="1">
        <v>824.94</v>
      </c>
      <c r="BC54" s="1">
        <v>1</v>
      </c>
      <c r="BD54" s="1">
        <v>0</v>
      </c>
      <c r="BE54" s="1">
        <v>90</v>
      </c>
      <c r="BF54" s="1">
        <v>60003760</v>
      </c>
      <c r="BG54" s="1">
        <v>32767</v>
      </c>
      <c r="BH54" s="1">
        <v>5</v>
      </c>
      <c r="BJ54" s="1">
        <v>2503077932</v>
      </c>
      <c r="BK54" s="1">
        <v>39</v>
      </c>
      <c r="BL54" s="1">
        <v>1000000</v>
      </c>
      <c r="BM54" s="1">
        <v>1000000</v>
      </c>
      <c r="BN54" s="1">
        <v>2298.9499999999998</v>
      </c>
      <c r="BO54" s="1">
        <v>1</v>
      </c>
      <c r="BP54" s="1">
        <v>0</v>
      </c>
      <c r="BQ54" s="1">
        <v>90</v>
      </c>
      <c r="BR54" s="1">
        <v>60003760</v>
      </c>
      <c r="BS54" s="1">
        <v>32767</v>
      </c>
      <c r="BT54" s="1">
        <v>5</v>
      </c>
      <c r="BV54" s="1">
        <v>2390604424</v>
      </c>
      <c r="BW54" s="1">
        <v>40</v>
      </c>
      <c r="BX54" s="1">
        <v>147676</v>
      </c>
      <c r="BY54" s="1">
        <v>127964</v>
      </c>
      <c r="BZ54" s="1">
        <v>2888</v>
      </c>
      <c r="CA54" s="1">
        <v>1</v>
      </c>
      <c r="CB54" s="1">
        <v>0</v>
      </c>
      <c r="CC54" s="1">
        <v>90</v>
      </c>
      <c r="CD54" s="1">
        <v>60003760</v>
      </c>
      <c r="CE54" s="1">
        <v>32767</v>
      </c>
      <c r="CF54" s="1">
        <v>13</v>
      </c>
      <c r="CH54" s="1">
        <v>2348956941</v>
      </c>
      <c r="CI54" s="1">
        <v>29668</v>
      </c>
      <c r="CJ54" s="1">
        <v>6</v>
      </c>
      <c r="CK54" s="1">
        <v>4</v>
      </c>
      <c r="CL54" s="1">
        <v>524900000</v>
      </c>
      <c r="CM54" s="1">
        <v>1</v>
      </c>
      <c r="CN54" s="1">
        <v>0</v>
      </c>
      <c r="CO54" s="1">
        <v>90</v>
      </c>
      <c r="CP54" s="1">
        <v>60003760</v>
      </c>
      <c r="CQ54" s="1">
        <v>32767</v>
      </c>
      <c r="CR54" s="1">
        <v>0</v>
      </c>
      <c r="CT54" s="1">
        <v>2412163680</v>
      </c>
      <c r="CU54" s="1">
        <v>16649</v>
      </c>
      <c r="CV54" s="1">
        <v>20000</v>
      </c>
      <c r="CW54" s="1">
        <v>20000</v>
      </c>
      <c r="CX54" s="1">
        <v>95901.06</v>
      </c>
      <c r="CY54" s="1">
        <v>1</v>
      </c>
      <c r="CZ54" s="1">
        <v>1</v>
      </c>
      <c r="DA54" s="1">
        <v>90</v>
      </c>
      <c r="DB54" s="1">
        <v>60003760</v>
      </c>
      <c r="DC54" s="1">
        <v>-1</v>
      </c>
      <c r="DD54" s="1">
        <v>0</v>
      </c>
      <c r="DF54" s="1">
        <v>2400743365</v>
      </c>
      <c r="DG54" s="1">
        <v>17887</v>
      </c>
      <c r="DH54" s="1">
        <v>1000000</v>
      </c>
      <c r="DI54" s="1">
        <v>822269</v>
      </c>
      <c r="DJ54" s="1">
        <v>947.67</v>
      </c>
      <c r="DK54" s="1">
        <v>1</v>
      </c>
      <c r="DL54" s="1">
        <v>0</v>
      </c>
      <c r="DM54" s="1">
        <v>14</v>
      </c>
      <c r="DN54" s="1">
        <v>60003760</v>
      </c>
      <c r="DO54" s="1">
        <v>32767</v>
      </c>
      <c r="DP54" s="1">
        <v>0</v>
      </c>
      <c r="DR54" s="1">
        <v>2815153835</v>
      </c>
      <c r="DS54" s="1">
        <v>17888</v>
      </c>
      <c r="DT54" s="1">
        <v>826500</v>
      </c>
      <c r="DU54" s="1">
        <v>826500</v>
      </c>
      <c r="DV54" s="1">
        <v>386.56</v>
      </c>
      <c r="DW54" s="1">
        <v>1</v>
      </c>
      <c r="DX54" s="1">
        <v>0</v>
      </c>
      <c r="DY54" s="1">
        <v>90</v>
      </c>
      <c r="DZ54" s="1">
        <v>60003760</v>
      </c>
      <c r="EA54" s="1">
        <v>32767</v>
      </c>
      <c r="EB54" s="1">
        <v>8</v>
      </c>
      <c r="ED54" s="1">
        <v>2878185975</v>
      </c>
      <c r="EE54" s="1">
        <v>16273</v>
      </c>
      <c r="EF54" s="1">
        <v>333750</v>
      </c>
      <c r="EG54" s="1">
        <v>323750</v>
      </c>
      <c r="EH54" s="1">
        <v>371.9</v>
      </c>
      <c r="EI54" s="1">
        <v>1</v>
      </c>
      <c r="EJ54" s="1">
        <v>0</v>
      </c>
      <c r="EK54" s="1">
        <v>90</v>
      </c>
      <c r="EL54" s="1">
        <v>60003760</v>
      </c>
      <c r="EM54" s="1">
        <v>32767</v>
      </c>
      <c r="EN54" s="1">
        <v>6</v>
      </c>
      <c r="EP54" s="1">
        <v>2867449085</v>
      </c>
      <c r="EQ54" s="1">
        <v>17889</v>
      </c>
      <c r="ER54" s="1">
        <v>45450</v>
      </c>
      <c r="ES54" s="1">
        <v>45450</v>
      </c>
      <c r="ET54" s="1">
        <v>467</v>
      </c>
      <c r="EU54" s="1">
        <v>1</v>
      </c>
      <c r="EV54" s="1">
        <v>0</v>
      </c>
      <c r="EW54" s="1">
        <v>90</v>
      </c>
      <c r="EX54" s="1">
        <v>60000925</v>
      </c>
      <c r="EY54" s="1">
        <v>32767</v>
      </c>
      <c r="EZ54" s="1">
        <v>4</v>
      </c>
      <c r="FB54" s="1">
        <v>2878141529</v>
      </c>
      <c r="FC54" s="1">
        <v>30259</v>
      </c>
      <c r="FD54" s="1">
        <v>5</v>
      </c>
      <c r="FE54" s="1">
        <v>5</v>
      </c>
      <c r="FF54" s="1">
        <v>5800599.9900000002</v>
      </c>
      <c r="FG54" s="1">
        <v>1</v>
      </c>
      <c r="FH54" s="1">
        <v>0</v>
      </c>
      <c r="FI54" s="1">
        <v>90</v>
      </c>
      <c r="FJ54" s="1">
        <v>60002956</v>
      </c>
      <c r="FK54" s="1">
        <v>32767</v>
      </c>
      <c r="FL54" s="1">
        <v>1</v>
      </c>
      <c r="FN54" s="1">
        <v>2826756921</v>
      </c>
      <c r="FO54" s="1">
        <v>25617</v>
      </c>
      <c r="FP54" s="1">
        <v>100</v>
      </c>
      <c r="FQ54" s="1">
        <v>24</v>
      </c>
      <c r="FR54" s="1">
        <v>4468005.1100000003</v>
      </c>
      <c r="FS54" s="1">
        <v>1</v>
      </c>
      <c r="FT54" s="1">
        <v>1</v>
      </c>
      <c r="FU54" s="1">
        <v>90</v>
      </c>
      <c r="FV54" s="1">
        <v>60003760</v>
      </c>
      <c r="FW54" s="1">
        <v>-1</v>
      </c>
      <c r="FX54" s="1">
        <v>0</v>
      </c>
      <c r="FZ54" s="1">
        <v>2873605558</v>
      </c>
      <c r="GA54" s="1">
        <v>44</v>
      </c>
      <c r="GB54" s="1">
        <v>80067</v>
      </c>
      <c r="GC54" s="1">
        <v>45361</v>
      </c>
      <c r="GD54" s="1">
        <v>12723.25</v>
      </c>
      <c r="GE54" s="1">
        <v>1</v>
      </c>
      <c r="GF54" s="1">
        <v>0</v>
      </c>
      <c r="GG54" s="1">
        <v>90</v>
      </c>
      <c r="GH54" s="1">
        <v>60003760</v>
      </c>
      <c r="GI54" s="1">
        <v>32767</v>
      </c>
      <c r="GJ54" s="1">
        <v>4</v>
      </c>
      <c r="GL54" s="1">
        <v>2412990661</v>
      </c>
      <c r="GM54" s="1">
        <v>16681</v>
      </c>
      <c r="GN54" s="1">
        <v>250000</v>
      </c>
      <c r="GO54" s="1">
        <v>250000</v>
      </c>
      <c r="GP54" s="1">
        <v>5970</v>
      </c>
      <c r="GQ54" s="1">
        <v>1</v>
      </c>
      <c r="GR54" s="1">
        <v>1</v>
      </c>
      <c r="GS54" s="1">
        <v>90</v>
      </c>
      <c r="GT54" s="1">
        <v>60003760</v>
      </c>
      <c r="GU54" s="1">
        <v>-1</v>
      </c>
      <c r="GV54" s="1">
        <v>0</v>
      </c>
      <c r="GX54" s="1">
        <v>2756714946</v>
      </c>
      <c r="GY54" s="1">
        <v>16683</v>
      </c>
      <c r="GZ54" s="1">
        <v>200000</v>
      </c>
      <c r="HA54" s="1">
        <v>200000</v>
      </c>
      <c r="HB54" s="1">
        <v>2699.99</v>
      </c>
      <c r="HC54" s="1">
        <v>1</v>
      </c>
      <c r="HD54" s="1">
        <v>1</v>
      </c>
      <c r="HE54" s="1">
        <v>90</v>
      </c>
      <c r="HF54" s="1">
        <v>60003760</v>
      </c>
      <c r="HG54" s="1">
        <v>20</v>
      </c>
      <c r="HH54" s="1">
        <v>0</v>
      </c>
      <c r="HJ54"/>
      <c r="HK54"/>
      <c r="HL54"/>
      <c r="HM54"/>
      <c r="HN54"/>
      <c r="HO54"/>
      <c r="HP54"/>
      <c r="HQ54"/>
      <c r="HR54"/>
      <c r="HS54"/>
      <c r="HT54"/>
      <c r="HV54" s="1">
        <v>2695834515</v>
      </c>
      <c r="HW54" s="1">
        <v>16274</v>
      </c>
      <c r="HX54" s="1">
        <v>1000000</v>
      </c>
      <c r="HY54" s="1">
        <v>489999</v>
      </c>
      <c r="HZ54" s="1">
        <v>449.01</v>
      </c>
      <c r="IA54" s="1">
        <v>1</v>
      </c>
      <c r="IB54" s="1">
        <v>0</v>
      </c>
      <c r="IC54" s="1">
        <v>30</v>
      </c>
      <c r="ID54" s="1">
        <v>60010192</v>
      </c>
      <c r="IE54" s="1">
        <v>32767</v>
      </c>
      <c r="IF54" s="1">
        <v>7</v>
      </c>
      <c r="IH54"/>
      <c r="II54"/>
      <c r="IJ54"/>
      <c r="IK54"/>
      <c r="IL54"/>
      <c r="IM54"/>
      <c r="IN54"/>
      <c r="IO54"/>
      <c r="IP54"/>
      <c r="IQ54"/>
      <c r="IR54"/>
      <c r="IT54" s="1">
        <v>2697573308</v>
      </c>
      <c r="IU54" s="1">
        <v>16679</v>
      </c>
      <c r="IV54" s="1">
        <v>500000</v>
      </c>
      <c r="IW54" s="1">
        <v>500000</v>
      </c>
      <c r="IX54" s="1">
        <v>3000</v>
      </c>
      <c r="IY54" s="1">
        <v>1</v>
      </c>
      <c r="IZ54" s="1">
        <v>0</v>
      </c>
      <c r="JA54" s="1">
        <v>90</v>
      </c>
      <c r="JB54" s="1">
        <v>60003760</v>
      </c>
      <c r="JC54" s="1">
        <v>32767</v>
      </c>
      <c r="JD54" s="1">
        <v>0</v>
      </c>
      <c r="JF54" s="1">
        <v>2878305820</v>
      </c>
      <c r="JG54" s="1">
        <v>16272</v>
      </c>
      <c r="JH54" s="1">
        <v>4892408</v>
      </c>
      <c r="JI54" s="1">
        <v>4833908</v>
      </c>
      <c r="JJ54" s="1">
        <v>74.87</v>
      </c>
      <c r="JK54" s="1">
        <v>1</v>
      </c>
      <c r="JL54" s="1">
        <v>0</v>
      </c>
      <c r="JM54" s="1">
        <v>90</v>
      </c>
      <c r="JN54" s="1">
        <v>60003760</v>
      </c>
      <c r="JO54" s="1">
        <v>32767</v>
      </c>
      <c r="JP54" s="1">
        <v>6</v>
      </c>
      <c r="JR54" s="1">
        <v>2873039305</v>
      </c>
      <c r="JS54" s="1">
        <v>10226</v>
      </c>
      <c r="JT54" s="1">
        <v>5</v>
      </c>
      <c r="JU54" s="1">
        <v>5</v>
      </c>
      <c r="JV54" s="1">
        <v>109947567.13</v>
      </c>
      <c r="JW54" s="1">
        <v>1</v>
      </c>
      <c r="JX54" s="1">
        <v>1</v>
      </c>
      <c r="JY54" s="1">
        <v>90</v>
      </c>
      <c r="JZ54" s="1">
        <v>60003760</v>
      </c>
      <c r="KA54" s="1">
        <v>-1</v>
      </c>
      <c r="KB54" s="1">
        <v>0</v>
      </c>
      <c r="KD54" s="1">
        <v>2872940983</v>
      </c>
      <c r="KE54" s="1">
        <v>25605</v>
      </c>
      <c r="KF54" s="1">
        <v>85415</v>
      </c>
      <c r="KG54" s="1">
        <v>76471</v>
      </c>
      <c r="KH54" s="1">
        <v>111999.99</v>
      </c>
      <c r="KI54" s="1">
        <v>1</v>
      </c>
      <c r="KJ54" s="1">
        <v>0</v>
      </c>
      <c r="KK54" s="1">
        <v>90</v>
      </c>
      <c r="KL54" s="1">
        <v>60003760</v>
      </c>
      <c r="KM54" s="1">
        <v>32767</v>
      </c>
      <c r="KN54" s="1">
        <v>6</v>
      </c>
      <c r="KP54" s="1">
        <v>2875449963</v>
      </c>
      <c r="KQ54" s="1">
        <v>25624</v>
      </c>
      <c r="KR54" s="1">
        <v>72</v>
      </c>
      <c r="KS54" s="1">
        <v>25</v>
      </c>
      <c r="KT54" s="1">
        <v>18497998</v>
      </c>
      <c r="KU54" s="1">
        <v>1</v>
      </c>
      <c r="KV54" s="1">
        <v>0</v>
      </c>
      <c r="KW54" s="1">
        <v>90</v>
      </c>
      <c r="KX54" s="1">
        <v>60003760</v>
      </c>
      <c r="KY54" s="1">
        <v>32767</v>
      </c>
      <c r="KZ54" s="1">
        <v>1</v>
      </c>
      <c r="LB54" s="1">
        <v>2852460271</v>
      </c>
      <c r="LC54" s="1">
        <v>9832</v>
      </c>
      <c r="LD54" s="1">
        <v>45514</v>
      </c>
      <c r="LE54" s="1">
        <v>45514</v>
      </c>
      <c r="LF54" s="1">
        <v>9750</v>
      </c>
      <c r="LG54" s="1">
        <v>1</v>
      </c>
      <c r="LH54" s="1">
        <v>0</v>
      </c>
      <c r="LI54" s="1">
        <v>90</v>
      </c>
      <c r="LJ54" s="1">
        <v>60003760</v>
      </c>
      <c r="LK54" s="1">
        <v>32767</v>
      </c>
      <c r="LL54" s="1">
        <v>0</v>
      </c>
      <c r="LN54" s="1">
        <v>2877280949</v>
      </c>
      <c r="LO54" s="1">
        <v>10209</v>
      </c>
      <c r="LP54" s="1">
        <v>2</v>
      </c>
      <c r="LQ54" s="1">
        <v>2</v>
      </c>
      <c r="LR54" s="1">
        <v>109605104</v>
      </c>
      <c r="LS54" s="1">
        <v>1</v>
      </c>
      <c r="LT54" s="1">
        <v>1</v>
      </c>
      <c r="LU54" s="1">
        <v>90</v>
      </c>
      <c r="LV54" s="1">
        <v>60003760</v>
      </c>
      <c r="LW54" s="1">
        <v>-1</v>
      </c>
      <c r="LX54" s="1">
        <v>0</v>
      </c>
      <c r="LZ54" s="1">
        <v>2877287896</v>
      </c>
      <c r="MA54" s="1">
        <v>10217</v>
      </c>
      <c r="MB54" s="1">
        <v>2</v>
      </c>
      <c r="MC54" s="1">
        <v>2</v>
      </c>
      <c r="MD54" s="1">
        <v>113277002</v>
      </c>
      <c r="ME54" s="1">
        <v>1</v>
      </c>
      <c r="MF54" s="1">
        <v>1</v>
      </c>
      <c r="MG54" s="1">
        <v>90</v>
      </c>
      <c r="MH54" s="1">
        <v>60003760</v>
      </c>
      <c r="MI54" s="1">
        <v>-1</v>
      </c>
      <c r="MJ54" s="1">
        <v>0</v>
      </c>
      <c r="ML54" s="1">
        <v>2831272421</v>
      </c>
      <c r="MM54" s="1">
        <v>25625</v>
      </c>
      <c r="MN54" s="1">
        <v>100</v>
      </c>
      <c r="MO54" s="1">
        <v>5</v>
      </c>
      <c r="MP54" s="1">
        <v>3655100</v>
      </c>
      <c r="MQ54" s="1">
        <v>1</v>
      </c>
      <c r="MR54" s="1">
        <v>1</v>
      </c>
      <c r="MS54" s="1">
        <v>90</v>
      </c>
      <c r="MT54" s="1">
        <v>60003760</v>
      </c>
      <c r="MU54" s="1">
        <v>-1</v>
      </c>
      <c r="MV54" s="1">
        <v>0</v>
      </c>
      <c r="MX54" s="1">
        <v>2876752833</v>
      </c>
      <c r="MY54" s="1">
        <v>16672</v>
      </c>
      <c r="MZ54" s="1">
        <v>9483558</v>
      </c>
      <c r="NA54" s="1">
        <v>9483558</v>
      </c>
      <c r="NB54" s="1">
        <v>128.97</v>
      </c>
      <c r="NC54" s="1">
        <v>1</v>
      </c>
      <c r="ND54" s="1">
        <v>0</v>
      </c>
      <c r="NE54" s="1">
        <v>30</v>
      </c>
      <c r="NF54" s="1">
        <v>60003760</v>
      </c>
      <c r="NG54" s="1">
        <v>32767</v>
      </c>
      <c r="NH54" s="1">
        <v>0</v>
      </c>
      <c r="NJ54" s="1">
        <v>2689998204</v>
      </c>
      <c r="NK54" s="1">
        <v>16673</v>
      </c>
      <c r="NL54" s="1">
        <v>1750000</v>
      </c>
      <c r="NM54" s="1">
        <v>1750000</v>
      </c>
      <c r="NN54" s="1">
        <v>171</v>
      </c>
      <c r="NO54" s="1">
        <v>1</v>
      </c>
      <c r="NP54" s="1">
        <v>0</v>
      </c>
      <c r="NQ54" s="1">
        <v>90</v>
      </c>
      <c r="NR54" s="1">
        <v>60003760</v>
      </c>
      <c r="NS54" s="1">
        <v>32767</v>
      </c>
      <c r="NT54" s="1">
        <v>6</v>
      </c>
      <c r="NV54" s="1">
        <v>2863342700</v>
      </c>
      <c r="NW54" s="1">
        <v>3689</v>
      </c>
      <c r="NX54" s="1">
        <v>10340</v>
      </c>
      <c r="NY54" s="1">
        <v>10340</v>
      </c>
      <c r="NZ54" s="1">
        <v>10500</v>
      </c>
      <c r="OA54" s="1">
        <v>1</v>
      </c>
      <c r="OB54" s="1">
        <v>0</v>
      </c>
      <c r="OC54" s="1">
        <v>90</v>
      </c>
      <c r="OD54" s="1">
        <v>60003760</v>
      </c>
      <c r="OE54" s="1">
        <v>32767</v>
      </c>
      <c r="OF54" s="1">
        <v>0</v>
      </c>
      <c r="OH54" s="1">
        <v>2838762638</v>
      </c>
      <c r="OI54" s="1">
        <v>25598</v>
      </c>
      <c r="OJ54" s="1">
        <v>122</v>
      </c>
      <c r="OK54" s="1">
        <v>122</v>
      </c>
      <c r="OL54" s="1">
        <v>158250</v>
      </c>
      <c r="OM54" s="1">
        <v>1</v>
      </c>
      <c r="ON54" s="1">
        <v>0</v>
      </c>
      <c r="OO54" s="1">
        <v>30</v>
      </c>
      <c r="OP54" s="1">
        <v>60003760</v>
      </c>
      <c r="OQ54" s="1">
        <v>32767</v>
      </c>
      <c r="OR54" s="1">
        <v>0</v>
      </c>
      <c r="OT54" s="1">
        <v>2844829597</v>
      </c>
      <c r="OU54" s="1">
        <v>25600</v>
      </c>
      <c r="OV54" s="1">
        <v>56440</v>
      </c>
      <c r="OW54" s="1">
        <v>56440</v>
      </c>
      <c r="OX54" s="1">
        <v>31998.97</v>
      </c>
      <c r="OY54" s="1">
        <v>1</v>
      </c>
      <c r="OZ54" s="1">
        <v>0</v>
      </c>
      <c r="PA54" s="1">
        <v>90</v>
      </c>
      <c r="PB54" s="1">
        <v>60003760</v>
      </c>
      <c r="PC54" s="1">
        <v>32767</v>
      </c>
      <c r="PD54" s="1">
        <v>0</v>
      </c>
      <c r="PF54" s="1">
        <v>2869083241</v>
      </c>
      <c r="PG54" s="1">
        <v>16670</v>
      </c>
      <c r="PH54" s="1">
        <v>5000000</v>
      </c>
      <c r="PI54" s="1">
        <v>5000000</v>
      </c>
      <c r="PJ54" s="1">
        <v>132</v>
      </c>
      <c r="PK54" s="1">
        <v>1</v>
      </c>
      <c r="PL54" s="1">
        <v>0</v>
      </c>
      <c r="PM54" s="1">
        <v>90</v>
      </c>
      <c r="PN54" s="1">
        <v>60003760</v>
      </c>
      <c r="PO54" s="1">
        <v>32767</v>
      </c>
      <c r="PP54" s="1">
        <v>7</v>
      </c>
      <c r="PR54" s="1">
        <v>2775465170</v>
      </c>
      <c r="PS54" s="1">
        <v>10222</v>
      </c>
      <c r="PT54" s="1">
        <v>10</v>
      </c>
      <c r="PU54" s="1">
        <v>10</v>
      </c>
      <c r="PV54" s="1">
        <v>99517889</v>
      </c>
      <c r="PW54" s="1">
        <v>1</v>
      </c>
      <c r="PX54" s="1">
        <v>1</v>
      </c>
      <c r="PY54" s="1">
        <v>90</v>
      </c>
      <c r="PZ54" s="1">
        <v>60003760</v>
      </c>
      <c r="QA54" s="1">
        <v>-1</v>
      </c>
      <c r="QB54" s="1">
        <v>0</v>
      </c>
      <c r="QD54" s="1">
        <v>2793886800</v>
      </c>
      <c r="QE54" s="1">
        <v>9830</v>
      </c>
      <c r="QF54" s="1">
        <v>2870</v>
      </c>
      <c r="QG54" s="1">
        <v>209</v>
      </c>
      <c r="QH54" s="1">
        <v>9000</v>
      </c>
      <c r="QI54" s="1">
        <v>1</v>
      </c>
      <c r="QJ54" s="1">
        <v>0</v>
      </c>
      <c r="QK54" s="1">
        <v>90</v>
      </c>
      <c r="QL54" s="1">
        <v>60000655</v>
      </c>
      <c r="QM54" s="1">
        <v>32767</v>
      </c>
      <c r="QN54" s="1">
        <v>7</v>
      </c>
      <c r="QP54" s="1">
        <v>2871832553</v>
      </c>
      <c r="QQ54" s="1">
        <v>16671</v>
      </c>
      <c r="QR54" s="1">
        <v>50000</v>
      </c>
      <c r="QS54" s="1">
        <v>50000</v>
      </c>
      <c r="QT54" s="1">
        <v>105.5</v>
      </c>
      <c r="QU54" s="1">
        <v>1</v>
      </c>
      <c r="QV54" s="1">
        <v>0</v>
      </c>
      <c r="QW54" s="1">
        <v>90</v>
      </c>
      <c r="QX54" s="1">
        <v>60003760</v>
      </c>
      <c r="QY54" s="1">
        <v>32767</v>
      </c>
      <c r="QZ54" s="1">
        <v>7</v>
      </c>
      <c r="RB54" s="1">
        <v>2876943672</v>
      </c>
      <c r="RC54" s="1">
        <v>16682</v>
      </c>
      <c r="RD54" s="1">
        <v>375750</v>
      </c>
      <c r="RE54" s="1">
        <v>326772</v>
      </c>
      <c r="RF54" s="1">
        <v>3349.55</v>
      </c>
      <c r="RG54" s="1">
        <v>1</v>
      </c>
      <c r="RH54" s="1">
        <v>0</v>
      </c>
      <c r="RI54" s="1">
        <v>90</v>
      </c>
      <c r="RJ54" s="1">
        <v>60003760</v>
      </c>
      <c r="RK54" s="1">
        <v>32767</v>
      </c>
      <c r="RL54" s="1">
        <v>8</v>
      </c>
      <c r="RN54" s="1">
        <v>2789792823</v>
      </c>
      <c r="RO54" s="1">
        <v>16678</v>
      </c>
      <c r="RP54" s="1">
        <v>2000000</v>
      </c>
      <c r="RQ54" s="1">
        <v>1224224</v>
      </c>
      <c r="RR54" s="1">
        <v>222.23</v>
      </c>
      <c r="RS54" s="1">
        <v>1</v>
      </c>
      <c r="RT54" s="1">
        <v>1</v>
      </c>
      <c r="RU54" s="1">
        <v>90</v>
      </c>
      <c r="RV54" s="1">
        <v>60003760</v>
      </c>
      <c r="RW54" s="1">
        <v>0</v>
      </c>
      <c r="RX54" s="1">
        <v>0</v>
      </c>
      <c r="RZ54" s="1">
        <v>2753000592</v>
      </c>
      <c r="SA54" s="1">
        <v>30310</v>
      </c>
      <c r="SB54" s="1">
        <v>10000</v>
      </c>
      <c r="SC54" s="1">
        <v>9342</v>
      </c>
      <c r="SD54" s="1">
        <v>17791.490000000002</v>
      </c>
      <c r="SE54" s="1">
        <v>1</v>
      </c>
      <c r="SF54" s="1">
        <v>1</v>
      </c>
      <c r="SG54" s="1">
        <v>90</v>
      </c>
      <c r="SH54" s="1">
        <v>60003760</v>
      </c>
      <c r="SI54" s="1">
        <v>32767</v>
      </c>
      <c r="SJ54" s="1">
        <v>0</v>
      </c>
      <c r="SL54" s="1">
        <v>2878923775</v>
      </c>
      <c r="SM54" s="1">
        <v>30311</v>
      </c>
      <c r="SN54" s="1">
        <v>164</v>
      </c>
      <c r="SO54" s="1">
        <v>164</v>
      </c>
      <c r="SP54" s="1">
        <v>3127000.92</v>
      </c>
      <c r="SQ54" s="1">
        <v>1</v>
      </c>
      <c r="SR54" s="1">
        <v>0</v>
      </c>
      <c r="SS54" s="1">
        <v>90</v>
      </c>
      <c r="ST54" s="1">
        <v>60003760</v>
      </c>
      <c r="SU54" s="1">
        <v>32767</v>
      </c>
      <c r="SV54" s="1">
        <v>0</v>
      </c>
      <c r="SX54" s="1">
        <v>2842068660</v>
      </c>
      <c r="SY54" s="1">
        <v>25595</v>
      </c>
      <c r="SZ54" s="1">
        <v>4</v>
      </c>
      <c r="TA54" s="1">
        <v>4</v>
      </c>
      <c r="TB54" s="1">
        <v>92249.97</v>
      </c>
      <c r="TC54" s="1">
        <v>1</v>
      </c>
      <c r="TD54" s="1">
        <v>0</v>
      </c>
      <c r="TE54" s="1">
        <v>30</v>
      </c>
      <c r="TF54" s="1">
        <v>60003760</v>
      </c>
      <c r="TG54" s="1">
        <v>32767</v>
      </c>
      <c r="TH54" s="1">
        <v>6</v>
      </c>
      <c r="TJ54" s="1">
        <v>2868556716</v>
      </c>
      <c r="TK54" s="1">
        <v>25606</v>
      </c>
      <c r="TL54" s="1">
        <v>146</v>
      </c>
      <c r="TM54" s="1">
        <v>146</v>
      </c>
      <c r="TN54" s="1">
        <v>26000</v>
      </c>
      <c r="TO54" s="1">
        <v>1</v>
      </c>
      <c r="TP54" s="1">
        <v>0</v>
      </c>
      <c r="TQ54" s="1">
        <v>90</v>
      </c>
      <c r="TR54" s="1">
        <v>60003760</v>
      </c>
      <c r="TS54" s="1">
        <v>32767</v>
      </c>
      <c r="TT54" s="1">
        <v>0</v>
      </c>
      <c r="TV54" s="1">
        <v>2786678968</v>
      </c>
      <c r="TW54" s="1">
        <v>25622</v>
      </c>
      <c r="TX54" s="1">
        <v>105</v>
      </c>
      <c r="TY54" s="1">
        <v>105</v>
      </c>
      <c r="TZ54" s="1">
        <v>1</v>
      </c>
      <c r="UA54" s="1">
        <v>1</v>
      </c>
      <c r="UB54" s="1">
        <v>1</v>
      </c>
      <c r="UC54" s="1">
        <v>90</v>
      </c>
      <c r="UD54" s="1">
        <v>60003760</v>
      </c>
      <c r="UE54" s="1">
        <v>32767</v>
      </c>
      <c r="UF54" s="1">
        <v>0</v>
      </c>
      <c r="UH54" s="1">
        <v>2761091753</v>
      </c>
      <c r="UI54" s="1">
        <v>16680</v>
      </c>
      <c r="UJ54" s="1">
        <v>30000</v>
      </c>
      <c r="UK54" s="1">
        <v>23940</v>
      </c>
      <c r="UL54" s="1">
        <v>519.08000000000004</v>
      </c>
      <c r="UM54" s="1">
        <v>1</v>
      </c>
      <c r="UN54" s="1">
        <v>1</v>
      </c>
      <c r="UO54" s="1">
        <v>90</v>
      </c>
      <c r="UP54" s="1">
        <v>60003760</v>
      </c>
      <c r="UQ54" s="1">
        <v>32767</v>
      </c>
      <c r="UR54" s="1">
        <v>0</v>
      </c>
      <c r="UT54" s="1">
        <v>2702496974</v>
      </c>
      <c r="UU54" s="1">
        <v>17317</v>
      </c>
      <c r="UV54" s="1">
        <v>10000</v>
      </c>
      <c r="UW54" s="1">
        <v>9000</v>
      </c>
      <c r="UX54" s="1">
        <v>10000.14</v>
      </c>
      <c r="UY54" s="1">
        <v>50</v>
      </c>
      <c r="UZ54" s="1">
        <v>1</v>
      </c>
      <c r="VA54" s="1">
        <v>90</v>
      </c>
      <c r="VB54" s="1">
        <v>60003754</v>
      </c>
      <c r="VC54" s="1">
        <v>32767</v>
      </c>
      <c r="VD54" s="1">
        <v>0</v>
      </c>
      <c r="VF54"/>
      <c r="VG54"/>
      <c r="VH54"/>
      <c r="VI54"/>
      <c r="VJ54"/>
      <c r="VK54"/>
      <c r="VL54"/>
      <c r="VM54"/>
      <c r="VN54"/>
      <c r="VO54"/>
      <c r="VP54"/>
    </row>
    <row r="55" spans="2:588" x14ac:dyDescent="0.25">
      <c r="B55" s="1">
        <v>2826526289</v>
      </c>
      <c r="C55" s="1">
        <v>34</v>
      </c>
      <c r="D55" s="1">
        <v>2487447</v>
      </c>
      <c r="E55" s="1">
        <v>2487447</v>
      </c>
      <c r="F55" s="1">
        <v>5.99</v>
      </c>
      <c r="G55" s="1">
        <v>1</v>
      </c>
      <c r="H55" s="1">
        <v>0</v>
      </c>
      <c r="I55" s="1">
        <v>90</v>
      </c>
      <c r="J55" s="1">
        <v>60003760</v>
      </c>
      <c r="K55" s="1">
        <v>32767</v>
      </c>
      <c r="L55" s="1">
        <v>0</v>
      </c>
      <c r="N55" s="1">
        <v>2833105853</v>
      </c>
      <c r="O55" s="1">
        <v>35</v>
      </c>
      <c r="P55" s="1">
        <v>11034858</v>
      </c>
      <c r="Q55" s="1">
        <v>11034858</v>
      </c>
      <c r="R55" s="1">
        <v>15.5</v>
      </c>
      <c r="S55" s="1">
        <v>1</v>
      </c>
      <c r="T55" s="1">
        <v>0</v>
      </c>
      <c r="U55" s="1">
        <v>90</v>
      </c>
      <c r="V55" s="1">
        <v>60003760</v>
      </c>
      <c r="W55" s="1">
        <v>32767</v>
      </c>
      <c r="X55" s="1">
        <v>0</v>
      </c>
      <c r="Z55" s="1">
        <v>2760593149</v>
      </c>
      <c r="AA55" s="1">
        <v>36</v>
      </c>
      <c r="AB55" s="1">
        <v>127</v>
      </c>
      <c r="AC55" s="1">
        <v>127</v>
      </c>
      <c r="AD55" s="16">
        <v>61.16</v>
      </c>
      <c r="AE55" s="1">
        <v>1</v>
      </c>
      <c r="AF55" s="1">
        <v>0</v>
      </c>
      <c r="AG55" s="1">
        <v>90</v>
      </c>
      <c r="AH55" s="1">
        <v>60003760</v>
      </c>
      <c r="AI55" s="1">
        <v>32767</v>
      </c>
      <c r="AJ55" s="1">
        <v>11</v>
      </c>
      <c r="AL55" s="1">
        <v>2846293658</v>
      </c>
      <c r="AM55" s="1">
        <v>37</v>
      </c>
      <c r="AN55" s="1">
        <v>1089854</v>
      </c>
      <c r="AO55" s="1">
        <v>1089854</v>
      </c>
      <c r="AP55" s="16">
        <v>180</v>
      </c>
      <c r="AQ55" s="1">
        <v>1</v>
      </c>
      <c r="AR55" s="1">
        <v>0</v>
      </c>
      <c r="AS55" s="1">
        <v>90</v>
      </c>
      <c r="AT55" s="1">
        <v>60003760</v>
      </c>
      <c r="AU55" s="1">
        <v>32767</v>
      </c>
      <c r="AV55" s="1">
        <v>9</v>
      </c>
      <c r="AX55" s="1">
        <v>2877741255</v>
      </c>
      <c r="AY55" s="1">
        <v>38</v>
      </c>
      <c r="AZ55" s="1">
        <v>524797</v>
      </c>
      <c r="BA55" s="1">
        <v>124504</v>
      </c>
      <c r="BB55" s="1">
        <v>825</v>
      </c>
      <c r="BC55" s="1">
        <v>1</v>
      </c>
      <c r="BD55" s="1">
        <v>0</v>
      </c>
      <c r="BE55" s="1">
        <v>90</v>
      </c>
      <c r="BF55" s="1">
        <v>60003757</v>
      </c>
      <c r="BG55" s="1">
        <v>32767</v>
      </c>
      <c r="BH55" s="1">
        <v>5</v>
      </c>
      <c r="BJ55" s="1">
        <v>2604698786</v>
      </c>
      <c r="BK55" s="1">
        <v>39</v>
      </c>
      <c r="BL55" s="1">
        <v>30817602</v>
      </c>
      <c r="BM55" s="1">
        <v>30817602</v>
      </c>
      <c r="BN55" s="1">
        <v>1599.97</v>
      </c>
      <c r="BO55" s="1">
        <v>1</v>
      </c>
      <c r="BP55" s="1">
        <v>0</v>
      </c>
      <c r="BQ55" s="1">
        <v>90</v>
      </c>
      <c r="BR55" s="1">
        <v>60003760</v>
      </c>
      <c r="BS55" s="1">
        <v>32767</v>
      </c>
      <c r="BT55" s="1">
        <v>5</v>
      </c>
      <c r="BV55" s="1">
        <v>2390608372</v>
      </c>
      <c r="BW55" s="1">
        <v>40</v>
      </c>
      <c r="BX55" s="1">
        <v>32465</v>
      </c>
      <c r="BY55" s="1">
        <v>32465</v>
      </c>
      <c r="BZ55" s="1">
        <v>2887.9</v>
      </c>
      <c r="CA55" s="1">
        <v>1</v>
      </c>
      <c r="CB55" s="1">
        <v>0</v>
      </c>
      <c r="CC55" s="1">
        <v>90</v>
      </c>
      <c r="CD55" s="1">
        <v>60003760</v>
      </c>
      <c r="CE55" s="1">
        <v>32767</v>
      </c>
      <c r="CF55" s="1">
        <v>13</v>
      </c>
      <c r="CH55" s="1">
        <v>2348963264</v>
      </c>
      <c r="CI55" s="1">
        <v>29668</v>
      </c>
      <c r="CJ55" s="1">
        <v>1</v>
      </c>
      <c r="CK55" s="1">
        <v>1</v>
      </c>
      <c r="CL55" s="1">
        <v>530000000.00999999</v>
      </c>
      <c r="CM55" s="1">
        <v>1</v>
      </c>
      <c r="CN55" s="1">
        <v>0</v>
      </c>
      <c r="CO55" s="1">
        <v>90</v>
      </c>
      <c r="CP55" s="1">
        <v>60003760</v>
      </c>
      <c r="CQ55" s="1">
        <v>32767</v>
      </c>
      <c r="CR55" s="1">
        <v>0</v>
      </c>
      <c r="CT55" s="1">
        <v>2412180808</v>
      </c>
      <c r="CU55" s="1">
        <v>16649</v>
      </c>
      <c r="CV55" s="1">
        <v>15000</v>
      </c>
      <c r="CW55" s="1">
        <v>15000</v>
      </c>
      <c r="CX55" s="1">
        <v>98006.15</v>
      </c>
      <c r="CY55" s="1">
        <v>1</v>
      </c>
      <c r="CZ55" s="1">
        <v>1</v>
      </c>
      <c r="DA55" s="1">
        <v>30</v>
      </c>
      <c r="DB55" s="1">
        <v>60003760</v>
      </c>
      <c r="DC55" s="1">
        <v>-1</v>
      </c>
      <c r="DD55" s="1">
        <v>0</v>
      </c>
      <c r="DF55" s="1">
        <v>2400294166</v>
      </c>
      <c r="DG55" s="1">
        <v>17887</v>
      </c>
      <c r="DH55" s="1">
        <v>1000000</v>
      </c>
      <c r="DI55" s="1">
        <v>1000000</v>
      </c>
      <c r="DJ55" s="1">
        <v>1119</v>
      </c>
      <c r="DK55" s="1">
        <v>1</v>
      </c>
      <c r="DL55" s="1">
        <v>0</v>
      </c>
      <c r="DM55" s="1">
        <v>90</v>
      </c>
      <c r="DN55" s="1">
        <v>60003760</v>
      </c>
      <c r="DO55" s="1">
        <v>32767</v>
      </c>
      <c r="DP55" s="1">
        <v>0</v>
      </c>
      <c r="DR55" s="1">
        <v>2816244482</v>
      </c>
      <c r="DS55" s="1">
        <v>17888</v>
      </c>
      <c r="DT55" s="1">
        <v>1447280</v>
      </c>
      <c r="DU55" s="1">
        <v>447280</v>
      </c>
      <c r="DV55" s="1">
        <v>381.89</v>
      </c>
      <c r="DW55" s="1">
        <v>1</v>
      </c>
      <c r="DX55" s="1">
        <v>0</v>
      </c>
      <c r="DY55" s="1">
        <v>90</v>
      </c>
      <c r="DZ55" s="1">
        <v>60003760</v>
      </c>
      <c r="EA55" s="1">
        <v>32767</v>
      </c>
      <c r="EB55" s="1">
        <v>8</v>
      </c>
      <c r="ED55" s="1">
        <v>2876125099</v>
      </c>
      <c r="EE55" s="1">
        <v>16273</v>
      </c>
      <c r="EF55" s="1">
        <v>3000000</v>
      </c>
      <c r="EG55" s="1">
        <v>1533645</v>
      </c>
      <c r="EH55" s="1">
        <v>371.91</v>
      </c>
      <c r="EI55" s="1">
        <v>1</v>
      </c>
      <c r="EJ55" s="1">
        <v>0</v>
      </c>
      <c r="EK55" s="1">
        <v>90</v>
      </c>
      <c r="EL55" s="1">
        <v>60003760</v>
      </c>
      <c r="EM55" s="1">
        <v>32767</v>
      </c>
      <c r="EN55" s="1">
        <v>6</v>
      </c>
      <c r="EP55" s="1">
        <v>2865589656</v>
      </c>
      <c r="EQ55" s="1">
        <v>17889</v>
      </c>
      <c r="ER55" s="1">
        <v>600000</v>
      </c>
      <c r="ES55" s="1">
        <v>531000</v>
      </c>
      <c r="ET55" s="1">
        <v>430</v>
      </c>
      <c r="EU55" s="1">
        <v>1</v>
      </c>
      <c r="EV55" s="1">
        <v>0</v>
      </c>
      <c r="EW55" s="1">
        <v>90</v>
      </c>
      <c r="EX55" s="1">
        <v>60003142</v>
      </c>
      <c r="EY55" s="1">
        <v>32767</v>
      </c>
      <c r="EZ55" s="1">
        <v>4</v>
      </c>
      <c r="FB55" s="1">
        <v>2876958616</v>
      </c>
      <c r="FC55" s="1">
        <v>30259</v>
      </c>
      <c r="FD55" s="1">
        <v>2</v>
      </c>
      <c r="FE55" s="1">
        <v>2</v>
      </c>
      <c r="FF55" s="1">
        <v>5934000</v>
      </c>
      <c r="FG55" s="1">
        <v>1</v>
      </c>
      <c r="FH55" s="1">
        <v>0</v>
      </c>
      <c r="FI55" s="1">
        <v>3</v>
      </c>
      <c r="FJ55" s="1">
        <v>60003934</v>
      </c>
      <c r="FK55" s="1">
        <v>32767</v>
      </c>
      <c r="FL55" s="1">
        <v>3</v>
      </c>
      <c r="FN55" s="1">
        <v>2829541817</v>
      </c>
      <c r="FO55" s="1">
        <v>25617</v>
      </c>
      <c r="FP55" s="1">
        <v>222</v>
      </c>
      <c r="FQ55" s="1">
        <v>40</v>
      </c>
      <c r="FR55" s="1">
        <v>4412500.1100000003</v>
      </c>
      <c r="FS55" s="1">
        <v>1</v>
      </c>
      <c r="FT55" s="1">
        <v>1</v>
      </c>
      <c r="FU55" s="1">
        <v>90</v>
      </c>
      <c r="FV55" s="1">
        <v>60003760</v>
      </c>
      <c r="FW55" s="1">
        <v>-1</v>
      </c>
      <c r="FX55" s="1">
        <v>0</v>
      </c>
      <c r="FZ55" s="1">
        <v>2873593597</v>
      </c>
      <c r="GA55" s="1">
        <v>44</v>
      </c>
      <c r="GB55" s="1">
        <v>525</v>
      </c>
      <c r="GC55" s="1">
        <v>525</v>
      </c>
      <c r="GD55" s="1">
        <v>12889.92</v>
      </c>
      <c r="GE55" s="1">
        <v>1</v>
      </c>
      <c r="GF55" s="1">
        <v>0</v>
      </c>
      <c r="GG55" s="1">
        <v>30</v>
      </c>
      <c r="GH55" s="1">
        <v>60003760</v>
      </c>
      <c r="GI55" s="1">
        <v>32767</v>
      </c>
      <c r="GJ55" s="1">
        <v>4</v>
      </c>
      <c r="GL55" s="1">
        <v>2412342104</v>
      </c>
      <c r="GM55" s="1">
        <v>16681</v>
      </c>
      <c r="GN55" s="1">
        <v>60000</v>
      </c>
      <c r="GO55" s="1">
        <v>60000</v>
      </c>
      <c r="GP55" s="1">
        <v>5924</v>
      </c>
      <c r="GQ55" s="1">
        <v>1</v>
      </c>
      <c r="GR55" s="1">
        <v>1</v>
      </c>
      <c r="GS55" s="1">
        <v>90</v>
      </c>
      <c r="GT55" s="1">
        <v>60003760</v>
      </c>
      <c r="GU55" s="1">
        <v>0</v>
      </c>
      <c r="GV55" s="1">
        <v>0</v>
      </c>
      <c r="GX55" s="1">
        <v>2761999179</v>
      </c>
      <c r="GY55" s="1">
        <v>16683</v>
      </c>
      <c r="GZ55" s="1">
        <v>10000</v>
      </c>
      <c r="HA55" s="1">
        <v>10000</v>
      </c>
      <c r="HB55" s="1">
        <v>2700</v>
      </c>
      <c r="HC55" s="1">
        <v>1</v>
      </c>
      <c r="HD55" s="1">
        <v>1</v>
      </c>
      <c r="HE55" s="1">
        <v>90</v>
      </c>
      <c r="HF55" s="1">
        <v>60003760</v>
      </c>
      <c r="HG55" s="1">
        <v>32767</v>
      </c>
      <c r="HH55" s="1">
        <v>0</v>
      </c>
      <c r="HJ55"/>
      <c r="HK55"/>
      <c r="HL55"/>
      <c r="HM55"/>
      <c r="HN55"/>
      <c r="HO55"/>
      <c r="HP55"/>
      <c r="HQ55"/>
      <c r="HR55"/>
      <c r="HS55"/>
      <c r="HT55"/>
      <c r="HV55" s="1">
        <v>2868208229</v>
      </c>
      <c r="HW55" s="1">
        <v>16274</v>
      </c>
      <c r="HX55" s="1">
        <v>200000</v>
      </c>
      <c r="HY55" s="1">
        <v>125000</v>
      </c>
      <c r="HZ55" s="1">
        <v>349</v>
      </c>
      <c r="IA55" s="1">
        <v>1</v>
      </c>
      <c r="IB55" s="1">
        <v>0</v>
      </c>
      <c r="IC55" s="1">
        <v>90</v>
      </c>
      <c r="ID55" s="1">
        <v>60003049</v>
      </c>
      <c r="IE55" s="1">
        <v>32767</v>
      </c>
      <c r="IF55" s="1">
        <v>7</v>
      </c>
      <c r="IH55"/>
      <c r="II55"/>
      <c r="IJ55"/>
      <c r="IK55"/>
      <c r="IL55"/>
      <c r="IM55"/>
      <c r="IN55"/>
      <c r="IO55"/>
      <c r="IP55"/>
      <c r="IQ55"/>
      <c r="IR55"/>
      <c r="IT55" s="1">
        <v>2868807363</v>
      </c>
      <c r="IU55" s="1">
        <v>16679</v>
      </c>
      <c r="IV55" s="1">
        <v>3149171</v>
      </c>
      <c r="IW55" s="1">
        <v>3149171</v>
      </c>
      <c r="IX55" s="1">
        <v>1850</v>
      </c>
      <c r="IY55" s="1">
        <v>1</v>
      </c>
      <c r="IZ55" s="1">
        <v>0</v>
      </c>
      <c r="JA55" s="1">
        <v>30</v>
      </c>
      <c r="JB55" s="1">
        <v>60003760</v>
      </c>
      <c r="JC55" s="1">
        <v>32767</v>
      </c>
      <c r="JD55" s="1">
        <v>0</v>
      </c>
      <c r="JF55" s="1">
        <v>2878277312</v>
      </c>
      <c r="JG55" s="1">
        <v>16272</v>
      </c>
      <c r="JH55" s="1">
        <v>190300</v>
      </c>
      <c r="JI55" s="1">
        <v>145371</v>
      </c>
      <c r="JJ55" s="1">
        <v>74.900000000000006</v>
      </c>
      <c r="JK55" s="1">
        <v>1</v>
      </c>
      <c r="JL55" s="1">
        <v>0</v>
      </c>
      <c r="JM55" s="1">
        <v>90</v>
      </c>
      <c r="JN55" s="1">
        <v>60003760</v>
      </c>
      <c r="JO55" s="1">
        <v>32767</v>
      </c>
      <c r="JP55" s="1">
        <v>6</v>
      </c>
      <c r="JR55" s="1">
        <v>2876870506</v>
      </c>
      <c r="JS55" s="1">
        <v>10226</v>
      </c>
      <c r="JT55" s="1">
        <v>15</v>
      </c>
      <c r="JU55" s="1">
        <v>4</v>
      </c>
      <c r="JV55" s="1">
        <v>111105000</v>
      </c>
      <c r="JW55" s="1">
        <v>1</v>
      </c>
      <c r="JX55" s="1">
        <v>1</v>
      </c>
      <c r="JY55" s="1">
        <v>90</v>
      </c>
      <c r="JZ55" s="1">
        <v>60003760</v>
      </c>
      <c r="KA55" s="1">
        <v>-1</v>
      </c>
      <c r="KB55" s="1">
        <v>0</v>
      </c>
      <c r="KD55" s="1">
        <v>2875588390</v>
      </c>
      <c r="KE55" s="1">
        <v>25605</v>
      </c>
      <c r="KF55" s="1">
        <v>6</v>
      </c>
      <c r="KG55" s="1">
        <v>6</v>
      </c>
      <c r="KH55" s="1">
        <v>11099999</v>
      </c>
      <c r="KI55" s="1">
        <v>1</v>
      </c>
      <c r="KJ55" s="1">
        <v>0</v>
      </c>
      <c r="KK55" s="1">
        <v>7</v>
      </c>
      <c r="KL55" s="1">
        <v>60003760</v>
      </c>
      <c r="KM55" s="1">
        <v>32767</v>
      </c>
      <c r="KN55" s="1">
        <v>6</v>
      </c>
      <c r="KP55" s="1">
        <v>2875547458</v>
      </c>
      <c r="KQ55" s="1">
        <v>25624</v>
      </c>
      <c r="KR55" s="1">
        <v>13</v>
      </c>
      <c r="KS55" s="1">
        <v>13</v>
      </c>
      <c r="KT55" s="1">
        <v>18497997.949999999</v>
      </c>
      <c r="KU55" s="1">
        <v>1</v>
      </c>
      <c r="KV55" s="1">
        <v>0</v>
      </c>
      <c r="KW55" s="1">
        <v>90</v>
      </c>
      <c r="KX55" s="1">
        <v>60003760</v>
      </c>
      <c r="KY55" s="1">
        <v>32767</v>
      </c>
      <c r="KZ55" s="1">
        <v>1</v>
      </c>
      <c r="LB55" s="1">
        <v>2850896049</v>
      </c>
      <c r="LC55" s="1">
        <v>9832</v>
      </c>
      <c r="LD55" s="1">
        <v>10605</v>
      </c>
      <c r="LE55" s="1">
        <v>10605</v>
      </c>
      <c r="LF55" s="1">
        <v>9712.8799999999992</v>
      </c>
      <c r="LG55" s="1">
        <v>1</v>
      </c>
      <c r="LH55" s="1">
        <v>0</v>
      </c>
      <c r="LI55" s="1">
        <v>90</v>
      </c>
      <c r="LJ55" s="1">
        <v>60003760</v>
      </c>
      <c r="LK55" s="1">
        <v>32767</v>
      </c>
      <c r="LL55" s="1">
        <v>0</v>
      </c>
      <c r="LN55" s="1">
        <v>2877293075</v>
      </c>
      <c r="LO55" s="1">
        <v>10209</v>
      </c>
      <c r="LP55" s="1">
        <v>1</v>
      </c>
      <c r="LQ55" s="1">
        <v>1</v>
      </c>
      <c r="LR55" s="1">
        <v>112000000.11</v>
      </c>
      <c r="LS55" s="1">
        <v>1</v>
      </c>
      <c r="LT55" s="1">
        <v>1</v>
      </c>
      <c r="LU55" s="1">
        <v>90</v>
      </c>
      <c r="LV55" s="1">
        <v>60003760</v>
      </c>
      <c r="LW55" s="1">
        <v>-1</v>
      </c>
      <c r="LX55" s="1">
        <v>0</v>
      </c>
      <c r="LZ55" s="1">
        <v>2877178501</v>
      </c>
      <c r="MA55" s="1">
        <v>10217</v>
      </c>
      <c r="MB55" s="1">
        <v>5</v>
      </c>
      <c r="MC55" s="1">
        <v>3</v>
      </c>
      <c r="MD55" s="1">
        <v>113275001.63</v>
      </c>
      <c r="ME55" s="1">
        <v>1</v>
      </c>
      <c r="MF55" s="1">
        <v>1</v>
      </c>
      <c r="MG55" s="1">
        <v>30</v>
      </c>
      <c r="MH55" s="1">
        <v>60003760</v>
      </c>
      <c r="MI55" s="1">
        <v>4</v>
      </c>
      <c r="MJ55" s="1">
        <v>0</v>
      </c>
      <c r="ML55" s="1">
        <v>2720935832</v>
      </c>
      <c r="MM55" s="1">
        <v>25625</v>
      </c>
      <c r="MN55" s="1">
        <v>100</v>
      </c>
      <c r="MO55" s="1">
        <v>28</v>
      </c>
      <c r="MP55" s="1">
        <v>2531002</v>
      </c>
      <c r="MQ55" s="1">
        <v>1</v>
      </c>
      <c r="MR55" s="1">
        <v>1</v>
      </c>
      <c r="MS55" s="1">
        <v>90</v>
      </c>
      <c r="MT55" s="1">
        <v>60003760</v>
      </c>
      <c r="MU55" s="1">
        <v>5</v>
      </c>
      <c r="MV55" s="1">
        <v>0</v>
      </c>
      <c r="MX55" s="1">
        <v>2876569684</v>
      </c>
      <c r="MY55" s="1">
        <v>16672</v>
      </c>
      <c r="MZ55" s="1">
        <v>8000000</v>
      </c>
      <c r="NA55" s="1">
        <v>8000000</v>
      </c>
      <c r="NB55" s="1">
        <v>131.13</v>
      </c>
      <c r="NC55" s="1">
        <v>1</v>
      </c>
      <c r="ND55" s="1">
        <v>0</v>
      </c>
      <c r="NE55" s="1">
        <v>30</v>
      </c>
      <c r="NF55" s="1">
        <v>60003760</v>
      </c>
      <c r="NG55" s="1">
        <v>32767</v>
      </c>
      <c r="NH55" s="1">
        <v>0</v>
      </c>
      <c r="NJ55" s="1">
        <v>2746209639</v>
      </c>
      <c r="NK55" s="1">
        <v>16673</v>
      </c>
      <c r="NL55" s="1">
        <v>3180000</v>
      </c>
      <c r="NM55" s="1">
        <v>3180000</v>
      </c>
      <c r="NN55" s="1">
        <v>138</v>
      </c>
      <c r="NO55" s="1">
        <v>1</v>
      </c>
      <c r="NP55" s="1">
        <v>0</v>
      </c>
      <c r="NQ55" s="1">
        <v>90</v>
      </c>
      <c r="NR55" s="1">
        <v>60003760</v>
      </c>
      <c r="NS55" s="1">
        <v>32767</v>
      </c>
      <c r="NT55" s="1">
        <v>6</v>
      </c>
      <c r="NV55" s="1">
        <v>2864123668</v>
      </c>
      <c r="NW55" s="1">
        <v>3689</v>
      </c>
      <c r="NX55" s="1">
        <v>42710</v>
      </c>
      <c r="NY55" s="1">
        <v>32570</v>
      </c>
      <c r="NZ55" s="1">
        <v>10394</v>
      </c>
      <c r="OA55" s="1">
        <v>1</v>
      </c>
      <c r="OB55" s="1">
        <v>0</v>
      </c>
      <c r="OC55" s="1">
        <v>90</v>
      </c>
      <c r="OD55" s="1">
        <v>60003760</v>
      </c>
      <c r="OE55" s="1">
        <v>32767</v>
      </c>
      <c r="OF55" s="1">
        <v>0</v>
      </c>
      <c r="OH55" s="1">
        <v>2839687174</v>
      </c>
      <c r="OI55" s="1">
        <v>25598</v>
      </c>
      <c r="OJ55" s="1">
        <v>15815</v>
      </c>
      <c r="OK55" s="1">
        <v>1222</v>
      </c>
      <c r="OL55" s="1">
        <v>155399.97</v>
      </c>
      <c r="OM55" s="1">
        <v>1</v>
      </c>
      <c r="ON55" s="1">
        <v>0</v>
      </c>
      <c r="OO55" s="1">
        <v>90</v>
      </c>
      <c r="OP55" s="1">
        <v>60003760</v>
      </c>
      <c r="OQ55" s="1">
        <v>32767</v>
      </c>
      <c r="OR55" s="1">
        <v>0</v>
      </c>
      <c r="OT55" s="1">
        <v>2851275542</v>
      </c>
      <c r="OU55" s="1">
        <v>25600</v>
      </c>
      <c r="OV55" s="1">
        <v>306</v>
      </c>
      <c r="OW55" s="1">
        <v>306</v>
      </c>
      <c r="OX55" s="1">
        <v>32000</v>
      </c>
      <c r="OY55" s="1">
        <v>1</v>
      </c>
      <c r="OZ55" s="1">
        <v>0</v>
      </c>
      <c r="PA55" s="1">
        <v>90</v>
      </c>
      <c r="PB55" s="1">
        <v>60003760</v>
      </c>
      <c r="PC55" s="1">
        <v>32767</v>
      </c>
      <c r="PD55" s="1">
        <v>0</v>
      </c>
      <c r="PF55" s="1">
        <v>2869083386</v>
      </c>
      <c r="PG55" s="1">
        <v>16670</v>
      </c>
      <c r="PH55" s="1">
        <v>5000000</v>
      </c>
      <c r="PI55" s="1">
        <v>5000000</v>
      </c>
      <c r="PJ55" s="1">
        <v>133</v>
      </c>
      <c r="PK55" s="1">
        <v>1</v>
      </c>
      <c r="PL55" s="1">
        <v>0</v>
      </c>
      <c r="PM55" s="1">
        <v>90</v>
      </c>
      <c r="PN55" s="1">
        <v>60003760</v>
      </c>
      <c r="PO55" s="1">
        <v>32767</v>
      </c>
      <c r="PP55" s="1">
        <v>7</v>
      </c>
      <c r="PR55" s="1">
        <v>2779622294</v>
      </c>
      <c r="PS55" s="1">
        <v>10222</v>
      </c>
      <c r="PT55" s="1">
        <v>3</v>
      </c>
      <c r="PU55" s="1">
        <v>3</v>
      </c>
      <c r="PV55" s="1">
        <v>102100000</v>
      </c>
      <c r="PW55" s="1">
        <v>1</v>
      </c>
      <c r="PX55" s="1">
        <v>1</v>
      </c>
      <c r="PY55" s="1">
        <v>90</v>
      </c>
      <c r="PZ55" s="1">
        <v>60003760</v>
      </c>
      <c r="QA55" s="1">
        <v>-1</v>
      </c>
      <c r="QB55" s="1">
        <v>0</v>
      </c>
      <c r="QD55" s="1">
        <v>2815388569</v>
      </c>
      <c r="QE55" s="1">
        <v>9830</v>
      </c>
      <c r="QF55" s="1">
        <v>7</v>
      </c>
      <c r="QG55" s="1">
        <v>7</v>
      </c>
      <c r="QH55" s="1">
        <v>8125.99</v>
      </c>
      <c r="QI55" s="1">
        <v>1</v>
      </c>
      <c r="QJ55" s="1">
        <v>0</v>
      </c>
      <c r="QK55" s="1">
        <v>90</v>
      </c>
      <c r="QL55" s="1">
        <v>60003046</v>
      </c>
      <c r="QM55" s="1">
        <v>32767</v>
      </c>
      <c r="QN55" s="1">
        <v>10</v>
      </c>
      <c r="QP55" s="1">
        <v>2871833940</v>
      </c>
      <c r="QQ55" s="1">
        <v>16671</v>
      </c>
      <c r="QR55" s="1">
        <v>50000</v>
      </c>
      <c r="QS55" s="1">
        <v>50000</v>
      </c>
      <c r="QT55" s="1">
        <v>105.51</v>
      </c>
      <c r="QU55" s="1">
        <v>1</v>
      </c>
      <c r="QV55" s="1">
        <v>0</v>
      </c>
      <c r="QW55" s="1">
        <v>90</v>
      </c>
      <c r="QX55" s="1">
        <v>60003760</v>
      </c>
      <c r="QY55" s="1">
        <v>32767</v>
      </c>
      <c r="QZ55" s="1">
        <v>7</v>
      </c>
      <c r="RB55" s="1">
        <v>2878493379</v>
      </c>
      <c r="RC55" s="1">
        <v>16682</v>
      </c>
      <c r="RD55" s="1">
        <v>1004886</v>
      </c>
      <c r="RE55" s="1">
        <v>1004886</v>
      </c>
      <c r="RF55" s="1">
        <v>3349.48</v>
      </c>
      <c r="RG55" s="1">
        <v>1</v>
      </c>
      <c r="RH55" s="1">
        <v>0</v>
      </c>
      <c r="RI55" s="1">
        <v>90</v>
      </c>
      <c r="RJ55" s="1">
        <v>60003760</v>
      </c>
      <c r="RK55" s="1">
        <v>32767</v>
      </c>
      <c r="RL55" s="1">
        <v>0</v>
      </c>
      <c r="RN55" s="1">
        <v>2783276033</v>
      </c>
      <c r="RO55" s="1">
        <v>16678</v>
      </c>
      <c r="RP55" s="1">
        <v>800000</v>
      </c>
      <c r="RQ55" s="1">
        <v>800000</v>
      </c>
      <c r="RR55" s="1">
        <v>217.51</v>
      </c>
      <c r="RS55" s="1">
        <v>1</v>
      </c>
      <c r="RT55" s="1">
        <v>1</v>
      </c>
      <c r="RU55" s="1">
        <v>90</v>
      </c>
      <c r="RV55" s="1">
        <v>60003760</v>
      </c>
      <c r="RW55" s="1">
        <v>-1</v>
      </c>
      <c r="RX55" s="1">
        <v>0</v>
      </c>
      <c r="RZ55" s="1">
        <v>2761993380</v>
      </c>
      <c r="SA55" s="1">
        <v>30310</v>
      </c>
      <c r="SB55" s="1">
        <v>1000</v>
      </c>
      <c r="SC55" s="1">
        <v>1000</v>
      </c>
      <c r="SD55" s="1">
        <v>16998.59</v>
      </c>
      <c r="SE55" s="1">
        <v>1</v>
      </c>
      <c r="SF55" s="1">
        <v>1</v>
      </c>
      <c r="SG55" s="1">
        <v>90</v>
      </c>
      <c r="SH55" s="1">
        <v>60003760</v>
      </c>
      <c r="SI55" s="1">
        <v>32767</v>
      </c>
      <c r="SJ55" s="1">
        <v>0</v>
      </c>
      <c r="SL55" s="1">
        <v>2877765022</v>
      </c>
      <c r="SM55" s="1">
        <v>30311</v>
      </c>
      <c r="SN55" s="1">
        <v>215</v>
      </c>
      <c r="SO55" s="1">
        <v>215</v>
      </c>
      <c r="SP55" s="1">
        <v>3127000.85</v>
      </c>
      <c r="SQ55" s="1">
        <v>1</v>
      </c>
      <c r="SR55" s="1">
        <v>0</v>
      </c>
      <c r="SS55" s="1">
        <v>90</v>
      </c>
      <c r="ST55" s="1">
        <v>60003760</v>
      </c>
      <c r="SU55" s="1">
        <v>32767</v>
      </c>
      <c r="SV55" s="1">
        <v>0</v>
      </c>
      <c r="SX55" s="1">
        <v>2842245582</v>
      </c>
      <c r="SY55" s="1">
        <v>25595</v>
      </c>
      <c r="SZ55" s="1">
        <v>232</v>
      </c>
      <c r="TA55" s="1">
        <v>232</v>
      </c>
      <c r="TB55" s="1">
        <v>90252.14</v>
      </c>
      <c r="TC55" s="1">
        <v>1</v>
      </c>
      <c r="TD55" s="1">
        <v>0</v>
      </c>
      <c r="TE55" s="1">
        <v>90</v>
      </c>
      <c r="TF55" s="1">
        <v>60003760</v>
      </c>
      <c r="TG55" s="1">
        <v>32767</v>
      </c>
      <c r="TH55" s="1">
        <v>6</v>
      </c>
      <c r="TJ55" s="1">
        <v>2867114839</v>
      </c>
      <c r="TK55" s="1">
        <v>25606</v>
      </c>
      <c r="TL55" s="1">
        <v>11399</v>
      </c>
      <c r="TM55" s="1">
        <v>11399</v>
      </c>
      <c r="TN55" s="1">
        <v>23986.97</v>
      </c>
      <c r="TO55" s="1">
        <v>1</v>
      </c>
      <c r="TP55" s="1">
        <v>0</v>
      </c>
      <c r="TQ55" s="1">
        <v>90</v>
      </c>
      <c r="TR55" s="1">
        <v>60003760</v>
      </c>
      <c r="TS55" s="1">
        <v>32767</v>
      </c>
      <c r="TT55" s="1">
        <v>0</v>
      </c>
      <c r="TV55" s="1">
        <v>2833502938</v>
      </c>
      <c r="TW55" s="1">
        <v>25622</v>
      </c>
      <c r="TX55" s="1">
        <v>100</v>
      </c>
      <c r="TY55" s="1">
        <v>100</v>
      </c>
      <c r="TZ55" s="1">
        <v>13200000</v>
      </c>
      <c r="UA55" s="1">
        <v>1</v>
      </c>
      <c r="UB55" s="1">
        <v>1</v>
      </c>
      <c r="UC55" s="1">
        <v>90</v>
      </c>
      <c r="UD55" s="1">
        <v>60003760</v>
      </c>
      <c r="UE55" s="1">
        <v>-1</v>
      </c>
      <c r="UF55" s="1">
        <v>0</v>
      </c>
      <c r="UH55" s="1">
        <v>2812751710</v>
      </c>
      <c r="UI55" s="1">
        <v>16680</v>
      </c>
      <c r="UJ55" s="1">
        <v>500000</v>
      </c>
      <c r="UK55" s="1">
        <v>231797</v>
      </c>
      <c r="UL55" s="1">
        <v>639.19000000000005</v>
      </c>
      <c r="UM55" s="1">
        <v>1</v>
      </c>
      <c r="UN55" s="1">
        <v>1</v>
      </c>
      <c r="UO55" s="1">
        <v>90</v>
      </c>
      <c r="UP55" s="1">
        <v>60003760</v>
      </c>
      <c r="UQ55" s="1">
        <v>3</v>
      </c>
      <c r="UR55" s="1">
        <v>0</v>
      </c>
      <c r="UT55" s="1">
        <v>2850630081</v>
      </c>
      <c r="UU55" s="1">
        <v>17317</v>
      </c>
      <c r="UV55" s="1">
        <v>1000</v>
      </c>
      <c r="UW55" s="1">
        <v>1000</v>
      </c>
      <c r="UX55" s="1">
        <v>26103.26</v>
      </c>
      <c r="UY55" s="1">
        <v>1</v>
      </c>
      <c r="UZ55" s="1">
        <v>1</v>
      </c>
      <c r="VA55" s="1">
        <v>30</v>
      </c>
      <c r="VB55" s="1">
        <v>60004213</v>
      </c>
      <c r="VC55" s="1">
        <v>5</v>
      </c>
      <c r="VD55" s="1">
        <v>0</v>
      </c>
      <c r="VF55"/>
      <c r="VG55"/>
      <c r="VH55"/>
      <c r="VI55"/>
      <c r="VJ55"/>
      <c r="VK55"/>
      <c r="VL55"/>
      <c r="VM55"/>
      <c r="VN55"/>
      <c r="VO55"/>
      <c r="VP55"/>
    </row>
    <row r="56" spans="2:588" x14ac:dyDescent="0.25">
      <c r="B56" s="1">
        <v>2826787281</v>
      </c>
      <c r="C56" s="1">
        <v>34</v>
      </c>
      <c r="D56" s="1">
        <v>102357257</v>
      </c>
      <c r="E56" s="1">
        <v>102357257</v>
      </c>
      <c r="F56" s="1">
        <v>5.96</v>
      </c>
      <c r="G56" s="1">
        <v>1</v>
      </c>
      <c r="H56" s="1">
        <v>0</v>
      </c>
      <c r="I56" s="1">
        <v>90</v>
      </c>
      <c r="J56" s="1">
        <v>60003760</v>
      </c>
      <c r="K56" s="1">
        <v>32767</v>
      </c>
      <c r="L56" s="1">
        <v>0</v>
      </c>
      <c r="N56" s="1">
        <v>2833006424</v>
      </c>
      <c r="O56" s="1">
        <v>35</v>
      </c>
      <c r="P56" s="1">
        <v>243527791</v>
      </c>
      <c r="Q56" s="1">
        <v>243527791</v>
      </c>
      <c r="R56" s="1">
        <v>16.52</v>
      </c>
      <c r="S56" s="1">
        <v>1</v>
      </c>
      <c r="T56" s="1">
        <v>0</v>
      </c>
      <c r="U56" s="1">
        <v>90</v>
      </c>
      <c r="V56" s="1">
        <v>60003760</v>
      </c>
      <c r="W56" s="1">
        <v>32767</v>
      </c>
      <c r="X56" s="1">
        <v>0</v>
      </c>
      <c r="Z56" s="1">
        <v>2763082702</v>
      </c>
      <c r="AA56" s="1">
        <v>36</v>
      </c>
      <c r="AB56" s="1">
        <v>73029</v>
      </c>
      <c r="AC56" s="1">
        <v>73029</v>
      </c>
      <c r="AD56" s="16">
        <v>59.1</v>
      </c>
      <c r="AE56" s="1">
        <v>1</v>
      </c>
      <c r="AF56" s="1">
        <v>0</v>
      </c>
      <c r="AG56" s="1">
        <v>90</v>
      </c>
      <c r="AH56" s="1">
        <v>60003760</v>
      </c>
      <c r="AI56" s="1">
        <v>32767</v>
      </c>
      <c r="AJ56" s="1">
        <v>11</v>
      </c>
      <c r="AL56" s="1">
        <v>2845271056</v>
      </c>
      <c r="AM56" s="1">
        <v>37</v>
      </c>
      <c r="AN56" s="1">
        <v>13067466</v>
      </c>
      <c r="AO56" s="1">
        <v>13067466</v>
      </c>
      <c r="AP56" s="16">
        <v>151.71</v>
      </c>
      <c r="AQ56" s="1">
        <v>1</v>
      </c>
      <c r="AR56" s="1">
        <v>0</v>
      </c>
      <c r="AS56" s="1">
        <v>90</v>
      </c>
      <c r="AT56" s="1">
        <v>60003760</v>
      </c>
      <c r="AU56" s="1">
        <v>32767</v>
      </c>
      <c r="AV56" s="1">
        <v>9</v>
      </c>
      <c r="AX56" s="1">
        <v>2877662385</v>
      </c>
      <c r="AY56" s="1">
        <v>38</v>
      </c>
      <c r="AZ56" s="1">
        <v>5000000</v>
      </c>
      <c r="BA56" s="1">
        <v>566934</v>
      </c>
      <c r="BB56" s="1">
        <v>819.72</v>
      </c>
      <c r="BC56" s="1">
        <v>1</v>
      </c>
      <c r="BD56" s="1">
        <v>0</v>
      </c>
      <c r="BE56" s="1">
        <v>90</v>
      </c>
      <c r="BF56" s="1">
        <v>60003760</v>
      </c>
      <c r="BG56" s="1">
        <v>32767</v>
      </c>
      <c r="BH56" s="1">
        <v>5</v>
      </c>
      <c r="BJ56" s="1">
        <v>2623470976</v>
      </c>
      <c r="BK56" s="1">
        <v>39</v>
      </c>
      <c r="BL56" s="1">
        <v>12612</v>
      </c>
      <c r="BM56" s="1">
        <v>12612</v>
      </c>
      <c r="BN56" s="1">
        <v>825</v>
      </c>
      <c r="BO56" s="1">
        <v>1</v>
      </c>
      <c r="BP56" s="1">
        <v>0</v>
      </c>
      <c r="BQ56" s="1">
        <v>90</v>
      </c>
      <c r="BR56" s="1">
        <v>60003760</v>
      </c>
      <c r="BS56" s="1">
        <v>32767</v>
      </c>
      <c r="BT56" s="1">
        <v>5</v>
      </c>
      <c r="BV56" s="1">
        <v>2390448695</v>
      </c>
      <c r="BW56" s="1">
        <v>40</v>
      </c>
      <c r="BX56" s="1">
        <v>300</v>
      </c>
      <c r="BY56" s="1">
        <v>300</v>
      </c>
      <c r="BZ56" s="1">
        <v>2889.84</v>
      </c>
      <c r="CA56" s="1">
        <v>1</v>
      </c>
      <c r="CB56" s="1">
        <v>0</v>
      </c>
      <c r="CC56" s="1">
        <v>90</v>
      </c>
      <c r="CD56" s="1">
        <v>60003760</v>
      </c>
      <c r="CE56" s="1">
        <v>32767</v>
      </c>
      <c r="CF56" s="1">
        <v>13</v>
      </c>
      <c r="CH56" s="1">
        <v>2348963775</v>
      </c>
      <c r="CI56" s="1">
        <v>29668</v>
      </c>
      <c r="CJ56" s="1">
        <v>1</v>
      </c>
      <c r="CK56" s="1">
        <v>1</v>
      </c>
      <c r="CL56" s="1">
        <v>513859997.88</v>
      </c>
      <c r="CM56" s="1">
        <v>1</v>
      </c>
      <c r="CN56" s="1">
        <v>0</v>
      </c>
      <c r="CO56" s="1">
        <v>90</v>
      </c>
      <c r="CP56" s="1">
        <v>60003760</v>
      </c>
      <c r="CQ56" s="1">
        <v>32767</v>
      </c>
      <c r="CR56" s="1">
        <v>0</v>
      </c>
      <c r="CT56" s="1">
        <v>2412184583</v>
      </c>
      <c r="CU56" s="1">
        <v>16649</v>
      </c>
      <c r="CV56" s="1">
        <v>10000</v>
      </c>
      <c r="CW56" s="1">
        <v>10000</v>
      </c>
      <c r="CX56" s="1">
        <v>97921</v>
      </c>
      <c r="CY56" s="1">
        <v>1</v>
      </c>
      <c r="CZ56" s="1">
        <v>1</v>
      </c>
      <c r="DA56" s="1">
        <v>90</v>
      </c>
      <c r="DB56" s="1">
        <v>60003760</v>
      </c>
      <c r="DC56" s="1">
        <v>-1</v>
      </c>
      <c r="DD56" s="1">
        <v>0</v>
      </c>
      <c r="DF56" s="1">
        <v>2401741086</v>
      </c>
      <c r="DG56" s="1">
        <v>17887</v>
      </c>
      <c r="DH56" s="1">
        <v>3945447</v>
      </c>
      <c r="DI56" s="1">
        <v>3171343</v>
      </c>
      <c r="DJ56" s="1">
        <v>1032.83</v>
      </c>
      <c r="DK56" s="1">
        <v>1</v>
      </c>
      <c r="DL56" s="1">
        <v>0</v>
      </c>
      <c r="DM56" s="1">
        <v>90</v>
      </c>
      <c r="DN56" s="1">
        <v>60003760</v>
      </c>
      <c r="DO56" s="1">
        <v>32767</v>
      </c>
      <c r="DP56" s="1">
        <v>0</v>
      </c>
      <c r="DR56" s="1">
        <v>2816176258</v>
      </c>
      <c r="DS56" s="1">
        <v>17888</v>
      </c>
      <c r="DT56" s="1">
        <v>1461224</v>
      </c>
      <c r="DU56" s="1">
        <v>1436224</v>
      </c>
      <c r="DV56" s="1">
        <v>381.97</v>
      </c>
      <c r="DW56" s="1">
        <v>1</v>
      </c>
      <c r="DX56" s="1">
        <v>0</v>
      </c>
      <c r="DY56" s="1">
        <v>90</v>
      </c>
      <c r="DZ56" s="1">
        <v>60003760</v>
      </c>
      <c r="EA56" s="1">
        <v>32767</v>
      </c>
      <c r="EB56" s="1">
        <v>8</v>
      </c>
      <c r="ED56" s="1">
        <v>2830256552</v>
      </c>
      <c r="EE56" s="1">
        <v>16273</v>
      </c>
      <c r="EF56" s="1">
        <v>88073</v>
      </c>
      <c r="EG56" s="1">
        <v>66373</v>
      </c>
      <c r="EH56" s="1">
        <v>400</v>
      </c>
      <c r="EI56" s="1">
        <v>1</v>
      </c>
      <c r="EJ56" s="1">
        <v>0</v>
      </c>
      <c r="EK56" s="1">
        <v>90</v>
      </c>
      <c r="EL56" s="1">
        <v>60001648</v>
      </c>
      <c r="EM56" s="1">
        <v>32767</v>
      </c>
      <c r="EN56" s="1">
        <v>6</v>
      </c>
      <c r="EP56" s="1">
        <v>2769013138</v>
      </c>
      <c r="EQ56" s="1">
        <v>17889</v>
      </c>
      <c r="ER56" s="1">
        <v>1000000</v>
      </c>
      <c r="ES56" s="1">
        <v>877417</v>
      </c>
      <c r="ET56" s="1">
        <v>498.91</v>
      </c>
      <c r="EU56" s="1">
        <v>1</v>
      </c>
      <c r="EV56" s="1">
        <v>0</v>
      </c>
      <c r="EW56" s="1">
        <v>90</v>
      </c>
      <c r="EX56" s="1">
        <v>60003043</v>
      </c>
      <c r="EY56" s="1">
        <v>32767</v>
      </c>
      <c r="EZ56" s="1">
        <v>3</v>
      </c>
      <c r="FB56" s="1">
        <v>2877951141</v>
      </c>
      <c r="FC56" s="1">
        <v>30259</v>
      </c>
      <c r="FD56" s="1">
        <v>8</v>
      </c>
      <c r="FE56" s="1">
        <v>8</v>
      </c>
      <c r="FF56" s="1">
        <v>5600000</v>
      </c>
      <c r="FG56" s="1">
        <v>1</v>
      </c>
      <c r="FH56" s="1">
        <v>0</v>
      </c>
      <c r="FI56" s="1">
        <v>90</v>
      </c>
      <c r="FJ56" s="1">
        <v>60010192</v>
      </c>
      <c r="FK56" s="1">
        <v>32767</v>
      </c>
      <c r="FL56" s="1">
        <v>9</v>
      </c>
      <c r="FN56" s="1">
        <v>2814888648</v>
      </c>
      <c r="FO56" s="1">
        <v>25617</v>
      </c>
      <c r="FP56" s="1">
        <v>5000</v>
      </c>
      <c r="FQ56" s="1">
        <v>5000</v>
      </c>
      <c r="FR56" s="1">
        <v>4969.99</v>
      </c>
      <c r="FS56" s="1">
        <v>1</v>
      </c>
      <c r="FT56" s="1">
        <v>1</v>
      </c>
      <c r="FU56" s="1">
        <v>90</v>
      </c>
      <c r="FV56" s="1">
        <v>60003760</v>
      </c>
      <c r="FW56" s="1">
        <v>32767</v>
      </c>
      <c r="FX56" s="1">
        <v>0</v>
      </c>
      <c r="FZ56" s="1">
        <v>2872605911</v>
      </c>
      <c r="GA56" s="1">
        <v>44</v>
      </c>
      <c r="GB56" s="1">
        <v>1250</v>
      </c>
      <c r="GC56" s="1">
        <v>1250</v>
      </c>
      <c r="GD56" s="1">
        <v>13359.93</v>
      </c>
      <c r="GE56" s="1">
        <v>1</v>
      </c>
      <c r="GF56" s="1">
        <v>0</v>
      </c>
      <c r="GG56" s="1">
        <v>14</v>
      </c>
      <c r="GH56" s="1">
        <v>60003760</v>
      </c>
      <c r="GI56" s="1">
        <v>32767</v>
      </c>
      <c r="GJ56" s="1">
        <v>4</v>
      </c>
      <c r="GL56" s="1">
        <v>2412371946</v>
      </c>
      <c r="GM56" s="1">
        <v>16681</v>
      </c>
      <c r="GN56" s="1">
        <v>2000000</v>
      </c>
      <c r="GO56" s="1">
        <v>2000000</v>
      </c>
      <c r="GP56" s="1">
        <v>5301</v>
      </c>
      <c r="GQ56" s="1">
        <v>1</v>
      </c>
      <c r="GR56" s="1">
        <v>1</v>
      </c>
      <c r="GS56" s="1">
        <v>90</v>
      </c>
      <c r="GT56" s="1">
        <v>60003760</v>
      </c>
      <c r="GU56" s="1">
        <v>-1</v>
      </c>
      <c r="GV56" s="1">
        <v>0</v>
      </c>
      <c r="GX56" s="1">
        <v>2809809997</v>
      </c>
      <c r="GY56" s="1">
        <v>16683</v>
      </c>
      <c r="GZ56" s="1">
        <v>5000</v>
      </c>
      <c r="HA56" s="1">
        <v>4990</v>
      </c>
      <c r="HB56" s="1">
        <v>8281.36</v>
      </c>
      <c r="HC56" s="1">
        <v>1</v>
      </c>
      <c r="HD56" s="1">
        <v>1</v>
      </c>
      <c r="HE56" s="1">
        <v>90</v>
      </c>
      <c r="HF56" s="1">
        <v>60003760</v>
      </c>
      <c r="HG56" s="1">
        <v>-1</v>
      </c>
      <c r="HH56" s="1">
        <v>0</v>
      </c>
      <c r="HJ56"/>
      <c r="HK56"/>
      <c r="HL56"/>
      <c r="HM56"/>
      <c r="HN56"/>
      <c r="HO56"/>
      <c r="HP56"/>
      <c r="HQ56"/>
      <c r="HR56"/>
      <c r="HS56"/>
      <c r="HT56"/>
      <c r="HV56" s="1">
        <v>2859871117</v>
      </c>
      <c r="HW56" s="1">
        <v>16274</v>
      </c>
      <c r="HX56" s="1">
        <v>300000</v>
      </c>
      <c r="HY56" s="1">
        <v>234900</v>
      </c>
      <c r="HZ56" s="1">
        <v>545</v>
      </c>
      <c r="IA56" s="1">
        <v>1</v>
      </c>
      <c r="IB56" s="1">
        <v>0</v>
      </c>
      <c r="IC56" s="1">
        <v>90</v>
      </c>
      <c r="ID56" s="1">
        <v>60004081</v>
      </c>
      <c r="IE56" s="1">
        <v>32767</v>
      </c>
      <c r="IF56" s="1">
        <v>8</v>
      </c>
      <c r="IH56"/>
      <c r="II56"/>
      <c r="IJ56"/>
      <c r="IK56"/>
      <c r="IL56"/>
      <c r="IM56"/>
      <c r="IN56"/>
      <c r="IO56"/>
      <c r="IP56"/>
      <c r="IQ56"/>
      <c r="IR56"/>
      <c r="IT56" s="1">
        <v>2868807744</v>
      </c>
      <c r="IU56" s="1">
        <v>16679</v>
      </c>
      <c r="IV56" s="1">
        <v>3000000</v>
      </c>
      <c r="IW56" s="1">
        <v>3000000</v>
      </c>
      <c r="IX56" s="1">
        <v>1891.43</v>
      </c>
      <c r="IY56" s="1">
        <v>1</v>
      </c>
      <c r="IZ56" s="1">
        <v>0</v>
      </c>
      <c r="JA56" s="1">
        <v>30</v>
      </c>
      <c r="JB56" s="1">
        <v>60003760</v>
      </c>
      <c r="JC56" s="1">
        <v>32767</v>
      </c>
      <c r="JD56" s="1">
        <v>0</v>
      </c>
      <c r="JF56" s="1">
        <v>2877853193</v>
      </c>
      <c r="JG56" s="1">
        <v>16272</v>
      </c>
      <c r="JH56" s="1">
        <v>500000</v>
      </c>
      <c r="JI56" s="1">
        <v>500000</v>
      </c>
      <c r="JJ56" s="1">
        <v>77</v>
      </c>
      <c r="JK56" s="1">
        <v>1</v>
      </c>
      <c r="JL56" s="1">
        <v>0</v>
      </c>
      <c r="JM56" s="1">
        <v>14</v>
      </c>
      <c r="JN56" s="1">
        <v>60003760</v>
      </c>
      <c r="JO56" s="1">
        <v>32767</v>
      </c>
      <c r="JP56" s="1">
        <v>6</v>
      </c>
      <c r="JR56" s="1">
        <v>2878214477</v>
      </c>
      <c r="JS56" s="1">
        <v>10226</v>
      </c>
      <c r="JT56" s="1">
        <v>8</v>
      </c>
      <c r="JU56" s="1">
        <v>5</v>
      </c>
      <c r="JV56" s="1">
        <v>111306000</v>
      </c>
      <c r="JW56" s="1">
        <v>1</v>
      </c>
      <c r="JX56" s="1">
        <v>1</v>
      </c>
      <c r="JY56" s="1">
        <v>30</v>
      </c>
      <c r="JZ56" s="1">
        <v>60003760</v>
      </c>
      <c r="KA56" s="1">
        <v>-1</v>
      </c>
      <c r="KB56" s="1">
        <v>0</v>
      </c>
      <c r="KD56" s="1">
        <v>2875544338</v>
      </c>
      <c r="KE56" s="1">
        <v>25605</v>
      </c>
      <c r="KF56" s="1">
        <v>109</v>
      </c>
      <c r="KG56" s="1">
        <v>109</v>
      </c>
      <c r="KH56" s="1">
        <v>115000</v>
      </c>
      <c r="KI56" s="1">
        <v>1</v>
      </c>
      <c r="KJ56" s="1">
        <v>0</v>
      </c>
      <c r="KK56" s="1">
        <v>7</v>
      </c>
      <c r="KL56" s="1">
        <v>60003760</v>
      </c>
      <c r="KM56" s="1">
        <v>32767</v>
      </c>
      <c r="KN56" s="1">
        <v>6</v>
      </c>
      <c r="KP56" s="1">
        <v>2875160118</v>
      </c>
      <c r="KQ56" s="1">
        <v>25624</v>
      </c>
      <c r="KR56" s="1">
        <v>31</v>
      </c>
      <c r="KS56" s="1">
        <v>31</v>
      </c>
      <c r="KT56" s="1">
        <v>18496948.920000002</v>
      </c>
      <c r="KU56" s="1">
        <v>1</v>
      </c>
      <c r="KV56" s="1">
        <v>0</v>
      </c>
      <c r="KW56" s="1">
        <v>90</v>
      </c>
      <c r="KX56" s="1">
        <v>60003760</v>
      </c>
      <c r="KY56" s="1">
        <v>32767</v>
      </c>
      <c r="KZ56" s="1">
        <v>1</v>
      </c>
      <c r="LB56" s="1">
        <v>2857537781</v>
      </c>
      <c r="LC56" s="1">
        <v>9832</v>
      </c>
      <c r="LD56" s="1">
        <v>39947</v>
      </c>
      <c r="LE56" s="1">
        <v>39947</v>
      </c>
      <c r="LF56" s="1">
        <v>9950</v>
      </c>
      <c r="LG56" s="1">
        <v>1</v>
      </c>
      <c r="LH56" s="1">
        <v>0</v>
      </c>
      <c r="LI56" s="1">
        <v>90</v>
      </c>
      <c r="LJ56" s="1">
        <v>60003760</v>
      </c>
      <c r="LK56" s="1">
        <v>32767</v>
      </c>
      <c r="LL56" s="1">
        <v>0</v>
      </c>
      <c r="LN56" s="1">
        <v>2877179407</v>
      </c>
      <c r="LO56" s="1">
        <v>10209</v>
      </c>
      <c r="LP56" s="1">
        <v>1</v>
      </c>
      <c r="LQ56" s="1">
        <v>1</v>
      </c>
      <c r="LR56" s="1">
        <v>109605002.2</v>
      </c>
      <c r="LS56" s="1">
        <v>1</v>
      </c>
      <c r="LT56" s="1">
        <v>1</v>
      </c>
      <c r="LU56" s="1">
        <v>30</v>
      </c>
      <c r="LV56" s="1">
        <v>60003760</v>
      </c>
      <c r="LW56" s="1">
        <v>4</v>
      </c>
      <c r="LX56" s="1">
        <v>0</v>
      </c>
      <c r="LZ56" s="1">
        <v>2877245688</v>
      </c>
      <c r="MA56" s="1">
        <v>10217</v>
      </c>
      <c r="MB56" s="1">
        <v>1</v>
      </c>
      <c r="MC56" s="1">
        <v>1</v>
      </c>
      <c r="MD56" s="1">
        <v>113277003.58</v>
      </c>
      <c r="ME56" s="1">
        <v>1</v>
      </c>
      <c r="MF56" s="1">
        <v>1</v>
      </c>
      <c r="MG56" s="1">
        <v>90</v>
      </c>
      <c r="MH56" s="1">
        <v>60003760</v>
      </c>
      <c r="MI56" s="1">
        <v>-1</v>
      </c>
      <c r="MJ56" s="1">
        <v>0</v>
      </c>
      <c r="ML56" s="1">
        <v>2867205578</v>
      </c>
      <c r="MM56" s="1">
        <v>25625</v>
      </c>
      <c r="MN56" s="1">
        <v>40</v>
      </c>
      <c r="MO56" s="1">
        <v>36</v>
      </c>
      <c r="MP56" s="1">
        <v>3649008</v>
      </c>
      <c r="MQ56" s="1">
        <v>1</v>
      </c>
      <c r="MR56" s="1">
        <v>1</v>
      </c>
      <c r="MS56" s="1">
        <v>90</v>
      </c>
      <c r="MT56" s="1">
        <v>60003760</v>
      </c>
      <c r="MU56" s="1">
        <v>-1</v>
      </c>
      <c r="MV56" s="1">
        <v>0</v>
      </c>
      <c r="MX56" s="1">
        <v>2877226364</v>
      </c>
      <c r="MY56" s="1">
        <v>16672</v>
      </c>
      <c r="MZ56" s="1">
        <v>1980000</v>
      </c>
      <c r="NA56" s="1">
        <v>1980000</v>
      </c>
      <c r="NB56" s="1">
        <v>127.96</v>
      </c>
      <c r="NC56" s="1">
        <v>1</v>
      </c>
      <c r="ND56" s="1">
        <v>0</v>
      </c>
      <c r="NE56" s="1">
        <v>14</v>
      </c>
      <c r="NF56" s="1">
        <v>60003760</v>
      </c>
      <c r="NG56" s="1">
        <v>32767</v>
      </c>
      <c r="NH56" s="1">
        <v>0</v>
      </c>
      <c r="NJ56" s="1">
        <v>2868765094</v>
      </c>
      <c r="NK56" s="1">
        <v>16673</v>
      </c>
      <c r="NL56" s="1">
        <v>11500000</v>
      </c>
      <c r="NM56" s="1">
        <v>11500000</v>
      </c>
      <c r="NN56" s="1">
        <v>103.9</v>
      </c>
      <c r="NO56" s="1">
        <v>1</v>
      </c>
      <c r="NP56" s="1">
        <v>0</v>
      </c>
      <c r="NQ56" s="1">
        <v>30</v>
      </c>
      <c r="NR56" s="1">
        <v>60003760</v>
      </c>
      <c r="NS56" s="1">
        <v>32767</v>
      </c>
      <c r="NT56" s="1">
        <v>6</v>
      </c>
      <c r="NV56" s="1">
        <v>2861417705</v>
      </c>
      <c r="NW56" s="1">
        <v>3689</v>
      </c>
      <c r="NX56" s="1">
        <v>280149</v>
      </c>
      <c r="NY56" s="1">
        <v>280149</v>
      </c>
      <c r="NZ56" s="1">
        <v>10559</v>
      </c>
      <c r="OA56" s="1">
        <v>1</v>
      </c>
      <c r="OB56" s="1">
        <v>0</v>
      </c>
      <c r="OC56" s="1">
        <v>90</v>
      </c>
      <c r="OD56" s="1">
        <v>60003760</v>
      </c>
      <c r="OE56" s="1">
        <v>32767</v>
      </c>
      <c r="OF56" s="1">
        <v>0</v>
      </c>
      <c r="OH56" s="1">
        <v>2843140684</v>
      </c>
      <c r="OI56" s="1">
        <v>25598</v>
      </c>
      <c r="OJ56" s="1">
        <v>4751</v>
      </c>
      <c r="OK56" s="1">
        <v>4751</v>
      </c>
      <c r="OL56" s="1">
        <v>155995.99</v>
      </c>
      <c r="OM56" s="1">
        <v>1</v>
      </c>
      <c r="ON56" s="1">
        <v>0</v>
      </c>
      <c r="OO56" s="1">
        <v>30</v>
      </c>
      <c r="OP56" s="1">
        <v>60003760</v>
      </c>
      <c r="OQ56" s="1">
        <v>32767</v>
      </c>
      <c r="OR56" s="1">
        <v>0</v>
      </c>
      <c r="OT56" s="1">
        <v>2849099186</v>
      </c>
      <c r="OU56" s="1">
        <v>25600</v>
      </c>
      <c r="OV56" s="1">
        <v>37500</v>
      </c>
      <c r="OW56" s="1">
        <v>34808</v>
      </c>
      <c r="OX56" s="1">
        <v>30999.99</v>
      </c>
      <c r="OY56" s="1">
        <v>1</v>
      </c>
      <c r="OZ56" s="1">
        <v>0</v>
      </c>
      <c r="PA56" s="1">
        <v>90</v>
      </c>
      <c r="PB56" s="1">
        <v>60003760</v>
      </c>
      <c r="PC56" s="1">
        <v>32767</v>
      </c>
      <c r="PD56" s="1">
        <v>0</v>
      </c>
      <c r="PF56" s="1">
        <v>2869083568</v>
      </c>
      <c r="PG56" s="1">
        <v>16670</v>
      </c>
      <c r="PH56" s="1">
        <v>6555000</v>
      </c>
      <c r="PI56" s="1">
        <v>6555000</v>
      </c>
      <c r="PJ56" s="1">
        <v>134</v>
      </c>
      <c r="PK56" s="1">
        <v>1</v>
      </c>
      <c r="PL56" s="1">
        <v>0</v>
      </c>
      <c r="PM56" s="1">
        <v>90</v>
      </c>
      <c r="PN56" s="1">
        <v>60003760</v>
      </c>
      <c r="PO56" s="1">
        <v>32767</v>
      </c>
      <c r="PP56" s="1">
        <v>7</v>
      </c>
      <c r="PR56" s="1">
        <v>2798506826</v>
      </c>
      <c r="PS56" s="1">
        <v>10222</v>
      </c>
      <c r="PT56" s="1">
        <v>1</v>
      </c>
      <c r="PU56" s="1">
        <v>1</v>
      </c>
      <c r="PV56" s="1">
        <v>95510000</v>
      </c>
      <c r="PW56" s="1">
        <v>1</v>
      </c>
      <c r="PX56" s="1">
        <v>1</v>
      </c>
      <c r="PY56" s="1">
        <v>90</v>
      </c>
      <c r="PZ56" s="1">
        <v>60003760</v>
      </c>
      <c r="QA56" s="1">
        <v>-1</v>
      </c>
      <c r="QB56" s="1">
        <v>0</v>
      </c>
      <c r="QD56" s="1">
        <v>2862507843</v>
      </c>
      <c r="QE56" s="1">
        <v>9830</v>
      </c>
      <c r="QF56" s="1">
        <v>1210</v>
      </c>
      <c r="QG56" s="1">
        <v>1210</v>
      </c>
      <c r="QH56" s="1">
        <v>8100</v>
      </c>
      <c r="QI56" s="1">
        <v>1</v>
      </c>
      <c r="QJ56" s="1">
        <v>0</v>
      </c>
      <c r="QK56" s="1">
        <v>90</v>
      </c>
      <c r="QL56" s="1">
        <v>60002281</v>
      </c>
      <c r="QM56" s="1">
        <v>32767</v>
      </c>
      <c r="QN56" s="1">
        <v>8</v>
      </c>
      <c r="QP56" s="1">
        <v>2878931572</v>
      </c>
      <c r="QQ56" s="1">
        <v>16671</v>
      </c>
      <c r="QR56" s="1">
        <v>10000000</v>
      </c>
      <c r="QS56" s="1">
        <v>10000000</v>
      </c>
      <c r="QT56" s="1">
        <v>105.46</v>
      </c>
      <c r="QU56" s="1">
        <v>1</v>
      </c>
      <c r="QV56" s="1">
        <v>0</v>
      </c>
      <c r="QW56" s="1">
        <v>90</v>
      </c>
      <c r="QX56" s="1">
        <v>60003760</v>
      </c>
      <c r="QY56" s="1">
        <v>32767</v>
      </c>
      <c r="QZ56" s="1">
        <v>0</v>
      </c>
      <c r="RB56" s="1">
        <v>2867478742</v>
      </c>
      <c r="RC56" s="1">
        <v>16682</v>
      </c>
      <c r="RD56" s="1">
        <v>426460</v>
      </c>
      <c r="RE56" s="1">
        <v>287766</v>
      </c>
      <c r="RF56" s="1">
        <v>3349.45</v>
      </c>
      <c r="RG56" s="1">
        <v>1</v>
      </c>
      <c r="RH56" s="1">
        <v>0</v>
      </c>
      <c r="RI56" s="1">
        <v>90</v>
      </c>
      <c r="RJ56" s="1">
        <v>60003760</v>
      </c>
      <c r="RK56" s="1">
        <v>32767</v>
      </c>
      <c r="RL56" s="1">
        <v>8</v>
      </c>
      <c r="RN56" s="1">
        <v>2783877012</v>
      </c>
      <c r="RO56" s="1">
        <v>16678</v>
      </c>
      <c r="RP56" s="1">
        <v>3000000</v>
      </c>
      <c r="RQ56" s="1">
        <v>1475284</v>
      </c>
      <c r="RR56" s="1">
        <v>240.41</v>
      </c>
      <c r="RS56" s="1">
        <v>1</v>
      </c>
      <c r="RT56" s="1">
        <v>1</v>
      </c>
      <c r="RU56" s="1">
        <v>90</v>
      </c>
      <c r="RV56" s="1">
        <v>60003760</v>
      </c>
      <c r="RW56" s="1">
        <v>-1</v>
      </c>
      <c r="RX56" s="1">
        <v>0</v>
      </c>
      <c r="RZ56" s="1">
        <v>2766508364</v>
      </c>
      <c r="SA56" s="1">
        <v>30310</v>
      </c>
      <c r="SB56" s="1">
        <v>3000</v>
      </c>
      <c r="SC56" s="1">
        <v>3000</v>
      </c>
      <c r="SD56" s="1">
        <v>17691</v>
      </c>
      <c r="SE56" s="1">
        <v>1</v>
      </c>
      <c r="SF56" s="1">
        <v>1</v>
      </c>
      <c r="SG56" s="1">
        <v>90</v>
      </c>
      <c r="SH56" s="1">
        <v>60003760</v>
      </c>
      <c r="SI56" s="1">
        <v>-1</v>
      </c>
      <c r="SJ56" s="1">
        <v>0</v>
      </c>
      <c r="SL56" s="1">
        <v>2876853012</v>
      </c>
      <c r="SM56" s="1">
        <v>30311</v>
      </c>
      <c r="SN56" s="1">
        <v>276</v>
      </c>
      <c r="SO56" s="1">
        <v>37</v>
      </c>
      <c r="SP56" s="1">
        <v>3127000.84</v>
      </c>
      <c r="SQ56" s="1">
        <v>1</v>
      </c>
      <c r="SR56" s="1">
        <v>0</v>
      </c>
      <c r="SS56" s="1">
        <v>90</v>
      </c>
      <c r="ST56" s="1">
        <v>60003760</v>
      </c>
      <c r="SU56" s="1">
        <v>32767</v>
      </c>
      <c r="SV56" s="1">
        <v>0</v>
      </c>
      <c r="SX56" s="1">
        <v>2842246352</v>
      </c>
      <c r="SY56" s="1">
        <v>25595</v>
      </c>
      <c r="SZ56" s="1">
        <v>65</v>
      </c>
      <c r="TA56" s="1">
        <v>65</v>
      </c>
      <c r="TB56" s="1">
        <v>90252.13</v>
      </c>
      <c r="TC56" s="1">
        <v>1</v>
      </c>
      <c r="TD56" s="1">
        <v>0</v>
      </c>
      <c r="TE56" s="1">
        <v>90</v>
      </c>
      <c r="TF56" s="1">
        <v>60003760</v>
      </c>
      <c r="TG56" s="1">
        <v>32767</v>
      </c>
      <c r="TH56" s="1">
        <v>6</v>
      </c>
      <c r="TJ56" s="1">
        <v>2870184804</v>
      </c>
      <c r="TK56" s="1">
        <v>25606</v>
      </c>
      <c r="TL56" s="1">
        <v>3258</v>
      </c>
      <c r="TM56" s="1">
        <v>3258</v>
      </c>
      <c r="TN56" s="1">
        <v>27000</v>
      </c>
      <c r="TO56" s="1">
        <v>1</v>
      </c>
      <c r="TP56" s="1">
        <v>0</v>
      </c>
      <c r="TQ56" s="1">
        <v>90</v>
      </c>
      <c r="TR56" s="1">
        <v>60003760</v>
      </c>
      <c r="TS56" s="1">
        <v>32767</v>
      </c>
      <c r="TT56" s="1">
        <v>0</v>
      </c>
      <c r="TV56" s="1">
        <v>2832897301</v>
      </c>
      <c r="TW56" s="1">
        <v>25622</v>
      </c>
      <c r="TX56" s="1">
        <v>210</v>
      </c>
      <c r="TY56" s="1">
        <v>210</v>
      </c>
      <c r="TZ56" s="1">
        <v>12100000</v>
      </c>
      <c r="UA56" s="1">
        <v>1</v>
      </c>
      <c r="UB56" s="1">
        <v>1</v>
      </c>
      <c r="UC56" s="1">
        <v>90</v>
      </c>
      <c r="UD56" s="1">
        <v>60003760</v>
      </c>
      <c r="UE56" s="1">
        <v>-1</v>
      </c>
      <c r="UF56" s="1">
        <v>0</v>
      </c>
      <c r="UH56" s="1">
        <v>2835837733</v>
      </c>
      <c r="UI56" s="1">
        <v>16680</v>
      </c>
      <c r="UJ56" s="1">
        <v>150000</v>
      </c>
      <c r="UK56" s="1">
        <v>150000</v>
      </c>
      <c r="UL56" s="1">
        <v>676.89</v>
      </c>
      <c r="UM56" s="1">
        <v>1</v>
      </c>
      <c r="UN56" s="1">
        <v>1</v>
      </c>
      <c r="UO56" s="1">
        <v>90</v>
      </c>
      <c r="UP56" s="1">
        <v>60003760</v>
      </c>
      <c r="UQ56" s="1">
        <v>-1</v>
      </c>
      <c r="UR56" s="1">
        <v>0</v>
      </c>
      <c r="UT56" s="1">
        <v>2750406901</v>
      </c>
      <c r="UU56" s="1">
        <v>17317</v>
      </c>
      <c r="UV56" s="1">
        <v>10000</v>
      </c>
      <c r="UW56" s="1">
        <v>9848</v>
      </c>
      <c r="UX56" s="1">
        <v>10000.15</v>
      </c>
      <c r="UY56" s="1">
        <v>1</v>
      </c>
      <c r="UZ56" s="1">
        <v>1</v>
      </c>
      <c r="VA56" s="1">
        <v>90</v>
      </c>
      <c r="VB56" s="1">
        <v>60004459</v>
      </c>
      <c r="VC56" s="1">
        <v>10</v>
      </c>
      <c r="VD56" s="1">
        <v>0</v>
      </c>
      <c r="VF56"/>
      <c r="VG56"/>
      <c r="VH56"/>
      <c r="VI56"/>
      <c r="VJ56"/>
      <c r="VK56"/>
      <c r="VL56"/>
      <c r="VM56"/>
      <c r="VN56"/>
      <c r="VO56"/>
      <c r="VP56"/>
    </row>
    <row r="57" spans="2:588" x14ac:dyDescent="0.25">
      <c r="B57" s="1">
        <v>2828903500</v>
      </c>
      <c r="C57" s="1">
        <v>34</v>
      </c>
      <c r="D57" s="1">
        <v>1202145673</v>
      </c>
      <c r="E57" s="1">
        <v>1202145673</v>
      </c>
      <c r="F57" s="1">
        <v>6.05</v>
      </c>
      <c r="G57" s="1">
        <v>1</v>
      </c>
      <c r="H57" s="1">
        <v>0</v>
      </c>
      <c r="I57" s="1">
        <v>90</v>
      </c>
      <c r="J57" s="1">
        <v>60003760</v>
      </c>
      <c r="K57" s="1">
        <v>32767</v>
      </c>
      <c r="L57" s="1">
        <v>0</v>
      </c>
      <c r="N57" s="1">
        <v>2832939938</v>
      </c>
      <c r="O57" s="1">
        <v>35</v>
      </c>
      <c r="P57" s="1">
        <v>133508329</v>
      </c>
      <c r="Q57" s="1">
        <v>133508329</v>
      </c>
      <c r="R57" s="1">
        <v>16.53</v>
      </c>
      <c r="S57" s="1">
        <v>1</v>
      </c>
      <c r="T57" s="1">
        <v>0</v>
      </c>
      <c r="U57" s="1">
        <v>90</v>
      </c>
      <c r="V57" s="1">
        <v>60003760</v>
      </c>
      <c r="W57" s="1">
        <v>32767</v>
      </c>
      <c r="X57" s="1">
        <v>0</v>
      </c>
      <c r="Z57" s="1">
        <v>2763594141</v>
      </c>
      <c r="AA57" s="1">
        <v>36</v>
      </c>
      <c r="AB57" s="1">
        <v>5013920</v>
      </c>
      <c r="AC57" s="1">
        <v>5013920</v>
      </c>
      <c r="AD57" s="16">
        <v>60.39</v>
      </c>
      <c r="AE57" s="1">
        <v>1</v>
      </c>
      <c r="AF57" s="1">
        <v>0</v>
      </c>
      <c r="AG57" s="1">
        <v>90</v>
      </c>
      <c r="AH57" s="1">
        <v>60003760</v>
      </c>
      <c r="AI57" s="1">
        <v>32767</v>
      </c>
      <c r="AJ57" s="1">
        <v>11</v>
      </c>
      <c r="AL57" s="1">
        <v>2849483221</v>
      </c>
      <c r="AM57" s="1">
        <v>37</v>
      </c>
      <c r="AN57" s="1">
        <v>619249</v>
      </c>
      <c r="AO57" s="1">
        <v>619249</v>
      </c>
      <c r="AP57" s="16">
        <v>173.03</v>
      </c>
      <c r="AQ57" s="1">
        <v>1</v>
      </c>
      <c r="AR57" s="1">
        <v>0</v>
      </c>
      <c r="AS57" s="1">
        <v>90</v>
      </c>
      <c r="AT57" s="1">
        <v>60003760</v>
      </c>
      <c r="AU57" s="1">
        <v>32767</v>
      </c>
      <c r="AV57" s="1">
        <v>9</v>
      </c>
      <c r="AX57" s="1">
        <v>2878027789</v>
      </c>
      <c r="AY57" s="1">
        <v>38</v>
      </c>
      <c r="AZ57" s="1">
        <v>64753</v>
      </c>
      <c r="BA57" s="1">
        <v>64753</v>
      </c>
      <c r="BB57" s="1">
        <v>824.88</v>
      </c>
      <c r="BC57" s="1">
        <v>1</v>
      </c>
      <c r="BD57" s="1">
        <v>0</v>
      </c>
      <c r="BE57" s="1">
        <v>90</v>
      </c>
      <c r="BF57" s="1">
        <v>60003760</v>
      </c>
      <c r="BG57" s="1">
        <v>32767</v>
      </c>
      <c r="BH57" s="1">
        <v>5</v>
      </c>
      <c r="BJ57" s="1">
        <v>2589579727</v>
      </c>
      <c r="BK57" s="1">
        <v>39</v>
      </c>
      <c r="BL57" s="1">
        <v>116677</v>
      </c>
      <c r="BM57" s="1">
        <v>96677</v>
      </c>
      <c r="BN57" s="1">
        <v>948.91</v>
      </c>
      <c r="BO57" s="1">
        <v>1</v>
      </c>
      <c r="BP57" s="1">
        <v>0</v>
      </c>
      <c r="BQ57" s="1">
        <v>90</v>
      </c>
      <c r="BR57" s="1">
        <v>60003760</v>
      </c>
      <c r="BS57" s="1">
        <v>32767</v>
      </c>
      <c r="BT57" s="1">
        <v>5</v>
      </c>
      <c r="BV57" s="1">
        <v>2390553751</v>
      </c>
      <c r="BW57" s="1">
        <v>40</v>
      </c>
      <c r="BX57" s="1">
        <v>100000</v>
      </c>
      <c r="BY57" s="1">
        <v>100000</v>
      </c>
      <c r="BZ57" s="1">
        <v>2890</v>
      </c>
      <c r="CA57" s="1">
        <v>1</v>
      </c>
      <c r="CB57" s="1">
        <v>0</v>
      </c>
      <c r="CC57" s="1">
        <v>90</v>
      </c>
      <c r="CD57" s="1">
        <v>60003760</v>
      </c>
      <c r="CE57" s="1">
        <v>32767</v>
      </c>
      <c r="CF57" s="1">
        <v>13</v>
      </c>
      <c r="CH57" s="1">
        <v>2348964038</v>
      </c>
      <c r="CI57" s="1">
        <v>29668</v>
      </c>
      <c r="CJ57" s="1">
        <v>3</v>
      </c>
      <c r="CK57" s="1">
        <v>3</v>
      </c>
      <c r="CL57" s="1">
        <v>519999999.99000001</v>
      </c>
      <c r="CM57" s="1">
        <v>1</v>
      </c>
      <c r="CN57" s="1">
        <v>0</v>
      </c>
      <c r="CO57" s="1">
        <v>90</v>
      </c>
      <c r="CP57" s="1">
        <v>60003760</v>
      </c>
      <c r="CQ57" s="1">
        <v>32767</v>
      </c>
      <c r="CR57" s="1">
        <v>0</v>
      </c>
      <c r="CT57" s="1">
        <v>2414903411</v>
      </c>
      <c r="CU57" s="1">
        <v>16649</v>
      </c>
      <c r="CV57" s="1">
        <v>40000</v>
      </c>
      <c r="CW57" s="1">
        <v>40000</v>
      </c>
      <c r="CX57" s="1">
        <v>99000.05</v>
      </c>
      <c r="CY57" s="1">
        <v>1</v>
      </c>
      <c r="CZ57" s="1">
        <v>1</v>
      </c>
      <c r="DA57" s="1">
        <v>7</v>
      </c>
      <c r="DB57" s="1">
        <v>60003760</v>
      </c>
      <c r="DC57" s="1">
        <v>-1</v>
      </c>
      <c r="DD57" s="1">
        <v>0</v>
      </c>
      <c r="DF57" s="1">
        <v>2403592935</v>
      </c>
      <c r="DG57" s="1">
        <v>17887</v>
      </c>
      <c r="DH57" s="1">
        <v>115000</v>
      </c>
      <c r="DI57" s="1">
        <v>115000</v>
      </c>
      <c r="DJ57" s="1">
        <v>1074</v>
      </c>
      <c r="DK57" s="1">
        <v>1</v>
      </c>
      <c r="DL57" s="1">
        <v>0</v>
      </c>
      <c r="DM57" s="1">
        <v>7</v>
      </c>
      <c r="DN57" s="1">
        <v>60003760</v>
      </c>
      <c r="DO57" s="1">
        <v>32767</v>
      </c>
      <c r="DP57" s="1">
        <v>0</v>
      </c>
      <c r="DR57" s="1">
        <v>2821724768</v>
      </c>
      <c r="DS57" s="1">
        <v>17888</v>
      </c>
      <c r="DT57" s="1">
        <v>2571922</v>
      </c>
      <c r="DU57" s="1">
        <v>2571922</v>
      </c>
      <c r="DV57" s="1">
        <v>390</v>
      </c>
      <c r="DW57" s="1">
        <v>1</v>
      </c>
      <c r="DX57" s="1">
        <v>0</v>
      </c>
      <c r="DY57" s="1">
        <v>90</v>
      </c>
      <c r="DZ57" s="1">
        <v>60003760</v>
      </c>
      <c r="EA57" s="1">
        <v>32767</v>
      </c>
      <c r="EB57" s="1">
        <v>8</v>
      </c>
      <c r="ED57" s="1">
        <v>2830272505</v>
      </c>
      <c r="EE57" s="1">
        <v>16273</v>
      </c>
      <c r="EF57" s="1">
        <v>88073</v>
      </c>
      <c r="EG57" s="1">
        <v>88073</v>
      </c>
      <c r="EH57" s="1">
        <v>400</v>
      </c>
      <c r="EI57" s="1">
        <v>1</v>
      </c>
      <c r="EJ57" s="1">
        <v>0</v>
      </c>
      <c r="EK57" s="1">
        <v>90</v>
      </c>
      <c r="EL57" s="1">
        <v>60001648</v>
      </c>
      <c r="EM57" s="1">
        <v>32767</v>
      </c>
      <c r="EN57" s="1">
        <v>6</v>
      </c>
      <c r="EP57" s="1">
        <v>2782197448</v>
      </c>
      <c r="EQ57" s="1">
        <v>17889</v>
      </c>
      <c r="ER57" s="1">
        <v>200000</v>
      </c>
      <c r="ES57" s="1">
        <v>95000</v>
      </c>
      <c r="ET57" s="1">
        <v>520</v>
      </c>
      <c r="EU57" s="1">
        <v>1</v>
      </c>
      <c r="EV57" s="1">
        <v>0</v>
      </c>
      <c r="EW57" s="1">
        <v>90</v>
      </c>
      <c r="EX57" s="1">
        <v>60010198</v>
      </c>
      <c r="EY57" s="1">
        <v>32767</v>
      </c>
      <c r="EZ57" s="1">
        <v>3</v>
      </c>
      <c r="FB57" s="1">
        <v>2878354832</v>
      </c>
      <c r="FC57" s="1">
        <v>30259</v>
      </c>
      <c r="FD57" s="1">
        <v>14</v>
      </c>
      <c r="FE57" s="1">
        <v>14</v>
      </c>
      <c r="FF57" s="1">
        <v>5789400</v>
      </c>
      <c r="FG57" s="1">
        <v>1</v>
      </c>
      <c r="FH57" s="1">
        <v>0</v>
      </c>
      <c r="FI57" s="1">
        <v>90</v>
      </c>
      <c r="FJ57" s="1">
        <v>60003760</v>
      </c>
      <c r="FK57" s="1">
        <v>32767</v>
      </c>
      <c r="FL57" s="1">
        <v>0</v>
      </c>
      <c r="FN57" s="1">
        <v>2823173471</v>
      </c>
      <c r="FO57" s="1">
        <v>25617</v>
      </c>
      <c r="FP57" s="1">
        <v>10</v>
      </c>
      <c r="FQ57" s="1">
        <v>10</v>
      </c>
      <c r="FR57" s="1">
        <v>4300001.5999999996</v>
      </c>
      <c r="FS57" s="1">
        <v>1</v>
      </c>
      <c r="FT57" s="1">
        <v>1</v>
      </c>
      <c r="FU57" s="1">
        <v>90</v>
      </c>
      <c r="FV57" s="1">
        <v>60003760</v>
      </c>
      <c r="FW57" s="1">
        <v>-1</v>
      </c>
      <c r="FX57" s="1">
        <v>0</v>
      </c>
      <c r="FZ57" s="1">
        <v>2872618263</v>
      </c>
      <c r="GA57" s="1">
        <v>44</v>
      </c>
      <c r="GB57" s="1">
        <v>1350</v>
      </c>
      <c r="GC57" s="1">
        <v>1350</v>
      </c>
      <c r="GD57" s="1">
        <v>13097.91</v>
      </c>
      <c r="GE57" s="1">
        <v>1</v>
      </c>
      <c r="GF57" s="1">
        <v>0</v>
      </c>
      <c r="GG57" s="1">
        <v>90</v>
      </c>
      <c r="GH57" s="1">
        <v>60003760</v>
      </c>
      <c r="GI57" s="1">
        <v>32767</v>
      </c>
      <c r="GJ57" s="1">
        <v>4</v>
      </c>
      <c r="GL57" s="1">
        <v>2412378144</v>
      </c>
      <c r="GM57" s="1">
        <v>16681</v>
      </c>
      <c r="GN57" s="1">
        <v>250000</v>
      </c>
      <c r="GO57" s="1">
        <v>250000</v>
      </c>
      <c r="GP57" s="1">
        <v>5960</v>
      </c>
      <c r="GQ57" s="1">
        <v>1</v>
      </c>
      <c r="GR57" s="1">
        <v>1</v>
      </c>
      <c r="GS57" s="1">
        <v>90</v>
      </c>
      <c r="GT57" s="1">
        <v>60003760</v>
      </c>
      <c r="GU57" s="1">
        <v>-1</v>
      </c>
      <c r="GV57" s="1">
        <v>0</v>
      </c>
      <c r="GX57" s="1">
        <v>2792724232</v>
      </c>
      <c r="GY57" s="1">
        <v>16683</v>
      </c>
      <c r="GZ57" s="1">
        <v>26659</v>
      </c>
      <c r="HA57" s="1">
        <v>26659</v>
      </c>
      <c r="HB57" s="1">
        <v>0.01</v>
      </c>
      <c r="HC57" s="1">
        <v>1</v>
      </c>
      <c r="HD57" s="1">
        <v>1</v>
      </c>
      <c r="HE57" s="1">
        <v>90</v>
      </c>
      <c r="HF57" s="1">
        <v>60003760</v>
      </c>
      <c r="HG57" s="1">
        <v>-1</v>
      </c>
      <c r="HH57" s="1">
        <v>0</v>
      </c>
      <c r="HJ57"/>
      <c r="HK57"/>
      <c r="HL57"/>
      <c r="HM57"/>
      <c r="HN57"/>
      <c r="HO57"/>
      <c r="HP57"/>
      <c r="HQ57"/>
      <c r="HR57"/>
      <c r="HS57"/>
      <c r="HT57"/>
      <c r="HV57" s="1">
        <v>2862239282</v>
      </c>
      <c r="HW57" s="1">
        <v>16274</v>
      </c>
      <c r="HX57" s="1">
        <v>150000</v>
      </c>
      <c r="HY57" s="1">
        <v>110000</v>
      </c>
      <c r="HZ57" s="1">
        <v>575</v>
      </c>
      <c r="IA57" s="1">
        <v>1</v>
      </c>
      <c r="IB57" s="1">
        <v>0</v>
      </c>
      <c r="IC57" s="1">
        <v>90</v>
      </c>
      <c r="ID57" s="1">
        <v>60003046</v>
      </c>
      <c r="IE57" s="1">
        <v>32767</v>
      </c>
      <c r="IF57" s="1">
        <v>8</v>
      </c>
      <c r="IH57"/>
      <c r="II57"/>
      <c r="IJ57"/>
      <c r="IK57"/>
      <c r="IL57"/>
      <c r="IM57"/>
      <c r="IN57"/>
      <c r="IO57"/>
      <c r="IP57"/>
      <c r="IQ57"/>
      <c r="IR57"/>
      <c r="IT57" s="1">
        <v>2868808339</v>
      </c>
      <c r="IU57" s="1">
        <v>16679</v>
      </c>
      <c r="IV57" s="1">
        <v>3000000</v>
      </c>
      <c r="IW57" s="1">
        <v>3000000</v>
      </c>
      <c r="IX57" s="1">
        <v>1911.43</v>
      </c>
      <c r="IY57" s="1">
        <v>1</v>
      </c>
      <c r="IZ57" s="1">
        <v>0</v>
      </c>
      <c r="JA57" s="1">
        <v>30</v>
      </c>
      <c r="JB57" s="1">
        <v>60003760</v>
      </c>
      <c r="JC57" s="1">
        <v>32767</v>
      </c>
      <c r="JD57" s="1">
        <v>0</v>
      </c>
      <c r="JF57" s="1">
        <v>2877919285</v>
      </c>
      <c r="JG57" s="1">
        <v>16272</v>
      </c>
      <c r="JH57" s="1">
        <v>75239000</v>
      </c>
      <c r="JI57" s="1">
        <v>57115090</v>
      </c>
      <c r="JJ57" s="1">
        <v>75</v>
      </c>
      <c r="JK57" s="1">
        <v>1</v>
      </c>
      <c r="JL57" s="1">
        <v>0</v>
      </c>
      <c r="JM57" s="1">
        <v>90</v>
      </c>
      <c r="JN57" s="1">
        <v>60003760</v>
      </c>
      <c r="JO57" s="1">
        <v>32767</v>
      </c>
      <c r="JP57" s="1">
        <v>6</v>
      </c>
      <c r="JR57" s="1">
        <v>2879060963</v>
      </c>
      <c r="JS57" s="1">
        <v>10226</v>
      </c>
      <c r="JT57" s="1">
        <v>1</v>
      </c>
      <c r="JU57" s="1">
        <v>1</v>
      </c>
      <c r="JV57" s="1">
        <v>111500000</v>
      </c>
      <c r="JW57" s="1">
        <v>1</v>
      </c>
      <c r="JX57" s="1">
        <v>1</v>
      </c>
      <c r="JY57" s="1">
        <v>90</v>
      </c>
      <c r="JZ57" s="1">
        <v>60003760</v>
      </c>
      <c r="KA57" s="1">
        <v>-1</v>
      </c>
      <c r="KB57" s="1">
        <v>0</v>
      </c>
      <c r="KD57" s="1">
        <v>2874777241</v>
      </c>
      <c r="KE57" s="1">
        <v>25605</v>
      </c>
      <c r="KF57" s="1">
        <v>11</v>
      </c>
      <c r="KG57" s="1">
        <v>11</v>
      </c>
      <c r="KH57" s="1">
        <v>112500</v>
      </c>
      <c r="KI57" s="1">
        <v>1</v>
      </c>
      <c r="KJ57" s="1">
        <v>0</v>
      </c>
      <c r="KK57" s="1">
        <v>7</v>
      </c>
      <c r="KL57" s="1">
        <v>60003760</v>
      </c>
      <c r="KM57" s="1">
        <v>32767</v>
      </c>
      <c r="KN57" s="1">
        <v>6</v>
      </c>
      <c r="KP57" s="1">
        <v>2875237730</v>
      </c>
      <c r="KQ57" s="1">
        <v>25624</v>
      </c>
      <c r="KR57" s="1">
        <v>16</v>
      </c>
      <c r="KS57" s="1">
        <v>16</v>
      </c>
      <c r="KT57" s="1">
        <v>18498950</v>
      </c>
      <c r="KU57" s="1">
        <v>1</v>
      </c>
      <c r="KV57" s="1">
        <v>0</v>
      </c>
      <c r="KW57" s="1">
        <v>90</v>
      </c>
      <c r="KX57" s="1">
        <v>60003760</v>
      </c>
      <c r="KY57" s="1">
        <v>32767</v>
      </c>
      <c r="KZ57" s="1">
        <v>1</v>
      </c>
      <c r="LB57" s="1">
        <v>2858021332</v>
      </c>
      <c r="LC57" s="1">
        <v>9832</v>
      </c>
      <c r="LD57" s="1">
        <v>32790</v>
      </c>
      <c r="LE57" s="1">
        <v>32790</v>
      </c>
      <c r="LF57" s="1">
        <v>9692</v>
      </c>
      <c r="LG57" s="1">
        <v>1</v>
      </c>
      <c r="LH57" s="1">
        <v>0</v>
      </c>
      <c r="LI57" s="1">
        <v>90</v>
      </c>
      <c r="LJ57" s="1">
        <v>60003760</v>
      </c>
      <c r="LK57" s="1">
        <v>32767</v>
      </c>
      <c r="LL57" s="1">
        <v>0</v>
      </c>
      <c r="LN57" s="1">
        <v>2877245251</v>
      </c>
      <c r="LO57" s="1">
        <v>10209</v>
      </c>
      <c r="LP57" s="1">
        <v>1</v>
      </c>
      <c r="LQ57" s="1">
        <v>1</v>
      </c>
      <c r="LR57" s="1">
        <v>109605105.78</v>
      </c>
      <c r="LS57" s="1">
        <v>1</v>
      </c>
      <c r="LT57" s="1">
        <v>1</v>
      </c>
      <c r="LU57" s="1">
        <v>90</v>
      </c>
      <c r="LV57" s="1">
        <v>60003760</v>
      </c>
      <c r="LW57" s="1">
        <v>-1</v>
      </c>
      <c r="LX57" s="1">
        <v>0</v>
      </c>
      <c r="LZ57" s="1">
        <v>2646838779</v>
      </c>
      <c r="MA57" s="1">
        <v>10217</v>
      </c>
      <c r="MB57" s="1">
        <v>3</v>
      </c>
      <c r="MC57" s="1">
        <v>1</v>
      </c>
      <c r="MD57" s="1">
        <v>98100001</v>
      </c>
      <c r="ME57" s="1">
        <v>1</v>
      </c>
      <c r="MF57" s="1">
        <v>1</v>
      </c>
      <c r="MG57" s="1">
        <v>90</v>
      </c>
      <c r="MH57" s="1">
        <v>60003754</v>
      </c>
      <c r="MI57" s="1">
        <v>20</v>
      </c>
      <c r="MJ57" s="1">
        <v>0</v>
      </c>
      <c r="ML57" s="1">
        <v>2867094406</v>
      </c>
      <c r="MM57" s="1">
        <v>25625</v>
      </c>
      <c r="MN57" s="1">
        <v>10</v>
      </c>
      <c r="MO57" s="1">
        <v>10</v>
      </c>
      <c r="MP57" s="1">
        <v>3649007.01</v>
      </c>
      <c r="MQ57" s="1">
        <v>1</v>
      </c>
      <c r="MR57" s="1">
        <v>1</v>
      </c>
      <c r="MS57" s="1">
        <v>14</v>
      </c>
      <c r="MT57" s="1">
        <v>60003760</v>
      </c>
      <c r="MU57" s="1">
        <v>-1</v>
      </c>
      <c r="MV57" s="1">
        <v>0</v>
      </c>
      <c r="MX57" s="1">
        <v>2878372636</v>
      </c>
      <c r="MY57" s="1">
        <v>16672</v>
      </c>
      <c r="MZ57" s="1">
        <v>604400</v>
      </c>
      <c r="NA57" s="1">
        <v>569938</v>
      </c>
      <c r="NB57" s="1">
        <v>122.98</v>
      </c>
      <c r="NC57" s="1">
        <v>1</v>
      </c>
      <c r="ND57" s="1">
        <v>0</v>
      </c>
      <c r="NE57" s="1">
        <v>30</v>
      </c>
      <c r="NF57" s="1">
        <v>60003760</v>
      </c>
      <c r="NG57" s="1">
        <v>32767</v>
      </c>
      <c r="NH57" s="1">
        <v>0</v>
      </c>
      <c r="NJ57" s="1">
        <v>2868765379</v>
      </c>
      <c r="NK57" s="1">
        <v>16673</v>
      </c>
      <c r="NL57" s="1">
        <v>11780000</v>
      </c>
      <c r="NM57" s="1">
        <v>11780000</v>
      </c>
      <c r="NN57" s="1">
        <v>103.9</v>
      </c>
      <c r="NO57" s="1">
        <v>1</v>
      </c>
      <c r="NP57" s="1">
        <v>0</v>
      </c>
      <c r="NQ57" s="1">
        <v>30</v>
      </c>
      <c r="NR57" s="1">
        <v>60003760</v>
      </c>
      <c r="NS57" s="1">
        <v>32767</v>
      </c>
      <c r="NT57" s="1">
        <v>6</v>
      </c>
      <c r="NV57" s="1">
        <v>2861141711</v>
      </c>
      <c r="NW57" s="1">
        <v>3689</v>
      </c>
      <c r="NX57" s="1">
        <v>2750</v>
      </c>
      <c r="NY57" s="1">
        <v>2750</v>
      </c>
      <c r="NZ57" s="1">
        <v>10501.04</v>
      </c>
      <c r="OA57" s="1">
        <v>1</v>
      </c>
      <c r="OB57" s="1">
        <v>0</v>
      </c>
      <c r="OC57" s="1">
        <v>90</v>
      </c>
      <c r="OD57" s="1">
        <v>60003760</v>
      </c>
      <c r="OE57" s="1">
        <v>32767</v>
      </c>
      <c r="OF57" s="1">
        <v>0</v>
      </c>
      <c r="OH57" s="1">
        <v>2843141172</v>
      </c>
      <c r="OI57" s="1">
        <v>25598</v>
      </c>
      <c r="OJ57" s="1">
        <v>68</v>
      </c>
      <c r="OK57" s="1">
        <v>68</v>
      </c>
      <c r="OL57" s="1">
        <v>155895</v>
      </c>
      <c r="OM57" s="1">
        <v>1</v>
      </c>
      <c r="ON57" s="1">
        <v>0</v>
      </c>
      <c r="OO57" s="1">
        <v>90</v>
      </c>
      <c r="OP57" s="1">
        <v>60003760</v>
      </c>
      <c r="OQ57" s="1">
        <v>32767</v>
      </c>
      <c r="OR57" s="1">
        <v>0</v>
      </c>
      <c r="OT57" s="1">
        <v>2849278618</v>
      </c>
      <c r="OU57" s="1">
        <v>25600</v>
      </c>
      <c r="OV57" s="1">
        <v>295</v>
      </c>
      <c r="OW57" s="1">
        <v>295</v>
      </c>
      <c r="OX57" s="1">
        <v>31000</v>
      </c>
      <c r="OY57" s="1">
        <v>1</v>
      </c>
      <c r="OZ57" s="1">
        <v>0</v>
      </c>
      <c r="PA57" s="1">
        <v>90</v>
      </c>
      <c r="PB57" s="1">
        <v>60003760</v>
      </c>
      <c r="PC57" s="1">
        <v>32767</v>
      </c>
      <c r="PD57" s="1">
        <v>0</v>
      </c>
      <c r="PF57" s="1">
        <v>2864738291</v>
      </c>
      <c r="PG57" s="1">
        <v>16670</v>
      </c>
      <c r="PH57" s="1">
        <v>12930000</v>
      </c>
      <c r="PI57" s="1">
        <v>12930000</v>
      </c>
      <c r="PJ57" s="1">
        <v>117.67</v>
      </c>
      <c r="PK57" s="1">
        <v>1</v>
      </c>
      <c r="PL57" s="1">
        <v>0</v>
      </c>
      <c r="PM57" s="1">
        <v>90</v>
      </c>
      <c r="PN57" s="1">
        <v>60003760</v>
      </c>
      <c r="PO57" s="1">
        <v>32767</v>
      </c>
      <c r="PP57" s="1">
        <v>7</v>
      </c>
      <c r="PR57" s="1">
        <v>2864082833</v>
      </c>
      <c r="PS57" s="1">
        <v>10222</v>
      </c>
      <c r="PT57" s="1">
        <v>1</v>
      </c>
      <c r="PU57" s="1">
        <v>1</v>
      </c>
      <c r="PV57" s="1">
        <v>100000005.04000001</v>
      </c>
      <c r="PW57" s="1">
        <v>1</v>
      </c>
      <c r="PX57" s="1">
        <v>1</v>
      </c>
      <c r="PY57" s="1">
        <v>90</v>
      </c>
      <c r="PZ57" s="1">
        <v>60003760</v>
      </c>
      <c r="QA57" s="1">
        <v>10</v>
      </c>
      <c r="QB57" s="1">
        <v>0</v>
      </c>
      <c r="QD57" s="1">
        <v>2877804723</v>
      </c>
      <c r="QE57" s="1">
        <v>9830</v>
      </c>
      <c r="QF57" s="1">
        <v>1639</v>
      </c>
      <c r="QG57" s="1">
        <v>1639</v>
      </c>
      <c r="QH57" s="1">
        <v>7500</v>
      </c>
      <c r="QI57" s="1">
        <v>1</v>
      </c>
      <c r="QJ57" s="1">
        <v>0</v>
      </c>
      <c r="QK57" s="1">
        <v>90</v>
      </c>
      <c r="QL57" s="1">
        <v>60001882</v>
      </c>
      <c r="QM57" s="1">
        <v>32767</v>
      </c>
      <c r="QN57" s="1">
        <v>8</v>
      </c>
      <c r="QP57" s="1">
        <v>2878933012</v>
      </c>
      <c r="QQ57" s="1">
        <v>16671</v>
      </c>
      <c r="QR57" s="1">
        <v>2420000</v>
      </c>
      <c r="QS57" s="1">
        <v>2420000</v>
      </c>
      <c r="QT57" s="1">
        <v>105.45</v>
      </c>
      <c r="QU57" s="1">
        <v>1</v>
      </c>
      <c r="QV57" s="1">
        <v>0</v>
      </c>
      <c r="QW57" s="1">
        <v>90</v>
      </c>
      <c r="QX57" s="1">
        <v>60003760</v>
      </c>
      <c r="QY57" s="1">
        <v>32767</v>
      </c>
      <c r="QZ57" s="1">
        <v>0</v>
      </c>
      <c r="RB57" s="1">
        <v>2874886091</v>
      </c>
      <c r="RC57" s="1">
        <v>16682</v>
      </c>
      <c r="RD57" s="1">
        <v>265421</v>
      </c>
      <c r="RE57" s="1">
        <v>251466</v>
      </c>
      <c r="RF57" s="1">
        <v>3349.41</v>
      </c>
      <c r="RG57" s="1">
        <v>1</v>
      </c>
      <c r="RH57" s="1">
        <v>0</v>
      </c>
      <c r="RI57" s="1">
        <v>90</v>
      </c>
      <c r="RJ57" s="1">
        <v>60003760</v>
      </c>
      <c r="RK57" s="1">
        <v>32767</v>
      </c>
      <c r="RL57" s="1">
        <v>8</v>
      </c>
      <c r="RN57" s="1">
        <v>2791407788</v>
      </c>
      <c r="RO57" s="1">
        <v>16678</v>
      </c>
      <c r="RP57" s="1">
        <v>300000</v>
      </c>
      <c r="RQ57" s="1">
        <v>300000</v>
      </c>
      <c r="RR57" s="1">
        <v>225</v>
      </c>
      <c r="RS57" s="1">
        <v>1</v>
      </c>
      <c r="RT57" s="1">
        <v>1</v>
      </c>
      <c r="RU57" s="1">
        <v>90</v>
      </c>
      <c r="RV57" s="1">
        <v>60003760</v>
      </c>
      <c r="RW57" s="1">
        <v>-1</v>
      </c>
      <c r="RX57" s="1">
        <v>0</v>
      </c>
      <c r="RZ57" s="1">
        <v>2779431685</v>
      </c>
      <c r="SA57" s="1">
        <v>30310</v>
      </c>
      <c r="SB57" s="1">
        <v>1000</v>
      </c>
      <c r="SC57" s="1">
        <v>1000</v>
      </c>
      <c r="SD57" s="1">
        <v>556003</v>
      </c>
      <c r="SE57" s="1">
        <v>1</v>
      </c>
      <c r="SF57" s="1">
        <v>1</v>
      </c>
      <c r="SG57" s="1">
        <v>90</v>
      </c>
      <c r="SH57" s="1">
        <v>60003760</v>
      </c>
      <c r="SI57" s="1">
        <v>-1</v>
      </c>
      <c r="SJ57" s="1">
        <v>0</v>
      </c>
      <c r="SL57" s="1">
        <v>2877840784</v>
      </c>
      <c r="SM57" s="1">
        <v>30311</v>
      </c>
      <c r="SN57" s="1">
        <v>74</v>
      </c>
      <c r="SO57" s="1">
        <v>74</v>
      </c>
      <c r="SP57" s="1">
        <v>3127000.83</v>
      </c>
      <c r="SQ57" s="1">
        <v>1</v>
      </c>
      <c r="SR57" s="1">
        <v>0</v>
      </c>
      <c r="SS57" s="1">
        <v>90</v>
      </c>
      <c r="ST57" s="1">
        <v>60003760</v>
      </c>
      <c r="SU57" s="1">
        <v>32767</v>
      </c>
      <c r="SV57" s="1">
        <v>0</v>
      </c>
      <c r="SX57" s="1">
        <v>2842271611</v>
      </c>
      <c r="SY57" s="1">
        <v>25595</v>
      </c>
      <c r="SZ57" s="1">
        <v>200</v>
      </c>
      <c r="TA57" s="1">
        <v>189</v>
      </c>
      <c r="TB57" s="1">
        <v>83444</v>
      </c>
      <c r="TC57" s="1">
        <v>1</v>
      </c>
      <c r="TD57" s="1">
        <v>0</v>
      </c>
      <c r="TE57" s="1">
        <v>90</v>
      </c>
      <c r="TF57" s="1">
        <v>60003760</v>
      </c>
      <c r="TG57" s="1">
        <v>32767</v>
      </c>
      <c r="TH57" s="1">
        <v>6</v>
      </c>
      <c r="TJ57" s="1">
        <v>2871822178</v>
      </c>
      <c r="TK57" s="1">
        <v>25606</v>
      </c>
      <c r="TL57" s="1">
        <v>349</v>
      </c>
      <c r="TM57" s="1">
        <v>349</v>
      </c>
      <c r="TN57" s="1">
        <v>139998.99</v>
      </c>
      <c r="TO57" s="1">
        <v>1</v>
      </c>
      <c r="TP57" s="1">
        <v>0</v>
      </c>
      <c r="TQ57" s="1">
        <v>14</v>
      </c>
      <c r="TR57" s="1">
        <v>60003760</v>
      </c>
      <c r="TS57" s="1">
        <v>32767</v>
      </c>
      <c r="TT57" s="1">
        <v>0</v>
      </c>
      <c r="TV57" s="1">
        <v>2720937662</v>
      </c>
      <c r="TW57" s="1">
        <v>25622</v>
      </c>
      <c r="TX57" s="1">
        <v>60</v>
      </c>
      <c r="TY57" s="1">
        <v>32</v>
      </c>
      <c r="TZ57" s="1">
        <v>11061000</v>
      </c>
      <c r="UA57" s="1">
        <v>1</v>
      </c>
      <c r="UB57" s="1">
        <v>1</v>
      </c>
      <c r="UC57" s="1">
        <v>90</v>
      </c>
      <c r="UD57" s="1">
        <v>60003760</v>
      </c>
      <c r="UE57" s="1">
        <v>32767</v>
      </c>
      <c r="UF57" s="1">
        <v>0</v>
      </c>
      <c r="UH57" s="1">
        <v>2833586835</v>
      </c>
      <c r="UI57" s="1">
        <v>16680</v>
      </c>
      <c r="UJ57" s="1">
        <v>2000000</v>
      </c>
      <c r="UK57" s="1">
        <v>2000000</v>
      </c>
      <c r="UL57" s="1">
        <v>661.02</v>
      </c>
      <c r="UM57" s="1">
        <v>1</v>
      </c>
      <c r="UN57" s="1">
        <v>1</v>
      </c>
      <c r="UO57" s="1">
        <v>90</v>
      </c>
      <c r="UP57" s="1">
        <v>60003760</v>
      </c>
      <c r="UQ57" s="1">
        <v>2</v>
      </c>
      <c r="UR57" s="1">
        <v>0</v>
      </c>
      <c r="UT57" s="1">
        <v>1421807270</v>
      </c>
      <c r="UU57" s="1">
        <v>17317</v>
      </c>
      <c r="UV57" s="1">
        <v>1000</v>
      </c>
      <c r="UW57" s="1">
        <v>995</v>
      </c>
      <c r="UX57" s="1">
        <v>1000.04</v>
      </c>
      <c r="UY57" s="1">
        <v>1</v>
      </c>
      <c r="UZ57" s="1">
        <v>1</v>
      </c>
      <c r="VA57" s="1">
        <v>90</v>
      </c>
      <c r="VB57" s="1">
        <v>60001786</v>
      </c>
      <c r="VC57" s="1">
        <v>10</v>
      </c>
      <c r="VD57" s="1">
        <v>0</v>
      </c>
      <c r="VF57"/>
      <c r="VG57"/>
      <c r="VH57"/>
      <c r="VI57"/>
      <c r="VJ57"/>
      <c r="VK57"/>
      <c r="VL57"/>
      <c r="VM57"/>
      <c r="VN57"/>
      <c r="VO57"/>
      <c r="VP57"/>
    </row>
    <row r="58" spans="2:588" x14ac:dyDescent="0.25">
      <c r="B58" s="1">
        <v>2828149683</v>
      </c>
      <c r="C58" s="1">
        <v>34</v>
      </c>
      <c r="D58" s="1">
        <v>18709728</v>
      </c>
      <c r="E58" s="1">
        <v>18709728</v>
      </c>
      <c r="F58" s="1">
        <v>6.12</v>
      </c>
      <c r="G58" s="1">
        <v>1</v>
      </c>
      <c r="H58" s="1">
        <v>0</v>
      </c>
      <c r="I58" s="1">
        <v>90</v>
      </c>
      <c r="J58" s="1">
        <v>60003760</v>
      </c>
      <c r="K58" s="1">
        <v>32767</v>
      </c>
      <c r="L58" s="1">
        <v>0</v>
      </c>
      <c r="N58" s="1">
        <v>2832782438</v>
      </c>
      <c r="O58" s="1">
        <v>35</v>
      </c>
      <c r="P58" s="1">
        <v>5470066</v>
      </c>
      <c r="Q58" s="1">
        <v>5470066</v>
      </c>
      <c r="R58" s="1">
        <v>16.8</v>
      </c>
      <c r="S58" s="1">
        <v>1</v>
      </c>
      <c r="T58" s="1">
        <v>0</v>
      </c>
      <c r="U58" s="1">
        <v>90</v>
      </c>
      <c r="V58" s="1">
        <v>60003760</v>
      </c>
      <c r="W58" s="1">
        <v>32767</v>
      </c>
      <c r="X58" s="1">
        <v>0</v>
      </c>
      <c r="Z58" s="1">
        <v>2763696409</v>
      </c>
      <c r="AA58" s="1">
        <v>36</v>
      </c>
      <c r="AB58" s="1">
        <v>1818790</v>
      </c>
      <c r="AC58" s="1">
        <v>1818790</v>
      </c>
      <c r="AD58" s="16">
        <v>60.01</v>
      </c>
      <c r="AE58" s="1">
        <v>1</v>
      </c>
      <c r="AF58" s="1">
        <v>0</v>
      </c>
      <c r="AG58" s="1">
        <v>90</v>
      </c>
      <c r="AH58" s="1">
        <v>60003760</v>
      </c>
      <c r="AI58" s="1">
        <v>32767</v>
      </c>
      <c r="AJ58" s="1">
        <v>11</v>
      </c>
      <c r="AL58" s="1">
        <v>2847685281</v>
      </c>
      <c r="AM58" s="1">
        <v>37</v>
      </c>
      <c r="AN58" s="1">
        <v>50000</v>
      </c>
      <c r="AO58" s="1">
        <v>50000</v>
      </c>
      <c r="AP58" s="16">
        <v>180</v>
      </c>
      <c r="AQ58" s="1">
        <v>1</v>
      </c>
      <c r="AR58" s="1">
        <v>0</v>
      </c>
      <c r="AS58" s="1">
        <v>90</v>
      </c>
      <c r="AT58" s="1">
        <v>60003760</v>
      </c>
      <c r="AU58" s="1">
        <v>32767</v>
      </c>
      <c r="AV58" s="1">
        <v>9</v>
      </c>
      <c r="AX58" s="1">
        <v>2878005121</v>
      </c>
      <c r="AY58" s="1">
        <v>38</v>
      </c>
      <c r="AZ58" s="1">
        <v>23969</v>
      </c>
      <c r="BA58" s="1">
        <v>23969</v>
      </c>
      <c r="BB58" s="1">
        <v>824.92</v>
      </c>
      <c r="BC58" s="1">
        <v>1</v>
      </c>
      <c r="BD58" s="1">
        <v>0</v>
      </c>
      <c r="BE58" s="1">
        <v>14</v>
      </c>
      <c r="BF58" s="1">
        <v>60003760</v>
      </c>
      <c r="BG58" s="1">
        <v>32767</v>
      </c>
      <c r="BH58" s="1">
        <v>5</v>
      </c>
      <c r="BJ58" s="1">
        <v>2546412665</v>
      </c>
      <c r="BK58" s="1">
        <v>39</v>
      </c>
      <c r="BL58" s="1">
        <v>500000</v>
      </c>
      <c r="BM58" s="1">
        <v>500000</v>
      </c>
      <c r="BN58" s="1">
        <v>873</v>
      </c>
      <c r="BO58" s="1">
        <v>1</v>
      </c>
      <c r="BP58" s="1">
        <v>0</v>
      </c>
      <c r="BQ58" s="1">
        <v>90</v>
      </c>
      <c r="BR58" s="1">
        <v>60003760</v>
      </c>
      <c r="BS58" s="1">
        <v>32767</v>
      </c>
      <c r="BT58" s="1">
        <v>5</v>
      </c>
      <c r="BV58" s="1">
        <v>2390575853</v>
      </c>
      <c r="BW58" s="1">
        <v>40</v>
      </c>
      <c r="BX58" s="1">
        <v>137767</v>
      </c>
      <c r="BY58" s="1">
        <v>125831</v>
      </c>
      <c r="BZ58" s="1">
        <v>2889</v>
      </c>
      <c r="CA58" s="1">
        <v>1</v>
      </c>
      <c r="CB58" s="1">
        <v>0</v>
      </c>
      <c r="CC58" s="1">
        <v>90</v>
      </c>
      <c r="CD58" s="1">
        <v>60003760</v>
      </c>
      <c r="CE58" s="1">
        <v>32767</v>
      </c>
      <c r="CF58" s="1">
        <v>13</v>
      </c>
      <c r="CH58" s="1">
        <v>2348966749</v>
      </c>
      <c r="CI58" s="1">
        <v>29668</v>
      </c>
      <c r="CJ58" s="1">
        <v>1</v>
      </c>
      <c r="CK58" s="1">
        <v>1</v>
      </c>
      <c r="CL58" s="1">
        <v>534996999.00999999</v>
      </c>
      <c r="CM58" s="1">
        <v>1</v>
      </c>
      <c r="CN58" s="1">
        <v>0</v>
      </c>
      <c r="CO58" s="1">
        <v>90</v>
      </c>
      <c r="CP58" s="1">
        <v>60003760</v>
      </c>
      <c r="CQ58" s="1">
        <v>32767</v>
      </c>
      <c r="CR58" s="1">
        <v>0</v>
      </c>
      <c r="CT58" s="1">
        <v>2396485388</v>
      </c>
      <c r="CU58" s="1">
        <v>16649</v>
      </c>
      <c r="CV58" s="1">
        <v>3000</v>
      </c>
      <c r="CW58" s="1">
        <v>3000</v>
      </c>
      <c r="CX58" s="1">
        <v>93700.19</v>
      </c>
      <c r="CY58" s="1">
        <v>1</v>
      </c>
      <c r="CZ58" s="1">
        <v>1</v>
      </c>
      <c r="DA58" s="1">
        <v>30</v>
      </c>
      <c r="DB58" s="1">
        <v>60003760</v>
      </c>
      <c r="DC58" s="1">
        <v>-1</v>
      </c>
      <c r="DD58" s="1">
        <v>0</v>
      </c>
      <c r="DF58" s="1">
        <v>2401860605</v>
      </c>
      <c r="DG58" s="1">
        <v>17887</v>
      </c>
      <c r="DH58" s="1">
        <v>9999</v>
      </c>
      <c r="DI58" s="1">
        <v>9999</v>
      </c>
      <c r="DJ58" s="1">
        <v>1899.09</v>
      </c>
      <c r="DK58" s="1">
        <v>1</v>
      </c>
      <c r="DL58" s="1">
        <v>0</v>
      </c>
      <c r="DM58" s="1">
        <v>14</v>
      </c>
      <c r="DN58" s="1">
        <v>60003760</v>
      </c>
      <c r="DO58" s="1">
        <v>32767</v>
      </c>
      <c r="DP58" s="1">
        <v>0</v>
      </c>
      <c r="DR58" s="1">
        <v>2825828331</v>
      </c>
      <c r="DS58" s="1">
        <v>17888</v>
      </c>
      <c r="DT58" s="1">
        <v>2873078</v>
      </c>
      <c r="DU58" s="1">
        <v>2873078</v>
      </c>
      <c r="DV58" s="1">
        <v>400</v>
      </c>
      <c r="DW58" s="1">
        <v>1</v>
      </c>
      <c r="DX58" s="1">
        <v>0</v>
      </c>
      <c r="DY58" s="1">
        <v>90</v>
      </c>
      <c r="DZ58" s="1">
        <v>60003760</v>
      </c>
      <c r="EA58" s="1">
        <v>32767</v>
      </c>
      <c r="EB58" s="1">
        <v>8</v>
      </c>
      <c r="ED58" s="1">
        <v>2752301527</v>
      </c>
      <c r="EE58" s="1">
        <v>16273</v>
      </c>
      <c r="EF58" s="1">
        <v>64075</v>
      </c>
      <c r="EG58" s="1">
        <v>9227</v>
      </c>
      <c r="EH58" s="1">
        <v>430</v>
      </c>
      <c r="EI58" s="1">
        <v>1</v>
      </c>
      <c r="EJ58" s="1">
        <v>0</v>
      </c>
      <c r="EK58" s="1">
        <v>90</v>
      </c>
      <c r="EL58" s="1">
        <v>60000511</v>
      </c>
      <c r="EM58" s="1">
        <v>32767</v>
      </c>
      <c r="EN58" s="1">
        <v>7</v>
      </c>
      <c r="EP58" s="1">
        <v>2746662096</v>
      </c>
      <c r="EQ58" s="1">
        <v>17889</v>
      </c>
      <c r="ER58" s="1">
        <v>2034131</v>
      </c>
      <c r="ES58" s="1">
        <v>829501</v>
      </c>
      <c r="ET58" s="1">
        <v>498.92</v>
      </c>
      <c r="EU58" s="1">
        <v>1</v>
      </c>
      <c r="EV58" s="1">
        <v>0</v>
      </c>
      <c r="EW58" s="1">
        <v>90</v>
      </c>
      <c r="EX58" s="1">
        <v>60003043</v>
      </c>
      <c r="EY58" s="1">
        <v>32767</v>
      </c>
      <c r="EZ58" s="1">
        <v>3</v>
      </c>
      <c r="FB58" s="1">
        <v>2877183899</v>
      </c>
      <c r="FC58" s="1">
        <v>30259</v>
      </c>
      <c r="FD58" s="1">
        <v>19</v>
      </c>
      <c r="FE58" s="1">
        <v>19</v>
      </c>
      <c r="FF58" s="1">
        <v>5789397.4000000004</v>
      </c>
      <c r="FG58" s="1">
        <v>1</v>
      </c>
      <c r="FH58" s="1">
        <v>0</v>
      </c>
      <c r="FI58" s="1">
        <v>90</v>
      </c>
      <c r="FJ58" s="1">
        <v>60003760</v>
      </c>
      <c r="FK58" s="1">
        <v>32767</v>
      </c>
      <c r="FL58" s="1">
        <v>0</v>
      </c>
      <c r="FN58" s="1">
        <v>2822012812</v>
      </c>
      <c r="FO58" s="1">
        <v>25617</v>
      </c>
      <c r="FP58" s="1">
        <v>150</v>
      </c>
      <c r="FQ58" s="1">
        <v>112</v>
      </c>
      <c r="FR58" s="1">
        <v>4625000</v>
      </c>
      <c r="FS58" s="1">
        <v>1</v>
      </c>
      <c r="FT58" s="1">
        <v>1</v>
      </c>
      <c r="FU58" s="1">
        <v>90</v>
      </c>
      <c r="FV58" s="1">
        <v>60003760</v>
      </c>
      <c r="FW58" s="1">
        <v>-1</v>
      </c>
      <c r="FX58" s="1">
        <v>0</v>
      </c>
      <c r="FZ58" s="1">
        <v>2872866171</v>
      </c>
      <c r="GA58" s="1">
        <v>44</v>
      </c>
      <c r="GB58" s="1">
        <v>31693</v>
      </c>
      <c r="GC58" s="1">
        <v>10497</v>
      </c>
      <c r="GD58" s="1">
        <v>12849</v>
      </c>
      <c r="GE58" s="1">
        <v>1</v>
      </c>
      <c r="GF58" s="1">
        <v>0</v>
      </c>
      <c r="GG58" s="1">
        <v>90</v>
      </c>
      <c r="GH58" s="1">
        <v>60003760</v>
      </c>
      <c r="GI58" s="1">
        <v>32767</v>
      </c>
      <c r="GJ58" s="1">
        <v>4</v>
      </c>
      <c r="GL58" s="1">
        <v>2412173159</v>
      </c>
      <c r="GM58" s="1">
        <v>16681</v>
      </c>
      <c r="GN58" s="1">
        <v>10000</v>
      </c>
      <c r="GO58" s="1">
        <v>10000</v>
      </c>
      <c r="GP58" s="1">
        <v>5930</v>
      </c>
      <c r="GQ58" s="1">
        <v>1</v>
      </c>
      <c r="GR58" s="1">
        <v>1</v>
      </c>
      <c r="GS58" s="1">
        <v>90</v>
      </c>
      <c r="GT58" s="1">
        <v>60003760</v>
      </c>
      <c r="GU58" s="1">
        <v>1</v>
      </c>
      <c r="GV58" s="1">
        <v>0</v>
      </c>
      <c r="GX58" s="1">
        <v>2835062700</v>
      </c>
      <c r="GY58" s="1">
        <v>16683</v>
      </c>
      <c r="GZ58" s="1">
        <v>100000</v>
      </c>
      <c r="HA58" s="1">
        <v>100000</v>
      </c>
      <c r="HB58" s="1">
        <v>8229.01</v>
      </c>
      <c r="HC58" s="1">
        <v>1</v>
      </c>
      <c r="HD58" s="1">
        <v>1</v>
      </c>
      <c r="HE58" s="1">
        <v>30</v>
      </c>
      <c r="HF58" s="1">
        <v>60003760</v>
      </c>
      <c r="HG58" s="1">
        <v>-1</v>
      </c>
      <c r="HH58" s="1">
        <v>0</v>
      </c>
      <c r="HJ58"/>
      <c r="HK58"/>
      <c r="HL58"/>
      <c r="HM58"/>
      <c r="HN58"/>
      <c r="HO58"/>
      <c r="HP58"/>
      <c r="HQ58"/>
      <c r="HR58"/>
      <c r="HS58"/>
      <c r="HT58"/>
      <c r="HV58" s="1">
        <v>2870232085</v>
      </c>
      <c r="HW58" s="1">
        <v>16274</v>
      </c>
      <c r="HX58" s="1">
        <v>993012</v>
      </c>
      <c r="HY58" s="1">
        <v>599012</v>
      </c>
      <c r="HZ58" s="1">
        <v>543.9</v>
      </c>
      <c r="IA58" s="1">
        <v>1</v>
      </c>
      <c r="IB58" s="1">
        <v>0</v>
      </c>
      <c r="IC58" s="1">
        <v>90</v>
      </c>
      <c r="ID58" s="1">
        <v>60001801</v>
      </c>
      <c r="IE58" s="1">
        <v>32767</v>
      </c>
      <c r="IF58" s="1">
        <v>8</v>
      </c>
      <c r="IH58"/>
      <c r="II58"/>
      <c r="IJ58"/>
      <c r="IK58"/>
      <c r="IL58"/>
      <c r="IM58"/>
      <c r="IN58"/>
      <c r="IO58"/>
      <c r="IP58"/>
      <c r="IQ58"/>
      <c r="IR58"/>
      <c r="IT58" s="1">
        <v>2868808748</v>
      </c>
      <c r="IU58" s="1">
        <v>16679</v>
      </c>
      <c r="IV58" s="1">
        <v>3000000</v>
      </c>
      <c r="IW58" s="1">
        <v>3000000</v>
      </c>
      <c r="IX58" s="1">
        <v>1950.43</v>
      </c>
      <c r="IY58" s="1">
        <v>1</v>
      </c>
      <c r="IZ58" s="1">
        <v>0</v>
      </c>
      <c r="JA58" s="1">
        <v>30</v>
      </c>
      <c r="JB58" s="1">
        <v>60003760</v>
      </c>
      <c r="JC58" s="1">
        <v>32767</v>
      </c>
      <c r="JD58" s="1">
        <v>0</v>
      </c>
      <c r="JF58" s="1">
        <v>2878227722</v>
      </c>
      <c r="JG58" s="1">
        <v>16272</v>
      </c>
      <c r="JH58" s="1">
        <v>1722477</v>
      </c>
      <c r="JI58" s="1">
        <v>1293417</v>
      </c>
      <c r="JJ58" s="1">
        <v>74.92</v>
      </c>
      <c r="JK58" s="1">
        <v>1</v>
      </c>
      <c r="JL58" s="1">
        <v>0</v>
      </c>
      <c r="JM58" s="1">
        <v>90</v>
      </c>
      <c r="JN58" s="1">
        <v>60003760</v>
      </c>
      <c r="JO58" s="1">
        <v>32767</v>
      </c>
      <c r="JP58" s="1">
        <v>6</v>
      </c>
      <c r="JR58" s="1">
        <v>2879128487</v>
      </c>
      <c r="JS58" s="1">
        <v>10226</v>
      </c>
      <c r="JT58" s="1">
        <v>1</v>
      </c>
      <c r="JU58" s="1">
        <v>1</v>
      </c>
      <c r="JV58" s="1">
        <v>111500000.06999999</v>
      </c>
      <c r="JW58" s="1">
        <v>1</v>
      </c>
      <c r="JX58" s="1">
        <v>1</v>
      </c>
      <c r="JY58" s="1">
        <v>90</v>
      </c>
      <c r="JZ58" s="1">
        <v>60003760</v>
      </c>
      <c r="KA58" s="1">
        <v>-1</v>
      </c>
      <c r="KB58" s="1">
        <v>0</v>
      </c>
      <c r="KD58" s="1">
        <v>2878189931</v>
      </c>
      <c r="KE58" s="1">
        <v>25605</v>
      </c>
      <c r="KF58" s="1">
        <v>54</v>
      </c>
      <c r="KG58" s="1">
        <v>54</v>
      </c>
      <c r="KH58" s="1">
        <v>119147.27</v>
      </c>
      <c r="KI58" s="1">
        <v>1</v>
      </c>
      <c r="KJ58" s="1">
        <v>0</v>
      </c>
      <c r="KK58" s="1">
        <v>7</v>
      </c>
      <c r="KL58" s="1">
        <v>60003760</v>
      </c>
      <c r="KM58" s="1">
        <v>32767</v>
      </c>
      <c r="KN58" s="1">
        <v>6</v>
      </c>
      <c r="KP58" s="1">
        <v>2874875785</v>
      </c>
      <c r="KQ58" s="1">
        <v>25624</v>
      </c>
      <c r="KR58" s="1">
        <v>11</v>
      </c>
      <c r="KS58" s="1">
        <v>11</v>
      </c>
      <c r="KT58" s="1">
        <v>18498998.949999999</v>
      </c>
      <c r="KU58" s="1">
        <v>1</v>
      </c>
      <c r="KV58" s="1">
        <v>0</v>
      </c>
      <c r="KW58" s="1">
        <v>90</v>
      </c>
      <c r="KX58" s="1">
        <v>60003760</v>
      </c>
      <c r="KY58" s="1">
        <v>32767</v>
      </c>
      <c r="KZ58" s="1">
        <v>1</v>
      </c>
      <c r="LB58" s="1">
        <v>2858004023</v>
      </c>
      <c r="LC58" s="1">
        <v>9832</v>
      </c>
      <c r="LD58" s="1">
        <v>16000</v>
      </c>
      <c r="LE58" s="1">
        <v>2610</v>
      </c>
      <c r="LF58" s="1">
        <v>9692</v>
      </c>
      <c r="LG58" s="1">
        <v>1</v>
      </c>
      <c r="LH58" s="1">
        <v>0</v>
      </c>
      <c r="LI58" s="1">
        <v>90</v>
      </c>
      <c r="LJ58" s="1">
        <v>60003760</v>
      </c>
      <c r="LK58" s="1">
        <v>32767</v>
      </c>
      <c r="LL58" s="1">
        <v>0</v>
      </c>
      <c r="LN58" s="1">
        <v>2877100910</v>
      </c>
      <c r="LO58" s="1">
        <v>10209</v>
      </c>
      <c r="LP58" s="1">
        <v>1</v>
      </c>
      <c r="LQ58" s="1">
        <v>1</v>
      </c>
      <c r="LR58" s="1">
        <v>109750000.76000001</v>
      </c>
      <c r="LS58" s="1">
        <v>1</v>
      </c>
      <c r="LT58" s="1">
        <v>1</v>
      </c>
      <c r="LU58" s="1">
        <v>90</v>
      </c>
      <c r="LV58" s="1">
        <v>60003760</v>
      </c>
      <c r="LW58" s="1">
        <v>-1</v>
      </c>
      <c r="LX58" s="1">
        <v>0</v>
      </c>
      <c r="LZ58" s="1">
        <v>2860048280</v>
      </c>
      <c r="MA58" s="1">
        <v>10217</v>
      </c>
      <c r="MB58" s="1">
        <v>1</v>
      </c>
      <c r="MC58" s="1">
        <v>1</v>
      </c>
      <c r="MD58" s="1">
        <v>110000001</v>
      </c>
      <c r="ME58" s="1">
        <v>1</v>
      </c>
      <c r="MF58" s="1">
        <v>1</v>
      </c>
      <c r="MG58" s="1">
        <v>90</v>
      </c>
      <c r="MH58" s="1">
        <v>60003934</v>
      </c>
      <c r="MI58" s="1">
        <v>32767</v>
      </c>
      <c r="MJ58" s="1">
        <v>0</v>
      </c>
      <c r="ML58" s="1">
        <v>2866712159</v>
      </c>
      <c r="MM58" s="1">
        <v>25625</v>
      </c>
      <c r="MN58" s="1">
        <v>120</v>
      </c>
      <c r="MO58" s="1">
        <v>101</v>
      </c>
      <c r="MP58" s="1">
        <v>3620000.11</v>
      </c>
      <c r="MQ58" s="1">
        <v>1</v>
      </c>
      <c r="MR58" s="1">
        <v>1</v>
      </c>
      <c r="MS58" s="1">
        <v>90</v>
      </c>
      <c r="MT58" s="1">
        <v>60003760</v>
      </c>
      <c r="MU58" s="1">
        <v>-1</v>
      </c>
      <c r="MV58" s="1">
        <v>0</v>
      </c>
      <c r="MX58" s="1">
        <v>2861583870</v>
      </c>
      <c r="MY58" s="1">
        <v>16672</v>
      </c>
      <c r="MZ58" s="1">
        <v>11190000</v>
      </c>
      <c r="NA58" s="1">
        <v>11190000</v>
      </c>
      <c r="NB58" s="1">
        <v>123</v>
      </c>
      <c r="NC58" s="1">
        <v>1</v>
      </c>
      <c r="ND58" s="1">
        <v>0</v>
      </c>
      <c r="NE58" s="1">
        <v>90</v>
      </c>
      <c r="NF58" s="1">
        <v>60003760</v>
      </c>
      <c r="NG58" s="1">
        <v>32767</v>
      </c>
      <c r="NH58" s="1">
        <v>0</v>
      </c>
      <c r="NJ58" s="1">
        <v>2868761310</v>
      </c>
      <c r="NK58" s="1">
        <v>16673</v>
      </c>
      <c r="NL58" s="1">
        <v>4010000</v>
      </c>
      <c r="NM58" s="1">
        <v>4010000</v>
      </c>
      <c r="NN58" s="1">
        <v>169.96</v>
      </c>
      <c r="NO58" s="1">
        <v>1</v>
      </c>
      <c r="NP58" s="1">
        <v>0</v>
      </c>
      <c r="NQ58" s="1">
        <v>14</v>
      </c>
      <c r="NR58" s="1">
        <v>60003760</v>
      </c>
      <c r="NS58" s="1">
        <v>32767</v>
      </c>
      <c r="NT58" s="1">
        <v>6</v>
      </c>
      <c r="NV58" s="1">
        <v>2860943478</v>
      </c>
      <c r="NW58" s="1">
        <v>3689</v>
      </c>
      <c r="NX58" s="1">
        <v>24199</v>
      </c>
      <c r="NY58" s="1">
        <v>20549</v>
      </c>
      <c r="NZ58" s="1">
        <v>10679</v>
      </c>
      <c r="OA58" s="1">
        <v>1</v>
      </c>
      <c r="OB58" s="1">
        <v>0</v>
      </c>
      <c r="OC58" s="1">
        <v>14</v>
      </c>
      <c r="OD58" s="1">
        <v>60003760</v>
      </c>
      <c r="OE58" s="1">
        <v>32767</v>
      </c>
      <c r="OF58" s="1">
        <v>0</v>
      </c>
      <c r="OH58" s="1">
        <v>2843313283</v>
      </c>
      <c r="OI58" s="1">
        <v>25598</v>
      </c>
      <c r="OJ58" s="1">
        <v>14008</v>
      </c>
      <c r="OK58" s="1">
        <v>11780</v>
      </c>
      <c r="OL58" s="1">
        <v>155399.97</v>
      </c>
      <c r="OM58" s="1">
        <v>1</v>
      </c>
      <c r="ON58" s="1">
        <v>0</v>
      </c>
      <c r="OO58" s="1">
        <v>90</v>
      </c>
      <c r="OP58" s="1">
        <v>60003760</v>
      </c>
      <c r="OQ58" s="1">
        <v>32767</v>
      </c>
      <c r="OR58" s="1">
        <v>0</v>
      </c>
      <c r="OT58" s="1">
        <v>2854325352</v>
      </c>
      <c r="OU58" s="1">
        <v>25600</v>
      </c>
      <c r="OV58" s="1">
        <v>70000</v>
      </c>
      <c r="OW58" s="1">
        <v>11041</v>
      </c>
      <c r="OX58" s="1">
        <v>30999.98</v>
      </c>
      <c r="OY58" s="1">
        <v>1</v>
      </c>
      <c r="OZ58" s="1">
        <v>0</v>
      </c>
      <c r="PA58" s="1">
        <v>90</v>
      </c>
      <c r="PB58" s="1">
        <v>60003760</v>
      </c>
      <c r="PC58" s="1">
        <v>32767</v>
      </c>
      <c r="PD58" s="1">
        <v>0</v>
      </c>
      <c r="PF58" s="1">
        <v>2870130443</v>
      </c>
      <c r="PG58" s="1">
        <v>16670</v>
      </c>
      <c r="PH58" s="1">
        <v>5000000</v>
      </c>
      <c r="PI58" s="1">
        <v>5000000</v>
      </c>
      <c r="PJ58" s="1">
        <v>129</v>
      </c>
      <c r="PK58" s="1">
        <v>1</v>
      </c>
      <c r="PL58" s="1">
        <v>0</v>
      </c>
      <c r="PM58" s="1">
        <v>90</v>
      </c>
      <c r="PN58" s="1">
        <v>60003760</v>
      </c>
      <c r="PO58" s="1">
        <v>32767</v>
      </c>
      <c r="PP58" s="1">
        <v>7</v>
      </c>
      <c r="PR58" s="1">
        <v>2861958602</v>
      </c>
      <c r="PS58" s="1">
        <v>10222</v>
      </c>
      <c r="PT58" s="1">
        <v>3</v>
      </c>
      <c r="PU58" s="1">
        <v>3</v>
      </c>
      <c r="PV58" s="1">
        <v>108000000.08</v>
      </c>
      <c r="PW58" s="1">
        <v>1</v>
      </c>
      <c r="PX58" s="1">
        <v>1</v>
      </c>
      <c r="PY58" s="1">
        <v>90</v>
      </c>
      <c r="PZ58" s="1">
        <v>60003760</v>
      </c>
      <c r="QA58" s="1">
        <v>-1</v>
      </c>
      <c r="QB58" s="1">
        <v>0</v>
      </c>
      <c r="QD58" s="1">
        <v>2876166324</v>
      </c>
      <c r="QE58" s="1">
        <v>9830</v>
      </c>
      <c r="QF58" s="1">
        <v>3031</v>
      </c>
      <c r="QG58" s="1">
        <v>3031</v>
      </c>
      <c r="QH58" s="1">
        <v>7999.02</v>
      </c>
      <c r="QI58" s="1">
        <v>1</v>
      </c>
      <c r="QJ58" s="1">
        <v>0</v>
      </c>
      <c r="QK58" s="1">
        <v>14</v>
      </c>
      <c r="QL58" s="1">
        <v>60000904</v>
      </c>
      <c r="QM58" s="1">
        <v>32767</v>
      </c>
      <c r="QN58" s="1">
        <v>12</v>
      </c>
      <c r="QP58" s="1">
        <v>2878935674</v>
      </c>
      <c r="QQ58" s="1">
        <v>16671</v>
      </c>
      <c r="QR58" s="1">
        <v>8141609</v>
      </c>
      <c r="QS58" s="1">
        <v>8141609</v>
      </c>
      <c r="QT58" s="1">
        <v>105.48</v>
      </c>
      <c r="QU58" s="1">
        <v>1</v>
      </c>
      <c r="QV58" s="1">
        <v>0</v>
      </c>
      <c r="QW58" s="1">
        <v>90</v>
      </c>
      <c r="QX58" s="1">
        <v>60003760</v>
      </c>
      <c r="QY58" s="1">
        <v>32767</v>
      </c>
      <c r="QZ58" s="1">
        <v>0</v>
      </c>
      <c r="RB58" s="1">
        <v>2878862967</v>
      </c>
      <c r="RC58" s="1">
        <v>16682</v>
      </c>
      <c r="RD58" s="1">
        <v>77250</v>
      </c>
      <c r="RE58" s="1">
        <v>77250</v>
      </c>
      <c r="RF58" s="1">
        <v>3349.39</v>
      </c>
      <c r="RG58" s="1">
        <v>1</v>
      </c>
      <c r="RH58" s="1">
        <v>0</v>
      </c>
      <c r="RI58" s="1">
        <v>90</v>
      </c>
      <c r="RJ58" s="1">
        <v>60003760</v>
      </c>
      <c r="RK58" s="1">
        <v>32767</v>
      </c>
      <c r="RL58" s="1">
        <v>0</v>
      </c>
      <c r="RN58" s="1">
        <v>2793761285</v>
      </c>
      <c r="RO58" s="1">
        <v>16678</v>
      </c>
      <c r="RP58" s="1">
        <v>10000000</v>
      </c>
      <c r="RQ58" s="1">
        <v>5203965</v>
      </c>
      <c r="RR58" s="1">
        <v>227.69</v>
      </c>
      <c r="RS58" s="1">
        <v>1</v>
      </c>
      <c r="RT58" s="1">
        <v>1</v>
      </c>
      <c r="RU58" s="1">
        <v>90</v>
      </c>
      <c r="RV58" s="1">
        <v>60003760</v>
      </c>
      <c r="RW58" s="1">
        <v>-1</v>
      </c>
      <c r="RX58" s="1">
        <v>0</v>
      </c>
      <c r="RZ58" s="1">
        <v>2813885168</v>
      </c>
      <c r="SA58" s="1">
        <v>30310</v>
      </c>
      <c r="SB58" s="1">
        <v>2000</v>
      </c>
      <c r="SC58" s="1">
        <v>1279</v>
      </c>
      <c r="SD58" s="1">
        <v>1058003</v>
      </c>
      <c r="SE58" s="1">
        <v>1</v>
      </c>
      <c r="SF58" s="1">
        <v>1</v>
      </c>
      <c r="SG58" s="1">
        <v>90</v>
      </c>
      <c r="SH58" s="1">
        <v>60003760</v>
      </c>
      <c r="SI58" s="1">
        <v>-1</v>
      </c>
      <c r="SJ58" s="1">
        <v>0</v>
      </c>
      <c r="SL58" s="1">
        <v>2878611238</v>
      </c>
      <c r="SM58" s="1">
        <v>30311</v>
      </c>
      <c r="SN58" s="1">
        <v>178</v>
      </c>
      <c r="SO58" s="1">
        <v>178</v>
      </c>
      <c r="SP58" s="1">
        <v>3127000.82</v>
      </c>
      <c r="SQ58" s="1">
        <v>1</v>
      </c>
      <c r="SR58" s="1">
        <v>0</v>
      </c>
      <c r="SS58" s="1">
        <v>90</v>
      </c>
      <c r="ST58" s="1">
        <v>60003760</v>
      </c>
      <c r="SU58" s="1">
        <v>32767</v>
      </c>
      <c r="SV58" s="1">
        <v>0</v>
      </c>
      <c r="SX58" s="1">
        <v>2840617292</v>
      </c>
      <c r="SY58" s="1">
        <v>25595</v>
      </c>
      <c r="SZ58" s="1">
        <v>4115</v>
      </c>
      <c r="TA58" s="1">
        <v>779</v>
      </c>
      <c r="TB58" s="1">
        <v>93000</v>
      </c>
      <c r="TC58" s="1">
        <v>1</v>
      </c>
      <c r="TD58" s="1">
        <v>0</v>
      </c>
      <c r="TE58" s="1">
        <v>90</v>
      </c>
      <c r="TF58" s="1">
        <v>60003760</v>
      </c>
      <c r="TG58" s="1">
        <v>32767</v>
      </c>
      <c r="TH58" s="1">
        <v>6</v>
      </c>
      <c r="TJ58" s="1">
        <v>2875547531</v>
      </c>
      <c r="TK58" s="1">
        <v>25606</v>
      </c>
      <c r="TL58" s="1">
        <v>47</v>
      </c>
      <c r="TM58" s="1">
        <v>47</v>
      </c>
      <c r="TN58" s="1">
        <v>24500</v>
      </c>
      <c r="TO58" s="1">
        <v>1</v>
      </c>
      <c r="TP58" s="1">
        <v>0</v>
      </c>
      <c r="TQ58" s="1">
        <v>7</v>
      </c>
      <c r="TR58" s="1">
        <v>60003760</v>
      </c>
      <c r="TS58" s="1">
        <v>32767</v>
      </c>
      <c r="TT58" s="1">
        <v>0</v>
      </c>
      <c r="TV58" s="1">
        <v>2697419644</v>
      </c>
      <c r="TW58" s="1">
        <v>25622</v>
      </c>
      <c r="TX58" s="1">
        <v>120</v>
      </c>
      <c r="TY58" s="1">
        <v>99</v>
      </c>
      <c r="TZ58" s="1">
        <v>13270000.109999999</v>
      </c>
      <c r="UA58" s="1">
        <v>1</v>
      </c>
      <c r="UB58" s="1">
        <v>1</v>
      </c>
      <c r="UC58" s="1">
        <v>90</v>
      </c>
      <c r="UD58" s="1">
        <v>60003760</v>
      </c>
      <c r="UE58" s="1">
        <v>-1</v>
      </c>
      <c r="UF58" s="1">
        <v>0</v>
      </c>
      <c r="UH58" s="1">
        <v>2833435581</v>
      </c>
      <c r="UI58" s="1">
        <v>16680</v>
      </c>
      <c r="UJ58" s="1">
        <v>190000</v>
      </c>
      <c r="UK58" s="1">
        <v>190000</v>
      </c>
      <c r="UL58" s="1">
        <v>645.61</v>
      </c>
      <c r="UM58" s="1">
        <v>1</v>
      </c>
      <c r="UN58" s="1">
        <v>1</v>
      </c>
      <c r="UO58" s="1">
        <v>90</v>
      </c>
      <c r="UP58" s="1">
        <v>60003760</v>
      </c>
      <c r="UQ58" s="1">
        <v>0</v>
      </c>
      <c r="UR58" s="1">
        <v>0</v>
      </c>
      <c r="UT58" s="1">
        <v>2878528026</v>
      </c>
      <c r="UU58" s="1">
        <v>17317</v>
      </c>
      <c r="UV58" s="1">
        <v>220</v>
      </c>
      <c r="UW58" s="1">
        <v>176</v>
      </c>
      <c r="UX58" s="1">
        <v>27721</v>
      </c>
      <c r="UY58" s="1">
        <v>1</v>
      </c>
      <c r="UZ58" s="1">
        <v>1</v>
      </c>
      <c r="VA58" s="1">
        <v>90</v>
      </c>
      <c r="VB58" s="1">
        <v>60003760</v>
      </c>
      <c r="VC58" s="1">
        <v>0</v>
      </c>
      <c r="VD58" s="1">
        <v>0</v>
      </c>
      <c r="VF58"/>
      <c r="VG58"/>
      <c r="VH58"/>
      <c r="VI58"/>
      <c r="VJ58"/>
      <c r="VK58"/>
      <c r="VL58"/>
      <c r="VM58"/>
      <c r="VN58"/>
      <c r="VO58"/>
      <c r="VP58"/>
    </row>
    <row r="59" spans="2:588" x14ac:dyDescent="0.25">
      <c r="B59" s="1">
        <v>2829516732</v>
      </c>
      <c r="C59" s="1">
        <v>34</v>
      </c>
      <c r="D59" s="1">
        <v>2119870150</v>
      </c>
      <c r="E59" s="1">
        <v>2119870150</v>
      </c>
      <c r="F59" s="1">
        <v>5.99</v>
      </c>
      <c r="G59" s="1">
        <v>1</v>
      </c>
      <c r="H59" s="1">
        <v>0</v>
      </c>
      <c r="I59" s="1">
        <v>90</v>
      </c>
      <c r="J59" s="1">
        <v>60003760</v>
      </c>
      <c r="K59" s="1">
        <v>32767</v>
      </c>
      <c r="L59" s="1">
        <v>0</v>
      </c>
      <c r="N59" s="1">
        <v>2832761447</v>
      </c>
      <c r="O59" s="1">
        <v>35</v>
      </c>
      <c r="P59" s="1">
        <v>27389293</v>
      </c>
      <c r="Q59" s="1">
        <v>27348165</v>
      </c>
      <c r="R59" s="1">
        <v>16.55</v>
      </c>
      <c r="S59" s="1">
        <v>1</v>
      </c>
      <c r="T59" s="1">
        <v>0</v>
      </c>
      <c r="U59" s="1">
        <v>90</v>
      </c>
      <c r="V59" s="1">
        <v>60003760</v>
      </c>
      <c r="W59" s="1">
        <v>32767</v>
      </c>
      <c r="X59" s="1">
        <v>0</v>
      </c>
      <c r="Z59" s="1">
        <v>2765379070</v>
      </c>
      <c r="AA59" s="1">
        <v>36</v>
      </c>
      <c r="AB59" s="1">
        <v>60000</v>
      </c>
      <c r="AC59" s="1">
        <v>60000</v>
      </c>
      <c r="AD59" s="16">
        <v>60.25</v>
      </c>
      <c r="AE59" s="1">
        <v>1</v>
      </c>
      <c r="AF59" s="1">
        <v>0</v>
      </c>
      <c r="AG59" s="1">
        <v>90</v>
      </c>
      <c r="AH59" s="1">
        <v>60003760</v>
      </c>
      <c r="AI59" s="1">
        <v>32767</v>
      </c>
      <c r="AJ59" s="1">
        <v>11</v>
      </c>
      <c r="AL59" s="1">
        <v>2847945394</v>
      </c>
      <c r="AM59" s="1">
        <v>37</v>
      </c>
      <c r="AN59" s="1">
        <v>10000000</v>
      </c>
      <c r="AO59" s="1">
        <v>10000000</v>
      </c>
      <c r="AP59" s="16">
        <v>151.78</v>
      </c>
      <c r="AQ59" s="1">
        <v>1</v>
      </c>
      <c r="AR59" s="1">
        <v>0</v>
      </c>
      <c r="AS59" s="1">
        <v>90</v>
      </c>
      <c r="AT59" s="1">
        <v>60003760</v>
      </c>
      <c r="AU59" s="1">
        <v>32767</v>
      </c>
      <c r="AV59" s="1">
        <v>9</v>
      </c>
      <c r="AX59" s="1">
        <v>2878220720</v>
      </c>
      <c r="AY59" s="1">
        <v>38</v>
      </c>
      <c r="AZ59" s="1">
        <v>61</v>
      </c>
      <c r="BA59" s="1">
        <v>61</v>
      </c>
      <c r="BB59" s="1">
        <v>819.99</v>
      </c>
      <c r="BC59" s="1">
        <v>1</v>
      </c>
      <c r="BD59" s="1">
        <v>0</v>
      </c>
      <c r="BE59" s="1">
        <v>1</v>
      </c>
      <c r="BF59" s="1">
        <v>60003760</v>
      </c>
      <c r="BG59" s="1">
        <v>32767</v>
      </c>
      <c r="BH59" s="1">
        <v>5</v>
      </c>
      <c r="BJ59" s="1">
        <v>2551476868</v>
      </c>
      <c r="BK59" s="1">
        <v>39</v>
      </c>
      <c r="BL59" s="1">
        <v>500000</v>
      </c>
      <c r="BM59" s="1">
        <v>500000</v>
      </c>
      <c r="BN59" s="1">
        <v>1398</v>
      </c>
      <c r="BO59" s="1">
        <v>1</v>
      </c>
      <c r="BP59" s="1">
        <v>0</v>
      </c>
      <c r="BQ59" s="1">
        <v>90</v>
      </c>
      <c r="BR59" s="1">
        <v>60003760</v>
      </c>
      <c r="BS59" s="1">
        <v>32767</v>
      </c>
      <c r="BT59" s="1">
        <v>5</v>
      </c>
      <c r="BV59" s="1">
        <v>2335841247</v>
      </c>
      <c r="BW59" s="1">
        <v>40</v>
      </c>
      <c r="BX59" s="1">
        <v>52</v>
      </c>
      <c r="BY59" s="1">
        <v>52</v>
      </c>
      <c r="BZ59" s="1">
        <v>3067.63</v>
      </c>
      <c r="CA59" s="1">
        <v>1</v>
      </c>
      <c r="CB59" s="1">
        <v>0</v>
      </c>
      <c r="CC59" s="1">
        <v>90</v>
      </c>
      <c r="CD59" s="1">
        <v>60003760</v>
      </c>
      <c r="CE59" s="1">
        <v>32767</v>
      </c>
      <c r="CF59" s="1">
        <v>13</v>
      </c>
      <c r="CH59" s="1">
        <v>2348983282</v>
      </c>
      <c r="CI59" s="1">
        <v>29668</v>
      </c>
      <c r="CJ59" s="1">
        <v>4</v>
      </c>
      <c r="CK59" s="1">
        <v>4</v>
      </c>
      <c r="CL59" s="1">
        <v>520000000</v>
      </c>
      <c r="CM59" s="1">
        <v>1</v>
      </c>
      <c r="CN59" s="1">
        <v>0</v>
      </c>
      <c r="CO59" s="1">
        <v>90</v>
      </c>
      <c r="CP59" s="1">
        <v>60003760</v>
      </c>
      <c r="CQ59" s="1">
        <v>32767</v>
      </c>
      <c r="CR59" s="1">
        <v>0</v>
      </c>
      <c r="CT59" s="1">
        <v>2397051520</v>
      </c>
      <c r="CU59" s="1">
        <v>16649</v>
      </c>
      <c r="CV59" s="1">
        <v>10000</v>
      </c>
      <c r="CW59" s="1">
        <v>10000</v>
      </c>
      <c r="CX59" s="1">
        <v>93905.82</v>
      </c>
      <c r="CY59" s="1">
        <v>1</v>
      </c>
      <c r="CZ59" s="1">
        <v>1</v>
      </c>
      <c r="DA59" s="1">
        <v>90</v>
      </c>
      <c r="DB59" s="1">
        <v>60003760</v>
      </c>
      <c r="DC59" s="1">
        <v>-1</v>
      </c>
      <c r="DD59" s="1">
        <v>0</v>
      </c>
      <c r="DF59" s="1">
        <v>2401854001</v>
      </c>
      <c r="DG59" s="1">
        <v>17887</v>
      </c>
      <c r="DH59" s="1">
        <v>110000</v>
      </c>
      <c r="DI59" s="1">
        <v>110000</v>
      </c>
      <c r="DJ59" s="1">
        <v>1800.09</v>
      </c>
      <c r="DK59" s="1">
        <v>1</v>
      </c>
      <c r="DL59" s="1">
        <v>0</v>
      </c>
      <c r="DM59" s="1">
        <v>14</v>
      </c>
      <c r="DN59" s="1">
        <v>60003760</v>
      </c>
      <c r="DO59" s="1">
        <v>32767</v>
      </c>
      <c r="DP59" s="1">
        <v>0</v>
      </c>
      <c r="DR59" s="1">
        <v>2825950099</v>
      </c>
      <c r="DS59" s="1">
        <v>17888</v>
      </c>
      <c r="DT59" s="1">
        <v>320700</v>
      </c>
      <c r="DU59" s="1">
        <v>320700</v>
      </c>
      <c r="DV59" s="1">
        <v>940</v>
      </c>
      <c r="DW59" s="1">
        <v>1</v>
      </c>
      <c r="DX59" s="1">
        <v>0</v>
      </c>
      <c r="DY59" s="1">
        <v>90</v>
      </c>
      <c r="DZ59" s="1">
        <v>60003760</v>
      </c>
      <c r="EA59" s="1">
        <v>32767</v>
      </c>
      <c r="EB59" s="1">
        <v>8</v>
      </c>
      <c r="ED59" s="1">
        <v>2855075569</v>
      </c>
      <c r="EE59" s="1">
        <v>16273</v>
      </c>
      <c r="EF59" s="1">
        <v>13352</v>
      </c>
      <c r="EG59" s="1">
        <v>8227</v>
      </c>
      <c r="EH59" s="1">
        <v>420</v>
      </c>
      <c r="EI59" s="1">
        <v>1</v>
      </c>
      <c r="EJ59" s="1">
        <v>0</v>
      </c>
      <c r="EK59" s="1">
        <v>90</v>
      </c>
      <c r="EL59" s="1">
        <v>60000274</v>
      </c>
      <c r="EM59" s="1">
        <v>32767</v>
      </c>
      <c r="EN59" s="1">
        <v>7</v>
      </c>
      <c r="EP59" s="1">
        <v>2847403322</v>
      </c>
      <c r="EQ59" s="1">
        <v>17889</v>
      </c>
      <c r="ER59" s="1">
        <v>398462</v>
      </c>
      <c r="ES59" s="1">
        <v>358462</v>
      </c>
      <c r="ET59" s="1">
        <v>600</v>
      </c>
      <c r="EU59" s="1">
        <v>1</v>
      </c>
      <c r="EV59" s="1">
        <v>0</v>
      </c>
      <c r="EW59" s="1">
        <v>90</v>
      </c>
      <c r="EX59" s="1">
        <v>60010201</v>
      </c>
      <c r="EY59" s="1">
        <v>32767</v>
      </c>
      <c r="EZ59" s="1">
        <v>4</v>
      </c>
      <c r="FB59" s="1">
        <v>2877272239</v>
      </c>
      <c r="FC59" s="1">
        <v>30259</v>
      </c>
      <c r="FD59" s="1">
        <v>190</v>
      </c>
      <c r="FE59" s="1">
        <v>179</v>
      </c>
      <c r="FF59" s="1">
        <v>5789397.3899999997</v>
      </c>
      <c r="FG59" s="1">
        <v>1</v>
      </c>
      <c r="FH59" s="1">
        <v>0</v>
      </c>
      <c r="FI59" s="1">
        <v>90</v>
      </c>
      <c r="FJ59" s="1">
        <v>60003760</v>
      </c>
      <c r="FK59" s="1">
        <v>32767</v>
      </c>
      <c r="FL59" s="1">
        <v>0</v>
      </c>
      <c r="FN59" s="1">
        <v>2821375583</v>
      </c>
      <c r="FO59" s="1">
        <v>25617</v>
      </c>
      <c r="FP59" s="1">
        <v>200</v>
      </c>
      <c r="FQ59" s="1">
        <v>173</v>
      </c>
      <c r="FR59" s="1">
        <v>4106070.03</v>
      </c>
      <c r="FS59" s="1">
        <v>1</v>
      </c>
      <c r="FT59" s="1">
        <v>1</v>
      </c>
      <c r="FU59" s="1">
        <v>90</v>
      </c>
      <c r="FV59" s="1">
        <v>60003760</v>
      </c>
      <c r="FW59" s="1">
        <v>-1</v>
      </c>
      <c r="FX59" s="1">
        <v>0</v>
      </c>
      <c r="FZ59" s="1">
        <v>2872933349</v>
      </c>
      <c r="GA59" s="1">
        <v>44</v>
      </c>
      <c r="GB59" s="1">
        <v>2711</v>
      </c>
      <c r="GC59" s="1">
        <v>2711</v>
      </c>
      <c r="GD59" s="1">
        <v>13095.91</v>
      </c>
      <c r="GE59" s="1">
        <v>1</v>
      </c>
      <c r="GF59" s="1">
        <v>0</v>
      </c>
      <c r="GG59" s="1">
        <v>90</v>
      </c>
      <c r="GH59" s="1">
        <v>60003760</v>
      </c>
      <c r="GI59" s="1">
        <v>32767</v>
      </c>
      <c r="GJ59" s="1">
        <v>4</v>
      </c>
      <c r="GL59" s="1">
        <v>2412574893</v>
      </c>
      <c r="GM59" s="1">
        <v>16681</v>
      </c>
      <c r="GN59" s="1">
        <v>576000</v>
      </c>
      <c r="GO59" s="1">
        <v>576000</v>
      </c>
      <c r="GP59" s="1">
        <v>5958.09</v>
      </c>
      <c r="GQ59" s="1">
        <v>1</v>
      </c>
      <c r="GR59" s="1">
        <v>1</v>
      </c>
      <c r="GS59" s="1">
        <v>7</v>
      </c>
      <c r="GT59" s="1">
        <v>60003760</v>
      </c>
      <c r="GU59" s="1">
        <v>-1</v>
      </c>
      <c r="GV59" s="1">
        <v>0</v>
      </c>
      <c r="GX59" s="1">
        <v>2860688370</v>
      </c>
      <c r="GY59" s="1">
        <v>16683</v>
      </c>
      <c r="GZ59" s="1">
        <v>100000</v>
      </c>
      <c r="HA59" s="1">
        <v>100000</v>
      </c>
      <c r="HB59" s="1">
        <v>8229.02</v>
      </c>
      <c r="HC59" s="1">
        <v>1</v>
      </c>
      <c r="HD59" s="1">
        <v>1</v>
      </c>
      <c r="HE59" s="1">
        <v>90</v>
      </c>
      <c r="HF59" s="1">
        <v>60003760</v>
      </c>
      <c r="HG59" s="1">
        <v>-1</v>
      </c>
      <c r="HH59" s="1">
        <v>0</v>
      </c>
      <c r="HJ59"/>
      <c r="HK59"/>
      <c r="HL59"/>
      <c r="HM59"/>
      <c r="HN59"/>
      <c r="HO59"/>
      <c r="HP59"/>
      <c r="HQ59"/>
      <c r="HR59"/>
      <c r="HS59"/>
      <c r="HT59"/>
      <c r="HV59" s="1">
        <v>2878164503</v>
      </c>
      <c r="HW59" s="1">
        <v>16274</v>
      </c>
      <c r="HX59" s="1">
        <v>116084</v>
      </c>
      <c r="HY59" s="1">
        <v>84</v>
      </c>
      <c r="HZ59" s="1">
        <v>540</v>
      </c>
      <c r="IA59" s="1">
        <v>1</v>
      </c>
      <c r="IB59" s="1">
        <v>0</v>
      </c>
      <c r="IC59" s="1">
        <v>90</v>
      </c>
      <c r="ID59" s="1">
        <v>60004081</v>
      </c>
      <c r="IE59" s="1">
        <v>32767</v>
      </c>
      <c r="IF59" s="1">
        <v>8</v>
      </c>
      <c r="IH59"/>
      <c r="II59"/>
      <c r="IJ59"/>
      <c r="IK59"/>
      <c r="IL59"/>
      <c r="IM59"/>
      <c r="IN59"/>
      <c r="IO59"/>
      <c r="IP59"/>
      <c r="IQ59"/>
      <c r="IR59"/>
      <c r="IT59" s="1">
        <v>2870034858</v>
      </c>
      <c r="IU59" s="1">
        <v>16679</v>
      </c>
      <c r="IV59" s="1">
        <v>1082120</v>
      </c>
      <c r="IW59" s="1">
        <v>934112</v>
      </c>
      <c r="IX59" s="1">
        <v>1748</v>
      </c>
      <c r="IY59" s="1">
        <v>1</v>
      </c>
      <c r="IZ59" s="1">
        <v>0</v>
      </c>
      <c r="JA59" s="1">
        <v>90</v>
      </c>
      <c r="JB59" s="1">
        <v>60003760</v>
      </c>
      <c r="JC59" s="1">
        <v>32767</v>
      </c>
      <c r="JD59" s="1">
        <v>0</v>
      </c>
      <c r="JF59" s="1">
        <v>2878195134</v>
      </c>
      <c r="JG59" s="1">
        <v>16272</v>
      </c>
      <c r="JH59" s="1">
        <v>551350</v>
      </c>
      <c r="JI59" s="1">
        <v>551350</v>
      </c>
      <c r="JJ59" s="1">
        <v>74.95</v>
      </c>
      <c r="JK59" s="1">
        <v>1</v>
      </c>
      <c r="JL59" s="1">
        <v>0</v>
      </c>
      <c r="JM59" s="1">
        <v>90</v>
      </c>
      <c r="JN59" s="1">
        <v>60003760</v>
      </c>
      <c r="JO59" s="1">
        <v>32767</v>
      </c>
      <c r="JP59" s="1">
        <v>6</v>
      </c>
      <c r="JR59" s="1">
        <v>2879103675</v>
      </c>
      <c r="JS59" s="1">
        <v>10226</v>
      </c>
      <c r="JT59" s="1">
        <v>10</v>
      </c>
      <c r="JU59" s="1">
        <v>10</v>
      </c>
      <c r="JV59" s="1">
        <v>111500000.08</v>
      </c>
      <c r="JW59" s="1">
        <v>1</v>
      </c>
      <c r="JX59" s="1">
        <v>1</v>
      </c>
      <c r="JY59" s="1">
        <v>7</v>
      </c>
      <c r="JZ59" s="1">
        <v>60003760</v>
      </c>
      <c r="KA59" s="1">
        <v>-1</v>
      </c>
      <c r="KB59" s="1">
        <v>0</v>
      </c>
      <c r="KD59" s="1">
        <v>2851268146</v>
      </c>
      <c r="KE59" s="1">
        <v>25605</v>
      </c>
      <c r="KF59" s="1">
        <v>10</v>
      </c>
      <c r="KG59" s="1">
        <v>10</v>
      </c>
      <c r="KH59" s="1">
        <v>125000</v>
      </c>
      <c r="KI59" s="1">
        <v>1</v>
      </c>
      <c r="KJ59" s="1">
        <v>0</v>
      </c>
      <c r="KK59" s="1">
        <v>90</v>
      </c>
      <c r="KL59" s="1">
        <v>60004054</v>
      </c>
      <c r="KM59" s="1">
        <v>32767</v>
      </c>
      <c r="KN59" s="1">
        <v>6</v>
      </c>
      <c r="KP59" s="1">
        <v>2874613238</v>
      </c>
      <c r="KQ59" s="1">
        <v>25624</v>
      </c>
      <c r="KR59" s="1">
        <v>175</v>
      </c>
      <c r="KS59" s="1">
        <v>175</v>
      </c>
      <c r="KT59" s="1">
        <v>18496999.989999998</v>
      </c>
      <c r="KU59" s="1">
        <v>1</v>
      </c>
      <c r="KV59" s="1">
        <v>0</v>
      </c>
      <c r="KW59" s="1">
        <v>90</v>
      </c>
      <c r="KX59" s="1">
        <v>60003760</v>
      </c>
      <c r="KY59" s="1">
        <v>32767</v>
      </c>
      <c r="KZ59" s="1">
        <v>1</v>
      </c>
      <c r="LB59" s="1">
        <v>2858380297</v>
      </c>
      <c r="LC59" s="1">
        <v>9832</v>
      </c>
      <c r="LD59" s="1">
        <v>2200</v>
      </c>
      <c r="LE59" s="1">
        <v>2200</v>
      </c>
      <c r="LF59" s="1">
        <v>9575</v>
      </c>
      <c r="LG59" s="1">
        <v>1</v>
      </c>
      <c r="LH59" s="1">
        <v>0</v>
      </c>
      <c r="LI59" s="1">
        <v>30</v>
      </c>
      <c r="LJ59" s="1">
        <v>60003760</v>
      </c>
      <c r="LK59" s="1">
        <v>32767</v>
      </c>
      <c r="LL59" s="1">
        <v>0</v>
      </c>
      <c r="LN59" s="1">
        <v>2877146249</v>
      </c>
      <c r="LO59" s="1">
        <v>10209</v>
      </c>
      <c r="LP59" s="1">
        <v>1</v>
      </c>
      <c r="LQ59" s="1">
        <v>1</v>
      </c>
      <c r="LR59" s="1">
        <v>109605104.56</v>
      </c>
      <c r="LS59" s="1">
        <v>1</v>
      </c>
      <c r="LT59" s="1">
        <v>1</v>
      </c>
      <c r="LU59" s="1">
        <v>90</v>
      </c>
      <c r="LV59" s="1">
        <v>60003760</v>
      </c>
      <c r="LW59" s="1">
        <v>-1</v>
      </c>
      <c r="LX59" s="1">
        <v>0</v>
      </c>
      <c r="LZ59" s="1">
        <v>2864074241</v>
      </c>
      <c r="MA59" s="1">
        <v>10217</v>
      </c>
      <c r="MB59" s="1">
        <v>2</v>
      </c>
      <c r="MC59" s="1">
        <v>1</v>
      </c>
      <c r="MD59" s="1">
        <v>111000009</v>
      </c>
      <c r="ME59" s="1">
        <v>1</v>
      </c>
      <c r="MF59" s="1">
        <v>1</v>
      </c>
      <c r="MG59" s="1">
        <v>90</v>
      </c>
      <c r="MH59" s="1">
        <v>60010192</v>
      </c>
      <c r="MI59" s="1">
        <v>32767</v>
      </c>
      <c r="MJ59" s="1">
        <v>0</v>
      </c>
      <c r="ML59" s="1">
        <v>2864647821</v>
      </c>
      <c r="MM59" s="1">
        <v>25625</v>
      </c>
      <c r="MN59" s="1">
        <v>50</v>
      </c>
      <c r="MO59" s="1">
        <v>48</v>
      </c>
      <c r="MP59" s="1">
        <v>3606007.02</v>
      </c>
      <c r="MQ59" s="1">
        <v>1</v>
      </c>
      <c r="MR59" s="1">
        <v>1</v>
      </c>
      <c r="MS59" s="1">
        <v>90</v>
      </c>
      <c r="MT59" s="1">
        <v>60003760</v>
      </c>
      <c r="MU59" s="1">
        <v>-1</v>
      </c>
      <c r="MV59" s="1">
        <v>0</v>
      </c>
      <c r="MX59" s="1">
        <v>2878595349</v>
      </c>
      <c r="MY59" s="1">
        <v>16672</v>
      </c>
      <c r="MZ59" s="1">
        <v>20230000</v>
      </c>
      <c r="NA59" s="1">
        <v>18913320</v>
      </c>
      <c r="NB59" s="1">
        <v>122.97</v>
      </c>
      <c r="NC59" s="1">
        <v>1</v>
      </c>
      <c r="ND59" s="1">
        <v>0</v>
      </c>
      <c r="NE59" s="1">
        <v>90</v>
      </c>
      <c r="NF59" s="1">
        <v>60003760</v>
      </c>
      <c r="NG59" s="1">
        <v>32767</v>
      </c>
      <c r="NH59" s="1">
        <v>0</v>
      </c>
      <c r="NJ59" s="1">
        <v>2868757235</v>
      </c>
      <c r="NK59" s="1">
        <v>16673</v>
      </c>
      <c r="NL59" s="1">
        <v>11580000</v>
      </c>
      <c r="NM59" s="1">
        <v>11549000</v>
      </c>
      <c r="NN59" s="1">
        <v>109.25</v>
      </c>
      <c r="NO59" s="1">
        <v>1</v>
      </c>
      <c r="NP59" s="1">
        <v>0</v>
      </c>
      <c r="NQ59" s="1">
        <v>90</v>
      </c>
      <c r="NR59" s="1">
        <v>60003760</v>
      </c>
      <c r="NS59" s="1">
        <v>32767</v>
      </c>
      <c r="NT59" s="1">
        <v>6</v>
      </c>
      <c r="NV59" s="1">
        <v>2862109628</v>
      </c>
      <c r="NW59" s="1">
        <v>3689</v>
      </c>
      <c r="NX59" s="1">
        <v>3550</v>
      </c>
      <c r="NY59" s="1">
        <v>3550</v>
      </c>
      <c r="NZ59" s="1">
        <v>10500</v>
      </c>
      <c r="OA59" s="1">
        <v>1</v>
      </c>
      <c r="OB59" s="1">
        <v>0</v>
      </c>
      <c r="OC59" s="1">
        <v>14</v>
      </c>
      <c r="OD59" s="1">
        <v>60003760</v>
      </c>
      <c r="OE59" s="1">
        <v>32767</v>
      </c>
      <c r="OF59" s="1">
        <v>0</v>
      </c>
      <c r="OH59" s="1">
        <v>2843864944</v>
      </c>
      <c r="OI59" s="1">
        <v>25598</v>
      </c>
      <c r="OJ59" s="1">
        <v>119</v>
      </c>
      <c r="OK59" s="1">
        <v>119</v>
      </c>
      <c r="OL59" s="1">
        <v>159000</v>
      </c>
      <c r="OM59" s="1">
        <v>1</v>
      </c>
      <c r="ON59" s="1">
        <v>0</v>
      </c>
      <c r="OO59" s="1">
        <v>30</v>
      </c>
      <c r="OP59" s="1">
        <v>60003760</v>
      </c>
      <c r="OQ59" s="1">
        <v>32767</v>
      </c>
      <c r="OR59" s="1">
        <v>0</v>
      </c>
      <c r="OT59" s="1">
        <v>2861563424</v>
      </c>
      <c r="OU59" s="1">
        <v>25600</v>
      </c>
      <c r="OV59" s="1">
        <v>8</v>
      </c>
      <c r="OW59" s="1">
        <v>8</v>
      </c>
      <c r="OX59" s="1">
        <v>299989.99</v>
      </c>
      <c r="OY59" s="1">
        <v>1</v>
      </c>
      <c r="OZ59" s="1">
        <v>0</v>
      </c>
      <c r="PA59" s="1">
        <v>90</v>
      </c>
      <c r="PB59" s="1">
        <v>60003760</v>
      </c>
      <c r="PC59" s="1">
        <v>32767</v>
      </c>
      <c r="PD59" s="1">
        <v>0</v>
      </c>
      <c r="PF59" s="1">
        <v>2870129977</v>
      </c>
      <c r="PG59" s="1">
        <v>16670</v>
      </c>
      <c r="PH59" s="1">
        <v>5000000</v>
      </c>
      <c r="PI59" s="1">
        <v>5000000</v>
      </c>
      <c r="PJ59" s="1">
        <v>131</v>
      </c>
      <c r="PK59" s="1">
        <v>1</v>
      </c>
      <c r="PL59" s="1">
        <v>0</v>
      </c>
      <c r="PM59" s="1">
        <v>90</v>
      </c>
      <c r="PN59" s="1">
        <v>60003760</v>
      </c>
      <c r="PO59" s="1">
        <v>32767</v>
      </c>
      <c r="PP59" s="1">
        <v>7</v>
      </c>
      <c r="PR59" s="1">
        <v>2736342454</v>
      </c>
      <c r="PS59" s="1">
        <v>10222</v>
      </c>
      <c r="PT59" s="1">
        <v>2</v>
      </c>
      <c r="PU59" s="1">
        <v>2</v>
      </c>
      <c r="PV59" s="1">
        <v>104000000</v>
      </c>
      <c r="PW59" s="1">
        <v>1</v>
      </c>
      <c r="PX59" s="1">
        <v>1</v>
      </c>
      <c r="PY59" s="1">
        <v>90</v>
      </c>
      <c r="PZ59" s="1">
        <v>60003760</v>
      </c>
      <c r="QA59" s="1">
        <v>-1</v>
      </c>
      <c r="QB59" s="1">
        <v>0</v>
      </c>
      <c r="QD59" s="1">
        <v>2876159495</v>
      </c>
      <c r="QE59" s="1">
        <v>9830</v>
      </c>
      <c r="QF59" s="1">
        <v>18839</v>
      </c>
      <c r="QG59" s="1">
        <v>18839</v>
      </c>
      <c r="QH59" s="1">
        <v>7999.02</v>
      </c>
      <c r="QI59" s="1">
        <v>1</v>
      </c>
      <c r="QJ59" s="1">
        <v>0</v>
      </c>
      <c r="QK59" s="1">
        <v>14</v>
      </c>
      <c r="QL59" s="1">
        <v>60000904</v>
      </c>
      <c r="QM59" s="1">
        <v>32767</v>
      </c>
      <c r="QN59" s="1">
        <v>12</v>
      </c>
      <c r="QP59" s="1">
        <v>2878840357</v>
      </c>
      <c r="QQ59" s="1">
        <v>16671</v>
      </c>
      <c r="QR59" s="1">
        <v>4000000</v>
      </c>
      <c r="QS59" s="1">
        <v>3099788</v>
      </c>
      <c r="QT59" s="1">
        <v>105.44</v>
      </c>
      <c r="QU59" s="1">
        <v>1</v>
      </c>
      <c r="QV59" s="1">
        <v>0</v>
      </c>
      <c r="QW59" s="1">
        <v>90</v>
      </c>
      <c r="QX59" s="1">
        <v>60003760</v>
      </c>
      <c r="QY59" s="1">
        <v>32767</v>
      </c>
      <c r="QZ59" s="1">
        <v>0</v>
      </c>
      <c r="RB59" s="1">
        <v>2874886354</v>
      </c>
      <c r="RC59" s="1">
        <v>16682</v>
      </c>
      <c r="RD59" s="1">
        <v>293500</v>
      </c>
      <c r="RE59" s="1">
        <v>292500</v>
      </c>
      <c r="RF59" s="1">
        <v>3349.37</v>
      </c>
      <c r="RG59" s="1">
        <v>1</v>
      </c>
      <c r="RH59" s="1">
        <v>0</v>
      </c>
      <c r="RI59" s="1">
        <v>90</v>
      </c>
      <c r="RJ59" s="1">
        <v>60003760</v>
      </c>
      <c r="RK59" s="1">
        <v>32767</v>
      </c>
      <c r="RL59" s="1">
        <v>8</v>
      </c>
      <c r="RN59" s="1">
        <v>2792761114</v>
      </c>
      <c r="RO59" s="1">
        <v>16678</v>
      </c>
      <c r="RP59" s="1">
        <v>2319008</v>
      </c>
      <c r="RQ59" s="1">
        <v>2319008</v>
      </c>
      <c r="RR59" s="1">
        <v>0.01</v>
      </c>
      <c r="RS59" s="1">
        <v>1</v>
      </c>
      <c r="RT59" s="1">
        <v>1</v>
      </c>
      <c r="RU59" s="1">
        <v>90</v>
      </c>
      <c r="RV59" s="1">
        <v>60003760</v>
      </c>
      <c r="RW59" s="1">
        <v>-1</v>
      </c>
      <c r="RX59" s="1">
        <v>0</v>
      </c>
      <c r="RZ59" s="1">
        <v>2804133928</v>
      </c>
      <c r="SA59" s="1">
        <v>30310</v>
      </c>
      <c r="SB59" s="1">
        <v>100</v>
      </c>
      <c r="SC59" s="1">
        <v>100</v>
      </c>
      <c r="SD59" s="1">
        <v>912000</v>
      </c>
      <c r="SE59" s="1">
        <v>1</v>
      </c>
      <c r="SF59" s="1">
        <v>1</v>
      </c>
      <c r="SG59" s="1">
        <v>90</v>
      </c>
      <c r="SH59" s="1">
        <v>60003760</v>
      </c>
      <c r="SI59" s="1">
        <v>-1</v>
      </c>
      <c r="SJ59" s="1">
        <v>0</v>
      </c>
      <c r="SL59" s="1">
        <v>2865311631</v>
      </c>
      <c r="SM59" s="1">
        <v>30311</v>
      </c>
      <c r="SN59" s="1">
        <v>66</v>
      </c>
      <c r="SO59" s="1">
        <v>66</v>
      </c>
      <c r="SP59" s="1">
        <v>3127000.81</v>
      </c>
      <c r="SQ59" s="1">
        <v>1</v>
      </c>
      <c r="SR59" s="1">
        <v>0</v>
      </c>
      <c r="SS59" s="1">
        <v>90</v>
      </c>
      <c r="ST59" s="1">
        <v>60003760</v>
      </c>
      <c r="SU59" s="1">
        <v>32767</v>
      </c>
      <c r="SV59" s="1">
        <v>0</v>
      </c>
      <c r="SX59" s="1">
        <v>2840434924</v>
      </c>
      <c r="SY59" s="1">
        <v>25595</v>
      </c>
      <c r="SZ59" s="1">
        <v>79</v>
      </c>
      <c r="TA59" s="1">
        <v>79</v>
      </c>
      <c r="TB59" s="1">
        <v>93198.99</v>
      </c>
      <c r="TC59" s="1">
        <v>1</v>
      </c>
      <c r="TD59" s="1">
        <v>0</v>
      </c>
      <c r="TE59" s="1">
        <v>90</v>
      </c>
      <c r="TF59" s="1">
        <v>60003760</v>
      </c>
      <c r="TG59" s="1">
        <v>32767</v>
      </c>
      <c r="TH59" s="1">
        <v>6</v>
      </c>
      <c r="TJ59" s="1">
        <v>2874873763</v>
      </c>
      <c r="TK59" s="1">
        <v>25606</v>
      </c>
      <c r="TL59" s="1">
        <v>57</v>
      </c>
      <c r="TM59" s="1">
        <v>57</v>
      </c>
      <c r="TN59" s="1">
        <v>24000</v>
      </c>
      <c r="TO59" s="1">
        <v>1</v>
      </c>
      <c r="TP59" s="1">
        <v>0</v>
      </c>
      <c r="TQ59" s="1">
        <v>30</v>
      </c>
      <c r="TR59" s="1">
        <v>60003760</v>
      </c>
      <c r="TS59" s="1">
        <v>32767</v>
      </c>
      <c r="TT59" s="1">
        <v>0</v>
      </c>
      <c r="TV59" s="1">
        <v>2870198742</v>
      </c>
      <c r="TW59" s="1">
        <v>25622</v>
      </c>
      <c r="TX59" s="1">
        <v>105</v>
      </c>
      <c r="TY59" s="1">
        <v>105</v>
      </c>
      <c r="TZ59" s="1">
        <v>105.97</v>
      </c>
      <c r="UA59" s="1">
        <v>1</v>
      </c>
      <c r="UB59" s="1">
        <v>1</v>
      </c>
      <c r="UC59" s="1">
        <v>90</v>
      </c>
      <c r="UD59" s="1">
        <v>60003760</v>
      </c>
      <c r="UE59" s="1">
        <v>40</v>
      </c>
      <c r="UF59" s="1">
        <v>0</v>
      </c>
      <c r="UH59" s="1">
        <v>2834510956</v>
      </c>
      <c r="UI59" s="1">
        <v>16680</v>
      </c>
      <c r="UJ59" s="1">
        <v>5000</v>
      </c>
      <c r="UK59" s="1">
        <v>3532</v>
      </c>
      <c r="UL59" s="1">
        <v>676</v>
      </c>
      <c r="UM59" s="1">
        <v>1</v>
      </c>
      <c r="UN59" s="1">
        <v>1</v>
      </c>
      <c r="UO59" s="1">
        <v>90</v>
      </c>
      <c r="UP59" s="1">
        <v>60003760</v>
      </c>
      <c r="UQ59" s="1">
        <v>5</v>
      </c>
      <c r="UR59" s="1">
        <v>0</v>
      </c>
      <c r="UT59" s="1">
        <v>2878712633</v>
      </c>
      <c r="UU59" s="1">
        <v>17317</v>
      </c>
      <c r="UV59" s="1">
        <v>8000</v>
      </c>
      <c r="UW59" s="1">
        <v>8000</v>
      </c>
      <c r="UX59" s="1">
        <v>27720.2</v>
      </c>
      <c r="UY59" s="1">
        <v>1</v>
      </c>
      <c r="UZ59" s="1">
        <v>1</v>
      </c>
      <c r="VA59" s="1">
        <v>90</v>
      </c>
      <c r="VB59" s="1">
        <v>60003760</v>
      </c>
      <c r="VC59" s="1">
        <v>-1</v>
      </c>
      <c r="VD59" s="1">
        <v>0</v>
      </c>
      <c r="VF59"/>
      <c r="VG59"/>
      <c r="VH59"/>
      <c r="VI59"/>
      <c r="VJ59"/>
      <c r="VK59"/>
      <c r="VL59"/>
      <c r="VM59"/>
      <c r="VN59"/>
      <c r="VO59"/>
      <c r="VP59"/>
    </row>
    <row r="60" spans="2:588" x14ac:dyDescent="0.25">
      <c r="B60" s="1">
        <v>2819032533</v>
      </c>
      <c r="C60" s="1">
        <v>34</v>
      </c>
      <c r="D60" s="1">
        <v>10000000</v>
      </c>
      <c r="E60" s="1">
        <v>10000000</v>
      </c>
      <c r="F60" s="1">
        <v>7.5</v>
      </c>
      <c r="G60" s="1">
        <v>1</v>
      </c>
      <c r="H60" s="1">
        <v>0</v>
      </c>
      <c r="I60" s="1">
        <v>90</v>
      </c>
      <c r="J60" s="1">
        <v>60003760</v>
      </c>
      <c r="K60" s="1">
        <v>32767</v>
      </c>
      <c r="L60" s="1">
        <v>0</v>
      </c>
      <c r="N60" s="1">
        <v>2832643807</v>
      </c>
      <c r="O60" s="1">
        <v>35</v>
      </c>
      <c r="P60" s="1">
        <v>556830</v>
      </c>
      <c r="Q60" s="1">
        <v>439630</v>
      </c>
      <c r="R60" s="1">
        <v>16.87</v>
      </c>
      <c r="S60" s="1">
        <v>1</v>
      </c>
      <c r="T60" s="1">
        <v>0</v>
      </c>
      <c r="U60" s="1">
        <v>90</v>
      </c>
      <c r="V60" s="1">
        <v>60003760</v>
      </c>
      <c r="W60" s="1">
        <v>32767</v>
      </c>
      <c r="X60" s="1">
        <v>0</v>
      </c>
      <c r="Z60" s="1">
        <v>2768368631</v>
      </c>
      <c r="AA60" s="1">
        <v>36</v>
      </c>
      <c r="AB60" s="1">
        <v>30000000</v>
      </c>
      <c r="AC60" s="1">
        <v>30000000</v>
      </c>
      <c r="AD60" s="16">
        <v>56.18</v>
      </c>
      <c r="AE60" s="1">
        <v>1</v>
      </c>
      <c r="AF60" s="1">
        <v>0</v>
      </c>
      <c r="AG60" s="1">
        <v>90</v>
      </c>
      <c r="AH60" s="1">
        <v>60003760</v>
      </c>
      <c r="AI60" s="1">
        <v>32767</v>
      </c>
      <c r="AJ60" s="1">
        <v>11</v>
      </c>
      <c r="AL60" s="1">
        <v>2855453355</v>
      </c>
      <c r="AM60" s="1">
        <v>37</v>
      </c>
      <c r="AN60" s="1">
        <v>1260696</v>
      </c>
      <c r="AO60" s="1">
        <v>1260696</v>
      </c>
      <c r="AP60" s="16">
        <v>151.79</v>
      </c>
      <c r="AQ60" s="1">
        <v>1</v>
      </c>
      <c r="AR60" s="1">
        <v>0</v>
      </c>
      <c r="AS60" s="1">
        <v>90</v>
      </c>
      <c r="AT60" s="1">
        <v>60003760</v>
      </c>
      <c r="AU60" s="1">
        <v>32767</v>
      </c>
      <c r="AV60" s="1">
        <v>9</v>
      </c>
      <c r="AX60" s="1">
        <v>2878214064</v>
      </c>
      <c r="AY60" s="1">
        <v>38</v>
      </c>
      <c r="AZ60" s="1">
        <v>6158</v>
      </c>
      <c r="BA60" s="1">
        <v>6158</v>
      </c>
      <c r="BB60" s="1">
        <v>819.99</v>
      </c>
      <c r="BC60" s="1">
        <v>1</v>
      </c>
      <c r="BD60" s="1">
        <v>0</v>
      </c>
      <c r="BE60" s="1">
        <v>90</v>
      </c>
      <c r="BF60" s="1">
        <v>60003760</v>
      </c>
      <c r="BG60" s="1">
        <v>32767</v>
      </c>
      <c r="BH60" s="1">
        <v>5</v>
      </c>
      <c r="BJ60" s="1">
        <v>2529160226</v>
      </c>
      <c r="BK60" s="1">
        <v>39</v>
      </c>
      <c r="BL60" s="1">
        <v>500000</v>
      </c>
      <c r="BM60" s="1">
        <v>500000</v>
      </c>
      <c r="BN60" s="1">
        <v>1598</v>
      </c>
      <c r="BO60" s="1">
        <v>1</v>
      </c>
      <c r="BP60" s="1">
        <v>0</v>
      </c>
      <c r="BQ60" s="1">
        <v>90</v>
      </c>
      <c r="BR60" s="1">
        <v>60003760</v>
      </c>
      <c r="BS60" s="1">
        <v>32767</v>
      </c>
      <c r="BT60" s="1">
        <v>5</v>
      </c>
      <c r="BV60" s="1">
        <v>1951361461</v>
      </c>
      <c r="BW60" s="1">
        <v>40</v>
      </c>
      <c r="BX60" s="1">
        <v>200000</v>
      </c>
      <c r="BY60" s="1">
        <v>200000</v>
      </c>
      <c r="BZ60" s="1">
        <v>3200</v>
      </c>
      <c r="CA60" s="1">
        <v>1</v>
      </c>
      <c r="CB60" s="1">
        <v>0</v>
      </c>
      <c r="CC60" s="1">
        <v>90</v>
      </c>
      <c r="CD60" s="1">
        <v>60003760</v>
      </c>
      <c r="CE60" s="1">
        <v>32767</v>
      </c>
      <c r="CF60" s="1">
        <v>13</v>
      </c>
      <c r="CH60" s="1">
        <v>2348988321</v>
      </c>
      <c r="CI60" s="1">
        <v>29668</v>
      </c>
      <c r="CJ60" s="1">
        <v>1</v>
      </c>
      <c r="CK60" s="1">
        <v>1</v>
      </c>
      <c r="CL60" s="1">
        <v>513859997.88</v>
      </c>
      <c r="CM60" s="1">
        <v>1</v>
      </c>
      <c r="CN60" s="1">
        <v>0</v>
      </c>
      <c r="CO60" s="1">
        <v>90</v>
      </c>
      <c r="CP60" s="1">
        <v>60003760</v>
      </c>
      <c r="CQ60" s="1">
        <v>32767</v>
      </c>
      <c r="CR60" s="1">
        <v>0</v>
      </c>
      <c r="CT60" s="1">
        <v>2393417468</v>
      </c>
      <c r="CU60" s="1">
        <v>16649</v>
      </c>
      <c r="CV60" s="1">
        <v>50000</v>
      </c>
      <c r="CW60" s="1">
        <v>50000</v>
      </c>
      <c r="CX60" s="1">
        <v>75000</v>
      </c>
      <c r="CY60" s="1">
        <v>1</v>
      </c>
      <c r="CZ60" s="1">
        <v>1</v>
      </c>
      <c r="DA60" s="1">
        <v>90</v>
      </c>
      <c r="DB60" s="1">
        <v>60003760</v>
      </c>
      <c r="DC60" s="1">
        <v>-1</v>
      </c>
      <c r="DD60" s="1">
        <v>0</v>
      </c>
      <c r="DF60" s="1">
        <v>2401856261</v>
      </c>
      <c r="DG60" s="1">
        <v>17887</v>
      </c>
      <c r="DH60" s="1">
        <v>10000</v>
      </c>
      <c r="DI60" s="1">
        <v>10000</v>
      </c>
      <c r="DJ60" s="1">
        <v>1669.09</v>
      </c>
      <c r="DK60" s="1">
        <v>1</v>
      </c>
      <c r="DL60" s="1">
        <v>0</v>
      </c>
      <c r="DM60" s="1">
        <v>14</v>
      </c>
      <c r="DN60" s="1">
        <v>60003760</v>
      </c>
      <c r="DO60" s="1">
        <v>32767</v>
      </c>
      <c r="DP60" s="1">
        <v>0</v>
      </c>
      <c r="DR60" s="1">
        <v>2757723597</v>
      </c>
      <c r="DS60" s="1">
        <v>17888</v>
      </c>
      <c r="DT60" s="1">
        <v>46900</v>
      </c>
      <c r="DU60" s="1">
        <v>46900</v>
      </c>
      <c r="DV60" s="1">
        <v>599</v>
      </c>
      <c r="DW60" s="1">
        <v>1</v>
      </c>
      <c r="DX60" s="1">
        <v>0</v>
      </c>
      <c r="DY60" s="1">
        <v>90</v>
      </c>
      <c r="DZ60" s="1">
        <v>60003760</v>
      </c>
      <c r="EA60" s="1">
        <v>32767</v>
      </c>
      <c r="EB60" s="1">
        <v>8</v>
      </c>
      <c r="ED60" s="1">
        <v>2832790595</v>
      </c>
      <c r="EE60" s="1">
        <v>16273</v>
      </c>
      <c r="EF60" s="1">
        <v>18058</v>
      </c>
      <c r="EG60" s="1">
        <v>18058</v>
      </c>
      <c r="EH60" s="1">
        <v>398.69</v>
      </c>
      <c r="EI60" s="1">
        <v>1</v>
      </c>
      <c r="EJ60" s="1">
        <v>0</v>
      </c>
      <c r="EK60" s="1">
        <v>30</v>
      </c>
      <c r="EL60" s="1">
        <v>60004051</v>
      </c>
      <c r="EM60" s="1">
        <v>32767</v>
      </c>
      <c r="EN60" s="1">
        <v>7</v>
      </c>
      <c r="EP60" s="1">
        <v>2870178345</v>
      </c>
      <c r="EQ60" s="1">
        <v>17889</v>
      </c>
      <c r="ER60" s="1">
        <v>100936</v>
      </c>
      <c r="ES60" s="1">
        <v>100936</v>
      </c>
      <c r="ET60" s="1">
        <v>359</v>
      </c>
      <c r="EU60" s="1">
        <v>1</v>
      </c>
      <c r="EV60" s="1">
        <v>0</v>
      </c>
      <c r="EW60" s="1">
        <v>90</v>
      </c>
      <c r="EX60" s="1">
        <v>60002281</v>
      </c>
      <c r="EY60" s="1">
        <v>32767</v>
      </c>
      <c r="EZ60" s="1">
        <v>5</v>
      </c>
      <c r="FB60" s="1">
        <v>2877871193</v>
      </c>
      <c r="FC60" s="1">
        <v>30259</v>
      </c>
      <c r="FD60" s="1">
        <v>500</v>
      </c>
      <c r="FE60" s="1">
        <v>500</v>
      </c>
      <c r="FF60" s="1">
        <v>5789397.3899999997</v>
      </c>
      <c r="FG60" s="1">
        <v>1</v>
      </c>
      <c r="FH60" s="1">
        <v>0</v>
      </c>
      <c r="FI60" s="1">
        <v>90</v>
      </c>
      <c r="FJ60" s="1">
        <v>60003760</v>
      </c>
      <c r="FK60" s="1">
        <v>32767</v>
      </c>
      <c r="FL60" s="1">
        <v>0</v>
      </c>
      <c r="FN60" s="1">
        <v>2821323139</v>
      </c>
      <c r="FO60" s="1">
        <v>25617</v>
      </c>
      <c r="FP60" s="1">
        <v>300</v>
      </c>
      <c r="FQ60" s="1">
        <v>300</v>
      </c>
      <c r="FR60" s="1">
        <v>2926011.02</v>
      </c>
      <c r="FS60" s="1">
        <v>1</v>
      </c>
      <c r="FT60" s="1">
        <v>1</v>
      </c>
      <c r="FU60" s="1">
        <v>90</v>
      </c>
      <c r="FV60" s="1">
        <v>60003760</v>
      </c>
      <c r="FW60" s="1">
        <v>-1</v>
      </c>
      <c r="FX60" s="1">
        <v>0</v>
      </c>
      <c r="FZ60" s="1">
        <v>2873065747</v>
      </c>
      <c r="GA60" s="1">
        <v>44</v>
      </c>
      <c r="GB60" s="1">
        <v>18465</v>
      </c>
      <c r="GC60" s="1">
        <v>18465</v>
      </c>
      <c r="GD60" s="1">
        <v>12925</v>
      </c>
      <c r="GE60" s="1">
        <v>1</v>
      </c>
      <c r="GF60" s="1">
        <v>0</v>
      </c>
      <c r="GG60" s="1">
        <v>90</v>
      </c>
      <c r="GH60" s="1">
        <v>60003760</v>
      </c>
      <c r="GI60" s="1">
        <v>32767</v>
      </c>
      <c r="GJ60" s="1">
        <v>4</v>
      </c>
      <c r="GL60" s="1">
        <v>2412576997</v>
      </c>
      <c r="GM60" s="1">
        <v>16681</v>
      </c>
      <c r="GN60" s="1">
        <v>500000</v>
      </c>
      <c r="GO60" s="1">
        <v>500000</v>
      </c>
      <c r="GP60" s="1">
        <v>5958.11</v>
      </c>
      <c r="GQ60" s="1">
        <v>1</v>
      </c>
      <c r="GR60" s="1">
        <v>1</v>
      </c>
      <c r="GS60" s="1">
        <v>7</v>
      </c>
      <c r="GT60" s="1">
        <v>60003760</v>
      </c>
      <c r="GU60" s="1">
        <v>-1</v>
      </c>
      <c r="GV60" s="1">
        <v>0</v>
      </c>
      <c r="GX60" s="1">
        <v>2860819344</v>
      </c>
      <c r="GY60" s="1">
        <v>16683</v>
      </c>
      <c r="GZ60" s="1">
        <v>250000</v>
      </c>
      <c r="HA60" s="1">
        <v>250000</v>
      </c>
      <c r="HB60" s="1">
        <v>8352</v>
      </c>
      <c r="HC60" s="1">
        <v>1</v>
      </c>
      <c r="HD60" s="1">
        <v>1</v>
      </c>
      <c r="HE60" s="1">
        <v>90</v>
      </c>
      <c r="HF60" s="1">
        <v>60003760</v>
      </c>
      <c r="HG60" s="1">
        <v>-1</v>
      </c>
      <c r="HH60" s="1">
        <v>0</v>
      </c>
      <c r="HJ60"/>
      <c r="HK60"/>
      <c r="HL60"/>
      <c r="HM60"/>
      <c r="HN60"/>
      <c r="HO60"/>
      <c r="HP60"/>
      <c r="HQ60"/>
      <c r="HR60"/>
      <c r="HS60"/>
      <c r="HT60"/>
      <c r="HV60" s="1">
        <v>2818361497</v>
      </c>
      <c r="HW60" s="1">
        <v>16274</v>
      </c>
      <c r="HX60" s="1">
        <v>717447</v>
      </c>
      <c r="HY60" s="1">
        <v>85387</v>
      </c>
      <c r="HZ60" s="1">
        <v>415</v>
      </c>
      <c r="IA60" s="1">
        <v>1</v>
      </c>
      <c r="IB60" s="1">
        <v>0</v>
      </c>
      <c r="IC60" s="1">
        <v>90</v>
      </c>
      <c r="ID60" s="1">
        <v>60003241</v>
      </c>
      <c r="IE60" s="1">
        <v>32767</v>
      </c>
      <c r="IF60" s="1">
        <v>8</v>
      </c>
      <c r="IH60"/>
      <c r="II60"/>
      <c r="IJ60"/>
      <c r="IK60"/>
      <c r="IL60"/>
      <c r="IM60"/>
      <c r="IN60"/>
      <c r="IO60"/>
      <c r="IP60"/>
      <c r="IQ60"/>
      <c r="IR60"/>
      <c r="IT60" s="1">
        <v>2869737049</v>
      </c>
      <c r="IU60" s="1">
        <v>16679</v>
      </c>
      <c r="IV60" s="1">
        <v>528000</v>
      </c>
      <c r="IW60" s="1">
        <v>528000</v>
      </c>
      <c r="IX60" s="1">
        <v>1799.99</v>
      </c>
      <c r="IY60" s="1">
        <v>1</v>
      </c>
      <c r="IZ60" s="1">
        <v>0</v>
      </c>
      <c r="JA60" s="1">
        <v>90</v>
      </c>
      <c r="JB60" s="1">
        <v>60003760</v>
      </c>
      <c r="JC60" s="1">
        <v>32767</v>
      </c>
      <c r="JD60" s="1">
        <v>0</v>
      </c>
      <c r="JF60" s="1">
        <v>2878201678</v>
      </c>
      <c r="JG60" s="1">
        <v>16272</v>
      </c>
      <c r="JH60" s="1">
        <v>268550</v>
      </c>
      <c r="JI60" s="1">
        <v>118550</v>
      </c>
      <c r="JJ60" s="1">
        <v>74.94</v>
      </c>
      <c r="JK60" s="1">
        <v>1</v>
      </c>
      <c r="JL60" s="1">
        <v>0</v>
      </c>
      <c r="JM60" s="1">
        <v>90</v>
      </c>
      <c r="JN60" s="1">
        <v>60003760</v>
      </c>
      <c r="JO60" s="1">
        <v>32767</v>
      </c>
      <c r="JP60" s="1">
        <v>6</v>
      </c>
      <c r="JR60" s="1">
        <v>2879073664</v>
      </c>
      <c r="JS60" s="1">
        <v>10226</v>
      </c>
      <c r="JT60" s="1">
        <v>2</v>
      </c>
      <c r="JU60" s="1">
        <v>2</v>
      </c>
      <c r="JV60" s="1">
        <v>111500000.09</v>
      </c>
      <c r="JW60" s="1">
        <v>1</v>
      </c>
      <c r="JX60" s="1">
        <v>1</v>
      </c>
      <c r="JY60" s="1">
        <v>90</v>
      </c>
      <c r="JZ60" s="1">
        <v>60003760</v>
      </c>
      <c r="KA60" s="1">
        <v>-1</v>
      </c>
      <c r="KB60" s="1">
        <v>0</v>
      </c>
      <c r="KD60" s="1">
        <v>2874582424</v>
      </c>
      <c r="KE60" s="1">
        <v>25605</v>
      </c>
      <c r="KF60" s="1">
        <v>53</v>
      </c>
      <c r="KG60" s="1">
        <v>53</v>
      </c>
      <c r="KH60" s="1">
        <v>111000</v>
      </c>
      <c r="KI60" s="1">
        <v>1</v>
      </c>
      <c r="KJ60" s="1">
        <v>0</v>
      </c>
      <c r="KK60" s="1">
        <v>7</v>
      </c>
      <c r="KL60" s="1">
        <v>60004054</v>
      </c>
      <c r="KM60" s="1">
        <v>32767</v>
      </c>
      <c r="KN60" s="1">
        <v>6</v>
      </c>
      <c r="KP60" s="1">
        <v>2875686870</v>
      </c>
      <c r="KQ60" s="1">
        <v>25624</v>
      </c>
      <c r="KR60" s="1">
        <v>2</v>
      </c>
      <c r="KS60" s="1">
        <v>2</v>
      </c>
      <c r="KT60" s="1">
        <v>19000000</v>
      </c>
      <c r="KU60" s="1">
        <v>1</v>
      </c>
      <c r="KV60" s="1">
        <v>0</v>
      </c>
      <c r="KW60" s="1">
        <v>90</v>
      </c>
      <c r="KX60" s="1">
        <v>60003760</v>
      </c>
      <c r="KY60" s="1">
        <v>32767</v>
      </c>
      <c r="KZ60" s="1">
        <v>1</v>
      </c>
      <c r="LB60" s="1">
        <v>2858322159</v>
      </c>
      <c r="LC60" s="1">
        <v>9832</v>
      </c>
      <c r="LD60" s="1">
        <v>24375</v>
      </c>
      <c r="LE60" s="1">
        <v>24375</v>
      </c>
      <c r="LF60" s="1">
        <v>9500</v>
      </c>
      <c r="LG60" s="1">
        <v>1</v>
      </c>
      <c r="LH60" s="1">
        <v>0</v>
      </c>
      <c r="LI60" s="1">
        <v>90</v>
      </c>
      <c r="LJ60" s="1">
        <v>60003760</v>
      </c>
      <c r="LK60" s="1">
        <v>32767</v>
      </c>
      <c r="LL60" s="1">
        <v>0</v>
      </c>
      <c r="LN60" s="1">
        <v>2675491979</v>
      </c>
      <c r="LO60" s="1">
        <v>10209</v>
      </c>
      <c r="LP60" s="1">
        <v>3</v>
      </c>
      <c r="LQ60" s="1">
        <v>3</v>
      </c>
      <c r="LR60" s="1">
        <v>100000007</v>
      </c>
      <c r="LS60" s="1">
        <v>1</v>
      </c>
      <c r="LT60" s="1">
        <v>1</v>
      </c>
      <c r="LU60" s="1">
        <v>90</v>
      </c>
      <c r="LV60" s="1">
        <v>60003754</v>
      </c>
      <c r="LW60" s="1">
        <v>20</v>
      </c>
      <c r="LX60" s="1">
        <v>0</v>
      </c>
      <c r="LZ60" s="1">
        <v>2872660618</v>
      </c>
      <c r="MA60" s="1">
        <v>10217</v>
      </c>
      <c r="MB60" s="1">
        <v>59</v>
      </c>
      <c r="MC60" s="1">
        <v>59</v>
      </c>
      <c r="MD60" s="1">
        <v>113301000.53</v>
      </c>
      <c r="ME60" s="1">
        <v>1</v>
      </c>
      <c r="MF60" s="1">
        <v>1</v>
      </c>
      <c r="MG60" s="1">
        <v>90</v>
      </c>
      <c r="MH60" s="1">
        <v>60003760</v>
      </c>
      <c r="MI60" s="1">
        <v>-1</v>
      </c>
      <c r="MJ60" s="1">
        <v>0</v>
      </c>
      <c r="ML60" s="1">
        <v>2864549581</v>
      </c>
      <c r="MM60" s="1">
        <v>25625</v>
      </c>
      <c r="MN60" s="1">
        <v>300</v>
      </c>
      <c r="MO60" s="1">
        <v>159</v>
      </c>
      <c r="MP60" s="1">
        <v>4015000.29</v>
      </c>
      <c r="MQ60" s="1">
        <v>1</v>
      </c>
      <c r="MR60" s="1">
        <v>1</v>
      </c>
      <c r="MS60" s="1">
        <v>90</v>
      </c>
      <c r="MT60" s="1">
        <v>60003760</v>
      </c>
      <c r="MU60" s="1">
        <v>-1</v>
      </c>
      <c r="MV60" s="1">
        <v>0</v>
      </c>
      <c r="MX60" s="1">
        <v>2874631512</v>
      </c>
      <c r="MY60" s="1">
        <v>16672</v>
      </c>
      <c r="MZ60" s="1">
        <v>3300000</v>
      </c>
      <c r="NA60" s="1">
        <v>2753600</v>
      </c>
      <c r="NB60" s="1">
        <v>122.96</v>
      </c>
      <c r="NC60" s="1">
        <v>1</v>
      </c>
      <c r="ND60" s="1">
        <v>0</v>
      </c>
      <c r="NE60" s="1">
        <v>90</v>
      </c>
      <c r="NF60" s="1">
        <v>60003760</v>
      </c>
      <c r="NG60" s="1">
        <v>32767</v>
      </c>
      <c r="NH60" s="1">
        <v>0</v>
      </c>
      <c r="NJ60" s="1">
        <v>2866877366</v>
      </c>
      <c r="NK60" s="1">
        <v>16673</v>
      </c>
      <c r="NL60" s="1">
        <v>2520000</v>
      </c>
      <c r="NM60" s="1">
        <v>2520000</v>
      </c>
      <c r="NN60" s="1">
        <v>105.99</v>
      </c>
      <c r="NO60" s="1">
        <v>1</v>
      </c>
      <c r="NP60" s="1">
        <v>0</v>
      </c>
      <c r="NQ60" s="1">
        <v>90</v>
      </c>
      <c r="NR60" s="1">
        <v>60003760</v>
      </c>
      <c r="NS60" s="1">
        <v>32767</v>
      </c>
      <c r="NT60" s="1">
        <v>6</v>
      </c>
      <c r="NV60" s="1">
        <v>2859586864</v>
      </c>
      <c r="NW60" s="1">
        <v>3689</v>
      </c>
      <c r="NX60" s="1">
        <v>55076</v>
      </c>
      <c r="NY60" s="1">
        <v>13591</v>
      </c>
      <c r="NZ60" s="1">
        <v>10393.959999999999</v>
      </c>
      <c r="OA60" s="1">
        <v>1</v>
      </c>
      <c r="OB60" s="1">
        <v>0</v>
      </c>
      <c r="OC60" s="1">
        <v>90</v>
      </c>
      <c r="OD60" s="1">
        <v>60003760</v>
      </c>
      <c r="OE60" s="1">
        <v>32767</v>
      </c>
      <c r="OF60" s="1">
        <v>0</v>
      </c>
      <c r="OH60" s="1">
        <v>2844015691</v>
      </c>
      <c r="OI60" s="1">
        <v>25598</v>
      </c>
      <c r="OJ60" s="1">
        <v>440</v>
      </c>
      <c r="OK60" s="1">
        <v>440</v>
      </c>
      <c r="OL60" s="1">
        <v>155893.99</v>
      </c>
      <c r="OM60" s="1">
        <v>1</v>
      </c>
      <c r="ON60" s="1">
        <v>0</v>
      </c>
      <c r="OO60" s="1">
        <v>90</v>
      </c>
      <c r="OP60" s="1">
        <v>60003760</v>
      </c>
      <c r="OQ60" s="1">
        <v>32767</v>
      </c>
      <c r="OR60" s="1">
        <v>0</v>
      </c>
      <c r="OT60" s="1">
        <v>2869381210</v>
      </c>
      <c r="OU60" s="1">
        <v>25600</v>
      </c>
      <c r="OV60" s="1">
        <v>213</v>
      </c>
      <c r="OW60" s="1">
        <v>213</v>
      </c>
      <c r="OX60" s="1">
        <v>31000</v>
      </c>
      <c r="OY60" s="1">
        <v>1</v>
      </c>
      <c r="OZ60" s="1">
        <v>0</v>
      </c>
      <c r="PA60" s="1">
        <v>30</v>
      </c>
      <c r="PB60" s="1">
        <v>60003760</v>
      </c>
      <c r="PC60" s="1">
        <v>32767</v>
      </c>
      <c r="PD60" s="1">
        <v>0</v>
      </c>
      <c r="PF60" s="1">
        <v>2870130224</v>
      </c>
      <c r="PG60" s="1">
        <v>16670</v>
      </c>
      <c r="PH60" s="1">
        <v>5000000</v>
      </c>
      <c r="PI60" s="1">
        <v>5000000</v>
      </c>
      <c r="PJ60" s="1">
        <v>130</v>
      </c>
      <c r="PK60" s="1">
        <v>1</v>
      </c>
      <c r="PL60" s="1">
        <v>0</v>
      </c>
      <c r="PM60" s="1">
        <v>90</v>
      </c>
      <c r="PN60" s="1">
        <v>60003760</v>
      </c>
      <c r="PO60" s="1">
        <v>32767</v>
      </c>
      <c r="PP60" s="1">
        <v>7</v>
      </c>
      <c r="PR60" s="1">
        <v>2716720004</v>
      </c>
      <c r="PS60" s="1">
        <v>10222</v>
      </c>
      <c r="PT60" s="1">
        <v>10</v>
      </c>
      <c r="PU60" s="1">
        <v>6</v>
      </c>
      <c r="PV60" s="1">
        <v>98000000</v>
      </c>
      <c r="PW60" s="1">
        <v>1</v>
      </c>
      <c r="PX60" s="1">
        <v>1</v>
      </c>
      <c r="PY60" s="1">
        <v>90</v>
      </c>
      <c r="PZ60" s="1">
        <v>60003760</v>
      </c>
      <c r="QA60" s="1">
        <v>-1</v>
      </c>
      <c r="QB60" s="1">
        <v>0</v>
      </c>
      <c r="QD60" s="1">
        <v>2793887584</v>
      </c>
      <c r="QE60" s="1">
        <v>9830</v>
      </c>
      <c r="QF60" s="1">
        <v>2069</v>
      </c>
      <c r="QG60" s="1">
        <v>2069</v>
      </c>
      <c r="QH60" s="1">
        <v>9000</v>
      </c>
      <c r="QI60" s="1">
        <v>1</v>
      </c>
      <c r="QJ60" s="1">
        <v>0</v>
      </c>
      <c r="QK60" s="1">
        <v>90</v>
      </c>
      <c r="QL60" s="1">
        <v>60002239</v>
      </c>
      <c r="QM60" s="1">
        <v>32767</v>
      </c>
      <c r="QN60" s="1">
        <v>10</v>
      </c>
      <c r="QP60" s="1">
        <v>2878973857</v>
      </c>
      <c r="QQ60" s="1">
        <v>16671</v>
      </c>
      <c r="QR60" s="1">
        <v>8620000</v>
      </c>
      <c r="QS60" s="1">
        <v>8620000</v>
      </c>
      <c r="QT60" s="1">
        <v>105.4</v>
      </c>
      <c r="QU60" s="1">
        <v>1</v>
      </c>
      <c r="QV60" s="1">
        <v>0</v>
      </c>
      <c r="QW60" s="1">
        <v>90</v>
      </c>
      <c r="QX60" s="1">
        <v>60003760</v>
      </c>
      <c r="QY60" s="1">
        <v>32767</v>
      </c>
      <c r="QZ60" s="1">
        <v>0</v>
      </c>
      <c r="RB60" s="1">
        <v>2874886217</v>
      </c>
      <c r="RC60" s="1">
        <v>16682</v>
      </c>
      <c r="RD60" s="1">
        <v>286400</v>
      </c>
      <c r="RE60" s="1">
        <v>114155</v>
      </c>
      <c r="RF60" s="1">
        <v>3349.36</v>
      </c>
      <c r="RG60" s="1">
        <v>1</v>
      </c>
      <c r="RH60" s="1">
        <v>0</v>
      </c>
      <c r="RI60" s="1">
        <v>90</v>
      </c>
      <c r="RJ60" s="1">
        <v>60003760</v>
      </c>
      <c r="RK60" s="1">
        <v>32767</v>
      </c>
      <c r="RL60" s="1">
        <v>8</v>
      </c>
      <c r="RN60" s="1">
        <v>2831612810</v>
      </c>
      <c r="RO60" s="1">
        <v>16678</v>
      </c>
      <c r="RP60" s="1">
        <v>3000000</v>
      </c>
      <c r="RQ60" s="1">
        <v>2224000</v>
      </c>
      <c r="RR60" s="1">
        <v>249.03</v>
      </c>
      <c r="RS60" s="1">
        <v>1</v>
      </c>
      <c r="RT60" s="1">
        <v>1</v>
      </c>
      <c r="RU60" s="1">
        <v>30</v>
      </c>
      <c r="RV60" s="1">
        <v>60003760</v>
      </c>
      <c r="RW60" s="1">
        <v>-1</v>
      </c>
      <c r="RX60" s="1">
        <v>0</v>
      </c>
      <c r="RZ60" s="1">
        <v>2787207571</v>
      </c>
      <c r="SA60" s="1">
        <v>30310</v>
      </c>
      <c r="SB60" s="1">
        <v>10000</v>
      </c>
      <c r="SC60" s="1">
        <v>10000</v>
      </c>
      <c r="SD60" s="1">
        <v>17001.009999999998</v>
      </c>
      <c r="SE60" s="1">
        <v>1</v>
      </c>
      <c r="SF60" s="1">
        <v>1</v>
      </c>
      <c r="SG60" s="1">
        <v>90</v>
      </c>
      <c r="SH60" s="1">
        <v>60003760</v>
      </c>
      <c r="SI60" s="1">
        <v>20</v>
      </c>
      <c r="SJ60" s="1">
        <v>0</v>
      </c>
      <c r="SL60" s="1">
        <v>2877817624</v>
      </c>
      <c r="SM60" s="1">
        <v>30311</v>
      </c>
      <c r="SN60" s="1">
        <v>770</v>
      </c>
      <c r="SO60" s="1">
        <v>740</v>
      </c>
      <c r="SP60" s="1">
        <v>3127000.8</v>
      </c>
      <c r="SQ60" s="1">
        <v>1</v>
      </c>
      <c r="SR60" s="1">
        <v>0</v>
      </c>
      <c r="SS60" s="1">
        <v>90</v>
      </c>
      <c r="ST60" s="1">
        <v>60003760</v>
      </c>
      <c r="SU60" s="1">
        <v>32767</v>
      </c>
      <c r="SV60" s="1">
        <v>0</v>
      </c>
      <c r="SX60" s="1">
        <v>2840298768</v>
      </c>
      <c r="SY60" s="1">
        <v>25595</v>
      </c>
      <c r="SZ60" s="1">
        <v>1515</v>
      </c>
      <c r="TA60" s="1">
        <v>1515</v>
      </c>
      <c r="TB60" s="1">
        <v>100000</v>
      </c>
      <c r="TC60" s="1">
        <v>1</v>
      </c>
      <c r="TD60" s="1">
        <v>0</v>
      </c>
      <c r="TE60" s="1">
        <v>90</v>
      </c>
      <c r="TF60" s="1">
        <v>60003760</v>
      </c>
      <c r="TG60" s="1">
        <v>32767</v>
      </c>
      <c r="TH60" s="1">
        <v>6</v>
      </c>
      <c r="TJ60" s="1">
        <v>2874877355</v>
      </c>
      <c r="TK60" s="1">
        <v>25606</v>
      </c>
      <c r="TL60" s="1">
        <v>10830</v>
      </c>
      <c r="TM60" s="1">
        <v>8389</v>
      </c>
      <c r="TN60" s="1">
        <v>24999</v>
      </c>
      <c r="TO60" s="1">
        <v>1</v>
      </c>
      <c r="TP60" s="1">
        <v>0</v>
      </c>
      <c r="TQ60" s="1">
        <v>90</v>
      </c>
      <c r="TR60" s="1">
        <v>60003760</v>
      </c>
      <c r="TS60" s="1">
        <v>32767</v>
      </c>
      <c r="TT60" s="1">
        <v>0</v>
      </c>
      <c r="TV60" s="1">
        <v>2878249998</v>
      </c>
      <c r="TW60" s="1">
        <v>25622</v>
      </c>
      <c r="TX60" s="1">
        <v>30</v>
      </c>
      <c r="TY60" s="1">
        <v>21</v>
      </c>
      <c r="TZ60" s="1">
        <v>13275009.390000001</v>
      </c>
      <c r="UA60" s="1">
        <v>1</v>
      </c>
      <c r="UB60" s="1">
        <v>1</v>
      </c>
      <c r="UC60" s="1">
        <v>90</v>
      </c>
      <c r="UD60" s="1">
        <v>60003760</v>
      </c>
      <c r="UE60" s="1">
        <v>-1</v>
      </c>
      <c r="UF60" s="1">
        <v>0</v>
      </c>
      <c r="UH60" s="1">
        <v>2834021425</v>
      </c>
      <c r="UI60" s="1">
        <v>16680</v>
      </c>
      <c r="UJ60" s="1">
        <v>100000</v>
      </c>
      <c r="UK60" s="1">
        <v>100000</v>
      </c>
      <c r="UL60" s="1">
        <v>670</v>
      </c>
      <c r="UM60" s="1">
        <v>1</v>
      </c>
      <c r="UN60" s="1">
        <v>1</v>
      </c>
      <c r="UO60" s="1">
        <v>90</v>
      </c>
      <c r="UP60" s="1">
        <v>60003760</v>
      </c>
      <c r="UQ60" s="1">
        <v>-1</v>
      </c>
      <c r="UR60" s="1">
        <v>0</v>
      </c>
      <c r="UT60" s="1">
        <v>2873483369</v>
      </c>
      <c r="UU60" s="1">
        <v>17317</v>
      </c>
      <c r="UV60" s="1">
        <v>100000</v>
      </c>
      <c r="UW60" s="1">
        <v>78384</v>
      </c>
      <c r="UX60" s="1">
        <v>27720.21</v>
      </c>
      <c r="UY60" s="1">
        <v>1</v>
      </c>
      <c r="UZ60" s="1">
        <v>1</v>
      </c>
      <c r="VA60" s="1">
        <v>90</v>
      </c>
      <c r="VB60" s="1">
        <v>60003760</v>
      </c>
      <c r="VC60" s="1">
        <v>-1</v>
      </c>
      <c r="VD60" s="1">
        <v>0</v>
      </c>
      <c r="VF60"/>
      <c r="VG60"/>
      <c r="VH60"/>
      <c r="VI60"/>
      <c r="VJ60"/>
      <c r="VK60"/>
      <c r="VL60"/>
      <c r="VM60"/>
      <c r="VN60"/>
      <c r="VO60"/>
      <c r="VP60"/>
    </row>
    <row r="61" spans="2:588" x14ac:dyDescent="0.25">
      <c r="B61" s="1">
        <v>2818961928</v>
      </c>
      <c r="C61" s="1">
        <v>34</v>
      </c>
      <c r="D61" s="1">
        <v>209182469</v>
      </c>
      <c r="E61" s="1">
        <v>173201973</v>
      </c>
      <c r="F61" s="1">
        <v>6</v>
      </c>
      <c r="G61" s="1">
        <v>1</v>
      </c>
      <c r="H61" s="1">
        <v>0</v>
      </c>
      <c r="I61" s="1">
        <v>90</v>
      </c>
      <c r="J61" s="1">
        <v>60003760</v>
      </c>
      <c r="K61" s="1">
        <v>32767</v>
      </c>
      <c r="L61" s="1">
        <v>0</v>
      </c>
      <c r="N61" s="1">
        <v>2832692705</v>
      </c>
      <c r="O61" s="1">
        <v>35</v>
      </c>
      <c r="P61" s="1">
        <v>7334514</v>
      </c>
      <c r="Q61" s="1">
        <v>7334514</v>
      </c>
      <c r="R61" s="1">
        <v>17.23</v>
      </c>
      <c r="S61" s="1">
        <v>1</v>
      </c>
      <c r="T61" s="1">
        <v>0</v>
      </c>
      <c r="U61" s="1">
        <v>90</v>
      </c>
      <c r="V61" s="1">
        <v>60003760</v>
      </c>
      <c r="W61" s="1">
        <v>32767</v>
      </c>
      <c r="X61" s="1">
        <v>0</v>
      </c>
      <c r="Z61" s="1">
        <v>2768368799</v>
      </c>
      <c r="AA61" s="1">
        <v>36</v>
      </c>
      <c r="AB61" s="1">
        <v>30000000</v>
      </c>
      <c r="AC61" s="1">
        <v>30000000</v>
      </c>
      <c r="AD61" s="16">
        <v>56.61</v>
      </c>
      <c r="AE61" s="1">
        <v>1</v>
      </c>
      <c r="AF61" s="1">
        <v>0</v>
      </c>
      <c r="AG61" s="1">
        <v>90</v>
      </c>
      <c r="AH61" s="1">
        <v>60003760</v>
      </c>
      <c r="AI61" s="1">
        <v>32767</v>
      </c>
      <c r="AJ61" s="1">
        <v>11</v>
      </c>
      <c r="AL61" s="1">
        <v>2855274922</v>
      </c>
      <c r="AM61" s="1">
        <v>37</v>
      </c>
      <c r="AN61" s="1">
        <v>2407381</v>
      </c>
      <c r="AO61" s="1">
        <v>2407381</v>
      </c>
      <c r="AP61" s="16">
        <v>151.75</v>
      </c>
      <c r="AQ61" s="1">
        <v>1</v>
      </c>
      <c r="AR61" s="1">
        <v>0</v>
      </c>
      <c r="AS61" s="1">
        <v>90</v>
      </c>
      <c r="AT61" s="1">
        <v>60003760</v>
      </c>
      <c r="AU61" s="1">
        <v>32767</v>
      </c>
      <c r="AV61" s="1">
        <v>9</v>
      </c>
      <c r="AX61" s="1">
        <v>2878207820</v>
      </c>
      <c r="AY61" s="1">
        <v>38</v>
      </c>
      <c r="AZ61" s="1">
        <v>406434</v>
      </c>
      <c r="BA61" s="1">
        <v>329325</v>
      </c>
      <c r="BB61" s="1">
        <v>819.99</v>
      </c>
      <c r="BC61" s="1">
        <v>1</v>
      </c>
      <c r="BD61" s="1">
        <v>0</v>
      </c>
      <c r="BE61" s="1">
        <v>90</v>
      </c>
      <c r="BF61" s="1">
        <v>60003760</v>
      </c>
      <c r="BG61" s="1">
        <v>32767</v>
      </c>
      <c r="BH61" s="1">
        <v>5</v>
      </c>
      <c r="BJ61" s="1">
        <v>2666150569</v>
      </c>
      <c r="BK61" s="1">
        <v>39</v>
      </c>
      <c r="BL61" s="1">
        <v>2157251</v>
      </c>
      <c r="BM61" s="1">
        <v>2157251</v>
      </c>
      <c r="BN61" s="1">
        <v>998</v>
      </c>
      <c r="BO61" s="1">
        <v>1</v>
      </c>
      <c r="BP61" s="1">
        <v>0</v>
      </c>
      <c r="BQ61" s="1">
        <v>90</v>
      </c>
      <c r="BR61" s="1">
        <v>60003760</v>
      </c>
      <c r="BS61" s="1">
        <v>32767</v>
      </c>
      <c r="BT61" s="1">
        <v>5</v>
      </c>
      <c r="BV61" s="1">
        <v>1937595473</v>
      </c>
      <c r="BW61" s="1">
        <v>40</v>
      </c>
      <c r="BX61" s="1">
        <v>350000</v>
      </c>
      <c r="BY61" s="1">
        <v>350000</v>
      </c>
      <c r="BZ61" s="1">
        <v>3150.01</v>
      </c>
      <c r="CA61" s="1">
        <v>1</v>
      </c>
      <c r="CB61" s="1">
        <v>0</v>
      </c>
      <c r="CC61" s="1">
        <v>90</v>
      </c>
      <c r="CD61" s="1">
        <v>60003760</v>
      </c>
      <c r="CE61" s="1">
        <v>32767</v>
      </c>
      <c r="CF61" s="1">
        <v>13</v>
      </c>
      <c r="CH61" s="1">
        <v>2348989083</v>
      </c>
      <c r="CI61" s="1">
        <v>29668</v>
      </c>
      <c r="CJ61" s="1">
        <v>1</v>
      </c>
      <c r="CK61" s="1">
        <v>1</v>
      </c>
      <c r="CL61" s="1">
        <v>524899999.99000001</v>
      </c>
      <c r="CM61" s="1">
        <v>1</v>
      </c>
      <c r="CN61" s="1">
        <v>0</v>
      </c>
      <c r="CO61" s="1">
        <v>90</v>
      </c>
      <c r="CP61" s="1">
        <v>60003760</v>
      </c>
      <c r="CQ61" s="1">
        <v>32767</v>
      </c>
      <c r="CR61" s="1">
        <v>0</v>
      </c>
      <c r="CT61" s="1">
        <v>2394727444</v>
      </c>
      <c r="CU61" s="1">
        <v>16649</v>
      </c>
      <c r="CV61" s="1">
        <v>49900</v>
      </c>
      <c r="CW61" s="1">
        <v>49900</v>
      </c>
      <c r="CX61" s="1">
        <v>76050</v>
      </c>
      <c r="CY61" s="1">
        <v>1000</v>
      </c>
      <c r="CZ61" s="1">
        <v>1</v>
      </c>
      <c r="DA61" s="1">
        <v>90</v>
      </c>
      <c r="DB61" s="1">
        <v>60003760</v>
      </c>
      <c r="DC61" s="1">
        <v>-1</v>
      </c>
      <c r="DD61" s="1">
        <v>0</v>
      </c>
      <c r="DF61" s="1">
        <v>2401858668</v>
      </c>
      <c r="DG61" s="1">
        <v>17887</v>
      </c>
      <c r="DH61" s="1">
        <v>299</v>
      </c>
      <c r="DI61" s="1">
        <v>299</v>
      </c>
      <c r="DJ61" s="1">
        <v>1799.09</v>
      </c>
      <c r="DK61" s="1">
        <v>1</v>
      </c>
      <c r="DL61" s="1">
        <v>0</v>
      </c>
      <c r="DM61" s="1">
        <v>14</v>
      </c>
      <c r="DN61" s="1">
        <v>60003760</v>
      </c>
      <c r="DO61" s="1">
        <v>32767</v>
      </c>
      <c r="DP61" s="1">
        <v>0</v>
      </c>
      <c r="DR61" s="1">
        <v>2758291513</v>
      </c>
      <c r="DS61" s="1">
        <v>17888</v>
      </c>
      <c r="DT61" s="1">
        <v>2560137</v>
      </c>
      <c r="DU61" s="1">
        <v>2560137</v>
      </c>
      <c r="DV61" s="1">
        <v>460.4</v>
      </c>
      <c r="DW61" s="1">
        <v>1</v>
      </c>
      <c r="DX61" s="1">
        <v>0</v>
      </c>
      <c r="DY61" s="1">
        <v>90</v>
      </c>
      <c r="DZ61" s="1">
        <v>60003760</v>
      </c>
      <c r="EA61" s="1">
        <v>32767</v>
      </c>
      <c r="EB61" s="1">
        <v>8</v>
      </c>
      <c r="ED61" s="1">
        <v>2851761608</v>
      </c>
      <c r="EE61" s="1">
        <v>16273</v>
      </c>
      <c r="EF61" s="1">
        <v>18657</v>
      </c>
      <c r="EG61" s="1">
        <v>18657</v>
      </c>
      <c r="EH61" s="1">
        <v>390</v>
      </c>
      <c r="EI61" s="1">
        <v>1</v>
      </c>
      <c r="EJ61" s="1">
        <v>0</v>
      </c>
      <c r="EK61" s="1">
        <v>90</v>
      </c>
      <c r="EL61" s="1">
        <v>60004051</v>
      </c>
      <c r="EM61" s="1">
        <v>32767</v>
      </c>
      <c r="EN61" s="1">
        <v>7</v>
      </c>
      <c r="EP61" s="1">
        <v>2646313476</v>
      </c>
      <c r="EQ61" s="1">
        <v>17889</v>
      </c>
      <c r="ER61" s="1">
        <v>250000</v>
      </c>
      <c r="ES61" s="1">
        <v>176001</v>
      </c>
      <c r="ET61" s="1">
        <v>1883</v>
      </c>
      <c r="EU61" s="1">
        <v>1</v>
      </c>
      <c r="EV61" s="1">
        <v>0</v>
      </c>
      <c r="EW61" s="1">
        <v>90</v>
      </c>
      <c r="EX61" s="1">
        <v>60001876</v>
      </c>
      <c r="EY61" s="1">
        <v>32767</v>
      </c>
      <c r="EZ61" s="1">
        <v>6</v>
      </c>
      <c r="FB61" s="1">
        <v>2875646791</v>
      </c>
      <c r="FC61" s="1">
        <v>30259</v>
      </c>
      <c r="FD61" s="1">
        <v>54</v>
      </c>
      <c r="FE61" s="1">
        <v>54</v>
      </c>
      <c r="FF61" s="1">
        <v>5789397.4900000002</v>
      </c>
      <c r="FG61" s="1">
        <v>1</v>
      </c>
      <c r="FH61" s="1">
        <v>0</v>
      </c>
      <c r="FI61" s="1">
        <v>90</v>
      </c>
      <c r="FJ61" s="1">
        <v>60003760</v>
      </c>
      <c r="FK61" s="1">
        <v>32767</v>
      </c>
      <c r="FL61" s="1">
        <v>0</v>
      </c>
      <c r="FN61" s="1">
        <v>2798892470</v>
      </c>
      <c r="FO61" s="1">
        <v>25617</v>
      </c>
      <c r="FP61" s="1">
        <v>100</v>
      </c>
      <c r="FQ61" s="1">
        <v>100</v>
      </c>
      <c r="FR61" s="1">
        <v>1999000.99</v>
      </c>
      <c r="FS61" s="1">
        <v>1</v>
      </c>
      <c r="FT61" s="1">
        <v>1</v>
      </c>
      <c r="FU61" s="1">
        <v>90</v>
      </c>
      <c r="FV61" s="1">
        <v>60003760</v>
      </c>
      <c r="FW61" s="1">
        <v>20</v>
      </c>
      <c r="FX61" s="1">
        <v>0</v>
      </c>
      <c r="FZ61" s="1">
        <v>2873372516</v>
      </c>
      <c r="GA61" s="1">
        <v>44</v>
      </c>
      <c r="GB61" s="1">
        <v>8960</v>
      </c>
      <c r="GC61" s="1">
        <v>8960</v>
      </c>
      <c r="GD61" s="1">
        <v>13099.03</v>
      </c>
      <c r="GE61" s="1">
        <v>1</v>
      </c>
      <c r="GF61" s="1">
        <v>0</v>
      </c>
      <c r="GG61" s="1">
        <v>30</v>
      </c>
      <c r="GH61" s="1">
        <v>60003760</v>
      </c>
      <c r="GI61" s="1">
        <v>32767</v>
      </c>
      <c r="GJ61" s="1">
        <v>4</v>
      </c>
      <c r="GL61" s="1">
        <v>2414702176</v>
      </c>
      <c r="GM61" s="1">
        <v>16681</v>
      </c>
      <c r="GN61" s="1">
        <v>1672000</v>
      </c>
      <c r="GO61" s="1">
        <v>1672000</v>
      </c>
      <c r="GP61" s="1">
        <v>5986.01</v>
      </c>
      <c r="GQ61" s="1">
        <v>1</v>
      </c>
      <c r="GR61" s="1">
        <v>1</v>
      </c>
      <c r="GS61" s="1">
        <v>90</v>
      </c>
      <c r="GT61" s="1">
        <v>60003760</v>
      </c>
      <c r="GU61" s="1">
        <v>-1</v>
      </c>
      <c r="GV61" s="1">
        <v>0</v>
      </c>
      <c r="GX61" s="1">
        <v>2673558013</v>
      </c>
      <c r="GY61" s="1">
        <v>16683</v>
      </c>
      <c r="GZ61" s="1">
        <v>50000</v>
      </c>
      <c r="HA61" s="1">
        <v>50000</v>
      </c>
      <c r="HB61" s="1">
        <v>7750.12</v>
      </c>
      <c r="HC61" s="1">
        <v>1</v>
      </c>
      <c r="HD61" s="1">
        <v>1</v>
      </c>
      <c r="HE61" s="1">
        <v>90</v>
      </c>
      <c r="HF61" s="1">
        <v>60003760</v>
      </c>
      <c r="HG61" s="1">
        <v>-1</v>
      </c>
      <c r="HH61" s="1">
        <v>0</v>
      </c>
      <c r="HJ61"/>
      <c r="HK61"/>
      <c r="HL61"/>
      <c r="HM61"/>
      <c r="HN61"/>
      <c r="HO61"/>
      <c r="HP61"/>
      <c r="HQ61"/>
      <c r="HR61"/>
      <c r="HS61"/>
      <c r="HT61"/>
      <c r="HV61" s="1">
        <v>2765993930</v>
      </c>
      <c r="HW61" s="1">
        <v>16274</v>
      </c>
      <c r="HX61" s="1">
        <v>941015</v>
      </c>
      <c r="HY61" s="1">
        <v>735015</v>
      </c>
      <c r="HZ61" s="1">
        <v>750</v>
      </c>
      <c r="IA61" s="1">
        <v>1</v>
      </c>
      <c r="IB61" s="1">
        <v>0</v>
      </c>
      <c r="IC61" s="1">
        <v>90</v>
      </c>
      <c r="ID61" s="1">
        <v>60010198</v>
      </c>
      <c r="IE61" s="1">
        <v>32767</v>
      </c>
      <c r="IF61" s="1">
        <v>8</v>
      </c>
      <c r="IH61"/>
      <c r="II61"/>
      <c r="IJ61"/>
      <c r="IK61"/>
      <c r="IL61"/>
      <c r="IM61"/>
      <c r="IN61"/>
      <c r="IO61"/>
      <c r="IP61"/>
      <c r="IQ61"/>
      <c r="IR61"/>
      <c r="IT61" s="1">
        <v>2866207223</v>
      </c>
      <c r="IU61" s="1">
        <v>16679</v>
      </c>
      <c r="IV61" s="1">
        <v>5179171</v>
      </c>
      <c r="IW61" s="1">
        <v>5179171</v>
      </c>
      <c r="IX61" s="1">
        <v>1750</v>
      </c>
      <c r="IY61" s="1">
        <v>1</v>
      </c>
      <c r="IZ61" s="1">
        <v>0</v>
      </c>
      <c r="JA61" s="1">
        <v>90</v>
      </c>
      <c r="JB61" s="1">
        <v>60003760</v>
      </c>
      <c r="JC61" s="1">
        <v>32767</v>
      </c>
      <c r="JD61" s="1">
        <v>0</v>
      </c>
      <c r="JF61" s="1">
        <v>2878186283</v>
      </c>
      <c r="JG61" s="1">
        <v>16272</v>
      </c>
      <c r="JH61" s="1">
        <v>408000</v>
      </c>
      <c r="JI61" s="1">
        <v>348000</v>
      </c>
      <c r="JJ61" s="1">
        <v>74.989999999999995</v>
      </c>
      <c r="JK61" s="1">
        <v>1</v>
      </c>
      <c r="JL61" s="1">
        <v>0</v>
      </c>
      <c r="JM61" s="1">
        <v>90</v>
      </c>
      <c r="JN61" s="1">
        <v>60003760</v>
      </c>
      <c r="JO61" s="1">
        <v>32767</v>
      </c>
      <c r="JP61" s="1">
        <v>6</v>
      </c>
      <c r="KD61" s="1">
        <v>2875533219</v>
      </c>
      <c r="KE61" s="1">
        <v>25605</v>
      </c>
      <c r="KF61" s="1">
        <v>14</v>
      </c>
      <c r="KG61" s="1">
        <v>14</v>
      </c>
      <c r="KH61" s="1">
        <v>110000</v>
      </c>
      <c r="KI61" s="1">
        <v>1</v>
      </c>
      <c r="KJ61" s="1">
        <v>0</v>
      </c>
      <c r="KK61" s="1">
        <v>7</v>
      </c>
      <c r="KL61" s="1">
        <v>60004054</v>
      </c>
      <c r="KM61" s="1">
        <v>32767</v>
      </c>
      <c r="KN61" s="1">
        <v>6</v>
      </c>
      <c r="KP61" s="1">
        <v>2878338228</v>
      </c>
      <c r="KQ61" s="1">
        <v>25624</v>
      </c>
      <c r="KR61" s="1">
        <v>1</v>
      </c>
      <c r="KS61" s="1">
        <v>1</v>
      </c>
      <c r="KT61" s="1">
        <v>18249990</v>
      </c>
      <c r="KU61" s="1">
        <v>1</v>
      </c>
      <c r="KV61" s="1">
        <v>0</v>
      </c>
      <c r="KW61" s="1">
        <v>14</v>
      </c>
      <c r="KX61" s="1">
        <v>60003760</v>
      </c>
      <c r="KY61" s="1">
        <v>32767</v>
      </c>
      <c r="KZ61" s="1">
        <v>1</v>
      </c>
      <c r="LB61" s="1">
        <v>2856086900</v>
      </c>
      <c r="LC61" s="1">
        <v>9832</v>
      </c>
      <c r="LD61" s="1">
        <v>2631</v>
      </c>
      <c r="LE61" s="1">
        <v>2631</v>
      </c>
      <c r="LF61" s="1">
        <v>9800</v>
      </c>
      <c r="LG61" s="1">
        <v>1</v>
      </c>
      <c r="LH61" s="1">
        <v>0</v>
      </c>
      <c r="LI61" s="1">
        <v>30</v>
      </c>
      <c r="LJ61" s="1">
        <v>60003760</v>
      </c>
      <c r="LK61" s="1">
        <v>32767</v>
      </c>
      <c r="LL61" s="1">
        <v>0</v>
      </c>
      <c r="LN61" s="1">
        <v>2860047258</v>
      </c>
      <c r="LO61" s="1">
        <v>10209</v>
      </c>
      <c r="LP61" s="1">
        <v>1</v>
      </c>
      <c r="LQ61" s="1">
        <v>1</v>
      </c>
      <c r="LR61" s="1">
        <v>100000005.11</v>
      </c>
      <c r="LS61" s="1">
        <v>1</v>
      </c>
      <c r="LT61" s="1">
        <v>1</v>
      </c>
      <c r="LU61" s="1">
        <v>90</v>
      </c>
      <c r="LV61" s="1">
        <v>60003934</v>
      </c>
      <c r="LW61" s="1">
        <v>32767</v>
      </c>
      <c r="LX61" s="1">
        <v>0</v>
      </c>
      <c r="LZ61" s="1">
        <v>2877240788</v>
      </c>
      <c r="MA61" s="1">
        <v>10217</v>
      </c>
      <c r="MB61" s="1">
        <v>5</v>
      </c>
      <c r="MC61" s="1">
        <v>5</v>
      </c>
      <c r="MD61" s="1">
        <v>113311000.16</v>
      </c>
      <c r="ME61" s="1">
        <v>1</v>
      </c>
      <c r="MF61" s="1">
        <v>1</v>
      </c>
      <c r="MG61" s="1">
        <v>90</v>
      </c>
      <c r="MH61" s="1">
        <v>60003760</v>
      </c>
      <c r="MI61" s="1">
        <v>-1</v>
      </c>
      <c r="MJ61" s="1">
        <v>0</v>
      </c>
      <c r="ML61" s="1">
        <v>2865154352</v>
      </c>
      <c r="MM61" s="1">
        <v>25625</v>
      </c>
      <c r="MN61" s="1">
        <v>50</v>
      </c>
      <c r="MO61" s="1">
        <v>47</v>
      </c>
      <c r="MP61" s="1">
        <v>4015103.04</v>
      </c>
      <c r="MQ61" s="1">
        <v>1</v>
      </c>
      <c r="MR61" s="1">
        <v>1</v>
      </c>
      <c r="MS61" s="1">
        <v>90</v>
      </c>
      <c r="MT61" s="1">
        <v>60003760</v>
      </c>
      <c r="MU61" s="1">
        <v>-1</v>
      </c>
      <c r="MV61" s="1">
        <v>0</v>
      </c>
      <c r="MX61" s="1">
        <v>2877288783</v>
      </c>
      <c r="MY61" s="1">
        <v>16672</v>
      </c>
      <c r="MZ61" s="1">
        <v>12480000</v>
      </c>
      <c r="NA61" s="1">
        <v>12333800</v>
      </c>
      <c r="NB61" s="1">
        <v>122.93</v>
      </c>
      <c r="NC61" s="1">
        <v>1</v>
      </c>
      <c r="ND61" s="1">
        <v>0</v>
      </c>
      <c r="NE61" s="1">
        <v>14</v>
      </c>
      <c r="NF61" s="1">
        <v>60003760</v>
      </c>
      <c r="NG61" s="1">
        <v>32767</v>
      </c>
      <c r="NH61" s="1">
        <v>0</v>
      </c>
      <c r="NJ61" s="1">
        <v>2867133651</v>
      </c>
      <c r="NK61" s="1">
        <v>16673</v>
      </c>
      <c r="NL61" s="1">
        <v>32812</v>
      </c>
      <c r="NM61" s="1">
        <v>32812</v>
      </c>
      <c r="NN61" s="1">
        <v>105.74</v>
      </c>
      <c r="NO61" s="1">
        <v>1</v>
      </c>
      <c r="NP61" s="1">
        <v>0</v>
      </c>
      <c r="NQ61" s="1">
        <v>30</v>
      </c>
      <c r="NR61" s="1">
        <v>60003760</v>
      </c>
      <c r="NS61" s="1">
        <v>32767</v>
      </c>
      <c r="NT61" s="1">
        <v>6</v>
      </c>
      <c r="NV61" s="1">
        <v>2858491869</v>
      </c>
      <c r="NW61" s="1">
        <v>3689</v>
      </c>
      <c r="NX61" s="1">
        <v>3400</v>
      </c>
      <c r="NY61" s="1">
        <v>1917</v>
      </c>
      <c r="NZ61" s="1">
        <v>10831.39</v>
      </c>
      <c r="OA61" s="1">
        <v>1</v>
      </c>
      <c r="OB61" s="1">
        <v>0</v>
      </c>
      <c r="OC61" s="1">
        <v>90</v>
      </c>
      <c r="OD61" s="1">
        <v>60003760</v>
      </c>
      <c r="OE61" s="1">
        <v>32767</v>
      </c>
      <c r="OF61" s="1">
        <v>0</v>
      </c>
      <c r="OH61" s="1">
        <v>2844783958</v>
      </c>
      <c r="OI61" s="1">
        <v>25598</v>
      </c>
      <c r="OJ61" s="1">
        <v>2312</v>
      </c>
      <c r="OK61" s="1">
        <v>2312</v>
      </c>
      <c r="OL61" s="1">
        <v>155599.98000000001</v>
      </c>
      <c r="OM61" s="1">
        <v>1</v>
      </c>
      <c r="ON61" s="1">
        <v>0</v>
      </c>
      <c r="OO61" s="1">
        <v>90</v>
      </c>
      <c r="OP61" s="1">
        <v>60003760</v>
      </c>
      <c r="OQ61" s="1">
        <v>32767</v>
      </c>
      <c r="OR61" s="1">
        <v>0</v>
      </c>
      <c r="OT61" s="1">
        <v>2870262798</v>
      </c>
      <c r="OU61" s="1">
        <v>25600</v>
      </c>
      <c r="OV61" s="1">
        <v>10</v>
      </c>
      <c r="OW61" s="1">
        <v>10</v>
      </c>
      <c r="OX61" s="1">
        <v>35000</v>
      </c>
      <c r="OY61" s="1">
        <v>1</v>
      </c>
      <c r="OZ61" s="1">
        <v>0</v>
      </c>
      <c r="PA61" s="1">
        <v>7</v>
      </c>
      <c r="PB61" s="1">
        <v>60003760</v>
      </c>
      <c r="PC61" s="1">
        <v>32767</v>
      </c>
      <c r="PD61" s="1">
        <v>0</v>
      </c>
      <c r="PF61" s="1">
        <v>2870130678</v>
      </c>
      <c r="PG61" s="1">
        <v>16670</v>
      </c>
      <c r="PH61" s="1">
        <v>5000000</v>
      </c>
      <c r="PI61" s="1">
        <v>5000000</v>
      </c>
      <c r="PJ61" s="1">
        <v>128</v>
      </c>
      <c r="PK61" s="1">
        <v>1</v>
      </c>
      <c r="PL61" s="1">
        <v>0</v>
      </c>
      <c r="PM61" s="1">
        <v>90</v>
      </c>
      <c r="PN61" s="1">
        <v>60003760</v>
      </c>
      <c r="PO61" s="1">
        <v>32767</v>
      </c>
      <c r="PP61" s="1">
        <v>7</v>
      </c>
      <c r="PR61" s="1">
        <v>2868428559</v>
      </c>
      <c r="PS61" s="1">
        <v>10222</v>
      </c>
      <c r="PT61" s="1">
        <v>2</v>
      </c>
      <c r="PU61" s="1">
        <v>1</v>
      </c>
      <c r="PV61" s="1">
        <v>110412140</v>
      </c>
      <c r="PW61" s="1">
        <v>1</v>
      </c>
      <c r="PX61" s="1">
        <v>1</v>
      </c>
      <c r="PY61" s="1">
        <v>90</v>
      </c>
      <c r="PZ61" s="1">
        <v>60003760</v>
      </c>
      <c r="QA61" s="1">
        <v>-1</v>
      </c>
      <c r="QB61" s="1">
        <v>0</v>
      </c>
      <c r="QD61" s="1">
        <v>2793886549</v>
      </c>
      <c r="QE61" s="1">
        <v>9830</v>
      </c>
      <c r="QF61" s="1">
        <v>1046</v>
      </c>
      <c r="QG61" s="1">
        <v>1046</v>
      </c>
      <c r="QH61" s="1">
        <v>9000</v>
      </c>
      <c r="QI61" s="1">
        <v>1</v>
      </c>
      <c r="QJ61" s="1">
        <v>0</v>
      </c>
      <c r="QK61" s="1">
        <v>90</v>
      </c>
      <c r="QL61" s="1">
        <v>60004378</v>
      </c>
      <c r="QM61" s="1">
        <v>32767</v>
      </c>
      <c r="QN61" s="1">
        <v>11</v>
      </c>
      <c r="QP61" s="1">
        <v>2878967693</v>
      </c>
      <c r="QQ61" s="1">
        <v>16671</v>
      </c>
      <c r="QR61" s="1">
        <v>1950000</v>
      </c>
      <c r="QS61" s="1">
        <v>1949500</v>
      </c>
      <c r="QT61" s="1">
        <v>105.39</v>
      </c>
      <c r="QU61" s="1">
        <v>1</v>
      </c>
      <c r="QV61" s="1">
        <v>0</v>
      </c>
      <c r="QW61" s="1">
        <v>90</v>
      </c>
      <c r="QX61" s="1">
        <v>60003760</v>
      </c>
      <c r="QY61" s="1">
        <v>32767</v>
      </c>
      <c r="QZ61" s="1">
        <v>0</v>
      </c>
      <c r="RB61" s="1">
        <v>2874886491</v>
      </c>
      <c r="RC61" s="1">
        <v>16682</v>
      </c>
      <c r="RD61" s="1">
        <v>313400</v>
      </c>
      <c r="RE61" s="1">
        <v>255243</v>
      </c>
      <c r="RF61" s="1">
        <v>3349.34</v>
      </c>
      <c r="RG61" s="1">
        <v>1</v>
      </c>
      <c r="RH61" s="1">
        <v>0</v>
      </c>
      <c r="RI61" s="1">
        <v>90</v>
      </c>
      <c r="RJ61" s="1">
        <v>60003760</v>
      </c>
      <c r="RK61" s="1">
        <v>32767</v>
      </c>
      <c r="RL61" s="1">
        <v>8</v>
      </c>
      <c r="RN61" s="1">
        <v>2831412536</v>
      </c>
      <c r="RO61" s="1">
        <v>16678</v>
      </c>
      <c r="RP61" s="1">
        <v>500000</v>
      </c>
      <c r="RQ61" s="1">
        <v>500000</v>
      </c>
      <c r="RR61" s="1">
        <v>248.43</v>
      </c>
      <c r="RS61" s="1">
        <v>1</v>
      </c>
      <c r="RT61" s="1">
        <v>1</v>
      </c>
      <c r="RU61" s="1">
        <v>90</v>
      </c>
      <c r="RV61" s="1">
        <v>60003760</v>
      </c>
      <c r="RW61" s="1">
        <v>-1</v>
      </c>
      <c r="RX61" s="1">
        <v>0</v>
      </c>
      <c r="RZ61" s="1">
        <v>2841484179</v>
      </c>
      <c r="SA61" s="1">
        <v>30310</v>
      </c>
      <c r="SB61" s="1">
        <v>20</v>
      </c>
      <c r="SC61" s="1">
        <v>16</v>
      </c>
      <c r="SD61" s="1">
        <v>800000</v>
      </c>
      <c r="SE61" s="1">
        <v>1</v>
      </c>
      <c r="SF61" s="1">
        <v>1</v>
      </c>
      <c r="SG61" s="1">
        <v>90</v>
      </c>
      <c r="SH61" s="1">
        <v>60003760</v>
      </c>
      <c r="SI61" s="1">
        <v>32767</v>
      </c>
      <c r="SJ61" s="1">
        <v>0</v>
      </c>
      <c r="SL61" s="1">
        <v>2875453323</v>
      </c>
      <c r="SM61" s="1">
        <v>30311</v>
      </c>
      <c r="SN61" s="1">
        <v>150</v>
      </c>
      <c r="SO61" s="1">
        <v>5</v>
      </c>
      <c r="SP61" s="1">
        <v>3127000.79</v>
      </c>
      <c r="SQ61" s="1">
        <v>1</v>
      </c>
      <c r="SR61" s="1">
        <v>0</v>
      </c>
      <c r="SS61" s="1">
        <v>3</v>
      </c>
      <c r="ST61" s="1">
        <v>60003760</v>
      </c>
      <c r="SU61" s="1">
        <v>32767</v>
      </c>
      <c r="SV61" s="1">
        <v>0</v>
      </c>
      <c r="SX61" s="1">
        <v>2840336999</v>
      </c>
      <c r="SY61" s="1">
        <v>25595</v>
      </c>
      <c r="SZ61" s="1">
        <v>1083</v>
      </c>
      <c r="TA61" s="1">
        <v>1083</v>
      </c>
      <c r="TB61" s="1">
        <v>93199.99</v>
      </c>
      <c r="TC61" s="1">
        <v>1</v>
      </c>
      <c r="TD61" s="1">
        <v>0</v>
      </c>
      <c r="TE61" s="1">
        <v>90</v>
      </c>
      <c r="TF61" s="1">
        <v>60003760</v>
      </c>
      <c r="TG61" s="1">
        <v>32767</v>
      </c>
      <c r="TH61" s="1">
        <v>6</v>
      </c>
      <c r="TJ61" s="1">
        <v>2874596148</v>
      </c>
      <c r="TK61" s="1">
        <v>25606</v>
      </c>
      <c r="TL61" s="1">
        <v>13638</v>
      </c>
      <c r="TM61" s="1">
        <v>13638</v>
      </c>
      <c r="TN61" s="1">
        <v>31919.98</v>
      </c>
      <c r="TO61" s="1">
        <v>1</v>
      </c>
      <c r="TP61" s="1">
        <v>0</v>
      </c>
      <c r="TQ61" s="1">
        <v>90</v>
      </c>
      <c r="TR61" s="1">
        <v>60003760</v>
      </c>
      <c r="TS61" s="1">
        <v>32767</v>
      </c>
      <c r="TT61" s="1">
        <v>0</v>
      </c>
      <c r="TV61" s="1">
        <v>2877607484</v>
      </c>
      <c r="TW61" s="1">
        <v>25622</v>
      </c>
      <c r="TX61" s="1">
        <v>1</v>
      </c>
      <c r="TY61" s="1">
        <v>1</v>
      </c>
      <c r="TZ61" s="1">
        <v>13270000.15</v>
      </c>
      <c r="UA61" s="1">
        <v>1</v>
      </c>
      <c r="UB61" s="1">
        <v>1</v>
      </c>
      <c r="UC61" s="1">
        <v>7</v>
      </c>
      <c r="UD61" s="1">
        <v>60003760</v>
      </c>
      <c r="UE61" s="1">
        <v>-1</v>
      </c>
      <c r="UF61" s="1">
        <v>0</v>
      </c>
      <c r="UH61" s="1">
        <v>2643219678</v>
      </c>
      <c r="UI61" s="1">
        <v>16680</v>
      </c>
      <c r="UJ61" s="1">
        <v>1000000</v>
      </c>
      <c r="UK61" s="1">
        <v>1000000</v>
      </c>
      <c r="UL61" s="1">
        <v>379.99</v>
      </c>
      <c r="UM61" s="1">
        <v>1</v>
      </c>
      <c r="UN61" s="1">
        <v>1</v>
      </c>
      <c r="UO61" s="1">
        <v>90</v>
      </c>
      <c r="UP61" s="1">
        <v>60003760</v>
      </c>
      <c r="UQ61" s="1">
        <v>10</v>
      </c>
      <c r="UR61" s="1">
        <v>0</v>
      </c>
      <c r="UT61" s="1">
        <v>2878272235</v>
      </c>
      <c r="UU61" s="1">
        <v>17317</v>
      </c>
      <c r="UV61" s="1">
        <v>44500</v>
      </c>
      <c r="UW61" s="1">
        <v>44500</v>
      </c>
      <c r="UX61" s="1">
        <v>27721.02</v>
      </c>
      <c r="UY61" s="1">
        <v>1</v>
      </c>
      <c r="UZ61" s="1">
        <v>1</v>
      </c>
      <c r="VA61" s="1">
        <v>90</v>
      </c>
      <c r="VB61" s="1">
        <v>60003760</v>
      </c>
      <c r="VC61" s="1">
        <v>-1</v>
      </c>
      <c r="VD61" s="1">
        <v>0</v>
      </c>
      <c r="VF61"/>
      <c r="VG61"/>
      <c r="VH61"/>
      <c r="VI61"/>
      <c r="VJ61"/>
      <c r="VK61"/>
      <c r="VL61"/>
      <c r="VM61"/>
      <c r="VN61"/>
      <c r="VO61"/>
      <c r="VP61"/>
    </row>
    <row r="62" spans="2:588" x14ac:dyDescent="0.25">
      <c r="B62" s="1">
        <v>2819830321</v>
      </c>
      <c r="C62" s="1">
        <v>34</v>
      </c>
      <c r="D62" s="1">
        <v>9364562</v>
      </c>
      <c r="E62" s="1">
        <v>9364562</v>
      </c>
      <c r="F62" s="1">
        <v>6.01</v>
      </c>
      <c r="G62" s="1">
        <v>1</v>
      </c>
      <c r="H62" s="1">
        <v>0</v>
      </c>
      <c r="I62" s="1">
        <v>90</v>
      </c>
      <c r="J62" s="1">
        <v>60003760</v>
      </c>
      <c r="K62" s="1">
        <v>32767</v>
      </c>
      <c r="L62" s="1">
        <v>0</v>
      </c>
      <c r="N62" s="1">
        <v>2842726314</v>
      </c>
      <c r="O62" s="1">
        <v>35</v>
      </c>
      <c r="P62" s="1">
        <v>48357</v>
      </c>
      <c r="Q62" s="1">
        <v>48357</v>
      </c>
      <c r="R62" s="1">
        <v>15.8</v>
      </c>
      <c r="S62" s="1">
        <v>1</v>
      </c>
      <c r="T62" s="1">
        <v>0</v>
      </c>
      <c r="U62" s="1">
        <v>90</v>
      </c>
      <c r="V62" s="1">
        <v>60003760</v>
      </c>
      <c r="W62" s="1">
        <v>32767</v>
      </c>
      <c r="X62" s="1">
        <v>0</v>
      </c>
      <c r="Z62" s="1">
        <v>2768299954</v>
      </c>
      <c r="AA62" s="1">
        <v>36</v>
      </c>
      <c r="AB62" s="1">
        <v>32641802</v>
      </c>
      <c r="AC62" s="1">
        <v>32641802</v>
      </c>
      <c r="AD62" s="16">
        <v>56.19</v>
      </c>
      <c r="AE62" s="1">
        <v>1</v>
      </c>
      <c r="AF62" s="1">
        <v>0</v>
      </c>
      <c r="AG62" s="1">
        <v>90</v>
      </c>
      <c r="AH62" s="1">
        <v>60003760</v>
      </c>
      <c r="AI62" s="1">
        <v>32767</v>
      </c>
      <c r="AJ62" s="1">
        <v>11</v>
      </c>
      <c r="AL62" s="1">
        <v>2853761254</v>
      </c>
      <c r="AM62" s="1">
        <v>37</v>
      </c>
      <c r="AN62" s="1">
        <v>52354</v>
      </c>
      <c r="AO62" s="1">
        <v>52354</v>
      </c>
      <c r="AP62" s="16">
        <v>165</v>
      </c>
      <c r="AQ62" s="1">
        <v>1</v>
      </c>
      <c r="AR62" s="1">
        <v>0</v>
      </c>
      <c r="AS62" s="1">
        <v>90</v>
      </c>
      <c r="AT62" s="1">
        <v>60003760</v>
      </c>
      <c r="AU62" s="1">
        <v>32767</v>
      </c>
      <c r="AV62" s="1">
        <v>9</v>
      </c>
      <c r="AX62" s="1">
        <v>2878203067</v>
      </c>
      <c r="AY62" s="1">
        <v>38</v>
      </c>
      <c r="AZ62" s="1">
        <v>981533</v>
      </c>
      <c r="BA62" s="1">
        <v>981533</v>
      </c>
      <c r="BB62" s="1">
        <v>821.98</v>
      </c>
      <c r="BC62" s="1">
        <v>1</v>
      </c>
      <c r="BD62" s="1">
        <v>0</v>
      </c>
      <c r="BE62" s="1">
        <v>90</v>
      </c>
      <c r="BF62" s="1">
        <v>60003760</v>
      </c>
      <c r="BG62" s="1">
        <v>32767</v>
      </c>
      <c r="BH62" s="1">
        <v>5</v>
      </c>
      <c r="BJ62" s="1">
        <v>2730508149</v>
      </c>
      <c r="BK62" s="1">
        <v>39</v>
      </c>
      <c r="BL62" s="1">
        <v>1000000</v>
      </c>
      <c r="BM62" s="1">
        <v>1000000</v>
      </c>
      <c r="BN62" s="1">
        <v>899.97</v>
      </c>
      <c r="BO62" s="1">
        <v>1</v>
      </c>
      <c r="BP62" s="1">
        <v>0</v>
      </c>
      <c r="BQ62" s="1">
        <v>90</v>
      </c>
      <c r="BR62" s="1">
        <v>60003760</v>
      </c>
      <c r="BS62" s="1">
        <v>32767</v>
      </c>
      <c r="BT62" s="1">
        <v>5</v>
      </c>
      <c r="BV62" s="1">
        <v>2300131755</v>
      </c>
      <c r="BW62" s="1">
        <v>40</v>
      </c>
      <c r="BX62" s="1">
        <v>273938</v>
      </c>
      <c r="BY62" s="1">
        <v>273938</v>
      </c>
      <c r="BZ62" s="1">
        <v>3057</v>
      </c>
      <c r="CA62" s="1">
        <v>1</v>
      </c>
      <c r="CB62" s="1">
        <v>0</v>
      </c>
      <c r="CC62" s="1">
        <v>90</v>
      </c>
      <c r="CD62" s="1">
        <v>60003760</v>
      </c>
      <c r="CE62" s="1">
        <v>32767</v>
      </c>
      <c r="CF62" s="1">
        <v>13</v>
      </c>
      <c r="CH62" s="1">
        <v>2349218605</v>
      </c>
      <c r="CI62" s="1">
        <v>29668</v>
      </c>
      <c r="CJ62" s="1">
        <v>1</v>
      </c>
      <c r="CK62" s="1">
        <v>1</v>
      </c>
      <c r="CL62" s="1">
        <v>530000000</v>
      </c>
      <c r="CM62" s="1">
        <v>1</v>
      </c>
      <c r="CN62" s="1">
        <v>0</v>
      </c>
      <c r="CO62" s="1">
        <v>90</v>
      </c>
      <c r="CP62" s="1">
        <v>60003760</v>
      </c>
      <c r="CQ62" s="1">
        <v>32767</v>
      </c>
      <c r="CR62" s="1">
        <v>0</v>
      </c>
      <c r="CT62" s="1">
        <v>2394726578</v>
      </c>
      <c r="CU62" s="1">
        <v>16649</v>
      </c>
      <c r="CV62" s="1">
        <v>19900</v>
      </c>
      <c r="CW62" s="1">
        <v>19900</v>
      </c>
      <c r="CX62" s="1">
        <v>92500</v>
      </c>
      <c r="CY62" s="1">
        <v>1000</v>
      </c>
      <c r="CZ62" s="1">
        <v>1</v>
      </c>
      <c r="DA62" s="1">
        <v>90</v>
      </c>
      <c r="DB62" s="1">
        <v>60003760</v>
      </c>
      <c r="DC62" s="1">
        <v>-1</v>
      </c>
      <c r="DD62" s="1">
        <v>0</v>
      </c>
      <c r="DF62" s="1">
        <v>2402615440</v>
      </c>
      <c r="DG62" s="1">
        <v>17887</v>
      </c>
      <c r="DH62" s="1">
        <v>2000000</v>
      </c>
      <c r="DI62" s="1">
        <v>2000000</v>
      </c>
      <c r="DJ62" s="1">
        <v>1113.5</v>
      </c>
      <c r="DK62" s="1">
        <v>1</v>
      </c>
      <c r="DL62" s="1">
        <v>0</v>
      </c>
      <c r="DM62" s="1">
        <v>90</v>
      </c>
      <c r="DN62" s="1">
        <v>60003760</v>
      </c>
      <c r="DO62" s="1">
        <v>32767</v>
      </c>
      <c r="DP62" s="1">
        <v>0</v>
      </c>
      <c r="DR62" s="1">
        <v>2762990325</v>
      </c>
      <c r="DS62" s="1">
        <v>17888</v>
      </c>
      <c r="DT62" s="1">
        <v>1358376</v>
      </c>
      <c r="DU62" s="1">
        <v>1356459</v>
      </c>
      <c r="DV62" s="1">
        <v>441.99</v>
      </c>
      <c r="DW62" s="1">
        <v>1</v>
      </c>
      <c r="DX62" s="1">
        <v>0</v>
      </c>
      <c r="DY62" s="1">
        <v>90</v>
      </c>
      <c r="DZ62" s="1">
        <v>60003760</v>
      </c>
      <c r="EA62" s="1">
        <v>32767</v>
      </c>
      <c r="EB62" s="1">
        <v>8</v>
      </c>
      <c r="ED62" s="1">
        <v>2760461435</v>
      </c>
      <c r="EE62" s="1">
        <v>16273</v>
      </c>
      <c r="EF62" s="1">
        <v>972755</v>
      </c>
      <c r="EG62" s="1">
        <v>682543</v>
      </c>
      <c r="EH62" s="1">
        <v>400</v>
      </c>
      <c r="EI62" s="1">
        <v>1</v>
      </c>
      <c r="EJ62" s="1">
        <v>0</v>
      </c>
      <c r="EK62" s="1">
        <v>90</v>
      </c>
      <c r="EL62" s="1">
        <v>60002809</v>
      </c>
      <c r="EM62" s="1">
        <v>32767</v>
      </c>
      <c r="EN62" s="1">
        <v>3</v>
      </c>
      <c r="EP62" s="1">
        <v>2871713558</v>
      </c>
      <c r="EQ62" s="1">
        <v>17889</v>
      </c>
      <c r="ER62" s="1">
        <v>35751</v>
      </c>
      <c r="ES62" s="1">
        <v>35751</v>
      </c>
      <c r="ET62" s="1">
        <v>359</v>
      </c>
      <c r="EU62" s="1">
        <v>1</v>
      </c>
      <c r="EV62" s="1">
        <v>0</v>
      </c>
      <c r="EW62" s="1">
        <v>90</v>
      </c>
      <c r="EX62" s="1">
        <v>60001876</v>
      </c>
      <c r="EY62" s="1">
        <v>32767</v>
      </c>
      <c r="EZ62" s="1">
        <v>6</v>
      </c>
      <c r="FB62" s="1">
        <v>2878650315</v>
      </c>
      <c r="FC62" s="1">
        <v>30259</v>
      </c>
      <c r="FD62" s="1">
        <v>19</v>
      </c>
      <c r="FE62" s="1">
        <v>19</v>
      </c>
      <c r="FF62" s="1">
        <v>5789397.4800000004</v>
      </c>
      <c r="FG62" s="1">
        <v>1</v>
      </c>
      <c r="FH62" s="1">
        <v>0</v>
      </c>
      <c r="FI62" s="1">
        <v>90</v>
      </c>
      <c r="FJ62" s="1">
        <v>60003760</v>
      </c>
      <c r="FK62" s="1">
        <v>32767</v>
      </c>
      <c r="FL62" s="1">
        <v>0</v>
      </c>
      <c r="FN62" s="1">
        <v>2798892829</v>
      </c>
      <c r="FO62" s="1">
        <v>25617</v>
      </c>
      <c r="FP62" s="1">
        <v>100</v>
      </c>
      <c r="FQ62" s="1">
        <v>100</v>
      </c>
      <c r="FR62" s="1">
        <v>2799000.99</v>
      </c>
      <c r="FS62" s="1">
        <v>1</v>
      </c>
      <c r="FT62" s="1">
        <v>1</v>
      </c>
      <c r="FU62" s="1">
        <v>90</v>
      </c>
      <c r="FV62" s="1">
        <v>60003760</v>
      </c>
      <c r="FW62" s="1">
        <v>20</v>
      </c>
      <c r="FX62" s="1">
        <v>0</v>
      </c>
      <c r="FZ62" s="1">
        <v>2873278611</v>
      </c>
      <c r="GA62" s="1">
        <v>44</v>
      </c>
      <c r="GB62" s="1">
        <v>360</v>
      </c>
      <c r="GC62" s="1">
        <v>360</v>
      </c>
      <c r="GD62" s="1">
        <v>12920</v>
      </c>
      <c r="GE62" s="1">
        <v>1</v>
      </c>
      <c r="GF62" s="1">
        <v>0</v>
      </c>
      <c r="GG62" s="1">
        <v>7</v>
      </c>
      <c r="GH62" s="1">
        <v>60003760</v>
      </c>
      <c r="GI62" s="1">
        <v>32767</v>
      </c>
      <c r="GJ62" s="1">
        <v>4</v>
      </c>
      <c r="GL62" s="1">
        <v>2414590393</v>
      </c>
      <c r="GM62" s="1">
        <v>16681</v>
      </c>
      <c r="GN62" s="1">
        <v>3000</v>
      </c>
      <c r="GO62" s="1">
        <v>3000</v>
      </c>
      <c r="GP62" s="1">
        <v>5971</v>
      </c>
      <c r="GQ62" s="1">
        <v>1</v>
      </c>
      <c r="GR62" s="1">
        <v>1</v>
      </c>
      <c r="GS62" s="1">
        <v>90</v>
      </c>
      <c r="GT62" s="1">
        <v>60003760</v>
      </c>
      <c r="GU62" s="1">
        <v>-1</v>
      </c>
      <c r="GV62" s="1">
        <v>0</v>
      </c>
      <c r="GX62" s="1">
        <v>2706056642</v>
      </c>
      <c r="GY62" s="1">
        <v>16683</v>
      </c>
      <c r="GZ62" s="1">
        <v>60000</v>
      </c>
      <c r="HA62" s="1">
        <v>60000</v>
      </c>
      <c r="HB62" s="1">
        <v>8228.23</v>
      </c>
      <c r="HC62" s="1">
        <v>1</v>
      </c>
      <c r="HD62" s="1">
        <v>1</v>
      </c>
      <c r="HE62" s="1">
        <v>90</v>
      </c>
      <c r="HF62" s="1">
        <v>60003760</v>
      </c>
      <c r="HG62" s="1">
        <v>-1</v>
      </c>
      <c r="HH62" s="1">
        <v>0</v>
      </c>
      <c r="HJ62"/>
      <c r="HK62"/>
      <c r="HL62"/>
      <c r="HM62"/>
      <c r="HN62"/>
      <c r="HO62"/>
      <c r="HP62"/>
      <c r="HQ62"/>
      <c r="HR62"/>
      <c r="HS62"/>
      <c r="HT62"/>
      <c r="HV62" s="1">
        <v>2813245627</v>
      </c>
      <c r="HW62" s="1">
        <v>16274</v>
      </c>
      <c r="HX62" s="1">
        <v>16973</v>
      </c>
      <c r="HY62" s="1">
        <v>2673</v>
      </c>
      <c r="HZ62" s="1">
        <v>450</v>
      </c>
      <c r="IA62" s="1">
        <v>1</v>
      </c>
      <c r="IB62" s="1">
        <v>0</v>
      </c>
      <c r="IC62" s="1">
        <v>90</v>
      </c>
      <c r="ID62" s="1">
        <v>60003043</v>
      </c>
      <c r="IE62" s="1">
        <v>32767</v>
      </c>
      <c r="IF62" s="1">
        <v>8</v>
      </c>
      <c r="IH62"/>
      <c r="II62"/>
      <c r="IJ62"/>
      <c r="IK62"/>
      <c r="IL62"/>
      <c r="IM62"/>
      <c r="IN62"/>
      <c r="IO62"/>
      <c r="IP62"/>
      <c r="IQ62"/>
      <c r="IR62"/>
      <c r="IT62" s="1">
        <v>2864598772</v>
      </c>
      <c r="IU62" s="1">
        <v>16679</v>
      </c>
      <c r="IV62" s="1">
        <v>513000</v>
      </c>
      <c r="IW62" s="1">
        <v>513000</v>
      </c>
      <c r="IX62" s="1">
        <v>1794.99</v>
      </c>
      <c r="IY62" s="1">
        <v>1</v>
      </c>
      <c r="IZ62" s="1">
        <v>0</v>
      </c>
      <c r="JA62" s="1">
        <v>30</v>
      </c>
      <c r="JB62" s="1">
        <v>60003760</v>
      </c>
      <c r="JC62" s="1">
        <v>32767</v>
      </c>
      <c r="JD62" s="1">
        <v>0</v>
      </c>
      <c r="JF62" s="1">
        <v>2876093466</v>
      </c>
      <c r="JG62" s="1">
        <v>16272</v>
      </c>
      <c r="JH62" s="1">
        <v>5439476</v>
      </c>
      <c r="JI62" s="1">
        <v>5349476</v>
      </c>
      <c r="JJ62" s="1">
        <v>76.92</v>
      </c>
      <c r="JK62" s="1">
        <v>1</v>
      </c>
      <c r="JL62" s="1">
        <v>0</v>
      </c>
      <c r="JM62" s="1">
        <v>90</v>
      </c>
      <c r="JN62" s="1">
        <v>60003760</v>
      </c>
      <c r="JO62" s="1">
        <v>32767</v>
      </c>
      <c r="JP62" s="1">
        <v>6</v>
      </c>
      <c r="KD62" s="1">
        <v>2877120503</v>
      </c>
      <c r="KE62" s="1">
        <v>25605</v>
      </c>
      <c r="KF62" s="1">
        <v>7</v>
      </c>
      <c r="KG62" s="1">
        <v>7</v>
      </c>
      <c r="KH62" s="1">
        <v>108000</v>
      </c>
      <c r="KI62" s="1">
        <v>1</v>
      </c>
      <c r="KJ62" s="1">
        <v>0</v>
      </c>
      <c r="KK62" s="1">
        <v>1</v>
      </c>
      <c r="KL62" s="1">
        <v>60003682</v>
      </c>
      <c r="KM62" s="1">
        <v>32767</v>
      </c>
      <c r="KN62" s="1">
        <v>6</v>
      </c>
      <c r="KP62" s="1">
        <v>2878343618</v>
      </c>
      <c r="KQ62" s="1">
        <v>25624</v>
      </c>
      <c r="KR62" s="1">
        <v>4</v>
      </c>
      <c r="KS62" s="1">
        <v>4</v>
      </c>
      <c r="KT62" s="1">
        <v>18249989</v>
      </c>
      <c r="KU62" s="1">
        <v>1</v>
      </c>
      <c r="KV62" s="1">
        <v>0</v>
      </c>
      <c r="KW62" s="1">
        <v>90</v>
      </c>
      <c r="KX62" s="1">
        <v>60003760</v>
      </c>
      <c r="KY62" s="1">
        <v>32767</v>
      </c>
      <c r="KZ62" s="1">
        <v>1</v>
      </c>
      <c r="LB62" s="1">
        <v>2855233892</v>
      </c>
      <c r="LC62" s="1">
        <v>9832</v>
      </c>
      <c r="LD62" s="1">
        <v>15000</v>
      </c>
      <c r="LE62" s="1">
        <v>7442</v>
      </c>
      <c r="LF62" s="1">
        <v>9695</v>
      </c>
      <c r="LG62" s="1">
        <v>1</v>
      </c>
      <c r="LH62" s="1">
        <v>0</v>
      </c>
      <c r="LI62" s="1">
        <v>90</v>
      </c>
      <c r="LJ62" s="1">
        <v>60003760</v>
      </c>
      <c r="LK62" s="1">
        <v>32767</v>
      </c>
      <c r="LL62" s="1">
        <v>0</v>
      </c>
      <c r="LN62" s="1">
        <v>2877239780</v>
      </c>
      <c r="LO62" s="1">
        <v>10209</v>
      </c>
      <c r="LP62" s="1">
        <v>5</v>
      </c>
      <c r="LQ62" s="1">
        <v>5</v>
      </c>
      <c r="LR62" s="1">
        <v>112007012</v>
      </c>
      <c r="LS62" s="1">
        <v>1</v>
      </c>
      <c r="LT62" s="1">
        <v>1</v>
      </c>
      <c r="LU62" s="1">
        <v>90</v>
      </c>
      <c r="LV62" s="1">
        <v>60003760</v>
      </c>
      <c r="LW62" s="1">
        <v>-1</v>
      </c>
      <c r="LX62" s="1">
        <v>0</v>
      </c>
      <c r="LZ62" s="1">
        <v>2878214240</v>
      </c>
      <c r="MA62" s="1">
        <v>10217</v>
      </c>
      <c r="MB62" s="1">
        <v>7</v>
      </c>
      <c r="MC62" s="1">
        <v>4</v>
      </c>
      <c r="MD62" s="1">
        <v>113330001.47</v>
      </c>
      <c r="ME62" s="1">
        <v>1</v>
      </c>
      <c r="MF62" s="1">
        <v>1</v>
      </c>
      <c r="MG62" s="1">
        <v>30</v>
      </c>
      <c r="MH62" s="1">
        <v>60003760</v>
      </c>
      <c r="MI62" s="1">
        <v>-1</v>
      </c>
      <c r="MJ62" s="1">
        <v>0</v>
      </c>
      <c r="ML62" s="1">
        <v>2865186245</v>
      </c>
      <c r="MM62" s="1">
        <v>25625</v>
      </c>
      <c r="MN62" s="1">
        <v>222</v>
      </c>
      <c r="MO62" s="1">
        <v>222</v>
      </c>
      <c r="MP62" s="1">
        <v>3100000.11</v>
      </c>
      <c r="MQ62" s="1">
        <v>1</v>
      </c>
      <c r="MR62" s="1">
        <v>1</v>
      </c>
      <c r="MS62" s="1">
        <v>90</v>
      </c>
      <c r="MT62" s="1">
        <v>60003760</v>
      </c>
      <c r="MU62" s="1">
        <v>-1</v>
      </c>
      <c r="MV62" s="1">
        <v>0</v>
      </c>
      <c r="MX62" s="1">
        <v>2878821647</v>
      </c>
      <c r="MY62" s="1">
        <v>16672</v>
      </c>
      <c r="MZ62" s="1">
        <v>9540000</v>
      </c>
      <c r="NA62" s="1">
        <v>3355000</v>
      </c>
      <c r="NB62" s="1">
        <v>120</v>
      </c>
      <c r="NC62" s="1">
        <v>1</v>
      </c>
      <c r="ND62" s="1">
        <v>0</v>
      </c>
      <c r="NE62" s="1">
        <v>90</v>
      </c>
      <c r="NF62" s="1">
        <v>60007591</v>
      </c>
      <c r="NG62" s="1">
        <v>32767</v>
      </c>
      <c r="NH62" s="1">
        <v>0</v>
      </c>
      <c r="NJ62" s="1">
        <v>2866741672</v>
      </c>
      <c r="NK62" s="1">
        <v>16673</v>
      </c>
      <c r="NL62" s="1">
        <v>10000000</v>
      </c>
      <c r="NM62" s="1">
        <v>10000000</v>
      </c>
      <c r="NN62" s="1">
        <v>106.29</v>
      </c>
      <c r="NO62" s="1">
        <v>1</v>
      </c>
      <c r="NP62" s="1">
        <v>0</v>
      </c>
      <c r="NQ62" s="1">
        <v>90</v>
      </c>
      <c r="NR62" s="1">
        <v>60003760</v>
      </c>
      <c r="NS62" s="1">
        <v>32767</v>
      </c>
      <c r="NT62" s="1">
        <v>6</v>
      </c>
      <c r="NV62" s="1">
        <v>2860799058</v>
      </c>
      <c r="NW62" s="1">
        <v>3689</v>
      </c>
      <c r="NX62" s="1">
        <v>8784</v>
      </c>
      <c r="NY62" s="1">
        <v>8784</v>
      </c>
      <c r="NZ62" s="1">
        <v>10699.98</v>
      </c>
      <c r="OA62" s="1">
        <v>1</v>
      </c>
      <c r="OB62" s="1">
        <v>0</v>
      </c>
      <c r="OC62" s="1">
        <v>90</v>
      </c>
      <c r="OD62" s="1">
        <v>60003760</v>
      </c>
      <c r="OE62" s="1">
        <v>32767</v>
      </c>
      <c r="OF62" s="1">
        <v>0</v>
      </c>
      <c r="OH62" s="1">
        <v>2844839997</v>
      </c>
      <c r="OI62" s="1">
        <v>25598</v>
      </c>
      <c r="OJ62" s="1">
        <v>16715</v>
      </c>
      <c r="OK62" s="1">
        <v>10011</v>
      </c>
      <c r="OL62" s="1">
        <v>155398.82999999999</v>
      </c>
      <c r="OM62" s="1">
        <v>1</v>
      </c>
      <c r="ON62" s="1">
        <v>0</v>
      </c>
      <c r="OO62" s="1">
        <v>90</v>
      </c>
      <c r="OP62" s="1">
        <v>60003760</v>
      </c>
      <c r="OQ62" s="1">
        <v>32767</v>
      </c>
      <c r="OR62" s="1">
        <v>0</v>
      </c>
      <c r="OT62" s="1">
        <v>2870759373</v>
      </c>
      <c r="OU62" s="1">
        <v>25600</v>
      </c>
      <c r="OV62" s="1">
        <v>59</v>
      </c>
      <c r="OW62" s="1">
        <v>59</v>
      </c>
      <c r="OX62" s="1">
        <v>30897</v>
      </c>
      <c r="OY62" s="1">
        <v>1</v>
      </c>
      <c r="OZ62" s="1">
        <v>0</v>
      </c>
      <c r="PA62" s="1">
        <v>7</v>
      </c>
      <c r="PB62" s="1">
        <v>60003466</v>
      </c>
      <c r="PC62" s="1">
        <v>32767</v>
      </c>
      <c r="PD62" s="1">
        <v>0</v>
      </c>
      <c r="PF62" s="1">
        <v>2870130865</v>
      </c>
      <c r="PG62" s="1">
        <v>16670</v>
      </c>
      <c r="PH62" s="1">
        <v>5000000</v>
      </c>
      <c r="PI62" s="1">
        <v>5000000</v>
      </c>
      <c r="PJ62" s="1">
        <v>127</v>
      </c>
      <c r="PK62" s="1">
        <v>1</v>
      </c>
      <c r="PL62" s="1">
        <v>0</v>
      </c>
      <c r="PM62" s="1">
        <v>90</v>
      </c>
      <c r="PN62" s="1">
        <v>60003760</v>
      </c>
      <c r="PO62" s="1">
        <v>32767</v>
      </c>
      <c r="PP62" s="1">
        <v>7</v>
      </c>
      <c r="PR62" s="1">
        <v>2865813977</v>
      </c>
      <c r="PS62" s="1">
        <v>10222</v>
      </c>
      <c r="PT62" s="1">
        <v>10</v>
      </c>
      <c r="PU62" s="1">
        <v>9</v>
      </c>
      <c r="PV62" s="1">
        <v>101200007</v>
      </c>
      <c r="PW62" s="1">
        <v>1</v>
      </c>
      <c r="PX62" s="1">
        <v>1</v>
      </c>
      <c r="PY62" s="1">
        <v>90</v>
      </c>
      <c r="PZ62" s="1">
        <v>60003760</v>
      </c>
      <c r="QA62" s="1">
        <v>32767</v>
      </c>
      <c r="QB62" s="1">
        <v>0</v>
      </c>
      <c r="QD62" s="1">
        <v>2793887288</v>
      </c>
      <c r="QE62" s="1">
        <v>9830</v>
      </c>
      <c r="QF62" s="1">
        <v>1055</v>
      </c>
      <c r="QG62" s="1">
        <v>1055</v>
      </c>
      <c r="QH62" s="1">
        <v>9000</v>
      </c>
      <c r="QI62" s="1">
        <v>1</v>
      </c>
      <c r="QJ62" s="1">
        <v>0</v>
      </c>
      <c r="QK62" s="1">
        <v>90</v>
      </c>
      <c r="QL62" s="1">
        <v>60007510</v>
      </c>
      <c r="QM62" s="1">
        <v>32767</v>
      </c>
      <c r="QN62" s="1">
        <v>9</v>
      </c>
      <c r="QP62" s="1">
        <v>2871845020</v>
      </c>
      <c r="QQ62" s="1">
        <v>16671</v>
      </c>
      <c r="QR62" s="1">
        <v>50000</v>
      </c>
      <c r="QS62" s="1">
        <v>50000</v>
      </c>
      <c r="QT62" s="1">
        <v>105.39</v>
      </c>
      <c r="QU62" s="1">
        <v>1</v>
      </c>
      <c r="QV62" s="1">
        <v>0</v>
      </c>
      <c r="QW62" s="1">
        <v>90</v>
      </c>
      <c r="QX62" s="1">
        <v>60003760</v>
      </c>
      <c r="QY62" s="1">
        <v>32767</v>
      </c>
      <c r="QZ62" s="1">
        <v>7</v>
      </c>
      <c r="RB62" s="1">
        <v>2875994074</v>
      </c>
      <c r="RC62" s="1">
        <v>16682</v>
      </c>
      <c r="RD62" s="1">
        <v>250008</v>
      </c>
      <c r="RE62" s="1">
        <v>161772</v>
      </c>
      <c r="RF62" s="1">
        <v>3349.32</v>
      </c>
      <c r="RG62" s="1">
        <v>1</v>
      </c>
      <c r="RH62" s="1">
        <v>0</v>
      </c>
      <c r="RI62" s="1">
        <v>1</v>
      </c>
      <c r="RJ62" s="1">
        <v>60003760</v>
      </c>
      <c r="RK62" s="1">
        <v>32767</v>
      </c>
      <c r="RL62" s="1">
        <v>8</v>
      </c>
      <c r="RN62" s="1">
        <v>2848545459</v>
      </c>
      <c r="RO62" s="1">
        <v>16678</v>
      </c>
      <c r="RP62" s="1">
        <v>950000</v>
      </c>
      <c r="RQ62" s="1">
        <v>950000</v>
      </c>
      <c r="RR62" s="1">
        <v>252.33</v>
      </c>
      <c r="RS62" s="1">
        <v>1</v>
      </c>
      <c r="RT62" s="1">
        <v>1</v>
      </c>
      <c r="RU62" s="1">
        <v>90</v>
      </c>
      <c r="RV62" s="1">
        <v>60003760</v>
      </c>
      <c r="RW62" s="1">
        <v>-1</v>
      </c>
      <c r="RX62" s="1">
        <v>0</v>
      </c>
      <c r="RZ62" s="1">
        <v>2846923740</v>
      </c>
      <c r="SA62" s="1">
        <v>30310</v>
      </c>
      <c r="SB62" s="1">
        <v>200</v>
      </c>
      <c r="SC62" s="1">
        <v>200</v>
      </c>
      <c r="SD62" s="1">
        <v>912000.01</v>
      </c>
      <c r="SE62" s="1">
        <v>1</v>
      </c>
      <c r="SF62" s="1">
        <v>1</v>
      </c>
      <c r="SG62" s="1">
        <v>90</v>
      </c>
      <c r="SH62" s="1">
        <v>60003760</v>
      </c>
      <c r="SI62" s="1">
        <v>-1</v>
      </c>
      <c r="SJ62" s="1">
        <v>0</v>
      </c>
      <c r="SL62" s="1">
        <v>2878304036</v>
      </c>
      <c r="SM62" s="1">
        <v>30311</v>
      </c>
      <c r="SN62" s="1">
        <v>140</v>
      </c>
      <c r="SO62" s="1">
        <v>140</v>
      </c>
      <c r="SP62" s="1">
        <v>3127000.79</v>
      </c>
      <c r="SQ62" s="1">
        <v>1</v>
      </c>
      <c r="SR62" s="1">
        <v>0</v>
      </c>
      <c r="SS62" s="1">
        <v>3</v>
      </c>
      <c r="ST62" s="1">
        <v>60003760</v>
      </c>
      <c r="SU62" s="1">
        <v>32767</v>
      </c>
      <c r="SV62" s="1">
        <v>0</v>
      </c>
      <c r="SX62" s="1">
        <v>2843802407</v>
      </c>
      <c r="SY62" s="1">
        <v>25595</v>
      </c>
      <c r="SZ62" s="1">
        <v>7781</v>
      </c>
      <c r="TA62" s="1">
        <v>7392</v>
      </c>
      <c r="TB62" s="1">
        <v>81888.87</v>
      </c>
      <c r="TC62" s="1">
        <v>1</v>
      </c>
      <c r="TD62" s="1">
        <v>0</v>
      </c>
      <c r="TE62" s="1">
        <v>90</v>
      </c>
      <c r="TF62" s="1">
        <v>60003760</v>
      </c>
      <c r="TG62" s="1">
        <v>32767</v>
      </c>
      <c r="TH62" s="1">
        <v>6</v>
      </c>
      <c r="TJ62" s="1">
        <v>2874414640</v>
      </c>
      <c r="TK62" s="1">
        <v>25606</v>
      </c>
      <c r="TL62" s="1">
        <v>23946</v>
      </c>
      <c r="TM62" s="1">
        <v>23946</v>
      </c>
      <c r="TN62" s="1">
        <v>23985</v>
      </c>
      <c r="TO62" s="1">
        <v>1</v>
      </c>
      <c r="TP62" s="1">
        <v>0</v>
      </c>
      <c r="TQ62" s="1">
        <v>90</v>
      </c>
      <c r="TR62" s="1">
        <v>60003760</v>
      </c>
      <c r="TS62" s="1">
        <v>32767</v>
      </c>
      <c r="TT62" s="1">
        <v>0</v>
      </c>
      <c r="TV62" s="1">
        <v>1934795540</v>
      </c>
      <c r="TW62" s="1">
        <v>25622</v>
      </c>
      <c r="TX62" s="1">
        <v>5</v>
      </c>
      <c r="TY62" s="1">
        <v>5</v>
      </c>
      <c r="TZ62" s="1">
        <v>3000002.08</v>
      </c>
      <c r="UA62" s="1">
        <v>1</v>
      </c>
      <c r="UB62" s="1">
        <v>1</v>
      </c>
      <c r="UC62" s="1">
        <v>90</v>
      </c>
      <c r="UD62" s="1">
        <v>60004459</v>
      </c>
      <c r="UE62" s="1">
        <v>10</v>
      </c>
      <c r="UF62" s="1">
        <v>0</v>
      </c>
      <c r="UH62" s="1">
        <v>2629709662</v>
      </c>
      <c r="UI62" s="1">
        <v>16680</v>
      </c>
      <c r="UJ62" s="1">
        <v>1000000</v>
      </c>
      <c r="UK62" s="1">
        <v>998077</v>
      </c>
      <c r="UL62" s="1">
        <v>209.99</v>
      </c>
      <c r="UM62" s="1">
        <v>1</v>
      </c>
      <c r="UN62" s="1">
        <v>1</v>
      </c>
      <c r="UO62" s="1">
        <v>90</v>
      </c>
      <c r="UP62" s="1">
        <v>60003760</v>
      </c>
      <c r="UQ62" s="1">
        <v>20</v>
      </c>
      <c r="UR62" s="1">
        <v>0</v>
      </c>
      <c r="UT62" s="1">
        <v>2878981774</v>
      </c>
      <c r="UU62" s="1">
        <v>17317</v>
      </c>
      <c r="UV62" s="1">
        <v>5043</v>
      </c>
      <c r="UW62" s="1">
        <v>5011</v>
      </c>
      <c r="UX62" s="1">
        <v>27721.05</v>
      </c>
      <c r="UY62" s="1">
        <v>1</v>
      </c>
      <c r="UZ62" s="1">
        <v>1</v>
      </c>
      <c r="VA62" s="1">
        <v>90</v>
      </c>
      <c r="VB62" s="1">
        <v>60003760</v>
      </c>
      <c r="VC62" s="1">
        <v>-1</v>
      </c>
      <c r="VD62" s="1">
        <v>0</v>
      </c>
      <c r="VF62"/>
      <c r="VG62"/>
      <c r="VH62"/>
      <c r="VI62"/>
      <c r="VJ62"/>
      <c r="VK62"/>
      <c r="VL62"/>
      <c r="VM62"/>
      <c r="VN62"/>
      <c r="VO62"/>
      <c r="VP62"/>
    </row>
    <row r="63" spans="2:588" x14ac:dyDescent="0.25">
      <c r="B63" s="1">
        <v>2818593335</v>
      </c>
      <c r="C63" s="1">
        <v>34</v>
      </c>
      <c r="D63" s="1">
        <v>9364562</v>
      </c>
      <c r="E63" s="1">
        <v>9364562</v>
      </c>
      <c r="F63" s="1">
        <v>6.03</v>
      </c>
      <c r="G63" s="1">
        <v>1</v>
      </c>
      <c r="H63" s="1">
        <v>0</v>
      </c>
      <c r="I63" s="1">
        <v>90</v>
      </c>
      <c r="J63" s="1">
        <v>60003760</v>
      </c>
      <c r="K63" s="1">
        <v>32767</v>
      </c>
      <c r="L63" s="1">
        <v>0</v>
      </c>
      <c r="N63" s="1">
        <v>2842944343</v>
      </c>
      <c r="O63" s="1">
        <v>35</v>
      </c>
      <c r="P63" s="1">
        <v>19142</v>
      </c>
      <c r="Q63" s="1">
        <v>19142</v>
      </c>
      <c r="R63" s="1">
        <v>17.399999999999999</v>
      </c>
      <c r="S63" s="1">
        <v>1</v>
      </c>
      <c r="T63" s="1">
        <v>0</v>
      </c>
      <c r="U63" s="1">
        <v>30</v>
      </c>
      <c r="V63" s="1">
        <v>60003760</v>
      </c>
      <c r="W63" s="1">
        <v>32767</v>
      </c>
      <c r="X63" s="1">
        <v>0</v>
      </c>
      <c r="Z63" s="1">
        <v>2769551983</v>
      </c>
      <c r="AA63" s="1">
        <v>36</v>
      </c>
      <c r="AB63" s="1">
        <v>242685</v>
      </c>
      <c r="AC63" s="1">
        <v>242685</v>
      </c>
      <c r="AD63" s="16">
        <v>57</v>
      </c>
      <c r="AE63" s="1">
        <v>1</v>
      </c>
      <c r="AF63" s="1">
        <v>0</v>
      </c>
      <c r="AG63" s="1">
        <v>90</v>
      </c>
      <c r="AH63" s="1">
        <v>60003760</v>
      </c>
      <c r="AI63" s="1">
        <v>32767</v>
      </c>
      <c r="AJ63" s="1">
        <v>11</v>
      </c>
      <c r="AL63" s="1">
        <v>2862145258</v>
      </c>
      <c r="AM63" s="1">
        <v>37</v>
      </c>
      <c r="AN63" s="1">
        <v>13045</v>
      </c>
      <c r="AO63" s="1">
        <v>13045</v>
      </c>
      <c r="AP63" s="16">
        <v>154.5</v>
      </c>
      <c r="AQ63" s="1">
        <v>1</v>
      </c>
      <c r="AR63" s="1">
        <v>0</v>
      </c>
      <c r="AS63" s="1">
        <v>14</v>
      </c>
      <c r="AT63" s="1">
        <v>60003760</v>
      </c>
      <c r="AU63" s="1">
        <v>32767</v>
      </c>
      <c r="AV63" s="1">
        <v>9</v>
      </c>
      <c r="AX63" s="1">
        <v>2878150456</v>
      </c>
      <c r="AY63" s="1">
        <v>38</v>
      </c>
      <c r="AZ63" s="1">
        <v>20335</v>
      </c>
      <c r="BA63" s="1">
        <v>12335</v>
      </c>
      <c r="BB63" s="1">
        <v>823.97</v>
      </c>
      <c r="BC63" s="1">
        <v>1</v>
      </c>
      <c r="BD63" s="1">
        <v>0</v>
      </c>
      <c r="BE63" s="1">
        <v>90</v>
      </c>
      <c r="BF63" s="1">
        <v>60003760</v>
      </c>
      <c r="BG63" s="1">
        <v>32767</v>
      </c>
      <c r="BH63" s="1">
        <v>5</v>
      </c>
      <c r="BJ63" s="1">
        <v>2727761176</v>
      </c>
      <c r="BK63" s="1">
        <v>39</v>
      </c>
      <c r="BL63" s="1">
        <v>4467885</v>
      </c>
      <c r="BM63" s="1">
        <v>4467885</v>
      </c>
      <c r="BN63" s="1">
        <v>901.01</v>
      </c>
      <c r="BO63" s="1">
        <v>1</v>
      </c>
      <c r="BP63" s="1">
        <v>0</v>
      </c>
      <c r="BQ63" s="1">
        <v>90</v>
      </c>
      <c r="BR63" s="1">
        <v>60003760</v>
      </c>
      <c r="BS63" s="1">
        <v>32767</v>
      </c>
      <c r="BT63" s="1">
        <v>5</v>
      </c>
      <c r="BV63" s="1">
        <v>2260925529</v>
      </c>
      <c r="BW63" s="1">
        <v>40</v>
      </c>
      <c r="BX63" s="1">
        <v>200000</v>
      </c>
      <c r="BY63" s="1">
        <v>197750</v>
      </c>
      <c r="BZ63" s="1">
        <v>3143.93</v>
      </c>
      <c r="CA63" s="1">
        <v>1</v>
      </c>
      <c r="CB63" s="1">
        <v>0</v>
      </c>
      <c r="CC63" s="1">
        <v>90</v>
      </c>
      <c r="CD63" s="1">
        <v>60003760</v>
      </c>
      <c r="CE63" s="1">
        <v>32767</v>
      </c>
      <c r="CF63" s="1">
        <v>13</v>
      </c>
      <c r="CH63" s="1">
        <v>2349267003</v>
      </c>
      <c r="CI63" s="1">
        <v>29668</v>
      </c>
      <c r="CJ63" s="1">
        <v>5</v>
      </c>
      <c r="CK63" s="1">
        <v>5</v>
      </c>
      <c r="CL63" s="1">
        <v>512922999.57999998</v>
      </c>
      <c r="CM63" s="1">
        <v>1</v>
      </c>
      <c r="CN63" s="1">
        <v>0</v>
      </c>
      <c r="CO63" s="1">
        <v>90</v>
      </c>
      <c r="CP63" s="1">
        <v>60003760</v>
      </c>
      <c r="CQ63" s="1">
        <v>32767</v>
      </c>
      <c r="CR63" s="1">
        <v>0</v>
      </c>
      <c r="CT63" s="1">
        <v>2394726964</v>
      </c>
      <c r="CU63" s="1">
        <v>16649</v>
      </c>
      <c r="CV63" s="1">
        <v>29900</v>
      </c>
      <c r="CW63" s="1">
        <v>29900</v>
      </c>
      <c r="CX63" s="1">
        <v>91050</v>
      </c>
      <c r="CY63" s="1">
        <v>1000</v>
      </c>
      <c r="CZ63" s="1">
        <v>1</v>
      </c>
      <c r="DA63" s="1">
        <v>90</v>
      </c>
      <c r="DB63" s="1">
        <v>60003760</v>
      </c>
      <c r="DC63" s="1">
        <v>-1</v>
      </c>
      <c r="DD63" s="1">
        <v>0</v>
      </c>
      <c r="DF63" s="1">
        <v>2402302846</v>
      </c>
      <c r="DG63" s="1">
        <v>17887</v>
      </c>
      <c r="DH63" s="1">
        <v>3195812</v>
      </c>
      <c r="DI63" s="1">
        <v>2847844</v>
      </c>
      <c r="DJ63" s="1">
        <v>1044.8599999999999</v>
      </c>
      <c r="DK63" s="1">
        <v>1</v>
      </c>
      <c r="DL63" s="1">
        <v>0</v>
      </c>
      <c r="DM63" s="1">
        <v>90</v>
      </c>
      <c r="DN63" s="1">
        <v>60003760</v>
      </c>
      <c r="DO63" s="1">
        <v>32767</v>
      </c>
      <c r="DP63" s="1">
        <v>0</v>
      </c>
      <c r="DR63" s="1">
        <v>2763713466</v>
      </c>
      <c r="DS63" s="1">
        <v>17888</v>
      </c>
      <c r="DT63" s="1">
        <v>930600</v>
      </c>
      <c r="DU63" s="1">
        <v>927600</v>
      </c>
      <c r="DV63" s="1">
        <v>436.1</v>
      </c>
      <c r="DW63" s="1">
        <v>1</v>
      </c>
      <c r="DX63" s="1">
        <v>0</v>
      </c>
      <c r="DY63" s="1">
        <v>90</v>
      </c>
      <c r="DZ63" s="1">
        <v>60003760</v>
      </c>
      <c r="EA63" s="1">
        <v>32767</v>
      </c>
      <c r="EB63" s="1">
        <v>8</v>
      </c>
      <c r="ED63" s="1">
        <v>2737703070</v>
      </c>
      <c r="EE63" s="1">
        <v>16273</v>
      </c>
      <c r="EF63" s="1">
        <v>25617</v>
      </c>
      <c r="EG63" s="1">
        <v>6869</v>
      </c>
      <c r="EH63" s="1">
        <v>413</v>
      </c>
      <c r="EI63" s="1">
        <v>1</v>
      </c>
      <c r="EJ63" s="1">
        <v>0</v>
      </c>
      <c r="EK63" s="1">
        <v>90</v>
      </c>
      <c r="EL63" s="1">
        <v>60003937</v>
      </c>
      <c r="EM63" s="1">
        <v>32767</v>
      </c>
      <c r="EN63" s="1">
        <v>3</v>
      </c>
      <c r="EP63" s="1">
        <v>2828895342</v>
      </c>
      <c r="EQ63" s="1">
        <v>17889</v>
      </c>
      <c r="ER63" s="1">
        <v>1038000</v>
      </c>
      <c r="ES63" s="1">
        <v>746220</v>
      </c>
      <c r="ET63" s="1">
        <v>799</v>
      </c>
      <c r="EU63" s="1">
        <v>1</v>
      </c>
      <c r="EV63" s="1">
        <v>0</v>
      </c>
      <c r="EW63" s="1">
        <v>90</v>
      </c>
      <c r="EX63" s="1">
        <v>60002242</v>
      </c>
      <c r="EY63" s="1">
        <v>32767</v>
      </c>
      <c r="EZ63" s="1">
        <v>8</v>
      </c>
      <c r="FB63" s="1">
        <v>2877496074</v>
      </c>
      <c r="FC63" s="1">
        <v>30259</v>
      </c>
      <c r="FD63" s="1">
        <v>3910</v>
      </c>
      <c r="FE63" s="1">
        <v>2793</v>
      </c>
      <c r="FF63" s="1">
        <v>5789397.3700000001</v>
      </c>
      <c r="FG63" s="1">
        <v>1</v>
      </c>
      <c r="FH63" s="1">
        <v>0</v>
      </c>
      <c r="FI63" s="1">
        <v>90</v>
      </c>
      <c r="FJ63" s="1">
        <v>60003760</v>
      </c>
      <c r="FK63" s="1">
        <v>32767</v>
      </c>
      <c r="FL63" s="1">
        <v>0</v>
      </c>
      <c r="FN63" s="1">
        <v>2786677708</v>
      </c>
      <c r="FO63" s="1">
        <v>25617</v>
      </c>
      <c r="FP63" s="1">
        <v>330</v>
      </c>
      <c r="FQ63" s="1">
        <v>330</v>
      </c>
      <c r="FR63" s="1">
        <v>1</v>
      </c>
      <c r="FS63" s="1">
        <v>1</v>
      </c>
      <c r="FT63" s="1">
        <v>1</v>
      </c>
      <c r="FU63" s="1">
        <v>90</v>
      </c>
      <c r="FV63" s="1">
        <v>60003760</v>
      </c>
      <c r="FW63" s="1">
        <v>32767</v>
      </c>
      <c r="FX63" s="1">
        <v>0</v>
      </c>
      <c r="FZ63" s="1">
        <v>2875458499</v>
      </c>
      <c r="GA63" s="1">
        <v>44</v>
      </c>
      <c r="GB63" s="1">
        <v>13620</v>
      </c>
      <c r="GC63" s="1">
        <v>13620</v>
      </c>
      <c r="GD63" s="1">
        <v>12723.23</v>
      </c>
      <c r="GE63" s="1">
        <v>1</v>
      </c>
      <c r="GF63" s="1">
        <v>0</v>
      </c>
      <c r="GG63" s="1">
        <v>90</v>
      </c>
      <c r="GH63" s="1">
        <v>60003760</v>
      </c>
      <c r="GI63" s="1">
        <v>32767</v>
      </c>
      <c r="GJ63" s="1">
        <v>4</v>
      </c>
      <c r="GL63" s="1">
        <v>2414827404</v>
      </c>
      <c r="GM63" s="1">
        <v>16681</v>
      </c>
      <c r="GN63" s="1">
        <v>500000</v>
      </c>
      <c r="GO63" s="1">
        <v>500000</v>
      </c>
      <c r="GP63" s="1">
        <v>5986.11</v>
      </c>
      <c r="GQ63" s="1">
        <v>1</v>
      </c>
      <c r="GR63" s="1">
        <v>1</v>
      </c>
      <c r="GS63" s="1">
        <v>30</v>
      </c>
      <c r="GT63" s="1">
        <v>60003760</v>
      </c>
      <c r="GU63" s="1">
        <v>-1</v>
      </c>
      <c r="GV63" s="1">
        <v>0</v>
      </c>
      <c r="GX63" s="1">
        <v>2871300630</v>
      </c>
      <c r="GY63" s="1">
        <v>16683</v>
      </c>
      <c r="GZ63" s="1">
        <v>20000</v>
      </c>
      <c r="HA63" s="1">
        <v>20000</v>
      </c>
      <c r="HB63" s="1">
        <v>8351</v>
      </c>
      <c r="HC63" s="1">
        <v>1</v>
      </c>
      <c r="HD63" s="1">
        <v>1</v>
      </c>
      <c r="HE63" s="1">
        <v>90</v>
      </c>
      <c r="HF63" s="1">
        <v>60003760</v>
      </c>
      <c r="HG63" s="1">
        <v>-1</v>
      </c>
      <c r="HH63" s="1">
        <v>0</v>
      </c>
      <c r="HJ63"/>
      <c r="HK63"/>
      <c r="HL63"/>
      <c r="HM63"/>
      <c r="HN63"/>
      <c r="HO63"/>
      <c r="HP63"/>
      <c r="HQ63"/>
      <c r="HR63"/>
      <c r="HS63"/>
      <c r="HT63"/>
      <c r="HV63" s="1">
        <v>2874590054</v>
      </c>
      <c r="HW63" s="1">
        <v>16274</v>
      </c>
      <c r="HX63" s="1">
        <v>1384947</v>
      </c>
      <c r="HY63" s="1">
        <v>1364947</v>
      </c>
      <c r="HZ63" s="1">
        <v>450</v>
      </c>
      <c r="IA63" s="1">
        <v>1</v>
      </c>
      <c r="IB63" s="1">
        <v>0</v>
      </c>
      <c r="IC63" s="1">
        <v>90</v>
      </c>
      <c r="ID63" s="1">
        <v>60004078</v>
      </c>
      <c r="IE63" s="1">
        <v>32767</v>
      </c>
      <c r="IF63" s="1">
        <v>8</v>
      </c>
      <c r="IH63"/>
      <c r="II63"/>
      <c r="IJ63"/>
      <c r="IK63"/>
      <c r="IL63"/>
      <c r="IM63"/>
      <c r="IN63"/>
      <c r="IO63"/>
      <c r="IP63"/>
      <c r="IQ63"/>
      <c r="IR63"/>
      <c r="IT63" s="1">
        <v>2870400544</v>
      </c>
      <c r="IU63" s="1">
        <v>16679</v>
      </c>
      <c r="IV63" s="1">
        <v>1954278</v>
      </c>
      <c r="IW63" s="1">
        <v>689321</v>
      </c>
      <c r="IX63" s="1">
        <v>1747.7</v>
      </c>
      <c r="IY63" s="1">
        <v>1</v>
      </c>
      <c r="IZ63" s="1">
        <v>0</v>
      </c>
      <c r="JA63" s="1">
        <v>90</v>
      </c>
      <c r="JB63" s="1">
        <v>60003760</v>
      </c>
      <c r="JC63" s="1">
        <v>32767</v>
      </c>
      <c r="JD63" s="1">
        <v>0</v>
      </c>
      <c r="JF63" s="1">
        <v>2875868865</v>
      </c>
      <c r="JG63" s="1">
        <v>16272</v>
      </c>
      <c r="JH63" s="1">
        <v>2011250</v>
      </c>
      <c r="JI63" s="1">
        <v>2011250</v>
      </c>
      <c r="JJ63" s="1">
        <v>80</v>
      </c>
      <c r="JK63" s="1">
        <v>1</v>
      </c>
      <c r="JL63" s="1">
        <v>0</v>
      </c>
      <c r="JM63" s="1">
        <v>90</v>
      </c>
      <c r="JN63" s="1">
        <v>60003760</v>
      </c>
      <c r="JO63" s="1">
        <v>32767</v>
      </c>
      <c r="JP63" s="1">
        <v>6</v>
      </c>
      <c r="KD63" s="1">
        <v>2866788858</v>
      </c>
      <c r="KE63" s="1">
        <v>25605</v>
      </c>
      <c r="KF63" s="1">
        <v>103</v>
      </c>
      <c r="KG63" s="1">
        <v>78</v>
      </c>
      <c r="KH63" s="1">
        <v>110997</v>
      </c>
      <c r="KI63" s="1">
        <v>1</v>
      </c>
      <c r="KJ63" s="1">
        <v>0</v>
      </c>
      <c r="KK63" s="1">
        <v>14</v>
      </c>
      <c r="KL63" s="1">
        <v>60000511</v>
      </c>
      <c r="KM63" s="1">
        <v>32767</v>
      </c>
      <c r="KN63" s="1">
        <v>7</v>
      </c>
      <c r="KP63" s="1">
        <v>2876688456</v>
      </c>
      <c r="KQ63" s="1">
        <v>25624</v>
      </c>
      <c r="KR63" s="1">
        <v>12</v>
      </c>
      <c r="KS63" s="1">
        <v>10</v>
      </c>
      <c r="KT63" s="1">
        <v>18275000</v>
      </c>
      <c r="KU63" s="1">
        <v>1</v>
      </c>
      <c r="KV63" s="1">
        <v>0</v>
      </c>
      <c r="KW63" s="1">
        <v>30</v>
      </c>
      <c r="KX63" s="1">
        <v>60003760</v>
      </c>
      <c r="KY63" s="1">
        <v>32767</v>
      </c>
      <c r="KZ63" s="1">
        <v>1</v>
      </c>
      <c r="LB63" s="1">
        <v>2855214040</v>
      </c>
      <c r="LC63" s="1">
        <v>9832</v>
      </c>
      <c r="LD63" s="1">
        <v>3871</v>
      </c>
      <c r="LE63" s="1">
        <v>3871</v>
      </c>
      <c r="LF63" s="1">
        <v>9698.9599999999991</v>
      </c>
      <c r="LG63" s="1">
        <v>1</v>
      </c>
      <c r="LH63" s="1">
        <v>0</v>
      </c>
      <c r="LI63" s="1">
        <v>30</v>
      </c>
      <c r="LJ63" s="1">
        <v>60003760</v>
      </c>
      <c r="LK63" s="1">
        <v>32767</v>
      </c>
      <c r="LL63" s="1">
        <v>0</v>
      </c>
      <c r="LN63" s="1">
        <v>2876971846</v>
      </c>
      <c r="LO63" s="1">
        <v>10209</v>
      </c>
      <c r="LP63" s="1">
        <v>2</v>
      </c>
      <c r="LQ63" s="1">
        <v>2</v>
      </c>
      <c r="LR63" s="1">
        <v>112007012.18000001</v>
      </c>
      <c r="LS63" s="1">
        <v>1</v>
      </c>
      <c r="LT63" s="1">
        <v>1</v>
      </c>
      <c r="LU63" s="1">
        <v>90</v>
      </c>
      <c r="LV63" s="1">
        <v>60003760</v>
      </c>
      <c r="LW63" s="1">
        <v>-1</v>
      </c>
      <c r="LX63" s="1">
        <v>0</v>
      </c>
      <c r="LZ63" s="1">
        <v>2827829960</v>
      </c>
      <c r="MA63" s="1">
        <v>10217</v>
      </c>
      <c r="MB63" s="1">
        <v>15</v>
      </c>
      <c r="MC63" s="1">
        <v>8</v>
      </c>
      <c r="MD63" s="1">
        <v>113331100</v>
      </c>
      <c r="ME63" s="1">
        <v>1</v>
      </c>
      <c r="MF63" s="1">
        <v>1</v>
      </c>
      <c r="MG63" s="1">
        <v>90</v>
      </c>
      <c r="MH63" s="1">
        <v>60003760</v>
      </c>
      <c r="MI63" s="1">
        <v>-1</v>
      </c>
      <c r="MJ63" s="1">
        <v>0</v>
      </c>
      <c r="ML63" s="1">
        <v>2865471906</v>
      </c>
      <c r="MM63" s="1">
        <v>25625</v>
      </c>
      <c r="MN63" s="1">
        <v>300</v>
      </c>
      <c r="MO63" s="1">
        <v>211</v>
      </c>
      <c r="MP63" s="1">
        <v>3652001</v>
      </c>
      <c r="MQ63" s="1">
        <v>1</v>
      </c>
      <c r="MR63" s="1">
        <v>1</v>
      </c>
      <c r="MS63" s="1">
        <v>90</v>
      </c>
      <c r="MT63" s="1">
        <v>60003760</v>
      </c>
      <c r="MU63" s="1">
        <v>-1</v>
      </c>
      <c r="MV63" s="1">
        <v>0</v>
      </c>
      <c r="MX63" s="1">
        <v>2870331470</v>
      </c>
      <c r="MY63" s="1">
        <v>16672</v>
      </c>
      <c r="MZ63" s="1">
        <v>2000000</v>
      </c>
      <c r="NA63" s="1">
        <v>330188</v>
      </c>
      <c r="NB63" s="1">
        <v>122.88</v>
      </c>
      <c r="NC63" s="1">
        <v>1</v>
      </c>
      <c r="ND63" s="1">
        <v>0</v>
      </c>
      <c r="NE63" s="1">
        <v>90</v>
      </c>
      <c r="NF63" s="1">
        <v>60003760</v>
      </c>
      <c r="NG63" s="1">
        <v>32767</v>
      </c>
      <c r="NH63" s="1">
        <v>0</v>
      </c>
      <c r="NJ63" s="1">
        <v>2866741847</v>
      </c>
      <c r="NK63" s="1">
        <v>16673</v>
      </c>
      <c r="NL63" s="1">
        <v>9000000</v>
      </c>
      <c r="NM63" s="1">
        <v>9000000</v>
      </c>
      <c r="NN63" s="1">
        <v>104.23</v>
      </c>
      <c r="NO63" s="1">
        <v>1</v>
      </c>
      <c r="NP63" s="1">
        <v>0</v>
      </c>
      <c r="NQ63" s="1">
        <v>90</v>
      </c>
      <c r="NR63" s="1">
        <v>60003760</v>
      </c>
      <c r="NS63" s="1">
        <v>32767</v>
      </c>
      <c r="NT63" s="1">
        <v>6</v>
      </c>
      <c r="NV63" s="1">
        <v>2868079379</v>
      </c>
      <c r="NW63" s="1">
        <v>3689</v>
      </c>
      <c r="NX63" s="1">
        <v>3576</v>
      </c>
      <c r="NY63" s="1">
        <v>3576</v>
      </c>
      <c r="NZ63" s="1">
        <v>10500</v>
      </c>
      <c r="OA63" s="1">
        <v>1</v>
      </c>
      <c r="OB63" s="1">
        <v>0</v>
      </c>
      <c r="OC63" s="1">
        <v>90</v>
      </c>
      <c r="OD63" s="1">
        <v>60003760</v>
      </c>
      <c r="OE63" s="1">
        <v>32767</v>
      </c>
      <c r="OF63" s="1">
        <v>0</v>
      </c>
      <c r="OH63" s="1">
        <v>2844842674</v>
      </c>
      <c r="OI63" s="1">
        <v>25598</v>
      </c>
      <c r="OJ63" s="1">
        <v>16776</v>
      </c>
      <c r="OK63" s="1">
        <v>16776</v>
      </c>
      <c r="OL63" s="1">
        <v>155399.97</v>
      </c>
      <c r="OM63" s="1">
        <v>1</v>
      </c>
      <c r="ON63" s="1">
        <v>0</v>
      </c>
      <c r="OO63" s="1">
        <v>90</v>
      </c>
      <c r="OP63" s="1">
        <v>60003760</v>
      </c>
      <c r="OQ63" s="1">
        <v>32767</v>
      </c>
      <c r="OR63" s="1">
        <v>0</v>
      </c>
      <c r="OT63" s="1">
        <v>2872307015</v>
      </c>
      <c r="OU63" s="1">
        <v>25600</v>
      </c>
      <c r="OV63" s="1">
        <v>3</v>
      </c>
      <c r="OW63" s="1">
        <v>3</v>
      </c>
      <c r="OX63" s="1">
        <v>250000</v>
      </c>
      <c r="OY63" s="1">
        <v>1</v>
      </c>
      <c r="OZ63" s="1">
        <v>0</v>
      </c>
      <c r="PA63" s="1">
        <v>90</v>
      </c>
      <c r="PB63" s="1">
        <v>60003466</v>
      </c>
      <c r="PC63" s="1">
        <v>32767</v>
      </c>
      <c r="PD63" s="1">
        <v>0</v>
      </c>
      <c r="PF63" s="1">
        <v>2870131037</v>
      </c>
      <c r="PG63" s="1">
        <v>16670</v>
      </c>
      <c r="PH63" s="1">
        <v>4650000</v>
      </c>
      <c r="PI63" s="1">
        <v>4650000</v>
      </c>
      <c r="PJ63" s="1">
        <v>126</v>
      </c>
      <c r="PK63" s="1">
        <v>1</v>
      </c>
      <c r="PL63" s="1">
        <v>0</v>
      </c>
      <c r="PM63" s="1">
        <v>90</v>
      </c>
      <c r="PN63" s="1">
        <v>60003760</v>
      </c>
      <c r="PO63" s="1">
        <v>32767</v>
      </c>
      <c r="PP63" s="1">
        <v>7</v>
      </c>
      <c r="PR63" s="1">
        <v>2871248547</v>
      </c>
      <c r="PS63" s="1">
        <v>10222</v>
      </c>
      <c r="PT63" s="1">
        <v>1</v>
      </c>
      <c r="PU63" s="1">
        <v>1</v>
      </c>
      <c r="PV63" s="1">
        <v>50000000</v>
      </c>
      <c r="PW63" s="1">
        <v>1</v>
      </c>
      <c r="PX63" s="1">
        <v>1</v>
      </c>
      <c r="PY63" s="1">
        <v>7</v>
      </c>
      <c r="PZ63" s="1">
        <v>60003760</v>
      </c>
      <c r="QA63" s="1">
        <v>40</v>
      </c>
      <c r="QB63" s="1">
        <v>0</v>
      </c>
      <c r="QD63" s="1">
        <v>2878351704</v>
      </c>
      <c r="QE63" s="1">
        <v>9830</v>
      </c>
      <c r="QF63" s="1">
        <v>2633</v>
      </c>
      <c r="QG63" s="1">
        <v>233</v>
      </c>
      <c r="QH63" s="1">
        <v>7574.94</v>
      </c>
      <c r="QI63" s="1">
        <v>1</v>
      </c>
      <c r="QJ63" s="1">
        <v>0</v>
      </c>
      <c r="QK63" s="1">
        <v>90</v>
      </c>
      <c r="QL63" s="1">
        <v>60003760</v>
      </c>
      <c r="QM63" s="1">
        <v>32767</v>
      </c>
      <c r="QN63" s="1">
        <v>0</v>
      </c>
      <c r="QP63" s="1">
        <v>2871845517</v>
      </c>
      <c r="QQ63" s="1">
        <v>16671</v>
      </c>
      <c r="QR63" s="1">
        <v>50000</v>
      </c>
      <c r="QS63" s="1">
        <v>50000</v>
      </c>
      <c r="QT63" s="1">
        <v>105.52</v>
      </c>
      <c r="QU63" s="1">
        <v>1</v>
      </c>
      <c r="QV63" s="1">
        <v>0</v>
      </c>
      <c r="QW63" s="1">
        <v>90</v>
      </c>
      <c r="QX63" s="1">
        <v>60003760</v>
      </c>
      <c r="QY63" s="1">
        <v>32767</v>
      </c>
      <c r="QZ63" s="1">
        <v>7</v>
      </c>
      <c r="RB63" s="1">
        <v>2877695552</v>
      </c>
      <c r="RC63" s="1">
        <v>16682</v>
      </c>
      <c r="RD63" s="1">
        <v>121789</v>
      </c>
      <c r="RE63" s="1">
        <v>89039</v>
      </c>
      <c r="RF63" s="1">
        <v>3349.29</v>
      </c>
      <c r="RG63" s="1">
        <v>1</v>
      </c>
      <c r="RH63" s="1">
        <v>0</v>
      </c>
      <c r="RI63" s="1">
        <v>90</v>
      </c>
      <c r="RJ63" s="1">
        <v>60003760</v>
      </c>
      <c r="RK63" s="1">
        <v>32767</v>
      </c>
      <c r="RL63" s="1">
        <v>8</v>
      </c>
      <c r="RN63" s="1">
        <v>2849707068</v>
      </c>
      <c r="RO63" s="1">
        <v>16678</v>
      </c>
      <c r="RP63" s="1">
        <v>250000</v>
      </c>
      <c r="RQ63" s="1">
        <v>250000</v>
      </c>
      <c r="RR63" s="1">
        <v>255</v>
      </c>
      <c r="RS63" s="1">
        <v>1</v>
      </c>
      <c r="RT63" s="1">
        <v>1</v>
      </c>
      <c r="RU63" s="1">
        <v>90</v>
      </c>
      <c r="RV63" s="1">
        <v>60003760</v>
      </c>
      <c r="RW63" s="1">
        <v>-1</v>
      </c>
      <c r="RX63" s="1">
        <v>0</v>
      </c>
      <c r="RZ63" s="1">
        <v>2812553379</v>
      </c>
      <c r="SA63" s="1">
        <v>30310</v>
      </c>
      <c r="SB63" s="1">
        <v>4000</v>
      </c>
      <c r="SC63" s="1">
        <v>4000</v>
      </c>
      <c r="SD63" s="1">
        <v>17791.2</v>
      </c>
      <c r="SE63" s="1">
        <v>1</v>
      </c>
      <c r="SF63" s="1">
        <v>1</v>
      </c>
      <c r="SG63" s="1">
        <v>90</v>
      </c>
      <c r="SH63" s="1">
        <v>60012667</v>
      </c>
      <c r="SI63" s="1">
        <v>32767</v>
      </c>
      <c r="SJ63" s="1">
        <v>0</v>
      </c>
      <c r="SL63" s="1">
        <v>2877648737</v>
      </c>
      <c r="SM63" s="1">
        <v>30311</v>
      </c>
      <c r="SN63" s="1">
        <v>198</v>
      </c>
      <c r="SO63" s="1">
        <v>188</v>
      </c>
      <c r="SP63" s="1">
        <v>3127000.78</v>
      </c>
      <c r="SQ63" s="1">
        <v>1</v>
      </c>
      <c r="SR63" s="1">
        <v>0</v>
      </c>
      <c r="SS63" s="1">
        <v>90</v>
      </c>
      <c r="ST63" s="1">
        <v>60003760</v>
      </c>
      <c r="SU63" s="1">
        <v>32767</v>
      </c>
      <c r="SV63" s="1">
        <v>0</v>
      </c>
      <c r="SX63" s="1">
        <v>2844079276</v>
      </c>
      <c r="SY63" s="1">
        <v>25595</v>
      </c>
      <c r="SZ63" s="1">
        <v>1892</v>
      </c>
      <c r="TA63" s="1">
        <v>947</v>
      </c>
      <c r="TB63" s="1">
        <v>90151.5</v>
      </c>
      <c r="TC63" s="1">
        <v>1</v>
      </c>
      <c r="TD63" s="1">
        <v>0</v>
      </c>
      <c r="TE63" s="1">
        <v>90</v>
      </c>
      <c r="TF63" s="1">
        <v>60003760</v>
      </c>
      <c r="TG63" s="1">
        <v>32767</v>
      </c>
      <c r="TH63" s="1">
        <v>6</v>
      </c>
      <c r="TJ63" s="1">
        <v>2874382764</v>
      </c>
      <c r="TK63" s="1">
        <v>25606</v>
      </c>
      <c r="TL63" s="1">
        <v>9890</v>
      </c>
      <c r="TM63" s="1">
        <v>9890</v>
      </c>
      <c r="TN63" s="1">
        <v>25000</v>
      </c>
      <c r="TO63" s="1">
        <v>1</v>
      </c>
      <c r="TP63" s="1">
        <v>0</v>
      </c>
      <c r="TQ63" s="1">
        <v>90</v>
      </c>
      <c r="TR63" s="1">
        <v>60003760</v>
      </c>
      <c r="TS63" s="1">
        <v>32767</v>
      </c>
      <c r="TT63" s="1">
        <v>0</v>
      </c>
      <c r="TV63" s="1">
        <v>2779871014</v>
      </c>
      <c r="TW63" s="1">
        <v>25622</v>
      </c>
      <c r="TX63" s="1">
        <v>30</v>
      </c>
      <c r="TY63" s="1">
        <v>15</v>
      </c>
      <c r="TZ63" s="1">
        <v>14000000</v>
      </c>
      <c r="UA63" s="1">
        <v>1</v>
      </c>
      <c r="UB63" s="1">
        <v>1</v>
      </c>
      <c r="UC63" s="1">
        <v>90</v>
      </c>
      <c r="UD63" s="1">
        <v>60013291</v>
      </c>
      <c r="UE63" s="1">
        <v>-1</v>
      </c>
      <c r="UF63" s="1">
        <v>0</v>
      </c>
      <c r="UH63" s="1">
        <v>2871886992</v>
      </c>
      <c r="UI63" s="1">
        <v>16680</v>
      </c>
      <c r="UJ63" s="1">
        <v>2000000</v>
      </c>
      <c r="UK63" s="1">
        <v>1584173</v>
      </c>
      <c r="UL63" s="1">
        <v>678.22</v>
      </c>
      <c r="UM63" s="1">
        <v>1</v>
      </c>
      <c r="UN63" s="1">
        <v>1</v>
      </c>
      <c r="UO63" s="1">
        <v>90</v>
      </c>
      <c r="UP63" s="1">
        <v>60003760</v>
      </c>
      <c r="UQ63" s="1">
        <v>-1</v>
      </c>
      <c r="UR63" s="1">
        <v>0</v>
      </c>
      <c r="UT63" s="1">
        <v>2878966387</v>
      </c>
      <c r="UU63" s="1">
        <v>17317</v>
      </c>
      <c r="UV63" s="1">
        <v>5000</v>
      </c>
      <c r="UW63" s="1">
        <v>5000</v>
      </c>
      <c r="UX63" s="1">
        <v>27721.06</v>
      </c>
      <c r="UY63" s="1">
        <v>1</v>
      </c>
      <c r="UZ63" s="1">
        <v>1</v>
      </c>
      <c r="VA63" s="1">
        <v>90</v>
      </c>
      <c r="VB63" s="1">
        <v>60003760</v>
      </c>
      <c r="VC63" s="1">
        <v>-1</v>
      </c>
      <c r="VD63" s="1">
        <v>0</v>
      </c>
      <c r="VF63"/>
      <c r="VG63"/>
      <c r="VH63"/>
      <c r="VI63"/>
      <c r="VJ63"/>
      <c r="VK63"/>
      <c r="VL63"/>
      <c r="VM63"/>
      <c r="VN63"/>
      <c r="VO63"/>
      <c r="VP63"/>
    </row>
    <row r="64" spans="2:588" x14ac:dyDescent="0.25">
      <c r="B64" s="1">
        <v>2818372248</v>
      </c>
      <c r="C64" s="1">
        <v>34</v>
      </c>
      <c r="D64" s="1">
        <v>715784146</v>
      </c>
      <c r="E64" s="1">
        <v>715784146</v>
      </c>
      <c r="F64" s="1">
        <v>6.14</v>
      </c>
      <c r="G64" s="1">
        <v>1</v>
      </c>
      <c r="H64" s="1">
        <v>0</v>
      </c>
      <c r="I64" s="1">
        <v>90</v>
      </c>
      <c r="J64" s="1">
        <v>60003760</v>
      </c>
      <c r="K64" s="1">
        <v>32767</v>
      </c>
      <c r="L64" s="1">
        <v>0</v>
      </c>
      <c r="N64" s="1">
        <v>2842944538</v>
      </c>
      <c r="O64" s="1">
        <v>35</v>
      </c>
      <c r="P64" s="1">
        <v>32227</v>
      </c>
      <c r="Q64" s="1">
        <v>32227</v>
      </c>
      <c r="R64" s="1">
        <v>17.399999999999999</v>
      </c>
      <c r="S64" s="1">
        <v>1</v>
      </c>
      <c r="T64" s="1">
        <v>0</v>
      </c>
      <c r="U64" s="1">
        <v>30</v>
      </c>
      <c r="V64" s="1">
        <v>60003760</v>
      </c>
      <c r="W64" s="1">
        <v>32767</v>
      </c>
      <c r="X64" s="1">
        <v>0</v>
      </c>
      <c r="Z64" s="1">
        <v>2768559236</v>
      </c>
      <c r="AA64" s="1">
        <v>36</v>
      </c>
      <c r="AB64" s="1">
        <v>464409</v>
      </c>
      <c r="AC64" s="1">
        <v>464409</v>
      </c>
      <c r="AD64" s="16">
        <v>55.89</v>
      </c>
      <c r="AE64" s="1">
        <v>1</v>
      </c>
      <c r="AF64" s="1">
        <v>0</v>
      </c>
      <c r="AG64" s="1">
        <v>90</v>
      </c>
      <c r="AH64" s="1">
        <v>60003760</v>
      </c>
      <c r="AI64" s="1">
        <v>32767</v>
      </c>
      <c r="AJ64" s="1">
        <v>11</v>
      </c>
      <c r="AL64" s="1">
        <v>2679329527</v>
      </c>
      <c r="AM64" s="1">
        <v>37</v>
      </c>
      <c r="AN64" s="1">
        <v>205</v>
      </c>
      <c r="AO64" s="1">
        <v>205</v>
      </c>
      <c r="AP64" s="16">
        <v>390</v>
      </c>
      <c r="AQ64" s="1">
        <v>1</v>
      </c>
      <c r="AR64" s="1">
        <v>0</v>
      </c>
      <c r="AS64" s="1">
        <v>90</v>
      </c>
      <c r="AT64" s="1">
        <v>60003760</v>
      </c>
      <c r="AU64" s="1">
        <v>32767</v>
      </c>
      <c r="AV64" s="1">
        <v>9</v>
      </c>
      <c r="AX64" s="1">
        <v>2878204360</v>
      </c>
      <c r="AY64" s="1">
        <v>38</v>
      </c>
      <c r="AZ64" s="1">
        <v>3117</v>
      </c>
      <c r="BA64" s="1">
        <v>3117</v>
      </c>
      <c r="BB64" s="1">
        <v>821.97</v>
      </c>
      <c r="BC64" s="1">
        <v>1</v>
      </c>
      <c r="BD64" s="1">
        <v>0</v>
      </c>
      <c r="BE64" s="1">
        <v>90</v>
      </c>
      <c r="BF64" s="1">
        <v>60003760</v>
      </c>
      <c r="BG64" s="1">
        <v>32767</v>
      </c>
      <c r="BH64" s="1">
        <v>5</v>
      </c>
      <c r="BJ64" s="1">
        <v>2728868457</v>
      </c>
      <c r="BK64" s="1">
        <v>39</v>
      </c>
      <c r="BL64" s="1">
        <v>59014</v>
      </c>
      <c r="BM64" s="1">
        <v>59014</v>
      </c>
      <c r="BN64" s="1">
        <v>998</v>
      </c>
      <c r="BO64" s="1">
        <v>1</v>
      </c>
      <c r="BP64" s="1">
        <v>0</v>
      </c>
      <c r="BQ64" s="1">
        <v>90</v>
      </c>
      <c r="BR64" s="1">
        <v>60003760</v>
      </c>
      <c r="BS64" s="1">
        <v>32767</v>
      </c>
      <c r="BT64" s="1">
        <v>5</v>
      </c>
      <c r="BV64" s="1">
        <v>2351778807</v>
      </c>
      <c r="BW64" s="1">
        <v>40</v>
      </c>
      <c r="BX64" s="1">
        <v>440</v>
      </c>
      <c r="BY64" s="1">
        <v>440</v>
      </c>
      <c r="BZ64" s="1">
        <v>3060</v>
      </c>
      <c r="CA64" s="1">
        <v>1</v>
      </c>
      <c r="CB64" s="1">
        <v>0</v>
      </c>
      <c r="CC64" s="1">
        <v>90</v>
      </c>
      <c r="CD64" s="1">
        <v>60003760</v>
      </c>
      <c r="CE64" s="1">
        <v>32767</v>
      </c>
      <c r="CF64" s="1">
        <v>13</v>
      </c>
      <c r="CH64" s="1">
        <v>2349366652</v>
      </c>
      <c r="CI64" s="1">
        <v>29668</v>
      </c>
      <c r="CJ64" s="1">
        <v>1</v>
      </c>
      <c r="CK64" s="1">
        <v>1</v>
      </c>
      <c r="CL64" s="1">
        <v>508000000.00999999</v>
      </c>
      <c r="CM64" s="1">
        <v>1</v>
      </c>
      <c r="CN64" s="1">
        <v>0</v>
      </c>
      <c r="CO64" s="1">
        <v>90</v>
      </c>
      <c r="CP64" s="1">
        <v>60003760</v>
      </c>
      <c r="CQ64" s="1">
        <v>32767</v>
      </c>
      <c r="CR64" s="1">
        <v>0</v>
      </c>
      <c r="CT64" s="1">
        <v>2394728309</v>
      </c>
      <c r="CU64" s="1">
        <v>16649</v>
      </c>
      <c r="CV64" s="1">
        <v>49900</v>
      </c>
      <c r="CW64" s="1">
        <v>49900</v>
      </c>
      <c r="CX64" s="1">
        <v>50250.080000000002</v>
      </c>
      <c r="CY64" s="1">
        <v>1000</v>
      </c>
      <c r="CZ64" s="1">
        <v>1</v>
      </c>
      <c r="DA64" s="1">
        <v>90</v>
      </c>
      <c r="DB64" s="1">
        <v>60003760</v>
      </c>
      <c r="DC64" s="1">
        <v>-1</v>
      </c>
      <c r="DD64" s="1">
        <v>0</v>
      </c>
      <c r="DF64" s="1">
        <v>2409609195</v>
      </c>
      <c r="DG64" s="1">
        <v>17887</v>
      </c>
      <c r="DH64" s="1">
        <v>1000000</v>
      </c>
      <c r="DI64" s="1">
        <v>698300</v>
      </c>
      <c r="DJ64" s="1">
        <v>1039.99</v>
      </c>
      <c r="DK64" s="1">
        <v>1</v>
      </c>
      <c r="DL64" s="1">
        <v>0</v>
      </c>
      <c r="DM64" s="1">
        <v>14</v>
      </c>
      <c r="DN64" s="1">
        <v>60003760</v>
      </c>
      <c r="DO64" s="1">
        <v>32767</v>
      </c>
      <c r="DP64" s="1">
        <v>0</v>
      </c>
      <c r="DR64" s="1">
        <v>2766387237</v>
      </c>
      <c r="DS64" s="1">
        <v>17888</v>
      </c>
      <c r="DT64" s="1">
        <v>371740</v>
      </c>
      <c r="DU64" s="1">
        <v>371740</v>
      </c>
      <c r="DV64" s="1">
        <v>430.34</v>
      </c>
      <c r="DW64" s="1">
        <v>1</v>
      </c>
      <c r="DX64" s="1">
        <v>0</v>
      </c>
      <c r="DY64" s="1">
        <v>90</v>
      </c>
      <c r="DZ64" s="1">
        <v>60003760</v>
      </c>
      <c r="EA64" s="1">
        <v>32767</v>
      </c>
      <c r="EB64" s="1">
        <v>8</v>
      </c>
      <c r="ED64" s="1">
        <v>2864522295</v>
      </c>
      <c r="EE64" s="1">
        <v>16273</v>
      </c>
      <c r="EF64" s="1">
        <v>300000</v>
      </c>
      <c r="EG64" s="1">
        <v>127413</v>
      </c>
      <c r="EH64" s="1">
        <v>385</v>
      </c>
      <c r="EI64" s="1">
        <v>1</v>
      </c>
      <c r="EJ64" s="1">
        <v>0</v>
      </c>
      <c r="EK64" s="1">
        <v>90</v>
      </c>
      <c r="EL64" s="1">
        <v>60004213</v>
      </c>
      <c r="EM64" s="1">
        <v>32767</v>
      </c>
      <c r="EN64" s="1">
        <v>3</v>
      </c>
      <c r="EP64" s="1">
        <v>2697382894</v>
      </c>
      <c r="EQ64" s="1">
        <v>17889</v>
      </c>
      <c r="ER64" s="1">
        <v>700000</v>
      </c>
      <c r="ES64" s="1">
        <v>700000</v>
      </c>
      <c r="ET64" s="1">
        <v>800</v>
      </c>
      <c r="EU64" s="1">
        <v>1</v>
      </c>
      <c r="EV64" s="1">
        <v>0</v>
      </c>
      <c r="EW64" s="1">
        <v>90</v>
      </c>
      <c r="EX64" s="1">
        <v>60002242</v>
      </c>
      <c r="EY64" s="1">
        <v>32767</v>
      </c>
      <c r="EZ64" s="1">
        <v>8</v>
      </c>
      <c r="FB64" s="1">
        <v>2877842256</v>
      </c>
      <c r="FC64" s="1">
        <v>30259</v>
      </c>
      <c r="FD64" s="1">
        <v>229</v>
      </c>
      <c r="FE64" s="1">
        <v>24</v>
      </c>
      <c r="FF64" s="1">
        <v>5789397.3600000003</v>
      </c>
      <c r="FG64" s="1">
        <v>1</v>
      </c>
      <c r="FH64" s="1">
        <v>0</v>
      </c>
      <c r="FI64" s="1">
        <v>90</v>
      </c>
      <c r="FJ64" s="1">
        <v>60003760</v>
      </c>
      <c r="FK64" s="1">
        <v>32767</v>
      </c>
      <c r="FL64" s="1">
        <v>0</v>
      </c>
      <c r="FN64" s="1">
        <v>2834703532</v>
      </c>
      <c r="FO64" s="1">
        <v>25617</v>
      </c>
      <c r="FP64" s="1">
        <v>100</v>
      </c>
      <c r="FQ64" s="1">
        <v>99</v>
      </c>
      <c r="FR64" s="1">
        <v>4550006.8499999996</v>
      </c>
      <c r="FS64" s="1">
        <v>1</v>
      </c>
      <c r="FT64" s="1">
        <v>1</v>
      </c>
      <c r="FU64" s="1">
        <v>90</v>
      </c>
      <c r="FV64" s="1">
        <v>60003760</v>
      </c>
      <c r="FW64" s="1">
        <v>-1</v>
      </c>
      <c r="FX64" s="1">
        <v>0</v>
      </c>
      <c r="FZ64" s="1">
        <v>2875464868</v>
      </c>
      <c r="GA64" s="1">
        <v>44</v>
      </c>
      <c r="GB64" s="1">
        <v>66910</v>
      </c>
      <c r="GC64" s="1">
        <v>52022</v>
      </c>
      <c r="GD64" s="1">
        <v>12723.22</v>
      </c>
      <c r="GE64" s="1">
        <v>1</v>
      </c>
      <c r="GF64" s="1">
        <v>0</v>
      </c>
      <c r="GG64" s="1">
        <v>90</v>
      </c>
      <c r="GH64" s="1">
        <v>60003760</v>
      </c>
      <c r="GI64" s="1">
        <v>32767</v>
      </c>
      <c r="GJ64" s="1">
        <v>4</v>
      </c>
      <c r="GL64" s="1">
        <v>2414483426</v>
      </c>
      <c r="GM64" s="1">
        <v>16681</v>
      </c>
      <c r="GN64" s="1">
        <v>50000</v>
      </c>
      <c r="GO64" s="1">
        <v>50000</v>
      </c>
      <c r="GP64" s="1">
        <v>5985</v>
      </c>
      <c r="GQ64" s="1">
        <v>1</v>
      </c>
      <c r="GR64" s="1">
        <v>1</v>
      </c>
      <c r="GS64" s="1">
        <v>90</v>
      </c>
      <c r="GT64" s="1">
        <v>60003760</v>
      </c>
      <c r="GU64" s="1">
        <v>-1</v>
      </c>
      <c r="GV64" s="1">
        <v>0</v>
      </c>
      <c r="GX64" s="1">
        <v>2874650211</v>
      </c>
      <c r="GY64" s="1">
        <v>16683</v>
      </c>
      <c r="GZ64" s="1">
        <v>33400</v>
      </c>
      <c r="HA64" s="1">
        <v>10302</v>
      </c>
      <c r="HB64" s="1">
        <v>8360</v>
      </c>
      <c r="HC64" s="1">
        <v>1</v>
      </c>
      <c r="HD64" s="1">
        <v>1</v>
      </c>
      <c r="HE64" s="1">
        <v>90</v>
      </c>
      <c r="HF64" s="1">
        <v>60003760</v>
      </c>
      <c r="HG64" s="1">
        <v>-1</v>
      </c>
      <c r="HH64" s="1">
        <v>0</v>
      </c>
      <c r="HJ64"/>
      <c r="HK64"/>
      <c r="HL64"/>
      <c r="HM64"/>
      <c r="HN64"/>
      <c r="HO64"/>
      <c r="HP64"/>
      <c r="HQ64"/>
      <c r="HR64"/>
      <c r="HS64"/>
      <c r="HT64"/>
      <c r="HV64" s="1">
        <v>2875236369</v>
      </c>
      <c r="HW64" s="1">
        <v>16274</v>
      </c>
      <c r="HX64" s="1">
        <v>100000</v>
      </c>
      <c r="HY64" s="1">
        <v>100000</v>
      </c>
      <c r="HZ64" s="1">
        <v>995.69</v>
      </c>
      <c r="IA64" s="1">
        <v>1</v>
      </c>
      <c r="IB64" s="1">
        <v>0</v>
      </c>
      <c r="IC64" s="1">
        <v>90</v>
      </c>
      <c r="ID64" s="1">
        <v>60001876</v>
      </c>
      <c r="IE64" s="1">
        <v>32767</v>
      </c>
      <c r="IF64" s="1">
        <v>7</v>
      </c>
      <c r="IH64"/>
      <c r="II64"/>
      <c r="IJ64"/>
      <c r="IK64"/>
      <c r="IL64"/>
      <c r="IM64"/>
      <c r="IN64"/>
      <c r="IO64"/>
      <c r="IP64"/>
      <c r="IQ64"/>
      <c r="IR64"/>
      <c r="IT64" s="1">
        <v>2870360627</v>
      </c>
      <c r="IU64" s="1">
        <v>16679</v>
      </c>
      <c r="IV64" s="1">
        <v>709017</v>
      </c>
      <c r="IW64" s="1">
        <v>619017</v>
      </c>
      <c r="IX64" s="1">
        <v>1747.74</v>
      </c>
      <c r="IY64" s="1">
        <v>1</v>
      </c>
      <c r="IZ64" s="1">
        <v>0</v>
      </c>
      <c r="JA64" s="1">
        <v>90</v>
      </c>
      <c r="JB64" s="1">
        <v>60003760</v>
      </c>
      <c r="JC64" s="1">
        <v>32767</v>
      </c>
      <c r="JD64" s="1">
        <v>0</v>
      </c>
      <c r="JF64" s="1">
        <v>2877585451</v>
      </c>
      <c r="JG64" s="1">
        <v>16272</v>
      </c>
      <c r="JH64" s="1">
        <v>2750820</v>
      </c>
      <c r="JI64" s="1">
        <v>2750820</v>
      </c>
      <c r="JJ64" s="1">
        <v>79</v>
      </c>
      <c r="JK64" s="1">
        <v>1</v>
      </c>
      <c r="JL64" s="1">
        <v>0</v>
      </c>
      <c r="JM64" s="1">
        <v>90</v>
      </c>
      <c r="JN64" s="1">
        <v>60003760</v>
      </c>
      <c r="JO64" s="1">
        <v>32767</v>
      </c>
      <c r="JP64" s="1">
        <v>6</v>
      </c>
      <c r="KD64" s="1">
        <v>2791439824</v>
      </c>
      <c r="KE64" s="1">
        <v>25605</v>
      </c>
      <c r="KF64" s="1">
        <v>7</v>
      </c>
      <c r="KG64" s="1">
        <v>7</v>
      </c>
      <c r="KH64" s="1">
        <v>145000</v>
      </c>
      <c r="KI64" s="1">
        <v>1</v>
      </c>
      <c r="KJ64" s="1">
        <v>0</v>
      </c>
      <c r="KK64" s="1">
        <v>90</v>
      </c>
      <c r="KL64" s="1">
        <v>60003934</v>
      </c>
      <c r="KM64" s="1">
        <v>32767</v>
      </c>
      <c r="KN64" s="1">
        <v>3</v>
      </c>
      <c r="KP64" s="1">
        <v>2877363916</v>
      </c>
      <c r="KQ64" s="1">
        <v>25624</v>
      </c>
      <c r="KR64" s="1">
        <v>57</v>
      </c>
      <c r="KS64" s="1">
        <v>57</v>
      </c>
      <c r="KT64" s="1">
        <v>18300000</v>
      </c>
      <c r="KU64" s="1">
        <v>1</v>
      </c>
      <c r="KV64" s="1">
        <v>0</v>
      </c>
      <c r="KW64" s="1">
        <v>14</v>
      </c>
      <c r="KX64" s="1">
        <v>60003760</v>
      </c>
      <c r="KY64" s="1">
        <v>32767</v>
      </c>
      <c r="KZ64" s="1">
        <v>1</v>
      </c>
      <c r="LB64" s="1">
        <v>2855016277</v>
      </c>
      <c r="LC64" s="1">
        <v>9832</v>
      </c>
      <c r="LD64" s="1">
        <v>2681</v>
      </c>
      <c r="LE64" s="1">
        <v>2681</v>
      </c>
      <c r="LF64" s="1">
        <v>9712.85</v>
      </c>
      <c r="LG64" s="1">
        <v>1</v>
      </c>
      <c r="LH64" s="1">
        <v>0</v>
      </c>
      <c r="LI64" s="1">
        <v>90</v>
      </c>
      <c r="LJ64" s="1">
        <v>60003760</v>
      </c>
      <c r="LK64" s="1">
        <v>32767</v>
      </c>
      <c r="LL64" s="1">
        <v>0</v>
      </c>
      <c r="LN64" s="1">
        <v>2878213614</v>
      </c>
      <c r="LO64" s="1">
        <v>10209</v>
      </c>
      <c r="LP64" s="1">
        <v>8</v>
      </c>
      <c r="LQ64" s="1">
        <v>8</v>
      </c>
      <c r="LR64" s="1">
        <v>112025000</v>
      </c>
      <c r="LS64" s="1">
        <v>1</v>
      </c>
      <c r="LT64" s="1">
        <v>1</v>
      </c>
      <c r="LU64" s="1">
        <v>30</v>
      </c>
      <c r="LV64" s="1">
        <v>60003760</v>
      </c>
      <c r="LW64" s="1">
        <v>-1</v>
      </c>
      <c r="LX64" s="1">
        <v>0</v>
      </c>
      <c r="LZ64" s="1">
        <v>2879064862</v>
      </c>
      <c r="MA64" s="1">
        <v>10217</v>
      </c>
      <c r="MB64" s="1">
        <v>1</v>
      </c>
      <c r="MC64" s="1">
        <v>1</v>
      </c>
      <c r="MD64" s="1">
        <v>113331100.01000001</v>
      </c>
      <c r="ME64" s="1">
        <v>1</v>
      </c>
      <c r="MF64" s="1">
        <v>1</v>
      </c>
      <c r="MG64" s="1">
        <v>90</v>
      </c>
      <c r="MH64" s="1">
        <v>60003760</v>
      </c>
      <c r="MI64" s="1">
        <v>-1</v>
      </c>
      <c r="MJ64" s="1">
        <v>0</v>
      </c>
      <c r="ML64" s="1">
        <v>2870875383</v>
      </c>
      <c r="MM64" s="1">
        <v>25625</v>
      </c>
      <c r="MN64" s="1">
        <v>20</v>
      </c>
      <c r="MO64" s="1">
        <v>13</v>
      </c>
      <c r="MP64" s="1">
        <v>3500000</v>
      </c>
      <c r="MQ64" s="1">
        <v>1</v>
      </c>
      <c r="MR64" s="1">
        <v>1</v>
      </c>
      <c r="MS64" s="1">
        <v>30</v>
      </c>
      <c r="MT64" s="1">
        <v>60003760</v>
      </c>
      <c r="MU64" s="1">
        <v>5</v>
      </c>
      <c r="MV64" s="1">
        <v>0</v>
      </c>
      <c r="MX64" s="1">
        <v>2878922792</v>
      </c>
      <c r="MY64" s="1">
        <v>16672</v>
      </c>
      <c r="MZ64" s="1">
        <v>370000</v>
      </c>
      <c r="NA64" s="1">
        <v>370000</v>
      </c>
      <c r="NB64" s="1">
        <v>122.88</v>
      </c>
      <c r="NC64" s="1">
        <v>1</v>
      </c>
      <c r="ND64" s="1">
        <v>0</v>
      </c>
      <c r="NE64" s="1">
        <v>90</v>
      </c>
      <c r="NF64" s="1">
        <v>60003760</v>
      </c>
      <c r="NG64" s="1">
        <v>32767</v>
      </c>
      <c r="NH64" s="1">
        <v>0</v>
      </c>
      <c r="NJ64" s="1">
        <v>2865947286</v>
      </c>
      <c r="NK64" s="1">
        <v>16673</v>
      </c>
      <c r="NL64" s="1">
        <v>7895662</v>
      </c>
      <c r="NM64" s="1">
        <v>7895662</v>
      </c>
      <c r="NN64" s="1">
        <v>122.5</v>
      </c>
      <c r="NO64" s="1">
        <v>1</v>
      </c>
      <c r="NP64" s="1">
        <v>0</v>
      </c>
      <c r="NQ64" s="1">
        <v>90</v>
      </c>
      <c r="NR64" s="1">
        <v>60003760</v>
      </c>
      <c r="NS64" s="1">
        <v>32767</v>
      </c>
      <c r="NT64" s="1">
        <v>6</v>
      </c>
      <c r="NV64" s="1">
        <v>2867315564</v>
      </c>
      <c r="NW64" s="1">
        <v>3689</v>
      </c>
      <c r="NX64" s="1">
        <v>8735</v>
      </c>
      <c r="NY64" s="1">
        <v>8735</v>
      </c>
      <c r="NZ64" s="1">
        <v>10500</v>
      </c>
      <c r="OA64" s="1">
        <v>1</v>
      </c>
      <c r="OB64" s="1">
        <v>0</v>
      </c>
      <c r="OC64" s="1">
        <v>14</v>
      </c>
      <c r="OD64" s="1">
        <v>60003760</v>
      </c>
      <c r="OE64" s="1">
        <v>32767</v>
      </c>
      <c r="OF64" s="1">
        <v>0</v>
      </c>
      <c r="OH64" s="1">
        <v>2845823598</v>
      </c>
      <c r="OI64" s="1">
        <v>25598</v>
      </c>
      <c r="OJ64" s="1">
        <v>15</v>
      </c>
      <c r="OK64" s="1">
        <v>15</v>
      </c>
      <c r="OL64" s="1">
        <v>154463.21</v>
      </c>
      <c r="OM64" s="1">
        <v>1</v>
      </c>
      <c r="ON64" s="1">
        <v>0</v>
      </c>
      <c r="OO64" s="1">
        <v>90</v>
      </c>
      <c r="OP64" s="1">
        <v>60003760</v>
      </c>
      <c r="OQ64" s="1">
        <v>32767</v>
      </c>
      <c r="OR64" s="1">
        <v>0</v>
      </c>
      <c r="OT64" s="1">
        <v>2872307298</v>
      </c>
      <c r="OU64" s="1">
        <v>25600</v>
      </c>
      <c r="OV64" s="1">
        <v>4</v>
      </c>
      <c r="OW64" s="1">
        <v>4</v>
      </c>
      <c r="OX64" s="1">
        <v>250000</v>
      </c>
      <c r="OY64" s="1">
        <v>1</v>
      </c>
      <c r="OZ64" s="1">
        <v>0</v>
      </c>
      <c r="PA64" s="1">
        <v>90</v>
      </c>
      <c r="PB64" s="1">
        <v>60003466</v>
      </c>
      <c r="PC64" s="1">
        <v>32767</v>
      </c>
      <c r="PD64" s="1">
        <v>0</v>
      </c>
      <c r="PF64" s="1">
        <v>2872532190</v>
      </c>
      <c r="PG64" s="1">
        <v>16670</v>
      </c>
      <c r="PH64" s="1">
        <v>3900000</v>
      </c>
      <c r="PI64" s="1">
        <v>112441</v>
      </c>
      <c r="PJ64" s="1">
        <v>121.98</v>
      </c>
      <c r="PK64" s="1">
        <v>1</v>
      </c>
      <c r="PL64" s="1">
        <v>0</v>
      </c>
      <c r="PM64" s="1">
        <v>90</v>
      </c>
      <c r="PN64" s="1">
        <v>60003760</v>
      </c>
      <c r="PO64" s="1">
        <v>32767</v>
      </c>
      <c r="PP64" s="1">
        <v>7</v>
      </c>
      <c r="PR64" s="1">
        <v>2873641886</v>
      </c>
      <c r="PS64" s="1">
        <v>10222</v>
      </c>
      <c r="PT64" s="1">
        <v>1</v>
      </c>
      <c r="PU64" s="1">
        <v>1</v>
      </c>
      <c r="PV64" s="1">
        <v>101100000</v>
      </c>
      <c r="PW64" s="1">
        <v>1</v>
      </c>
      <c r="PX64" s="1">
        <v>1</v>
      </c>
      <c r="PY64" s="1">
        <v>90</v>
      </c>
      <c r="PZ64" s="1">
        <v>60003760</v>
      </c>
      <c r="QA64" s="1">
        <v>32767</v>
      </c>
      <c r="QB64" s="1">
        <v>0</v>
      </c>
      <c r="QD64" s="1">
        <v>2878681691</v>
      </c>
      <c r="QE64" s="1">
        <v>9830</v>
      </c>
      <c r="QF64" s="1">
        <v>108938</v>
      </c>
      <c r="QG64" s="1">
        <v>88357</v>
      </c>
      <c r="QH64" s="1">
        <v>7377.02</v>
      </c>
      <c r="QI64" s="1">
        <v>1</v>
      </c>
      <c r="QJ64" s="1">
        <v>0</v>
      </c>
      <c r="QK64" s="1">
        <v>1</v>
      </c>
      <c r="QL64" s="1">
        <v>60003760</v>
      </c>
      <c r="QM64" s="1">
        <v>32767</v>
      </c>
      <c r="QN64" s="1">
        <v>0</v>
      </c>
      <c r="QP64" s="1">
        <v>2871846020</v>
      </c>
      <c r="QQ64" s="1">
        <v>16671</v>
      </c>
      <c r="QR64" s="1">
        <v>50000</v>
      </c>
      <c r="QS64" s="1">
        <v>50000</v>
      </c>
      <c r="QT64" s="1">
        <v>105.73</v>
      </c>
      <c r="QU64" s="1">
        <v>1</v>
      </c>
      <c r="QV64" s="1">
        <v>0</v>
      </c>
      <c r="QW64" s="1">
        <v>90</v>
      </c>
      <c r="QX64" s="1">
        <v>60003760</v>
      </c>
      <c r="QY64" s="1">
        <v>32767</v>
      </c>
      <c r="QZ64" s="1">
        <v>7</v>
      </c>
      <c r="RB64" s="1">
        <v>2872071563</v>
      </c>
      <c r="RC64" s="1">
        <v>16682</v>
      </c>
      <c r="RD64" s="1">
        <v>250500</v>
      </c>
      <c r="RE64" s="1">
        <v>30764</v>
      </c>
      <c r="RF64" s="1">
        <v>3349.28</v>
      </c>
      <c r="RG64" s="1">
        <v>1</v>
      </c>
      <c r="RH64" s="1">
        <v>0</v>
      </c>
      <c r="RI64" s="1">
        <v>90</v>
      </c>
      <c r="RJ64" s="1">
        <v>60003760</v>
      </c>
      <c r="RK64" s="1">
        <v>32767</v>
      </c>
      <c r="RL64" s="1">
        <v>8</v>
      </c>
      <c r="RN64" s="1">
        <v>2863501219</v>
      </c>
      <c r="RO64" s="1">
        <v>16678</v>
      </c>
      <c r="RP64" s="1">
        <v>4000000</v>
      </c>
      <c r="RQ64" s="1">
        <v>4000000</v>
      </c>
      <c r="RR64" s="1">
        <v>265.16000000000003</v>
      </c>
      <c r="RS64" s="1">
        <v>1</v>
      </c>
      <c r="RT64" s="1">
        <v>1</v>
      </c>
      <c r="RU64" s="1">
        <v>90</v>
      </c>
      <c r="RV64" s="1">
        <v>60003760</v>
      </c>
      <c r="RW64" s="1">
        <v>-1</v>
      </c>
      <c r="RX64" s="1">
        <v>0</v>
      </c>
      <c r="RZ64" s="1">
        <v>2878779469</v>
      </c>
      <c r="SA64" s="1">
        <v>30310</v>
      </c>
      <c r="SB64" s="1">
        <v>200</v>
      </c>
      <c r="SC64" s="1">
        <v>200</v>
      </c>
      <c r="SD64" s="1">
        <v>1058003.1000000001</v>
      </c>
      <c r="SE64" s="1">
        <v>1</v>
      </c>
      <c r="SF64" s="1">
        <v>1</v>
      </c>
      <c r="SG64" s="1">
        <v>90</v>
      </c>
      <c r="SH64" s="1">
        <v>60003760</v>
      </c>
      <c r="SI64" s="1">
        <v>0</v>
      </c>
      <c r="SJ64" s="1">
        <v>0</v>
      </c>
      <c r="SL64" s="1">
        <v>2826608810</v>
      </c>
      <c r="SM64" s="1">
        <v>30311</v>
      </c>
      <c r="SN64" s="1">
        <v>200</v>
      </c>
      <c r="SO64" s="1">
        <v>200</v>
      </c>
      <c r="SP64" s="1">
        <v>2573000</v>
      </c>
      <c r="SQ64" s="1">
        <v>1</v>
      </c>
      <c r="SR64" s="1">
        <v>1</v>
      </c>
      <c r="SS64" s="1">
        <v>90</v>
      </c>
      <c r="ST64" s="1">
        <v>60004234</v>
      </c>
      <c r="SU64" s="1">
        <v>-1</v>
      </c>
      <c r="SV64" s="1">
        <v>0</v>
      </c>
      <c r="SX64" s="1">
        <v>2844597755</v>
      </c>
      <c r="SY64" s="1">
        <v>25595</v>
      </c>
      <c r="SZ64" s="1">
        <v>10030</v>
      </c>
      <c r="TA64" s="1">
        <v>5819</v>
      </c>
      <c r="TB64" s="1">
        <v>81888.86</v>
      </c>
      <c r="TC64" s="1">
        <v>1</v>
      </c>
      <c r="TD64" s="1">
        <v>0</v>
      </c>
      <c r="TE64" s="1">
        <v>90</v>
      </c>
      <c r="TF64" s="1">
        <v>60003760</v>
      </c>
      <c r="TG64" s="1">
        <v>32767</v>
      </c>
      <c r="TH64" s="1">
        <v>6</v>
      </c>
      <c r="TJ64" s="1">
        <v>2875685403</v>
      </c>
      <c r="TK64" s="1">
        <v>25606</v>
      </c>
      <c r="TL64" s="1">
        <v>201</v>
      </c>
      <c r="TM64" s="1">
        <v>201</v>
      </c>
      <c r="TN64" s="1">
        <v>25000</v>
      </c>
      <c r="TO64" s="1">
        <v>1</v>
      </c>
      <c r="TP64" s="1">
        <v>0</v>
      </c>
      <c r="TQ64" s="1">
        <v>90</v>
      </c>
      <c r="TR64" s="1">
        <v>60003760</v>
      </c>
      <c r="TS64" s="1">
        <v>32767</v>
      </c>
      <c r="TT64" s="1">
        <v>0</v>
      </c>
      <c r="TV64" s="1">
        <v>2878481042</v>
      </c>
      <c r="TW64" s="1">
        <v>25622</v>
      </c>
      <c r="TX64" s="1">
        <v>50</v>
      </c>
      <c r="TY64" s="1">
        <v>43</v>
      </c>
      <c r="TZ64" s="1">
        <v>13276002.02</v>
      </c>
      <c r="UA64" s="1">
        <v>1</v>
      </c>
      <c r="UB64" s="1">
        <v>1</v>
      </c>
      <c r="UC64" s="1">
        <v>90</v>
      </c>
      <c r="UD64" s="1">
        <v>60003760</v>
      </c>
      <c r="UE64" s="1">
        <v>0</v>
      </c>
      <c r="UF64" s="1">
        <v>0</v>
      </c>
      <c r="UH64" s="1">
        <v>2702501018</v>
      </c>
      <c r="UI64" s="1">
        <v>16680</v>
      </c>
      <c r="UJ64" s="1">
        <v>100000</v>
      </c>
      <c r="UK64" s="1">
        <v>99066</v>
      </c>
      <c r="UL64" s="1">
        <v>519.16</v>
      </c>
      <c r="UM64" s="1">
        <v>100</v>
      </c>
      <c r="UN64" s="1">
        <v>1</v>
      </c>
      <c r="UO64" s="1">
        <v>90</v>
      </c>
      <c r="UP64" s="1">
        <v>60003754</v>
      </c>
      <c r="UQ64" s="1">
        <v>32767</v>
      </c>
      <c r="UR64" s="1">
        <v>0</v>
      </c>
      <c r="UT64" s="1">
        <v>2879123298</v>
      </c>
      <c r="UU64" s="1">
        <v>17317</v>
      </c>
      <c r="UV64" s="1">
        <v>1680</v>
      </c>
      <c r="UW64" s="1">
        <v>1680</v>
      </c>
      <c r="UX64" s="1">
        <v>27721.03</v>
      </c>
      <c r="UY64" s="1">
        <v>1</v>
      </c>
      <c r="UZ64" s="1">
        <v>1</v>
      </c>
      <c r="VA64" s="1">
        <v>90</v>
      </c>
      <c r="VB64" s="1">
        <v>60003760</v>
      </c>
      <c r="VC64" s="1">
        <v>-1</v>
      </c>
      <c r="VD64" s="1">
        <v>0</v>
      </c>
      <c r="VF64"/>
      <c r="VG64"/>
      <c r="VH64"/>
      <c r="VI64"/>
      <c r="VJ64"/>
      <c r="VK64"/>
      <c r="VL64"/>
      <c r="VM64"/>
      <c r="VN64"/>
      <c r="VO64"/>
      <c r="VP64"/>
    </row>
    <row r="65" spans="2:588" x14ac:dyDescent="0.25">
      <c r="B65" s="1">
        <v>2815578191</v>
      </c>
      <c r="C65" s="1">
        <v>34</v>
      </c>
      <c r="D65" s="1">
        <v>30000000</v>
      </c>
      <c r="E65" s="1">
        <v>30000000</v>
      </c>
      <c r="F65" s="1">
        <v>6.2</v>
      </c>
      <c r="G65" s="1">
        <v>1</v>
      </c>
      <c r="H65" s="1">
        <v>0</v>
      </c>
      <c r="I65" s="1">
        <v>90</v>
      </c>
      <c r="J65" s="1">
        <v>60003760</v>
      </c>
      <c r="K65" s="1">
        <v>32767</v>
      </c>
      <c r="L65" s="1">
        <v>0</v>
      </c>
      <c r="N65" s="1">
        <v>2842944883</v>
      </c>
      <c r="O65" s="1">
        <v>35</v>
      </c>
      <c r="P65" s="1">
        <v>41373</v>
      </c>
      <c r="Q65" s="1">
        <v>41373</v>
      </c>
      <c r="R65" s="1">
        <v>17.399999999999999</v>
      </c>
      <c r="S65" s="1">
        <v>1</v>
      </c>
      <c r="T65" s="1">
        <v>0</v>
      </c>
      <c r="U65" s="1">
        <v>30</v>
      </c>
      <c r="V65" s="1">
        <v>60003760</v>
      </c>
      <c r="W65" s="1">
        <v>32767</v>
      </c>
      <c r="X65" s="1">
        <v>0</v>
      </c>
      <c r="Z65" s="1">
        <v>2769756701</v>
      </c>
      <c r="AA65" s="1">
        <v>36</v>
      </c>
      <c r="AB65" s="1">
        <v>9104665</v>
      </c>
      <c r="AC65" s="1">
        <v>7497573</v>
      </c>
      <c r="AD65" s="16">
        <v>55.49</v>
      </c>
      <c r="AE65" s="1">
        <v>1</v>
      </c>
      <c r="AF65" s="1">
        <v>0</v>
      </c>
      <c r="AG65" s="1">
        <v>90</v>
      </c>
      <c r="AH65" s="1">
        <v>60003760</v>
      </c>
      <c r="AI65" s="1">
        <v>32767</v>
      </c>
      <c r="AJ65" s="1">
        <v>11</v>
      </c>
      <c r="AL65" s="1">
        <v>2740973066</v>
      </c>
      <c r="AM65" s="1">
        <v>37</v>
      </c>
      <c r="AN65" s="1">
        <v>1000000</v>
      </c>
      <c r="AO65" s="1">
        <v>1000000</v>
      </c>
      <c r="AP65" s="16">
        <v>187.87</v>
      </c>
      <c r="AQ65" s="1">
        <v>1</v>
      </c>
      <c r="AR65" s="1">
        <v>0</v>
      </c>
      <c r="AS65" s="1">
        <v>90</v>
      </c>
      <c r="AT65" s="1">
        <v>60003760</v>
      </c>
      <c r="AU65" s="1">
        <v>32767</v>
      </c>
      <c r="AV65" s="1">
        <v>9</v>
      </c>
      <c r="AX65" s="1">
        <v>2878205056</v>
      </c>
      <c r="AY65" s="1">
        <v>38</v>
      </c>
      <c r="AZ65" s="1">
        <v>182531</v>
      </c>
      <c r="BA65" s="1">
        <v>181888</v>
      </c>
      <c r="BB65" s="1">
        <v>820</v>
      </c>
      <c r="BC65" s="1">
        <v>1</v>
      </c>
      <c r="BD65" s="1">
        <v>0</v>
      </c>
      <c r="BE65" s="1">
        <v>90</v>
      </c>
      <c r="BF65" s="1">
        <v>60003757</v>
      </c>
      <c r="BG65" s="1">
        <v>32767</v>
      </c>
      <c r="BH65" s="1">
        <v>5</v>
      </c>
      <c r="BJ65" s="1">
        <v>2729013885</v>
      </c>
      <c r="BK65" s="1">
        <v>39</v>
      </c>
      <c r="BL65" s="1">
        <v>3000000</v>
      </c>
      <c r="BM65" s="1">
        <v>3000000</v>
      </c>
      <c r="BN65" s="1">
        <v>900.01</v>
      </c>
      <c r="BO65" s="1">
        <v>1</v>
      </c>
      <c r="BP65" s="1">
        <v>0</v>
      </c>
      <c r="BQ65" s="1">
        <v>90</v>
      </c>
      <c r="BR65" s="1">
        <v>60003760</v>
      </c>
      <c r="BS65" s="1">
        <v>32767</v>
      </c>
      <c r="BT65" s="1">
        <v>5</v>
      </c>
      <c r="BV65" s="1">
        <v>2411902380</v>
      </c>
      <c r="BW65" s="1">
        <v>40</v>
      </c>
      <c r="BX65" s="1">
        <v>1440000</v>
      </c>
      <c r="BY65" s="1">
        <v>794777</v>
      </c>
      <c r="BZ65" s="1">
        <v>2665.77</v>
      </c>
      <c r="CA65" s="1">
        <v>1</v>
      </c>
      <c r="CB65" s="1">
        <v>0</v>
      </c>
      <c r="CC65" s="1">
        <v>90</v>
      </c>
      <c r="CD65" s="1">
        <v>60003760</v>
      </c>
      <c r="CE65" s="1">
        <v>32767</v>
      </c>
      <c r="CF65" s="1">
        <v>13</v>
      </c>
      <c r="CH65" s="1">
        <v>2349376128</v>
      </c>
      <c r="CI65" s="1">
        <v>29668</v>
      </c>
      <c r="CJ65" s="1">
        <v>1</v>
      </c>
      <c r="CK65" s="1">
        <v>1</v>
      </c>
      <c r="CL65" s="1">
        <v>520000000</v>
      </c>
      <c r="CM65" s="1">
        <v>1</v>
      </c>
      <c r="CN65" s="1">
        <v>0</v>
      </c>
      <c r="CO65" s="1">
        <v>90</v>
      </c>
      <c r="CP65" s="1">
        <v>60003760</v>
      </c>
      <c r="CQ65" s="1">
        <v>32767</v>
      </c>
      <c r="CR65" s="1">
        <v>0</v>
      </c>
      <c r="CT65" s="1">
        <v>2392391695</v>
      </c>
      <c r="CU65" s="1">
        <v>16649</v>
      </c>
      <c r="CV65" s="1">
        <v>20000</v>
      </c>
      <c r="CW65" s="1">
        <v>20000</v>
      </c>
      <c r="CX65" s="1">
        <v>90032</v>
      </c>
      <c r="CY65" s="1">
        <v>1</v>
      </c>
      <c r="CZ65" s="1">
        <v>1</v>
      </c>
      <c r="DA65" s="1">
        <v>90</v>
      </c>
      <c r="DB65" s="1">
        <v>60003760</v>
      </c>
      <c r="DC65" s="1">
        <v>-1</v>
      </c>
      <c r="DD65" s="1">
        <v>0</v>
      </c>
      <c r="DF65" s="1">
        <v>2410604161</v>
      </c>
      <c r="DG65" s="1">
        <v>17887</v>
      </c>
      <c r="DH65" s="1">
        <v>7466231</v>
      </c>
      <c r="DI65" s="1">
        <v>4703848</v>
      </c>
      <c r="DJ65" s="1">
        <v>1028.97</v>
      </c>
      <c r="DK65" s="1">
        <v>1</v>
      </c>
      <c r="DL65" s="1">
        <v>0</v>
      </c>
      <c r="DM65" s="1">
        <v>90</v>
      </c>
      <c r="DN65" s="1">
        <v>60003760</v>
      </c>
      <c r="DO65" s="1">
        <v>32767</v>
      </c>
      <c r="DP65" s="1">
        <v>0</v>
      </c>
      <c r="DR65" s="1">
        <v>2766033712</v>
      </c>
      <c r="DS65" s="1">
        <v>17888</v>
      </c>
      <c r="DT65" s="1">
        <v>4000000</v>
      </c>
      <c r="DU65" s="1">
        <v>4000000</v>
      </c>
      <c r="DV65" s="1">
        <v>498</v>
      </c>
      <c r="DW65" s="1">
        <v>1</v>
      </c>
      <c r="DX65" s="1">
        <v>0</v>
      </c>
      <c r="DY65" s="1">
        <v>30</v>
      </c>
      <c r="DZ65" s="1">
        <v>60003760</v>
      </c>
      <c r="EA65" s="1">
        <v>32767</v>
      </c>
      <c r="EB65" s="1">
        <v>8</v>
      </c>
      <c r="ED65" s="1">
        <v>2777411843</v>
      </c>
      <c r="EE65" s="1">
        <v>16273</v>
      </c>
      <c r="EF65" s="1">
        <v>2046</v>
      </c>
      <c r="EG65" s="1">
        <v>496</v>
      </c>
      <c r="EH65" s="1">
        <v>451.23</v>
      </c>
      <c r="EI65" s="1">
        <v>1</v>
      </c>
      <c r="EJ65" s="1">
        <v>0</v>
      </c>
      <c r="EK65" s="1">
        <v>90</v>
      </c>
      <c r="EL65" s="1">
        <v>60003034</v>
      </c>
      <c r="EM65" s="1">
        <v>32767</v>
      </c>
      <c r="EN65" s="1">
        <v>4</v>
      </c>
      <c r="EP65" s="1">
        <v>2542917563</v>
      </c>
      <c r="EQ65" s="1">
        <v>17889</v>
      </c>
      <c r="ER65" s="1">
        <v>566000</v>
      </c>
      <c r="ES65" s="1">
        <v>309819</v>
      </c>
      <c r="ET65" s="1">
        <v>800</v>
      </c>
      <c r="EU65" s="1">
        <v>1</v>
      </c>
      <c r="EV65" s="1">
        <v>0</v>
      </c>
      <c r="EW65" s="1">
        <v>90</v>
      </c>
      <c r="EX65" s="1">
        <v>60002242</v>
      </c>
      <c r="EY65" s="1">
        <v>32767</v>
      </c>
      <c r="EZ65" s="1">
        <v>8</v>
      </c>
      <c r="FB65" s="1">
        <v>2872468792</v>
      </c>
      <c r="FC65" s="1">
        <v>30259</v>
      </c>
      <c r="FD65" s="1">
        <v>1376</v>
      </c>
      <c r="FE65" s="1">
        <v>891</v>
      </c>
      <c r="FF65" s="1">
        <v>5789397.3300000001</v>
      </c>
      <c r="FG65" s="1">
        <v>1</v>
      </c>
      <c r="FH65" s="1">
        <v>0</v>
      </c>
      <c r="FI65" s="1">
        <v>90</v>
      </c>
      <c r="FJ65" s="1">
        <v>60003760</v>
      </c>
      <c r="FK65" s="1">
        <v>32767</v>
      </c>
      <c r="FL65" s="1">
        <v>0</v>
      </c>
      <c r="FN65" s="1">
        <v>2834870553</v>
      </c>
      <c r="FO65" s="1">
        <v>25617</v>
      </c>
      <c r="FP65" s="1">
        <v>36</v>
      </c>
      <c r="FQ65" s="1">
        <v>36</v>
      </c>
      <c r="FR65" s="1">
        <v>4500000</v>
      </c>
      <c r="FS65" s="1">
        <v>1</v>
      </c>
      <c r="FT65" s="1">
        <v>1</v>
      </c>
      <c r="FU65" s="1">
        <v>90</v>
      </c>
      <c r="FV65" s="1">
        <v>60003760</v>
      </c>
      <c r="FW65" s="1">
        <v>-1</v>
      </c>
      <c r="FX65" s="1">
        <v>0</v>
      </c>
      <c r="FZ65" s="1">
        <v>2875501190</v>
      </c>
      <c r="GA65" s="1">
        <v>44</v>
      </c>
      <c r="GB65" s="1">
        <v>1740</v>
      </c>
      <c r="GC65" s="1">
        <v>1740</v>
      </c>
      <c r="GD65" s="1">
        <v>12723.21</v>
      </c>
      <c r="GE65" s="1">
        <v>1</v>
      </c>
      <c r="GF65" s="1">
        <v>0</v>
      </c>
      <c r="GG65" s="1">
        <v>90</v>
      </c>
      <c r="GH65" s="1">
        <v>60003760</v>
      </c>
      <c r="GI65" s="1">
        <v>32767</v>
      </c>
      <c r="GJ65" s="1">
        <v>4</v>
      </c>
      <c r="GL65" s="1">
        <v>2414511596</v>
      </c>
      <c r="GM65" s="1">
        <v>16681</v>
      </c>
      <c r="GN65" s="1">
        <v>3000</v>
      </c>
      <c r="GO65" s="1">
        <v>2999</v>
      </c>
      <c r="GP65" s="1">
        <v>5986.05</v>
      </c>
      <c r="GQ65" s="1">
        <v>1</v>
      </c>
      <c r="GR65" s="1">
        <v>1</v>
      </c>
      <c r="GS65" s="1">
        <v>30</v>
      </c>
      <c r="GT65" s="1">
        <v>60003760</v>
      </c>
      <c r="GU65" s="1">
        <v>-1</v>
      </c>
      <c r="GV65" s="1">
        <v>0</v>
      </c>
      <c r="GX65" s="1">
        <v>2878310356</v>
      </c>
      <c r="GY65" s="1">
        <v>16683</v>
      </c>
      <c r="GZ65" s="1">
        <v>4000</v>
      </c>
      <c r="HA65" s="1">
        <v>4000</v>
      </c>
      <c r="HB65" s="1">
        <v>8360.08</v>
      </c>
      <c r="HC65" s="1">
        <v>1</v>
      </c>
      <c r="HD65" s="1">
        <v>1</v>
      </c>
      <c r="HE65" s="1">
        <v>90</v>
      </c>
      <c r="HF65" s="1">
        <v>60003760</v>
      </c>
      <c r="HG65" s="1">
        <v>-1</v>
      </c>
      <c r="HH65" s="1">
        <v>0</v>
      </c>
      <c r="HJ65"/>
      <c r="HK65"/>
      <c r="HL65"/>
      <c r="HM65"/>
      <c r="HN65"/>
      <c r="HO65"/>
      <c r="HP65"/>
      <c r="HQ65"/>
      <c r="HR65"/>
      <c r="HS65"/>
      <c r="HT65"/>
      <c r="HV65" s="1">
        <v>2821526166</v>
      </c>
      <c r="HW65" s="1">
        <v>16274</v>
      </c>
      <c r="HX65" s="1">
        <v>549373</v>
      </c>
      <c r="HY65" s="1">
        <v>549373</v>
      </c>
      <c r="HZ65" s="1">
        <v>800</v>
      </c>
      <c r="IA65" s="1">
        <v>1</v>
      </c>
      <c r="IB65" s="1">
        <v>0</v>
      </c>
      <c r="IC65" s="1">
        <v>90</v>
      </c>
      <c r="ID65" s="1">
        <v>60002242</v>
      </c>
      <c r="IE65" s="1">
        <v>32767</v>
      </c>
      <c r="IF65" s="1">
        <v>9</v>
      </c>
      <c r="IH65"/>
      <c r="II65"/>
      <c r="IJ65"/>
      <c r="IK65"/>
      <c r="IL65"/>
      <c r="IM65"/>
      <c r="IN65"/>
      <c r="IO65"/>
      <c r="IP65"/>
      <c r="IQ65"/>
      <c r="IR65"/>
      <c r="IT65" s="1">
        <v>2872058159</v>
      </c>
      <c r="IU65" s="1">
        <v>16679</v>
      </c>
      <c r="IV65" s="1">
        <v>1937967</v>
      </c>
      <c r="IW65" s="1">
        <v>1422334</v>
      </c>
      <c r="IX65" s="1">
        <v>1743.5</v>
      </c>
      <c r="IY65" s="1">
        <v>1</v>
      </c>
      <c r="IZ65" s="1">
        <v>0</v>
      </c>
      <c r="JA65" s="1">
        <v>90</v>
      </c>
      <c r="JB65" s="1">
        <v>60003760</v>
      </c>
      <c r="JC65" s="1">
        <v>32767</v>
      </c>
      <c r="JD65" s="1">
        <v>0</v>
      </c>
      <c r="JF65" s="1">
        <v>2854210991</v>
      </c>
      <c r="JG65" s="1">
        <v>16272</v>
      </c>
      <c r="JH65" s="1">
        <v>255230</v>
      </c>
      <c r="JI65" s="1">
        <v>140622</v>
      </c>
      <c r="JJ65" s="1">
        <v>80</v>
      </c>
      <c r="JK65" s="1">
        <v>1</v>
      </c>
      <c r="JL65" s="1">
        <v>0</v>
      </c>
      <c r="JM65" s="1">
        <v>90</v>
      </c>
      <c r="JN65" s="1">
        <v>60000511</v>
      </c>
      <c r="JO65" s="1">
        <v>32767</v>
      </c>
      <c r="JP65" s="1">
        <v>7</v>
      </c>
      <c r="KD65" s="1">
        <v>2860617324</v>
      </c>
      <c r="KE65" s="1">
        <v>25605</v>
      </c>
      <c r="KF65" s="1">
        <v>1</v>
      </c>
      <c r="KG65" s="1">
        <v>1</v>
      </c>
      <c r="KH65" s="1">
        <v>120000</v>
      </c>
      <c r="KI65" s="1">
        <v>1</v>
      </c>
      <c r="KJ65" s="1">
        <v>0</v>
      </c>
      <c r="KK65" s="1">
        <v>14</v>
      </c>
      <c r="KL65" s="1">
        <v>60003937</v>
      </c>
      <c r="KM65" s="1">
        <v>32767</v>
      </c>
      <c r="KN65" s="1">
        <v>3</v>
      </c>
      <c r="KP65" s="1">
        <v>2877228986</v>
      </c>
      <c r="KQ65" s="1">
        <v>25624</v>
      </c>
      <c r="KR65" s="1">
        <v>83</v>
      </c>
      <c r="KS65" s="1">
        <v>62</v>
      </c>
      <c r="KT65" s="1">
        <v>18259915.02</v>
      </c>
      <c r="KU65" s="1">
        <v>1</v>
      </c>
      <c r="KV65" s="1">
        <v>0</v>
      </c>
      <c r="KW65" s="1">
        <v>90</v>
      </c>
      <c r="KX65" s="1">
        <v>60003760</v>
      </c>
      <c r="KY65" s="1">
        <v>32767</v>
      </c>
      <c r="KZ65" s="1">
        <v>1</v>
      </c>
      <c r="LB65" s="1">
        <v>2863204040</v>
      </c>
      <c r="LC65" s="1">
        <v>9832</v>
      </c>
      <c r="LD65" s="1">
        <v>5570</v>
      </c>
      <c r="LE65" s="1">
        <v>5570</v>
      </c>
      <c r="LF65" s="1">
        <v>9575</v>
      </c>
      <c r="LG65" s="1">
        <v>1</v>
      </c>
      <c r="LH65" s="1">
        <v>0</v>
      </c>
      <c r="LI65" s="1">
        <v>30</v>
      </c>
      <c r="LJ65" s="1">
        <v>60003760</v>
      </c>
      <c r="LK65" s="1">
        <v>32767</v>
      </c>
      <c r="LL65" s="1">
        <v>0</v>
      </c>
      <c r="LN65" s="1">
        <v>2878230871</v>
      </c>
      <c r="LO65" s="1">
        <v>10209</v>
      </c>
      <c r="LP65" s="1">
        <v>10</v>
      </c>
      <c r="LQ65" s="1">
        <v>10</v>
      </c>
      <c r="LR65" s="1">
        <v>112500000.01000001</v>
      </c>
      <c r="LS65" s="1">
        <v>1</v>
      </c>
      <c r="LT65" s="1">
        <v>1</v>
      </c>
      <c r="LU65" s="1">
        <v>90</v>
      </c>
      <c r="LV65" s="1">
        <v>60003760</v>
      </c>
      <c r="LW65" s="1">
        <v>-1</v>
      </c>
      <c r="LX65" s="1">
        <v>0</v>
      </c>
      <c r="LZ65" s="1">
        <v>2872464499</v>
      </c>
      <c r="MA65" s="1">
        <v>10217</v>
      </c>
      <c r="MB65" s="1">
        <v>10</v>
      </c>
      <c r="MC65" s="1">
        <v>10</v>
      </c>
      <c r="MD65" s="1">
        <v>111010473.79000001</v>
      </c>
      <c r="ME65" s="1">
        <v>1</v>
      </c>
      <c r="MF65" s="1">
        <v>1</v>
      </c>
      <c r="MG65" s="1">
        <v>14</v>
      </c>
      <c r="MH65" s="1">
        <v>60003760</v>
      </c>
      <c r="MI65" s="1">
        <v>0</v>
      </c>
      <c r="MJ65" s="1">
        <v>0</v>
      </c>
      <c r="ML65" s="1">
        <v>2870207908</v>
      </c>
      <c r="MM65" s="1">
        <v>25625</v>
      </c>
      <c r="MN65" s="1">
        <v>2</v>
      </c>
      <c r="MO65" s="1">
        <v>2</v>
      </c>
      <c r="MP65" s="1">
        <v>20000.810000000001</v>
      </c>
      <c r="MQ65" s="1">
        <v>1</v>
      </c>
      <c r="MR65" s="1">
        <v>1</v>
      </c>
      <c r="MS65" s="1">
        <v>30</v>
      </c>
      <c r="MT65" s="1">
        <v>60003760</v>
      </c>
      <c r="MU65" s="1">
        <v>40</v>
      </c>
      <c r="MV65" s="1">
        <v>0</v>
      </c>
      <c r="MX65" s="1">
        <v>2878869516</v>
      </c>
      <c r="MY65" s="1">
        <v>16672</v>
      </c>
      <c r="MZ65" s="1">
        <v>727700</v>
      </c>
      <c r="NA65" s="1">
        <v>15220</v>
      </c>
      <c r="NB65" s="1">
        <v>122.85</v>
      </c>
      <c r="NC65" s="1">
        <v>1</v>
      </c>
      <c r="ND65" s="1">
        <v>0</v>
      </c>
      <c r="NE65" s="1">
        <v>90</v>
      </c>
      <c r="NF65" s="1">
        <v>60003760</v>
      </c>
      <c r="NG65" s="1">
        <v>32767</v>
      </c>
      <c r="NH65" s="1">
        <v>0</v>
      </c>
      <c r="NJ65" s="1">
        <v>2866265601</v>
      </c>
      <c r="NK65" s="1">
        <v>16673</v>
      </c>
      <c r="NL65" s="1">
        <v>1750000</v>
      </c>
      <c r="NM65" s="1">
        <v>1750000</v>
      </c>
      <c r="NN65" s="1">
        <v>105.83</v>
      </c>
      <c r="NO65" s="1">
        <v>1</v>
      </c>
      <c r="NP65" s="1">
        <v>0</v>
      </c>
      <c r="NQ65" s="1">
        <v>90</v>
      </c>
      <c r="NR65" s="1">
        <v>60003760</v>
      </c>
      <c r="NS65" s="1">
        <v>32767</v>
      </c>
      <c r="NT65" s="1">
        <v>6</v>
      </c>
      <c r="NV65" s="1">
        <v>2867390530</v>
      </c>
      <c r="NW65" s="1">
        <v>3689</v>
      </c>
      <c r="NX65" s="1">
        <v>80</v>
      </c>
      <c r="NY65" s="1">
        <v>80</v>
      </c>
      <c r="NZ65" s="1">
        <v>11999.99</v>
      </c>
      <c r="OA65" s="1">
        <v>1</v>
      </c>
      <c r="OB65" s="1">
        <v>0</v>
      </c>
      <c r="OC65" s="1">
        <v>90</v>
      </c>
      <c r="OD65" s="1">
        <v>60003760</v>
      </c>
      <c r="OE65" s="1">
        <v>32767</v>
      </c>
      <c r="OF65" s="1">
        <v>0</v>
      </c>
      <c r="OH65" s="1">
        <v>2845832480</v>
      </c>
      <c r="OI65" s="1">
        <v>25598</v>
      </c>
      <c r="OJ65" s="1">
        <v>135</v>
      </c>
      <c r="OK65" s="1">
        <v>135</v>
      </c>
      <c r="OL65" s="1">
        <v>155000</v>
      </c>
      <c r="OM65" s="1">
        <v>1</v>
      </c>
      <c r="ON65" s="1">
        <v>0</v>
      </c>
      <c r="OO65" s="1">
        <v>90</v>
      </c>
      <c r="OP65" s="1">
        <v>60003760</v>
      </c>
      <c r="OQ65" s="1">
        <v>32767</v>
      </c>
      <c r="OR65" s="1">
        <v>0</v>
      </c>
      <c r="OT65" s="1">
        <v>2875039301</v>
      </c>
      <c r="OU65" s="1">
        <v>25600</v>
      </c>
      <c r="OV65" s="1">
        <v>25</v>
      </c>
      <c r="OW65" s="1">
        <v>25</v>
      </c>
      <c r="OX65" s="1">
        <v>32900</v>
      </c>
      <c r="OY65" s="1">
        <v>1</v>
      </c>
      <c r="OZ65" s="1">
        <v>0</v>
      </c>
      <c r="PA65" s="1">
        <v>90</v>
      </c>
      <c r="PB65" s="1">
        <v>60003760</v>
      </c>
      <c r="PC65" s="1">
        <v>32767</v>
      </c>
      <c r="PD65" s="1">
        <v>0</v>
      </c>
      <c r="PF65" s="1">
        <v>2873647731</v>
      </c>
      <c r="PG65" s="1">
        <v>16670</v>
      </c>
      <c r="PH65" s="1">
        <v>6810000</v>
      </c>
      <c r="PI65" s="1">
        <v>4202511</v>
      </c>
      <c r="PJ65" s="1">
        <v>118.89</v>
      </c>
      <c r="PK65" s="1">
        <v>1</v>
      </c>
      <c r="PL65" s="1">
        <v>0</v>
      </c>
      <c r="PM65" s="1">
        <v>90</v>
      </c>
      <c r="PN65" s="1">
        <v>60003760</v>
      </c>
      <c r="PO65" s="1">
        <v>32767</v>
      </c>
      <c r="PP65" s="1">
        <v>7</v>
      </c>
      <c r="PR65" s="1">
        <v>2876514631</v>
      </c>
      <c r="PS65" s="1">
        <v>10222</v>
      </c>
      <c r="PT65" s="1">
        <v>59</v>
      </c>
      <c r="PU65" s="1">
        <v>22</v>
      </c>
      <c r="PV65" s="1">
        <v>110599999</v>
      </c>
      <c r="PW65" s="1">
        <v>1</v>
      </c>
      <c r="PX65" s="1">
        <v>1</v>
      </c>
      <c r="PY65" s="1">
        <v>90</v>
      </c>
      <c r="PZ65" s="1">
        <v>60003760</v>
      </c>
      <c r="QA65" s="1">
        <v>-1</v>
      </c>
      <c r="QB65" s="1">
        <v>0</v>
      </c>
      <c r="QD65" s="1">
        <v>2878381875</v>
      </c>
      <c r="QE65" s="1">
        <v>9830</v>
      </c>
      <c r="QF65" s="1">
        <v>55195</v>
      </c>
      <c r="QG65" s="1">
        <v>26096</v>
      </c>
      <c r="QH65" s="1">
        <v>7377.01</v>
      </c>
      <c r="QI65" s="1">
        <v>1</v>
      </c>
      <c r="QJ65" s="1">
        <v>0</v>
      </c>
      <c r="QK65" s="1">
        <v>90</v>
      </c>
      <c r="QL65" s="1">
        <v>60003760</v>
      </c>
      <c r="QM65" s="1">
        <v>32767</v>
      </c>
      <c r="QN65" s="1">
        <v>0</v>
      </c>
      <c r="QP65" s="1">
        <v>2871846597</v>
      </c>
      <c r="QQ65" s="1">
        <v>16671</v>
      </c>
      <c r="QR65" s="1">
        <v>50000</v>
      </c>
      <c r="QS65" s="1">
        <v>50000</v>
      </c>
      <c r="QT65" s="1">
        <v>105.54</v>
      </c>
      <c r="QU65" s="1">
        <v>1</v>
      </c>
      <c r="QV65" s="1">
        <v>0</v>
      </c>
      <c r="QW65" s="1">
        <v>90</v>
      </c>
      <c r="QX65" s="1">
        <v>60003760</v>
      </c>
      <c r="QY65" s="1">
        <v>32767</v>
      </c>
      <c r="QZ65" s="1">
        <v>7</v>
      </c>
      <c r="RB65" s="1">
        <v>2871184001</v>
      </c>
      <c r="RC65" s="1">
        <v>16682</v>
      </c>
      <c r="RD65" s="1">
        <v>138000</v>
      </c>
      <c r="RE65" s="1">
        <v>138000</v>
      </c>
      <c r="RF65" s="1">
        <v>3349.27</v>
      </c>
      <c r="RG65" s="1">
        <v>1</v>
      </c>
      <c r="RH65" s="1">
        <v>0</v>
      </c>
      <c r="RI65" s="1">
        <v>90</v>
      </c>
      <c r="RJ65" s="1">
        <v>60003760</v>
      </c>
      <c r="RK65" s="1">
        <v>32767</v>
      </c>
      <c r="RL65" s="1">
        <v>8</v>
      </c>
      <c r="RN65" s="1">
        <v>2863503915</v>
      </c>
      <c r="RO65" s="1">
        <v>16678</v>
      </c>
      <c r="RP65" s="1">
        <v>10000000</v>
      </c>
      <c r="RQ65" s="1">
        <v>10000000</v>
      </c>
      <c r="RR65" s="1">
        <v>265.01</v>
      </c>
      <c r="RS65" s="1">
        <v>1</v>
      </c>
      <c r="RT65" s="1">
        <v>1</v>
      </c>
      <c r="RU65" s="1">
        <v>90</v>
      </c>
      <c r="RV65" s="1">
        <v>60003760</v>
      </c>
      <c r="RW65" s="1">
        <v>-1</v>
      </c>
      <c r="RX65" s="1">
        <v>0</v>
      </c>
      <c r="RZ65" s="1">
        <v>2878827972</v>
      </c>
      <c r="SA65" s="1">
        <v>30310</v>
      </c>
      <c r="SB65" s="1">
        <v>2000</v>
      </c>
      <c r="SC65" s="1">
        <v>2000</v>
      </c>
      <c r="SD65" s="1">
        <v>1058003.1100000001</v>
      </c>
      <c r="SE65" s="1">
        <v>1</v>
      </c>
      <c r="SF65" s="1">
        <v>1</v>
      </c>
      <c r="SG65" s="1">
        <v>30</v>
      </c>
      <c r="SH65" s="1">
        <v>60003760</v>
      </c>
      <c r="SI65" s="1">
        <v>-1</v>
      </c>
      <c r="SJ65" s="1">
        <v>0</v>
      </c>
      <c r="SL65" s="1">
        <v>2821077521</v>
      </c>
      <c r="SM65" s="1">
        <v>30311</v>
      </c>
      <c r="SN65" s="1">
        <v>8</v>
      </c>
      <c r="SO65" s="1">
        <v>8</v>
      </c>
      <c r="SP65" s="1">
        <v>2500025.06</v>
      </c>
      <c r="SQ65" s="1">
        <v>1</v>
      </c>
      <c r="SR65" s="1">
        <v>1</v>
      </c>
      <c r="SS65" s="1">
        <v>90</v>
      </c>
      <c r="ST65" s="1">
        <v>60003760</v>
      </c>
      <c r="SU65" s="1">
        <v>-1</v>
      </c>
      <c r="SV65" s="1">
        <v>0</v>
      </c>
      <c r="SX65" s="1">
        <v>2844691219</v>
      </c>
      <c r="SY65" s="1">
        <v>25595</v>
      </c>
      <c r="SZ65" s="1">
        <v>1009</v>
      </c>
      <c r="TA65" s="1">
        <v>1009</v>
      </c>
      <c r="TB65" s="1">
        <v>87250</v>
      </c>
      <c r="TC65" s="1">
        <v>1</v>
      </c>
      <c r="TD65" s="1">
        <v>0</v>
      </c>
      <c r="TE65" s="1">
        <v>90</v>
      </c>
      <c r="TF65" s="1">
        <v>60003760</v>
      </c>
      <c r="TG65" s="1">
        <v>32767</v>
      </c>
      <c r="TH65" s="1">
        <v>6</v>
      </c>
      <c r="TJ65" s="1">
        <v>2878324637</v>
      </c>
      <c r="TK65" s="1">
        <v>25606</v>
      </c>
      <c r="TL65" s="1">
        <v>104</v>
      </c>
      <c r="TM65" s="1">
        <v>104</v>
      </c>
      <c r="TN65" s="1">
        <v>23885.98</v>
      </c>
      <c r="TO65" s="1">
        <v>1</v>
      </c>
      <c r="TP65" s="1">
        <v>0</v>
      </c>
      <c r="TQ65" s="1">
        <v>7</v>
      </c>
      <c r="TR65" s="1">
        <v>60003760</v>
      </c>
      <c r="TS65" s="1">
        <v>32767</v>
      </c>
      <c r="TT65" s="1">
        <v>0</v>
      </c>
      <c r="TV65" s="1">
        <v>2831461778</v>
      </c>
      <c r="TW65" s="1">
        <v>25622</v>
      </c>
      <c r="TX65" s="1">
        <v>100</v>
      </c>
      <c r="TY65" s="1">
        <v>100</v>
      </c>
      <c r="TZ65" s="1">
        <v>13276003</v>
      </c>
      <c r="UA65" s="1">
        <v>1</v>
      </c>
      <c r="UB65" s="1">
        <v>1</v>
      </c>
      <c r="UC65" s="1">
        <v>90</v>
      </c>
      <c r="UD65" s="1">
        <v>60003760</v>
      </c>
      <c r="UE65" s="1">
        <v>-1</v>
      </c>
      <c r="UF65" s="1">
        <v>0</v>
      </c>
      <c r="UH65" s="1">
        <v>2016189802</v>
      </c>
      <c r="UI65" s="1">
        <v>16680</v>
      </c>
      <c r="UJ65" s="1">
        <v>100000</v>
      </c>
      <c r="UK65" s="1">
        <v>99920</v>
      </c>
      <c r="UL65" s="1">
        <v>13.03</v>
      </c>
      <c r="UM65" s="1">
        <v>1</v>
      </c>
      <c r="UN65" s="1">
        <v>1</v>
      </c>
      <c r="UO65" s="1">
        <v>90</v>
      </c>
      <c r="UP65" s="1">
        <v>60003724</v>
      </c>
      <c r="UQ65" s="1">
        <v>10</v>
      </c>
      <c r="UR65" s="1">
        <v>0</v>
      </c>
      <c r="UT65"/>
      <c r="UU65"/>
      <c r="UV65"/>
      <c r="UW65"/>
      <c r="UX65"/>
      <c r="UY65"/>
      <c r="UZ65"/>
      <c r="VA65"/>
      <c r="VB65"/>
      <c r="VC65"/>
      <c r="VD65"/>
      <c r="VF65"/>
      <c r="VG65"/>
      <c r="VH65"/>
      <c r="VI65"/>
      <c r="VJ65"/>
      <c r="VK65"/>
      <c r="VL65"/>
      <c r="VM65"/>
      <c r="VN65"/>
      <c r="VO65"/>
      <c r="VP65"/>
    </row>
    <row r="66" spans="2:588" x14ac:dyDescent="0.25">
      <c r="B66" s="1">
        <v>2815492370</v>
      </c>
      <c r="C66" s="1">
        <v>34</v>
      </c>
      <c r="D66" s="1">
        <v>68037284</v>
      </c>
      <c r="E66" s="1">
        <v>68037284</v>
      </c>
      <c r="F66" s="1">
        <v>5.75</v>
      </c>
      <c r="G66" s="1">
        <v>1</v>
      </c>
      <c r="H66" s="1">
        <v>0</v>
      </c>
      <c r="I66" s="1">
        <v>30</v>
      </c>
      <c r="J66" s="1">
        <v>60003760</v>
      </c>
      <c r="K66" s="1">
        <v>32767</v>
      </c>
      <c r="L66" s="1">
        <v>0</v>
      </c>
      <c r="N66" s="1">
        <v>2841440806</v>
      </c>
      <c r="O66" s="1">
        <v>35</v>
      </c>
      <c r="P66" s="1">
        <v>1636230</v>
      </c>
      <c r="Q66" s="1">
        <v>1636230</v>
      </c>
      <c r="R66" s="1">
        <v>15.8</v>
      </c>
      <c r="S66" s="1">
        <v>1</v>
      </c>
      <c r="T66" s="1">
        <v>0</v>
      </c>
      <c r="U66" s="1">
        <v>90</v>
      </c>
      <c r="V66" s="1">
        <v>60003760</v>
      </c>
      <c r="W66" s="1">
        <v>32767</v>
      </c>
      <c r="X66" s="1">
        <v>0</v>
      </c>
      <c r="Z66" s="1">
        <v>2769846835</v>
      </c>
      <c r="AA66" s="1">
        <v>36</v>
      </c>
      <c r="AB66" s="1">
        <v>9458472</v>
      </c>
      <c r="AC66" s="1">
        <v>9458472</v>
      </c>
      <c r="AD66" s="16">
        <v>58.99</v>
      </c>
      <c r="AE66" s="1">
        <v>1</v>
      </c>
      <c r="AF66" s="1">
        <v>0</v>
      </c>
      <c r="AG66" s="1">
        <v>90</v>
      </c>
      <c r="AH66" s="1">
        <v>60003760</v>
      </c>
      <c r="AI66" s="1">
        <v>32767</v>
      </c>
      <c r="AJ66" s="1">
        <v>11</v>
      </c>
      <c r="AL66" s="1">
        <v>2730878030</v>
      </c>
      <c r="AM66" s="1">
        <v>37</v>
      </c>
      <c r="AN66" s="1">
        <v>7403746</v>
      </c>
      <c r="AO66" s="1">
        <v>7403746</v>
      </c>
      <c r="AP66" s="16">
        <v>199.92</v>
      </c>
      <c r="AQ66" s="1">
        <v>1</v>
      </c>
      <c r="AR66" s="1">
        <v>0</v>
      </c>
      <c r="AS66" s="1">
        <v>90</v>
      </c>
      <c r="AT66" s="1">
        <v>60003760</v>
      </c>
      <c r="AU66" s="1">
        <v>32767</v>
      </c>
      <c r="AV66" s="1">
        <v>9</v>
      </c>
      <c r="AX66" s="1">
        <v>2876236075</v>
      </c>
      <c r="AY66" s="1">
        <v>38</v>
      </c>
      <c r="AZ66" s="1">
        <v>2877</v>
      </c>
      <c r="BA66" s="1">
        <v>2877</v>
      </c>
      <c r="BB66" s="1">
        <v>861</v>
      </c>
      <c r="BC66" s="1">
        <v>1</v>
      </c>
      <c r="BD66" s="1">
        <v>0</v>
      </c>
      <c r="BE66" s="1">
        <v>30</v>
      </c>
      <c r="BF66" s="1">
        <v>60003760</v>
      </c>
      <c r="BG66" s="1">
        <v>32767</v>
      </c>
      <c r="BH66" s="1">
        <v>5</v>
      </c>
      <c r="BJ66" s="1">
        <v>2727302754</v>
      </c>
      <c r="BK66" s="1">
        <v>39</v>
      </c>
      <c r="BL66" s="1">
        <v>250089</v>
      </c>
      <c r="BM66" s="1">
        <v>250089</v>
      </c>
      <c r="BN66" s="1">
        <v>869.98</v>
      </c>
      <c r="BO66" s="1">
        <v>1</v>
      </c>
      <c r="BP66" s="1">
        <v>0</v>
      </c>
      <c r="BQ66" s="1">
        <v>90</v>
      </c>
      <c r="BR66" s="1">
        <v>60003760</v>
      </c>
      <c r="BS66" s="1">
        <v>32767</v>
      </c>
      <c r="BT66" s="1">
        <v>5</v>
      </c>
      <c r="BV66" s="1">
        <v>2411746473</v>
      </c>
      <c r="BW66" s="1">
        <v>40</v>
      </c>
      <c r="BX66" s="1">
        <v>48501</v>
      </c>
      <c r="BY66" s="1">
        <v>42032</v>
      </c>
      <c r="BZ66" s="1">
        <v>2665.84</v>
      </c>
      <c r="CA66" s="1">
        <v>1</v>
      </c>
      <c r="CB66" s="1">
        <v>0</v>
      </c>
      <c r="CC66" s="1">
        <v>90</v>
      </c>
      <c r="CD66" s="1">
        <v>60003760</v>
      </c>
      <c r="CE66" s="1">
        <v>32767</v>
      </c>
      <c r="CF66" s="1">
        <v>13</v>
      </c>
      <c r="CH66" s="1">
        <v>2349874250</v>
      </c>
      <c r="CI66" s="1">
        <v>29668</v>
      </c>
      <c r="CJ66" s="1">
        <v>1</v>
      </c>
      <c r="CK66" s="1">
        <v>1</v>
      </c>
      <c r="CL66" s="1">
        <v>499999999.99000001</v>
      </c>
      <c r="CM66" s="1">
        <v>1</v>
      </c>
      <c r="CN66" s="1">
        <v>0</v>
      </c>
      <c r="CO66" s="1">
        <v>90</v>
      </c>
      <c r="CP66" s="1">
        <v>60003760</v>
      </c>
      <c r="CQ66" s="1">
        <v>32767</v>
      </c>
      <c r="CR66" s="1">
        <v>0</v>
      </c>
      <c r="CT66" s="1">
        <v>2392550915</v>
      </c>
      <c r="CU66" s="1">
        <v>16649</v>
      </c>
      <c r="CV66" s="1">
        <v>50000</v>
      </c>
      <c r="CW66" s="1">
        <v>50000</v>
      </c>
      <c r="CX66" s="1">
        <v>86008</v>
      </c>
      <c r="CY66" s="1">
        <v>1</v>
      </c>
      <c r="CZ66" s="1">
        <v>1</v>
      </c>
      <c r="DA66" s="1">
        <v>90</v>
      </c>
      <c r="DB66" s="1">
        <v>60003760</v>
      </c>
      <c r="DC66" s="1">
        <v>-1</v>
      </c>
      <c r="DD66" s="1">
        <v>0</v>
      </c>
      <c r="DF66" s="1">
        <v>2410840920</v>
      </c>
      <c r="DG66" s="1">
        <v>17887</v>
      </c>
      <c r="DH66" s="1">
        <v>1192754</v>
      </c>
      <c r="DI66" s="1">
        <v>1192754</v>
      </c>
      <c r="DJ66" s="1">
        <v>1021.88</v>
      </c>
      <c r="DK66" s="1">
        <v>1</v>
      </c>
      <c r="DL66" s="1">
        <v>0</v>
      </c>
      <c r="DM66" s="1">
        <v>90</v>
      </c>
      <c r="DN66" s="1">
        <v>60003760</v>
      </c>
      <c r="DO66" s="1">
        <v>32767</v>
      </c>
      <c r="DP66" s="1">
        <v>0</v>
      </c>
      <c r="DR66" s="1">
        <v>2772275470</v>
      </c>
      <c r="DS66" s="1">
        <v>17888</v>
      </c>
      <c r="DT66" s="1">
        <v>300000</v>
      </c>
      <c r="DU66" s="1">
        <v>300000</v>
      </c>
      <c r="DV66" s="1">
        <v>456.5</v>
      </c>
      <c r="DW66" s="1">
        <v>1</v>
      </c>
      <c r="DX66" s="1">
        <v>0</v>
      </c>
      <c r="DY66" s="1">
        <v>90</v>
      </c>
      <c r="DZ66" s="1">
        <v>60003760</v>
      </c>
      <c r="EA66" s="1">
        <v>32767</v>
      </c>
      <c r="EB66" s="1">
        <v>8</v>
      </c>
      <c r="ED66" s="1">
        <v>2854217997</v>
      </c>
      <c r="EE66" s="1">
        <v>16273</v>
      </c>
      <c r="EF66" s="1">
        <v>60109</v>
      </c>
      <c r="EG66" s="1">
        <v>60109</v>
      </c>
      <c r="EH66" s="1">
        <v>420</v>
      </c>
      <c r="EI66" s="1">
        <v>1</v>
      </c>
      <c r="EJ66" s="1">
        <v>0</v>
      </c>
      <c r="EK66" s="1">
        <v>90</v>
      </c>
      <c r="EL66" s="1">
        <v>60002434</v>
      </c>
      <c r="EM66" s="1">
        <v>32767</v>
      </c>
      <c r="EN66" s="1">
        <v>4</v>
      </c>
      <c r="EP66" s="1">
        <v>2808906496</v>
      </c>
      <c r="EQ66" s="1">
        <v>17889</v>
      </c>
      <c r="ER66" s="1">
        <v>150000</v>
      </c>
      <c r="ES66" s="1">
        <v>71000</v>
      </c>
      <c r="ET66" s="1">
        <v>999.93</v>
      </c>
      <c r="EU66" s="1">
        <v>1</v>
      </c>
      <c r="EV66" s="1">
        <v>0</v>
      </c>
      <c r="EW66" s="1">
        <v>90</v>
      </c>
      <c r="EX66" s="1">
        <v>60002239</v>
      </c>
      <c r="EY66" s="1">
        <v>32767</v>
      </c>
      <c r="EZ66" s="1">
        <v>7</v>
      </c>
      <c r="FB66" s="1">
        <v>2878073305</v>
      </c>
      <c r="FC66" s="1">
        <v>30259</v>
      </c>
      <c r="FD66" s="1">
        <v>221</v>
      </c>
      <c r="FE66" s="1">
        <v>36</v>
      </c>
      <c r="FF66" s="1">
        <v>5789299.9500000002</v>
      </c>
      <c r="FG66" s="1">
        <v>1</v>
      </c>
      <c r="FH66" s="1">
        <v>0</v>
      </c>
      <c r="FI66" s="1">
        <v>90</v>
      </c>
      <c r="FJ66" s="1">
        <v>60003760</v>
      </c>
      <c r="FK66" s="1">
        <v>32767</v>
      </c>
      <c r="FL66" s="1">
        <v>0</v>
      </c>
      <c r="FN66" s="1">
        <v>2833524661</v>
      </c>
      <c r="FO66" s="1">
        <v>25617</v>
      </c>
      <c r="FP66" s="1">
        <v>155</v>
      </c>
      <c r="FQ66" s="1">
        <v>154</v>
      </c>
      <c r="FR66" s="1">
        <v>4625205</v>
      </c>
      <c r="FS66" s="1">
        <v>1</v>
      </c>
      <c r="FT66" s="1">
        <v>1</v>
      </c>
      <c r="FU66" s="1">
        <v>90</v>
      </c>
      <c r="FV66" s="1">
        <v>60003760</v>
      </c>
      <c r="FW66" s="1">
        <v>-1</v>
      </c>
      <c r="FX66" s="1">
        <v>0</v>
      </c>
      <c r="FZ66" s="1">
        <v>2875152759</v>
      </c>
      <c r="GA66" s="1">
        <v>44</v>
      </c>
      <c r="GB66" s="1">
        <v>3900</v>
      </c>
      <c r="GC66" s="1">
        <v>3900</v>
      </c>
      <c r="GD66" s="1">
        <v>12723.32</v>
      </c>
      <c r="GE66" s="1">
        <v>1</v>
      </c>
      <c r="GF66" s="1">
        <v>0</v>
      </c>
      <c r="GG66" s="1">
        <v>30</v>
      </c>
      <c r="GH66" s="1">
        <v>60003760</v>
      </c>
      <c r="GI66" s="1">
        <v>32767</v>
      </c>
      <c r="GJ66" s="1">
        <v>4</v>
      </c>
      <c r="GL66" s="1">
        <v>2414897658</v>
      </c>
      <c r="GM66" s="1">
        <v>16681</v>
      </c>
      <c r="GN66" s="1">
        <v>50000</v>
      </c>
      <c r="GO66" s="1">
        <v>50000</v>
      </c>
      <c r="GP66" s="1">
        <v>5986.32</v>
      </c>
      <c r="GQ66" s="1">
        <v>1</v>
      </c>
      <c r="GR66" s="1">
        <v>1</v>
      </c>
      <c r="GS66" s="1">
        <v>90</v>
      </c>
      <c r="GT66" s="1">
        <v>60003760</v>
      </c>
      <c r="GU66" s="1">
        <v>-1</v>
      </c>
      <c r="GV66" s="1">
        <v>0</v>
      </c>
      <c r="GX66" s="1">
        <v>2878284282</v>
      </c>
      <c r="GY66" s="1">
        <v>16683</v>
      </c>
      <c r="GZ66" s="1">
        <v>200</v>
      </c>
      <c r="HA66" s="1">
        <v>200</v>
      </c>
      <c r="HB66" s="1">
        <v>8360.07</v>
      </c>
      <c r="HC66" s="1">
        <v>1</v>
      </c>
      <c r="HD66" s="1">
        <v>1</v>
      </c>
      <c r="HE66" s="1">
        <v>90</v>
      </c>
      <c r="HF66" s="1">
        <v>60003760</v>
      </c>
      <c r="HG66" s="1">
        <v>-1</v>
      </c>
      <c r="HH66" s="1">
        <v>0</v>
      </c>
      <c r="HJ66"/>
      <c r="HK66"/>
      <c r="HL66"/>
      <c r="HM66"/>
      <c r="HN66"/>
      <c r="HO66"/>
      <c r="HP66"/>
      <c r="HQ66"/>
      <c r="HR66"/>
      <c r="HS66"/>
      <c r="HT66"/>
      <c r="HV66" s="1">
        <v>2848754029</v>
      </c>
      <c r="HW66" s="1">
        <v>16274</v>
      </c>
      <c r="HX66" s="1">
        <v>367490</v>
      </c>
      <c r="HY66" s="1">
        <v>367490</v>
      </c>
      <c r="HZ66" s="1">
        <v>800</v>
      </c>
      <c r="IA66" s="1">
        <v>1</v>
      </c>
      <c r="IB66" s="1">
        <v>0</v>
      </c>
      <c r="IC66" s="1">
        <v>90</v>
      </c>
      <c r="ID66" s="1">
        <v>60002242</v>
      </c>
      <c r="IE66" s="1">
        <v>32767</v>
      </c>
      <c r="IF66" s="1">
        <v>9</v>
      </c>
      <c r="IH66"/>
      <c r="II66"/>
      <c r="IJ66"/>
      <c r="IK66"/>
      <c r="IL66"/>
      <c r="IM66"/>
      <c r="IN66"/>
      <c r="IO66"/>
      <c r="IP66"/>
      <c r="IQ66"/>
      <c r="IR66"/>
      <c r="IT66" s="1">
        <v>2874633425</v>
      </c>
      <c r="IU66" s="1">
        <v>16679</v>
      </c>
      <c r="IV66" s="1">
        <v>406000</v>
      </c>
      <c r="IW66" s="1">
        <v>406000</v>
      </c>
      <c r="IX66" s="1">
        <v>1742</v>
      </c>
      <c r="IY66" s="1">
        <v>1</v>
      </c>
      <c r="IZ66" s="1">
        <v>0</v>
      </c>
      <c r="JA66" s="1">
        <v>90</v>
      </c>
      <c r="JB66" s="1">
        <v>60003760</v>
      </c>
      <c r="JC66" s="1">
        <v>32767</v>
      </c>
      <c r="JD66" s="1">
        <v>0</v>
      </c>
      <c r="JF66" s="1">
        <v>2854211196</v>
      </c>
      <c r="JG66" s="1">
        <v>16272</v>
      </c>
      <c r="JH66" s="1">
        <v>299043</v>
      </c>
      <c r="JI66" s="1">
        <v>299043</v>
      </c>
      <c r="JJ66" s="1">
        <v>80</v>
      </c>
      <c r="JK66" s="1">
        <v>1</v>
      </c>
      <c r="JL66" s="1">
        <v>0</v>
      </c>
      <c r="JM66" s="1">
        <v>90</v>
      </c>
      <c r="JN66" s="1">
        <v>60000274</v>
      </c>
      <c r="JO66" s="1">
        <v>32767</v>
      </c>
      <c r="JP66" s="1">
        <v>7</v>
      </c>
      <c r="KD66" s="1">
        <v>2854715570</v>
      </c>
      <c r="KE66" s="1">
        <v>25605</v>
      </c>
      <c r="KF66" s="1">
        <v>7</v>
      </c>
      <c r="KG66" s="1">
        <v>7</v>
      </c>
      <c r="KH66" s="1">
        <v>130000</v>
      </c>
      <c r="KI66" s="1">
        <v>1</v>
      </c>
      <c r="KJ66" s="1">
        <v>0</v>
      </c>
      <c r="KK66" s="1">
        <v>90</v>
      </c>
      <c r="KL66" s="1">
        <v>60003934</v>
      </c>
      <c r="KM66" s="1">
        <v>32767</v>
      </c>
      <c r="KN66" s="1">
        <v>3</v>
      </c>
      <c r="KP66" s="1">
        <v>2841489528</v>
      </c>
      <c r="KQ66" s="1">
        <v>25624</v>
      </c>
      <c r="KR66" s="1">
        <v>5</v>
      </c>
      <c r="KS66" s="1">
        <v>5</v>
      </c>
      <c r="KT66" s="1">
        <v>19000000</v>
      </c>
      <c r="KU66" s="1">
        <v>1</v>
      </c>
      <c r="KV66" s="1">
        <v>0</v>
      </c>
      <c r="KW66" s="1">
        <v>30</v>
      </c>
      <c r="KX66" s="1">
        <v>60001639</v>
      </c>
      <c r="KY66" s="1">
        <v>32767</v>
      </c>
      <c r="KZ66" s="1">
        <v>6</v>
      </c>
      <c r="LB66" s="1">
        <v>2860949143</v>
      </c>
      <c r="LC66" s="1">
        <v>9832</v>
      </c>
      <c r="LD66" s="1">
        <v>3082</v>
      </c>
      <c r="LE66" s="1">
        <v>3082</v>
      </c>
      <c r="LF66" s="1">
        <v>9500</v>
      </c>
      <c r="LG66" s="1">
        <v>1</v>
      </c>
      <c r="LH66" s="1">
        <v>0</v>
      </c>
      <c r="LI66" s="1">
        <v>90</v>
      </c>
      <c r="LJ66" s="1">
        <v>60003760</v>
      </c>
      <c r="LK66" s="1">
        <v>32767</v>
      </c>
      <c r="LL66" s="1">
        <v>0</v>
      </c>
      <c r="LN66" s="1">
        <v>2878360748</v>
      </c>
      <c r="LO66" s="1">
        <v>10209</v>
      </c>
      <c r="LP66" s="1">
        <v>1</v>
      </c>
      <c r="LQ66" s="1">
        <v>1</v>
      </c>
      <c r="LR66" s="1">
        <v>112700000.26000001</v>
      </c>
      <c r="LS66" s="1">
        <v>1</v>
      </c>
      <c r="LT66" s="1">
        <v>1</v>
      </c>
      <c r="LU66" s="1">
        <v>90</v>
      </c>
      <c r="LV66" s="1">
        <v>60003760</v>
      </c>
      <c r="LW66" s="1">
        <v>-1</v>
      </c>
      <c r="LX66" s="1">
        <v>0</v>
      </c>
      <c r="LZ66"/>
      <c r="MA66"/>
      <c r="MB66"/>
      <c r="MC66"/>
      <c r="MD66"/>
      <c r="ME66"/>
      <c r="MF66"/>
      <c r="MG66"/>
      <c r="MH66"/>
      <c r="MI66"/>
      <c r="MJ66"/>
      <c r="ML66" s="1">
        <v>2875536266</v>
      </c>
      <c r="MM66" s="1">
        <v>25625</v>
      </c>
      <c r="MN66" s="1">
        <v>100</v>
      </c>
      <c r="MO66" s="1">
        <v>98</v>
      </c>
      <c r="MP66" s="1">
        <v>4200000</v>
      </c>
      <c r="MQ66" s="1">
        <v>1</v>
      </c>
      <c r="MR66" s="1">
        <v>1</v>
      </c>
      <c r="MS66" s="1">
        <v>90</v>
      </c>
      <c r="MT66" s="1">
        <v>60003760</v>
      </c>
      <c r="MU66" s="1">
        <v>-1</v>
      </c>
      <c r="MV66" s="1">
        <v>0</v>
      </c>
      <c r="MX66" s="1">
        <v>2878369043</v>
      </c>
      <c r="MY66" s="1">
        <v>16672</v>
      </c>
      <c r="MZ66" s="1">
        <v>7800000</v>
      </c>
      <c r="NA66" s="1">
        <v>4872316</v>
      </c>
      <c r="NB66" s="1">
        <v>122.74</v>
      </c>
      <c r="NC66" s="1">
        <v>1</v>
      </c>
      <c r="ND66" s="1">
        <v>0</v>
      </c>
      <c r="NE66" s="1">
        <v>90</v>
      </c>
      <c r="NF66" s="1">
        <v>60003760</v>
      </c>
      <c r="NG66" s="1">
        <v>32767</v>
      </c>
      <c r="NH66" s="1">
        <v>0</v>
      </c>
      <c r="NJ66" s="1">
        <v>2864569487</v>
      </c>
      <c r="NK66" s="1">
        <v>16673</v>
      </c>
      <c r="NL66" s="1">
        <v>5620000</v>
      </c>
      <c r="NM66" s="1">
        <v>4964900</v>
      </c>
      <c r="NN66" s="1">
        <v>107</v>
      </c>
      <c r="NO66" s="1">
        <v>1</v>
      </c>
      <c r="NP66" s="1">
        <v>0</v>
      </c>
      <c r="NQ66" s="1">
        <v>30</v>
      </c>
      <c r="NR66" s="1">
        <v>60003760</v>
      </c>
      <c r="NS66" s="1">
        <v>32767</v>
      </c>
      <c r="NT66" s="1">
        <v>6</v>
      </c>
      <c r="NV66" s="1">
        <v>2864728165</v>
      </c>
      <c r="NW66" s="1">
        <v>3689</v>
      </c>
      <c r="NX66" s="1">
        <v>325</v>
      </c>
      <c r="NY66" s="1">
        <v>325</v>
      </c>
      <c r="NZ66" s="1">
        <v>10599</v>
      </c>
      <c r="OA66" s="1">
        <v>1</v>
      </c>
      <c r="OB66" s="1">
        <v>0</v>
      </c>
      <c r="OC66" s="1">
        <v>7</v>
      </c>
      <c r="OD66" s="1">
        <v>60003760</v>
      </c>
      <c r="OE66" s="1">
        <v>32767</v>
      </c>
      <c r="OF66" s="1">
        <v>0</v>
      </c>
      <c r="OH66" s="1">
        <v>2846038195</v>
      </c>
      <c r="OI66" s="1">
        <v>25598</v>
      </c>
      <c r="OJ66" s="1">
        <v>15000</v>
      </c>
      <c r="OK66" s="1">
        <v>15000</v>
      </c>
      <c r="OL66" s="1">
        <v>149999</v>
      </c>
      <c r="OM66" s="1">
        <v>1</v>
      </c>
      <c r="ON66" s="1">
        <v>0</v>
      </c>
      <c r="OO66" s="1">
        <v>90</v>
      </c>
      <c r="OP66" s="1">
        <v>60003760</v>
      </c>
      <c r="OQ66" s="1">
        <v>32767</v>
      </c>
      <c r="OR66" s="1">
        <v>0</v>
      </c>
      <c r="OT66" s="1">
        <v>2878313768</v>
      </c>
      <c r="OU66" s="1">
        <v>25600</v>
      </c>
      <c r="OV66" s="1">
        <v>164</v>
      </c>
      <c r="OW66" s="1">
        <v>164</v>
      </c>
      <c r="OX66" s="1">
        <v>30889.95</v>
      </c>
      <c r="OY66" s="1">
        <v>1</v>
      </c>
      <c r="OZ66" s="1">
        <v>0</v>
      </c>
      <c r="PA66" s="1">
        <v>90</v>
      </c>
      <c r="PB66" s="1">
        <v>60003760</v>
      </c>
      <c r="PC66" s="1">
        <v>32767</v>
      </c>
      <c r="PD66" s="1">
        <v>0</v>
      </c>
      <c r="PF66" s="1">
        <v>2873513633</v>
      </c>
      <c r="PG66" s="1">
        <v>16670</v>
      </c>
      <c r="PH66" s="1">
        <v>5000000</v>
      </c>
      <c r="PI66" s="1">
        <v>1451137</v>
      </c>
      <c r="PJ66" s="1">
        <v>121.48</v>
      </c>
      <c r="PK66" s="1">
        <v>1</v>
      </c>
      <c r="PL66" s="1">
        <v>0</v>
      </c>
      <c r="PM66" s="1">
        <v>90</v>
      </c>
      <c r="PN66" s="1">
        <v>60003760</v>
      </c>
      <c r="PO66" s="1">
        <v>32767</v>
      </c>
      <c r="PP66" s="1">
        <v>7</v>
      </c>
      <c r="PR66" s="1">
        <v>2665112885</v>
      </c>
      <c r="PS66" s="1">
        <v>10222</v>
      </c>
      <c r="PT66" s="1">
        <v>3</v>
      </c>
      <c r="PU66" s="1">
        <v>3</v>
      </c>
      <c r="PV66" s="1">
        <v>101200009</v>
      </c>
      <c r="PW66" s="1">
        <v>1</v>
      </c>
      <c r="PX66" s="1">
        <v>1</v>
      </c>
      <c r="PY66" s="1">
        <v>90</v>
      </c>
      <c r="PZ66" s="1">
        <v>60003754</v>
      </c>
      <c r="QA66" s="1">
        <v>20</v>
      </c>
      <c r="QB66" s="1">
        <v>0</v>
      </c>
      <c r="QD66" s="1">
        <v>2874274990</v>
      </c>
      <c r="QE66" s="1">
        <v>9830</v>
      </c>
      <c r="QF66" s="1">
        <v>44805</v>
      </c>
      <c r="QG66" s="1">
        <v>5315</v>
      </c>
      <c r="QH66" s="1">
        <v>7377</v>
      </c>
      <c r="QI66" s="1">
        <v>1</v>
      </c>
      <c r="QJ66" s="1">
        <v>0</v>
      </c>
      <c r="QK66" s="1">
        <v>90</v>
      </c>
      <c r="QL66" s="1">
        <v>60003760</v>
      </c>
      <c r="QM66" s="1">
        <v>32767</v>
      </c>
      <c r="QN66" s="1">
        <v>0</v>
      </c>
      <c r="QP66" s="1">
        <v>2871847197</v>
      </c>
      <c r="QQ66" s="1">
        <v>16671</v>
      </c>
      <c r="QR66" s="1">
        <v>50000</v>
      </c>
      <c r="QS66" s="1">
        <v>50000</v>
      </c>
      <c r="QT66" s="1">
        <v>105.74</v>
      </c>
      <c r="QU66" s="1">
        <v>1</v>
      </c>
      <c r="QV66" s="1">
        <v>0</v>
      </c>
      <c r="QW66" s="1">
        <v>90</v>
      </c>
      <c r="QX66" s="1">
        <v>60003760</v>
      </c>
      <c r="QY66" s="1">
        <v>32767</v>
      </c>
      <c r="QZ66" s="1">
        <v>7</v>
      </c>
      <c r="RB66" s="1">
        <v>2859601927</v>
      </c>
      <c r="RC66" s="1">
        <v>16682</v>
      </c>
      <c r="RD66" s="1">
        <v>102750</v>
      </c>
      <c r="RE66" s="1">
        <v>102750</v>
      </c>
      <c r="RF66" s="1">
        <v>3349.2</v>
      </c>
      <c r="RG66" s="1">
        <v>1</v>
      </c>
      <c r="RH66" s="1">
        <v>0</v>
      </c>
      <c r="RI66" s="1">
        <v>90</v>
      </c>
      <c r="RJ66" s="1">
        <v>60003760</v>
      </c>
      <c r="RK66" s="1">
        <v>32767</v>
      </c>
      <c r="RL66" s="1">
        <v>8</v>
      </c>
      <c r="RN66" s="1">
        <v>2864026433</v>
      </c>
      <c r="RO66" s="1">
        <v>16678</v>
      </c>
      <c r="RP66" s="1">
        <v>4000000</v>
      </c>
      <c r="RQ66" s="1">
        <v>4000000</v>
      </c>
      <c r="RR66" s="1">
        <v>256.02</v>
      </c>
      <c r="RS66" s="1">
        <v>1</v>
      </c>
      <c r="RT66" s="1">
        <v>1</v>
      </c>
      <c r="RU66" s="1">
        <v>90</v>
      </c>
      <c r="RV66" s="1">
        <v>60003760</v>
      </c>
      <c r="RW66" s="1">
        <v>-1</v>
      </c>
      <c r="RX66" s="1">
        <v>0</v>
      </c>
      <c r="RZ66" s="1">
        <v>2878862306</v>
      </c>
      <c r="SA66" s="1">
        <v>30310</v>
      </c>
      <c r="SB66" s="1">
        <v>2000</v>
      </c>
      <c r="SC66" s="1">
        <v>1322</v>
      </c>
      <c r="SD66" s="1">
        <v>1058007.5</v>
      </c>
      <c r="SE66" s="1">
        <v>1</v>
      </c>
      <c r="SF66" s="1">
        <v>1</v>
      </c>
      <c r="SG66" s="1">
        <v>90</v>
      </c>
      <c r="SH66" s="1">
        <v>60003760</v>
      </c>
      <c r="SI66" s="1">
        <v>-1</v>
      </c>
      <c r="SJ66" s="1">
        <v>0</v>
      </c>
      <c r="SL66" s="1">
        <v>2821144703</v>
      </c>
      <c r="SM66" s="1">
        <v>30311</v>
      </c>
      <c r="SN66" s="1">
        <v>10</v>
      </c>
      <c r="SO66" s="1">
        <v>10</v>
      </c>
      <c r="SP66" s="1">
        <v>2500000</v>
      </c>
      <c r="SQ66" s="1">
        <v>1</v>
      </c>
      <c r="SR66" s="1">
        <v>1</v>
      </c>
      <c r="SS66" s="1">
        <v>90</v>
      </c>
      <c r="ST66" s="1">
        <v>60003760</v>
      </c>
      <c r="SU66" s="1">
        <v>32767</v>
      </c>
      <c r="SV66" s="1">
        <v>0</v>
      </c>
      <c r="SX66" s="1">
        <v>2844691579</v>
      </c>
      <c r="SY66" s="1">
        <v>25595</v>
      </c>
      <c r="SZ66" s="1">
        <v>3979</v>
      </c>
      <c r="TA66" s="1">
        <v>3979</v>
      </c>
      <c r="TB66" s="1">
        <v>87000</v>
      </c>
      <c r="TC66" s="1">
        <v>1</v>
      </c>
      <c r="TD66" s="1">
        <v>0</v>
      </c>
      <c r="TE66" s="1">
        <v>90</v>
      </c>
      <c r="TF66" s="1">
        <v>60003760</v>
      </c>
      <c r="TG66" s="1">
        <v>32767</v>
      </c>
      <c r="TH66" s="1">
        <v>6</v>
      </c>
      <c r="TJ66" s="1">
        <v>2878321568</v>
      </c>
      <c r="TK66" s="1">
        <v>25606</v>
      </c>
      <c r="TL66" s="1">
        <v>77</v>
      </c>
      <c r="TM66" s="1">
        <v>77</v>
      </c>
      <c r="TN66" s="1">
        <v>23887.9</v>
      </c>
      <c r="TO66" s="1">
        <v>1</v>
      </c>
      <c r="TP66" s="1">
        <v>0</v>
      </c>
      <c r="TQ66" s="1">
        <v>90</v>
      </c>
      <c r="TR66" s="1">
        <v>60003760</v>
      </c>
      <c r="TS66" s="1">
        <v>32767</v>
      </c>
      <c r="TT66" s="1">
        <v>0</v>
      </c>
      <c r="TV66" s="1">
        <v>2878216648</v>
      </c>
      <c r="TW66" s="1">
        <v>25622</v>
      </c>
      <c r="TX66" s="1">
        <v>35</v>
      </c>
      <c r="TY66" s="1">
        <v>35</v>
      </c>
      <c r="TZ66" s="1">
        <v>13277000</v>
      </c>
      <c r="UA66" s="1">
        <v>1</v>
      </c>
      <c r="UB66" s="1">
        <v>1</v>
      </c>
      <c r="UC66" s="1">
        <v>30</v>
      </c>
      <c r="UD66" s="1">
        <v>60003760</v>
      </c>
      <c r="UE66" s="1">
        <v>-1</v>
      </c>
      <c r="UF66" s="1">
        <v>0</v>
      </c>
      <c r="UH66" s="1">
        <v>2693894202</v>
      </c>
      <c r="UI66" s="1">
        <v>16680</v>
      </c>
      <c r="UJ66" s="1">
        <v>100000</v>
      </c>
      <c r="UK66" s="1">
        <v>34239</v>
      </c>
      <c r="UL66" s="1">
        <v>519.16999999999996</v>
      </c>
      <c r="UM66" s="1">
        <v>1</v>
      </c>
      <c r="UN66" s="1">
        <v>1</v>
      </c>
      <c r="UO66" s="1">
        <v>90</v>
      </c>
      <c r="UP66" s="1">
        <v>60004459</v>
      </c>
      <c r="UQ66" s="1">
        <v>10</v>
      </c>
      <c r="UR66" s="1">
        <v>0</v>
      </c>
      <c r="UT66"/>
      <c r="UU66"/>
      <c r="UV66"/>
      <c r="UW66"/>
      <c r="UX66"/>
      <c r="UY66"/>
      <c r="UZ66"/>
      <c r="VA66"/>
      <c r="VB66"/>
      <c r="VC66"/>
      <c r="VD66"/>
      <c r="VF66"/>
      <c r="VG66"/>
      <c r="VH66"/>
      <c r="VI66"/>
      <c r="VJ66"/>
      <c r="VK66"/>
      <c r="VL66"/>
      <c r="VM66"/>
      <c r="VN66"/>
      <c r="VO66"/>
      <c r="VP66"/>
    </row>
    <row r="67" spans="2:588" x14ac:dyDescent="0.25">
      <c r="B67" s="1">
        <v>2814914045</v>
      </c>
      <c r="C67" s="1">
        <v>34</v>
      </c>
      <c r="D67" s="1">
        <v>9364562</v>
      </c>
      <c r="E67" s="1">
        <v>9364562</v>
      </c>
      <c r="F67" s="1">
        <v>6.02</v>
      </c>
      <c r="G67" s="1">
        <v>1</v>
      </c>
      <c r="H67" s="1">
        <v>0</v>
      </c>
      <c r="I67" s="1">
        <v>90</v>
      </c>
      <c r="J67" s="1">
        <v>60003760</v>
      </c>
      <c r="K67" s="1">
        <v>32767</v>
      </c>
      <c r="L67" s="1">
        <v>0</v>
      </c>
      <c r="N67" s="1">
        <v>2841492364</v>
      </c>
      <c r="O67" s="1">
        <v>35</v>
      </c>
      <c r="P67" s="1">
        <v>31180329</v>
      </c>
      <c r="Q67" s="1">
        <v>31180329</v>
      </c>
      <c r="R67" s="1">
        <v>15.67</v>
      </c>
      <c r="S67" s="1">
        <v>1</v>
      </c>
      <c r="T67" s="1">
        <v>0</v>
      </c>
      <c r="U67" s="1">
        <v>90</v>
      </c>
      <c r="V67" s="1">
        <v>60003760</v>
      </c>
      <c r="W67" s="1">
        <v>32767</v>
      </c>
      <c r="X67" s="1">
        <v>0</v>
      </c>
      <c r="Z67" s="1">
        <v>2770188475</v>
      </c>
      <c r="AA67" s="1">
        <v>36</v>
      </c>
      <c r="AB67" s="1">
        <v>36086</v>
      </c>
      <c r="AC67" s="1">
        <v>36086</v>
      </c>
      <c r="AD67" s="16">
        <v>60</v>
      </c>
      <c r="AE67" s="1">
        <v>1</v>
      </c>
      <c r="AF67" s="1">
        <v>0</v>
      </c>
      <c r="AG67" s="1">
        <v>90</v>
      </c>
      <c r="AH67" s="1">
        <v>60003760</v>
      </c>
      <c r="AI67" s="1">
        <v>32767</v>
      </c>
      <c r="AJ67" s="1">
        <v>11</v>
      </c>
      <c r="AL67" s="1">
        <v>2724814590</v>
      </c>
      <c r="AM67" s="1">
        <v>37</v>
      </c>
      <c r="AN67" s="1">
        <v>8951124</v>
      </c>
      <c r="AO67" s="1">
        <v>8951124</v>
      </c>
      <c r="AP67" s="16">
        <v>206.89</v>
      </c>
      <c r="AQ67" s="1">
        <v>1</v>
      </c>
      <c r="AR67" s="1">
        <v>0</v>
      </c>
      <c r="AS67" s="1">
        <v>90</v>
      </c>
      <c r="AT67" s="1">
        <v>60003760</v>
      </c>
      <c r="AU67" s="1">
        <v>32767</v>
      </c>
      <c r="AV67" s="1">
        <v>9</v>
      </c>
      <c r="AX67" s="1">
        <v>2877573175</v>
      </c>
      <c r="AY67" s="1">
        <v>38</v>
      </c>
      <c r="AZ67" s="1">
        <v>733051</v>
      </c>
      <c r="BA67" s="1">
        <v>733051</v>
      </c>
      <c r="BB67" s="1">
        <v>825.49</v>
      </c>
      <c r="BC67" s="1">
        <v>1</v>
      </c>
      <c r="BD67" s="1">
        <v>0</v>
      </c>
      <c r="BE67" s="1">
        <v>90</v>
      </c>
      <c r="BF67" s="1">
        <v>60003760</v>
      </c>
      <c r="BG67" s="1">
        <v>32767</v>
      </c>
      <c r="BH67" s="1">
        <v>5</v>
      </c>
      <c r="BJ67" s="1">
        <v>2727557380</v>
      </c>
      <c r="BK67" s="1">
        <v>39</v>
      </c>
      <c r="BL67" s="1">
        <v>1292785</v>
      </c>
      <c r="BM67" s="1">
        <v>1292785</v>
      </c>
      <c r="BN67" s="1">
        <v>875.01</v>
      </c>
      <c r="BO67" s="1">
        <v>1</v>
      </c>
      <c r="BP67" s="1">
        <v>0</v>
      </c>
      <c r="BQ67" s="1">
        <v>90</v>
      </c>
      <c r="BR67" s="1">
        <v>60003760</v>
      </c>
      <c r="BS67" s="1">
        <v>32767</v>
      </c>
      <c r="BT67" s="1">
        <v>5</v>
      </c>
      <c r="BV67" s="1">
        <v>2411781714</v>
      </c>
      <c r="BW67" s="1">
        <v>40</v>
      </c>
      <c r="BX67" s="1">
        <v>32634</v>
      </c>
      <c r="BY67" s="1">
        <v>32634</v>
      </c>
      <c r="BZ67" s="1">
        <v>2782.45</v>
      </c>
      <c r="CA67" s="1">
        <v>1</v>
      </c>
      <c r="CB67" s="1">
        <v>0</v>
      </c>
      <c r="CC67" s="1">
        <v>30</v>
      </c>
      <c r="CD67" s="1">
        <v>60003760</v>
      </c>
      <c r="CE67" s="1">
        <v>32767</v>
      </c>
      <c r="CF67" s="1">
        <v>13</v>
      </c>
      <c r="CH67" s="1">
        <v>2350157411</v>
      </c>
      <c r="CI67" s="1">
        <v>29668</v>
      </c>
      <c r="CJ67" s="1">
        <v>2</v>
      </c>
      <c r="CK67" s="1">
        <v>2</v>
      </c>
      <c r="CL67" s="1">
        <v>620000000</v>
      </c>
      <c r="CM67" s="1">
        <v>1</v>
      </c>
      <c r="CN67" s="1">
        <v>0</v>
      </c>
      <c r="CO67" s="1">
        <v>90</v>
      </c>
      <c r="CP67" s="1">
        <v>60003760</v>
      </c>
      <c r="CQ67" s="1">
        <v>32767</v>
      </c>
      <c r="CR67" s="1">
        <v>0</v>
      </c>
      <c r="CT67" s="1">
        <v>2392009227</v>
      </c>
      <c r="CU67" s="1">
        <v>16649</v>
      </c>
      <c r="CV67" s="1">
        <v>10000</v>
      </c>
      <c r="CW67" s="1">
        <v>10000</v>
      </c>
      <c r="CX67" s="1">
        <v>70000</v>
      </c>
      <c r="CY67" s="1">
        <v>1</v>
      </c>
      <c r="CZ67" s="1">
        <v>1</v>
      </c>
      <c r="DA67" s="1">
        <v>90</v>
      </c>
      <c r="DB67" s="1">
        <v>60003760</v>
      </c>
      <c r="DC67" s="1">
        <v>-1</v>
      </c>
      <c r="DD67" s="1">
        <v>0</v>
      </c>
      <c r="DF67" s="1">
        <v>2410841128</v>
      </c>
      <c r="DG67" s="1">
        <v>17887</v>
      </c>
      <c r="DH67" s="1">
        <v>1180827</v>
      </c>
      <c r="DI67" s="1">
        <v>1165827</v>
      </c>
      <c r="DJ67" s="1">
        <v>1021.87</v>
      </c>
      <c r="DK67" s="1">
        <v>1</v>
      </c>
      <c r="DL67" s="1">
        <v>0</v>
      </c>
      <c r="DM67" s="1">
        <v>90</v>
      </c>
      <c r="DN67" s="1">
        <v>60003760</v>
      </c>
      <c r="DO67" s="1">
        <v>32767</v>
      </c>
      <c r="DP67" s="1">
        <v>0</v>
      </c>
      <c r="DR67" s="1">
        <v>2772643625</v>
      </c>
      <c r="DS67" s="1">
        <v>17888</v>
      </c>
      <c r="DT67" s="1">
        <v>62500</v>
      </c>
      <c r="DU67" s="1">
        <v>62500</v>
      </c>
      <c r="DV67" s="1">
        <v>520</v>
      </c>
      <c r="DW67" s="1">
        <v>1</v>
      </c>
      <c r="DX67" s="1">
        <v>0</v>
      </c>
      <c r="DY67" s="1">
        <v>90</v>
      </c>
      <c r="DZ67" s="1">
        <v>60003760</v>
      </c>
      <c r="EA67" s="1">
        <v>32767</v>
      </c>
      <c r="EB67" s="1">
        <v>8</v>
      </c>
      <c r="ED67" s="1">
        <v>2877147253</v>
      </c>
      <c r="EE67" s="1">
        <v>16273</v>
      </c>
      <c r="EF67" s="1">
        <v>47014</v>
      </c>
      <c r="EG67" s="1">
        <v>14</v>
      </c>
      <c r="EH67" s="1">
        <v>368</v>
      </c>
      <c r="EI67" s="1">
        <v>1</v>
      </c>
      <c r="EJ67" s="1">
        <v>0</v>
      </c>
      <c r="EK67" s="1">
        <v>90</v>
      </c>
      <c r="EL67" s="1">
        <v>60003034</v>
      </c>
      <c r="EM67" s="1">
        <v>32767</v>
      </c>
      <c r="EN67" s="1">
        <v>4</v>
      </c>
      <c r="EP67" s="1">
        <v>2773756270</v>
      </c>
      <c r="EQ67" s="1">
        <v>17889</v>
      </c>
      <c r="ER67" s="1">
        <v>1184322</v>
      </c>
      <c r="ES67" s="1">
        <v>884322</v>
      </c>
      <c r="ET67" s="1">
        <v>999.95</v>
      </c>
      <c r="EU67" s="1">
        <v>1</v>
      </c>
      <c r="EV67" s="1">
        <v>0</v>
      </c>
      <c r="EW67" s="1">
        <v>90</v>
      </c>
      <c r="EX67" s="1">
        <v>60007585</v>
      </c>
      <c r="EY67" s="1">
        <v>32767</v>
      </c>
      <c r="EZ67" s="1">
        <v>7</v>
      </c>
      <c r="FB67" s="1">
        <v>2876909981</v>
      </c>
      <c r="FC67" s="1">
        <v>30259</v>
      </c>
      <c r="FD67" s="1">
        <v>280</v>
      </c>
      <c r="FE67" s="1">
        <v>280</v>
      </c>
      <c r="FF67" s="1">
        <v>5789299.9500000002</v>
      </c>
      <c r="FG67" s="1">
        <v>1</v>
      </c>
      <c r="FH67" s="1">
        <v>0</v>
      </c>
      <c r="FI67" s="1">
        <v>90</v>
      </c>
      <c r="FJ67" s="1">
        <v>60003760</v>
      </c>
      <c r="FK67" s="1">
        <v>32767</v>
      </c>
      <c r="FL67" s="1">
        <v>0</v>
      </c>
      <c r="FN67" s="1">
        <v>2832959741</v>
      </c>
      <c r="FO67" s="1">
        <v>25617</v>
      </c>
      <c r="FP67" s="1">
        <v>300</v>
      </c>
      <c r="FQ67" s="1">
        <v>276</v>
      </c>
      <c r="FR67" s="1">
        <v>4650009.13</v>
      </c>
      <c r="FS67" s="1">
        <v>1</v>
      </c>
      <c r="FT67" s="1">
        <v>1</v>
      </c>
      <c r="FU67" s="1">
        <v>90</v>
      </c>
      <c r="FV67" s="1">
        <v>60003760</v>
      </c>
      <c r="FW67" s="1">
        <v>-1</v>
      </c>
      <c r="FX67" s="1">
        <v>0</v>
      </c>
      <c r="FZ67" s="1">
        <v>2875004288</v>
      </c>
      <c r="GA67" s="1">
        <v>44</v>
      </c>
      <c r="GB67" s="1">
        <v>4630</v>
      </c>
      <c r="GC67" s="1">
        <v>4630</v>
      </c>
      <c r="GD67" s="1">
        <v>12725.99</v>
      </c>
      <c r="GE67" s="1">
        <v>1</v>
      </c>
      <c r="GF67" s="1">
        <v>0</v>
      </c>
      <c r="GG67" s="1">
        <v>90</v>
      </c>
      <c r="GH67" s="1">
        <v>60003760</v>
      </c>
      <c r="GI67" s="1">
        <v>32767</v>
      </c>
      <c r="GJ67" s="1">
        <v>4</v>
      </c>
      <c r="GL67" s="1">
        <v>2398787256</v>
      </c>
      <c r="GM67" s="1">
        <v>16681</v>
      </c>
      <c r="GN67" s="1">
        <v>2000000</v>
      </c>
      <c r="GO67" s="1">
        <v>2000000</v>
      </c>
      <c r="GP67" s="1">
        <v>5300</v>
      </c>
      <c r="GQ67" s="1">
        <v>1</v>
      </c>
      <c r="GR67" s="1">
        <v>1</v>
      </c>
      <c r="GS67" s="1">
        <v>90</v>
      </c>
      <c r="GT67" s="1">
        <v>60003760</v>
      </c>
      <c r="GU67" s="1">
        <v>-1</v>
      </c>
      <c r="GV67" s="1">
        <v>0</v>
      </c>
      <c r="GX67" s="1">
        <v>2673763126</v>
      </c>
      <c r="GY67" s="1">
        <v>16683</v>
      </c>
      <c r="GZ67" s="1">
        <v>10000</v>
      </c>
      <c r="HA67" s="1">
        <v>10000</v>
      </c>
      <c r="HB67" s="1">
        <v>853.01</v>
      </c>
      <c r="HC67" s="1">
        <v>1</v>
      </c>
      <c r="HD67" s="1">
        <v>1</v>
      </c>
      <c r="HE67" s="1">
        <v>90</v>
      </c>
      <c r="HF67" s="1">
        <v>60014935</v>
      </c>
      <c r="HG67" s="1">
        <v>10</v>
      </c>
      <c r="HH67" s="1">
        <v>0</v>
      </c>
      <c r="HJ67"/>
      <c r="HK67"/>
      <c r="HL67"/>
      <c r="HM67"/>
      <c r="HN67"/>
      <c r="HO67"/>
      <c r="HP67"/>
      <c r="HQ67"/>
      <c r="HR67"/>
      <c r="HS67"/>
      <c r="HT67"/>
      <c r="HV67" s="1">
        <v>2846262548</v>
      </c>
      <c r="HW67" s="1">
        <v>16274</v>
      </c>
      <c r="HX67" s="1">
        <v>1344415</v>
      </c>
      <c r="HY67" s="1">
        <v>576126</v>
      </c>
      <c r="HZ67" s="1">
        <v>799</v>
      </c>
      <c r="IA67" s="1">
        <v>1</v>
      </c>
      <c r="IB67" s="1">
        <v>0</v>
      </c>
      <c r="IC67" s="1">
        <v>90</v>
      </c>
      <c r="ID67" s="1">
        <v>60002242</v>
      </c>
      <c r="IE67" s="1">
        <v>32767</v>
      </c>
      <c r="IF67" s="1">
        <v>9</v>
      </c>
      <c r="IH67"/>
      <c r="II67"/>
      <c r="IJ67"/>
      <c r="IK67"/>
      <c r="IL67"/>
      <c r="IM67"/>
      <c r="IN67"/>
      <c r="IO67"/>
      <c r="IP67"/>
      <c r="IQ67"/>
      <c r="IR67"/>
      <c r="IT67" s="1">
        <v>2874579920</v>
      </c>
      <c r="IU67" s="1">
        <v>16679</v>
      </c>
      <c r="IV67" s="1">
        <v>1000000</v>
      </c>
      <c r="IW67" s="1">
        <v>423924</v>
      </c>
      <c r="IX67" s="1">
        <v>1741.99</v>
      </c>
      <c r="IY67" s="1">
        <v>1</v>
      </c>
      <c r="IZ67" s="1">
        <v>0</v>
      </c>
      <c r="JA67" s="1">
        <v>90</v>
      </c>
      <c r="JB67" s="1">
        <v>60003760</v>
      </c>
      <c r="JC67" s="1">
        <v>32767</v>
      </c>
      <c r="JD67" s="1">
        <v>0</v>
      </c>
      <c r="JF67" s="1">
        <v>2854213163</v>
      </c>
      <c r="JG67" s="1">
        <v>16272</v>
      </c>
      <c r="JH67" s="1">
        <v>387444</v>
      </c>
      <c r="JI67" s="1">
        <v>347444</v>
      </c>
      <c r="JJ67" s="1">
        <v>80</v>
      </c>
      <c r="JK67" s="1">
        <v>1</v>
      </c>
      <c r="JL67" s="1">
        <v>0</v>
      </c>
      <c r="JM67" s="1">
        <v>90</v>
      </c>
      <c r="JN67" s="1">
        <v>60004051</v>
      </c>
      <c r="JO67" s="1">
        <v>32767</v>
      </c>
      <c r="JP67" s="1">
        <v>7</v>
      </c>
      <c r="KD67" s="1">
        <v>2872329076</v>
      </c>
      <c r="KE67" s="1">
        <v>25605</v>
      </c>
      <c r="KF67" s="1">
        <v>9</v>
      </c>
      <c r="KG67" s="1">
        <v>9</v>
      </c>
      <c r="KH67" s="1">
        <v>110000</v>
      </c>
      <c r="KI67" s="1">
        <v>1</v>
      </c>
      <c r="KJ67" s="1">
        <v>0</v>
      </c>
      <c r="KK67" s="1">
        <v>7</v>
      </c>
      <c r="KL67" s="1">
        <v>60003934</v>
      </c>
      <c r="KM67" s="1">
        <v>32767</v>
      </c>
      <c r="KN67" s="1">
        <v>3</v>
      </c>
      <c r="KP67" s="1">
        <v>2877257626</v>
      </c>
      <c r="KQ67" s="1">
        <v>25624</v>
      </c>
      <c r="KR67" s="1">
        <v>5</v>
      </c>
      <c r="KS67" s="1">
        <v>5</v>
      </c>
      <c r="KT67" s="1">
        <v>19999999</v>
      </c>
      <c r="KU67" s="1">
        <v>1</v>
      </c>
      <c r="KV67" s="1">
        <v>0</v>
      </c>
      <c r="KW67" s="1">
        <v>14</v>
      </c>
      <c r="KX67" s="1">
        <v>60004219</v>
      </c>
      <c r="KY67" s="1">
        <v>32767</v>
      </c>
      <c r="KZ67" s="1">
        <v>1</v>
      </c>
      <c r="LB67" s="1">
        <v>2666895589</v>
      </c>
      <c r="LC67" s="1">
        <v>9832</v>
      </c>
      <c r="LD67" s="1">
        <v>106305</v>
      </c>
      <c r="LE67" s="1">
        <v>95129</v>
      </c>
      <c r="LF67" s="1">
        <v>11999.84</v>
      </c>
      <c r="LG67" s="1">
        <v>1</v>
      </c>
      <c r="LH67" s="1">
        <v>0</v>
      </c>
      <c r="LI67" s="1">
        <v>90</v>
      </c>
      <c r="LJ67" s="1">
        <v>60003760</v>
      </c>
      <c r="LK67" s="1">
        <v>32767</v>
      </c>
      <c r="LL67" s="1">
        <v>0</v>
      </c>
      <c r="LN67" s="1">
        <v>2877016355</v>
      </c>
      <c r="LO67" s="1">
        <v>10209</v>
      </c>
      <c r="LP67" s="1">
        <v>2</v>
      </c>
      <c r="LQ67" s="1">
        <v>1</v>
      </c>
      <c r="LR67" s="1">
        <v>112808011.11</v>
      </c>
      <c r="LS67" s="1">
        <v>1</v>
      </c>
      <c r="LT67" s="1">
        <v>1</v>
      </c>
      <c r="LU67" s="1">
        <v>90</v>
      </c>
      <c r="LV67" s="1">
        <v>60003760</v>
      </c>
      <c r="LW67" s="1">
        <v>-1</v>
      </c>
      <c r="LX67" s="1">
        <v>0</v>
      </c>
      <c r="LZ67"/>
      <c r="MA67"/>
      <c r="MB67"/>
      <c r="MC67"/>
      <c r="MD67"/>
      <c r="ME67"/>
      <c r="MF67"/>
      <c r="MG67"/>
      <c r="MH67"/>
      <c r="MI67"/>
      <c r="MJ67"/>
      <c r="ML67" s="1">
        <v>2877463443</v>
      </c>
      <c r="MM67" s="1">
        <v>25625</v>
      </c>
      <c r="MN67" s="1">
        <v>107</v>
      </c>
      <c r="MO67" s="1">
        <v>106</v>
      </c>
      <c r="MP67" s="1">
        <v>4215103</v>
      </c>
      <c r="MQ67" s="1">
        <v>1</v>
      </c>
      <c r="MR67" s="1">
        <v>1</v>
      </c>
      <c r="MS67" s="1">
        <v>90</v>
      </c>
      <c r="MT67" s="1">
        <v>60003760</v>
      </c>
      <c r="MU67" s="1">
        <v>-1</v>
      </c>
      <c r="MV67" s="1">
        <v>0</v>
      </c>
      <c r="MX67" s="1">
        <v>2878967506</v>
      </c>
      <c r="MY67" s="1">
        <v>16672</v>
      </c>
      <c r="MZ67" s="1">
        <v>3780000</v>
      </c>
      <c r="NA67" s="1">
        <v>3499132</v>
      </c>
      <c r="NB67" s="1">
        <v>122.72</v>
      </c>
      <c r="NC67" s="1">
        <v>1</v>
      </c>
      <c r="ND67" s="1">
        <v>0</v>
      </c>
      <c r="NE67" s="1">
        <v>90</v>
      </c>
      <c r="NF67" s="1">
        <v>60003760</v>
      </c>
      <c r="NG67" s="1">
        <v>32767</v>
      </c>
      <c r="NH67" s="1">
        <v>0</v>
      </c>
      <c r="NJ67" s="1">
        <v>2865372195</v>
      </c>
      <c r="NK67" s="1">
        <v>16673</v>
      </c>
      <c r="NL67" s="1">
        <v>6971395</v>
      </c>
      <c r="NM67" s="1">
        <v>4202615</v>
      </c>
      <c r="NN67" s="1">
        <v>103.38</v>
      </c>
      <c r="NO67" s="1">
        <v>1</v>
      </c>
      <c r="NP67" s="1">
        <v>0</v>
      </c>
      <c r="NQ67" s="1">
        <v>30</v>
      </c>
      <c r="NR67" s="1">
        <v>60003760</v>
      </c>
      <c r="NS67" s="1">
        <v>32767</v>
      </c>
      <c r="NT67" s="1">
        <v>6</v>
      </c>
      <c r="NV67" s="1">
        <v>2871390778</v>
      </c>
      <c r="NW67" s="1">
        <v>3689</v>
      </c>
      <c r="NX67" s="1">
        <v>125891</v>
      </c>
      <c r="NY67" s="1">
        <v>23206</v>
      </c>
      <c r="NZ67" s="1">
        <v>10198.99</v>
      </c>
      <c r="OA67" s="1">
        <v>1</v>
      </c>
      <c r="OB67" s="1">
        <v>0</v>
      </c>
      <c r="OC67" s="1">
        <v>90</v>
      </c>
      <c r="OD67" s="1">
        <v>60003760</v>
      </c>
      <c r="OE67" s="1">
        <v>32767</v>
      </c>
      <c r="OF67" s="1">
        <v>0</v>
      </c>
      <c r="OH67" s="1">
        <v>2846038852</v>
      </c>
      <c r="OI67" s="1">
        <v>25598</v>
      </c>
      <c r="OJ67" s="1">
        <v>20000</v>
      </c>
      <c r="OK67" s="1">
        <v>20000</v>
      </c>
      <c r="OL67" s="1">
        <v>148899</v>
      </c>
      <c r="OM67" s="1">
        <v>1</v>
      </c>
      <c r="ON67" s="1">
        <v>0</v>
      </c>
      <c r="OO67" s="1">
        <v>90</v>
      </c>
      <c r="OP67" s="1">
        <v>60003760</v>
      </c>
      <c r="OQ67" s="1">
        <v>32767</v>
      </c>
      <c r="OR67" s="1">
        <v>0</v>
      </c>
      <c r="OT67" s="1">
        <v>2878341102</v>
      </c>
      <c r="OU67" s="1">
        <v>25600</v>
      </c>
      <c r="OV67" s="1">
        <v>4414</v>
      </c>
      <c r="OW67" s="1">
        <v>4158</v>
      </c>
      <c r="OX67" s="1">
        <v>30889.919999999998</v>
      </c>
      <c r="OY67" s="1">
        <v>1</v>
      </c>
      <c r="OZ67" s="1">
        <v>0</v>
      </c>
      <c r="PA67" s="1">
        <v>90</v>
      </c>
      <c r="PB67" s="1">
        <v>60003760</v>
      </c>
      <c r="PC67" s="1">
        <v>32767</v>
      </c>
      <c r="PD67" s="1">
        <v>0</v>
      </c>
      <c r="PF67" s="1">
        <v>2873945957</v>
      </c>
      <c r="PG67" s="1">
        <v>16670</v>
      </c>
      <c r="PH67" s="1">
        <v>1090000</v>
      </c>
      <c r="PI67" s="1">
        <v>404000</v>
      </c>
      <c r="PJ67" s="1">
        <v>120.95</v>
      </c>
      <c r="PK67" s="1">
        <v>1</v>
      </c>
      <c r="PL67" s="1">
        <v>0</v>
      </c>
      <c r="PM67" s="1">
        <v>90</v>
      </c>
      <c r="PN67" s="1">
        <v>60003760</v>
      </c>
      <c r="PO67" s="1">
        <v>32767</v>
      </c>
      <c r="PP67" s="1">
        <v>7</v>
      </c>
      <c r="PR67" s="1">
        <v>2860046589</v>
      </c>
      <c r="PS67" s="1">
        <v>10222</v>
      </c>
      <c r="PT67" s="1">
        <v>1</v>
      </c>
      <c r="PU67" s="1">
        <v>1</v>
      </c>
      <c r="PV67" s="1">
        <v>100000005.65000001</v>
      </c>
      <c r="PW67" s="1">
        <v>1</v>
      </c>
      <c r="PX67" s="1">
        <v>1</v>
      </c>
      <c r="PY67" s="1">
        <v>90</v>
      </c>
      <c r="PZ67" s="1">
        <v>60003934</v>
      </c>
      <c r="QA67" s="1">
        <v>32767</v>
      </c>
      <c r="QB67" s="1">
        <v>0</v>
      </c>
      <c r="QD67" s="1">
        <v>2878730518</v>
      </c>
      <c r="QE67" s="1">
        <v>9830</v>
      </c>
      <c r="QF67" s="1">
        <v>28738</v>
      </c>
      <c r="QG67" s="1">
        <v>28738</v>
      </c>
      <c r="QH67" s="1">
        <v>7377</v>
      </c>
      <c r="QI67" s="1">
        <v>1</v>
      </c>
      <c r="QJ67" s="1">
        <v>0</v>
      </c>
      <c r="QK67" s="1">
        <v>90</v>
      </c>
      <c r="QL67" s="1">
        <v>60003760</v>
      </c>
      <c r="QM67" s="1">
        <v>32767</v>
      </c>
      <c r="QN67" s="1">
        <v>0</v>
      </c>
      <c r="QP67" s="1">
        <v>2871847690</v>
      </c>
      <c r="QQ67" s="1">
        <v>16671</v>
      </c>
      <c r="QR67" s="1">
        <v>50000</v>
      </c>
      <c r="QS67" s="1">
        <v>50000</v>
      </c>
      <c r="QT67" s="1">
        <v>105.77</v>
      </c>
      <c r="QU67" s="1">
        <v>1</v>
      </c>
      <c r="QV67" s="1">
        <v>0</v>
      </c>
      <c r="QW67" s="1">
        <v>90</v>
      </c>
      <c r="QX67" s="1">
        <v>60003760</v>
      </c>
      <c r="QY67" s="1">
        <v>32767</v>
      </c>
      <c r="QZ67" s="1">
        <v>7</v>
      </c>
      <c r="RB67" s="1">
        <v>2878336323</v>
      </c>
      <c r="RC67" s="1">
        <v>16682</v>
      </c>
      <c r="RD67" s="1">
        <v>444868</v>
      </c>
      <c r="RE67" s="1">
        <v>90197</v>
      </c>
      <c r="RF67" s="1">
        <v>3349.19</v>
      </c>
      <c r="RG67" s="1">
        <v>1</v>
      </c>
      <c r="RH67" s="1">
        <v>0</v>
      </c>
      <c r="RI67" s="1">
        <v>90</v>
      </c>
      <c r="RJ67" s="1">
        <v>60003760</v>
      </c>
      <c r="RK67" s="1">
        <v>32767</v>
      </c>
      <c r="RL67" s="1">
        <v>8</v>
      </c>
      <c r="RN67" s="1">
        <v>2387708169</v>
      </c>
      <c r="RO67" s="1">
        <v>16678</v>
      </c>
      <c r="RP67" s="1">
        <v>330000</v>
      </c>
      <c r="RQ67" s="1">
        <v>330000</v>
      </c>
      <c r="RR67" s="1">
        <v>170</v>
      </c>
      <c r="RS67" s="1">
        <v>1</v>
      </c>
      <c r="RT67" s="1">
        <v>1</v>
      </c>
      <c r="RU67" s="1">
        <v>90</v>
      </c>
      <c r="RV67" s="1">
        <v>60003760</v>
      </c>
      <c r="RW67" s="1">
        <v>-1</v>
      </c>
      <c r="RX67" s="1">
        <v>0</v>
      </c>
      <c r="RZ67" s="1">
        <v>2878863155</v>
      </c>
      <c r="SA67" s="1">
        <v>30310</v>
      </c>
      <c r="SB67" s="1">
        <v>10000</v>
      </c>
      <c r="SC67" s="1">
        <v>10000</v>
      </c>
      <c r="SD67" s="1">
        <v>912500</v>
      </c>
      <c r="SE67" s="1">
        <v>1</v>
      </c>
      <c r="SF67" s="1">
        <v>1</v>
      </c>
      <c r="SG67" s="1">
        <v>90</v>
      </c>
      <c r="SH67" s="1">
        <v>60003760</v>
      </c>
      <c r="SI67" s="1">
        <v>-1</v>
      </c>
      <c r="SJ67" s="1">
        <v>0</v>
      </c>
      <c r="SL67" s="1">
        <v>2761993008</v>
      </c>
      <c r="SM67" s="1">
        <v>30311</v>
      </c>
      <c r="SN67" s="1">
        <v>400</v>
      </c>
      <c r="SO67" s="1">
        <v>400</v>
      </c>
      <c r="SP67" s="1">
        <v>380999.88</v>
      </c>
      <c r="SQ67" s="1">
        <v>1</v>
      </c>
      <c r="SR67" s="1">
        <v>1</v>
      </c>
      <c r="SS67" s="1">
        <v>90</v>
      </c>
      <c r="ST67" s="1">
        <v>60003760</v>
      </c>
      <c r="SU67" s="1">
        <v>32767</v>
      </c>
      <c r="SV67" s="1">
        <v>0</v>
      </c>
      <c r="SX67" s="1">
        <v>2845802792</v>
      </c>
      <c r="SY67" s="1">
        <v>25595</v>
      </c>
      <c r="SZ67" s="1">
        <v>24</v>
      </c>
      <c r="TA67" s="1">
        <v>24</v>
      </c>
      <c r="TB67" s="1">
        <v>90000</v>
      </c>
      <c r="TC67" s="1">
        <v>1</v>
      </c>
      <c r="TD67" s="1">
        <v>0</v>
      </c>
      <c r="TE67" s="1">
        <v>90</v>
      </c>
      <c r="TF67" s="1">
        <v>60003760</v>
      </c>
      <c r="TG67" s="1">
        <v>32767</v>
      </c>
      <c r="TH67" s="1">
        <v>6</v>
      </c>
      <c r="TJ67" s="1">
        <v>2878302126</v>
      </c>
      <c r="TK67" s="1">
        <v>25606</v>
      </c>
      <c r="TL67" s="1">
        <v>45</v>
      </c>
      <c r="TM67" s="1">
        <v>45</v>
      </c>
      <c r="TN67" s="1">
        <v>23886</v>
      </c>
      <c r="TO67" s="1">
        <v>1</v>
      </c>
      <c r="TP67" s="1">
        <v>0</v>
      </c>
      <c r="TQ67" s="1">
        <v>7</v>
      </c>
      <c r="TR67" s="1">
        <v>60003760</v>
      </c>
      <c r="TS67" s="1">
        <v>32767</v>
      </c>
      <c r="TT67" s="1">
        <v>0</v>
      </c>
      <c r="TV67" s="1">
        <v>2878454293</v>
      </c>
      <c r="TW67" s="1">
        <v>25622</v>
      </c>
      <c r="TX67" s="1">
        <v>100</v>
      </c>
      <c r="TY67" s="1">
        <v>40</v>
      </c>
      <c r="TZ67" s="1">
        <v>13277003.220000001</v>
      </c>
      <c r="UA67" s="1">
        <v>1</v>
      </c>
      <c r="UB67" s="1">
        <v>1</v>
      </c>
      <c r="UC67" s="1">
        <v>90</v>
      </c>
      <c r="UD67" s="1">
        <v>60003760</v>
      </c>
      <c r="UE67" s="1">
        <v>-1</v>
      </c>
      <c r="UF67" s="1">
        <v>0</v>
      </c>
      <c r="UH67" s="1">
        <v>2836693634</v>
      </c>
      <c r="UI67" s="1">
        <v>16680</v>
      </c>
      <c r="UJ67" s="1">
        <v>1000000</v>
      </c>
      <c r="UK67" s="1">
        <v>589939</v>
      </c>
      <c r="UL67" s="1">
        <v>678.3</v>
      </c>
      <c r="UM67" s="1">
        <v>1</v>
      </c>
      <c r="UN67" s="1">
        <v>1</v>
      </c>
      <c r="UO67" s="1">
        <v>90</v>
      </c>
      <c r="UP67" s="1">
        <v>60003760</v>
      </c>
      <c r="UQ67" s="1">
        <v>-1</v>
      </c>
      <c r="UR67" s="1">
        <v>0</v>
      </c>
      <c r="UT67"/>
      <c r="UU67"/>
      <c r="UV67"/>
      <c r="UW67"/>
      <c r="UX67"/>
      <c r="UY67"/>
      <c r="UZ67"/>
      <c r="VA67"/>
      <c r="VB67"/>
      <c r="VC67"/>
      <c r="VD67"/>
      <c r="VF67"/>
      <c r="VG67"/>
      <c r="VH67"/>
      <c r="VI67"/>
      <c r="VJ67"/>
      <c r="VK67"/>
      <c r="VL67"/>
      <c r="VM67"/>
      <c r="VN67"/>
      <c r="VO67"/>
      <c r="VP67"/>
    </row>
    <row r="68" spans="2:588" x14ac:dyDescent="0.25">
      <c r="B68" s="1">
        <v>2816465486</v>
      </c>
      <c r="C68" s="1">
        <v>34</v>
      </c>
      <c r="D68" s="1">
        <v>1</v>
      </c>
      <c r="E68" s="1">
        <v>1</v>
      </c>
      <c r="F68" s="1">
        <v>590</v>
      </c>
      <c r="G68" s="1">
        <v>1</v>
      </c>
      <c r="H68" s="1">
        <v>0</v>
      </c>
      <c r="I68" s="1">
        <v>90</v>
      </c>
      <c r="J68" s="1">
        <v>60003760</v>
      </c>
      <c r="K68" s="1">
        <v>32767</v>
      </c>
      <c r="L68" s="1">
        <v>0</v>
      </c>
      <c r="N68" s="1">
        <v>2841846344</v>
      </c>
      <c r="O68" s="1">
        <v>35</v>
      </c>
      <c r="P68" s="1">
        <v>3874208</v>
      </c>
      <c r="Q68" s="1">
        <v>3874208</v>
      </c>
      <c r="R68" s="1">
        <v>15.69</v>
      </c>
      <c r="S68" s="1">
        <v>1</v>
      </c>
      <c r="T68" s="1">
        <v>0</v>
      </c>
      <c r="U68" s="1">
        <v>90</v>
      </c>
      <c r="V68" s="1">
        <v>60003760</v>
      </c>
      <c r="W68" s="1">
        <v>32767</v>
      </c>
      <c r="X68" s="1">
        <v>0</v>
      </c>
      <c r="Z68" s="1">
        <v>2773618342</v>
      </c>
      <c r="AA68" s="1">
        <v>36</v>
      </c>
      <c r="AB68" s="1">
        <v>293886</v>
      </c>
      <c r="AC68" s="1">
        <v>293886</v>
      </c>
      <c r="AD68" s="16">
        <v>58</v>
      </c>
      <c r="AE68" s="1">
        <v>1</v>
      </c>
      <c r="AF68" s="1">
        <v>0</v>
      </c>
      <c r="AG68" s="1">
        <v>90</v>
      </c>
      <c r="AH68" s="1">
        <v>60003760</v>
      </c>
      <c r="AI68" s="1">
        <v>32767</v>
      </c>
      <c r="AJ68" s="1">
        <v>11</v>
      </c>
      <c r="AL68" s="1">
        <v>2727302049</v>
      </c>
      <c r="AM68" s="1">
        <v>37</v>
      </c>
      <c r="AN68" s="1">
        <v>6763705</v>
      </c>
      <c r="AO68" s="1">
        <v>6763705</v>
      </c>
      <c r="AP68" s="16">
        <v>199.91</v>
      </c>
      <c r="AQ68" s="1">
        <v>1</v>
      </c>
      <c r="AR68" s="1">
        <v>0</v>
      </c>
      <c r="AS68" s="1">
        <v>90</v>
      </c>
      <c r="AT68" s="1">
        <v>60003760</v>
      </c>
      <c r="AU68" s="1">
        <v>32767</v>
      </c>
      <c r="AV68" s="1">
        <v>9</v>
      </c>
      <c r="AX68" s="1">
        <v>2864786947</v>
      </c>
      <c r="AY68" s="1">
        <v>38</v>
      </c>
      <c r="AZ68" s="1">
        <v>64708</v>
      </c>
      <c r="BA68" s="1">
        <v>20686</v>
      </c>
      <c r="BB68" s="1">
        <v>839.99</v>
      </c>
      <c r="BC68" s="1">
        <v>1</v>
      </c>
      <c r="BD68" s="1">
        <v>0</v>
      </c>
      <c r="BE68" s="1">
        <v>30</v>
      </c>
      <c r="BF68" s="1">
        <v>60004054</v>
      </c>
      <c r="BG68" s="1">
        <v>32767</v>
      </c>
      <c r="BH68" s="1">
        <v>6</v>
      </c>
      <c r="BJ68" s="1">
        <v>2720053828</v>
      </c>
      <c r="BK68" s="1">
        <v>39</v>
      </c>
      <c r="BL68" s="1">
        <v>5452330</v>
      </c>
      <c r="BM68" s="1">
        <v>5452330</v>
      </c>
      <c r="BN68" s="1">
        <v>904.01</v>
      </c>
      <c r="BO68" s="1">
        <v>1</v>
      </c>
      <c r="BP68" s="1">
        <v>0</v>
      </c>
      <c r="BQ68" s="1">
        <v>90</v>
      </c>
      <c r="BR68" s="1">
        <v>60003760</v>
      </c>
      <c r="BS68" s="1">
        <v>32767</v>
      </c>
      <c r="BT68" s="1">
        <v>5</v>
      </c>
      <c r="BV68" s="1">
        <v>2411495285</v>
      </c>
      <c r="BW68" s="1">
        <v>40</v>
      </c>
      <c r="BX68" s="1">
        <v>399260</v>
      </c>
      <c r="BY68" s="1">
        <v>399260</v>
      </c>
      <c r="BZ68" s="1">
        <v>2688</v>
      </c>
      <c r="CA68" s="1">
        <v>1</v>
      </c>
      <c r="CB68" s="1">
        <v>0</v>
      </c>
      <c r="CC68" s="1">
        <v>90</v>
      </c>
      <c r="CD68" s="1">
        <v>60003760</v>
      </c>
      <c r="CE68" s="1">
        <v>32767</v>
      </c>
      <c r="CF68" s="1">
        <v>13</v>
      </c>
      <c r="CH68" s="1">
        <v>2350563580</v>
      </c>
      <c r="CI68" s="1">
        <v>29668</v>
      </c>
      <c r="CJ68" s="1">
        <v>4</v>
      </c>
      <c r="CK68" s="1">
        <v>4</v>
      </c>
      <c r="CL68" s="1">
        <v>505651015.29000002</v>
      </c>
      <c r="CM68" s="1">
        <v>1</v>
      </c>
      <c r="CN68" s="1">
        <v>0</v>
      </c>
      <c r="CO68" s="1">
        <v>90</v>
      </c>
      <c r="CP68" s="1">
        <v>60003760</v>
      </c>
      <c r="CQ68" s="1">
        <v>32767</v>
      </c>
      <c r="CR68" s="1">
        <v>0</v>
      </c>
      <c r="CT68" s="1">
        <v>2392011944</v>
      </c>
      <c r="CU68" s="1">
        <v>16649</v>
      </c>
      <c r="CV68" s="1">
        <v>50000</v>
      </c>
      <c r="CW68" s="1">
        <v>50000</v>
      </c>
      <c r="CX68" s="1">
        <v>86007</v>
      </c>
      <c r="CY68" s="1">
        <v>1</v>
      </c>
      <c r="CZ68" s="1">
        <v>1</v>
      </c>
      <c r="DA68" s="1">
        <v>90</v>
      </c>
      <c r="DB68" s="1">
        <v>60003760</v>
      </c>
      <c r="DC68" s="1">
        <v>-1</v>
      </c>
      <c r="DD68" s="1">
        <v>0</v>
      </c>
      <c r="DF68" s="1">
        <v>2410841306</v>
      </c>
      <c r="DG68" s="1">
        <v>17887</v>
      </c>
      <c r="DH68" s="1">
        <v>1169019</v>
      </c>
      <c r="DI68" s="1">
        <v>1144019</v>
      </c>
      <c r="DJ68" s="1">
        <v>1021.86</v>
      </c>
      <c r="DK68" s="1">
        <v>1</v>
      </c>
      <c r="DL68" s="1">
        <v>0</v>
      </c>
      <c r="DM68" s="1">
        <v>90</v>
      </c>
      <c r="DN68" s="1">
        <v>60003760</v>
      </c>
      <c r="DO68" s="1">
        <v>32767</v>
      </c>
      <c r="DP68" s="1">
        <v>0</v>
      </c>
      <c r="DR68" s="1">
        <v>2770886948</v>
      </c>
      <c r="DS68" s="1">
        <v>17888</v>
      </c>
      <c r="DT68" s="1">
        <v>60225</v>
      </c>
      <c r="DU68" s="1">
        <v>60225</v>
      </c>
      <c r="DV68" s="1">
        <v>425</v>
      </c>
      <c r="DW68" s="1">
        <v>1</v>
      </c>
      <c r="DX68" s="1">
        <v>0</v>
      </c>
      <c r="DY68" s="1">
        <v>90</v>
      </c>
      <c r="DZ68" s="1">
        <v>60003760</v>
      </c>
      <c r="EA68" s="1">
        <v>32767</v>
      </c>
      <c r="EB68" s="1">
        <v>8</v>
      </c>
      <c r="ED68" s="1">
        <v>2787119860</v>
      </c>
      <c r="EE68" s="1">
        <v>16273</v>
      </c>
      <c r="EF68" s="1">
        <v>1000000</v>
      </c>
      <c r="EG68" s="1">
        <v>921287</v>
      </c>
      <c r="EH68" s="1">
        <v>899.99</v>
      </c>
      <c r="EI68" s="1">
        <v>1</v>
      </c>
      <c r="EJ68" s="1">
        <v>0</v>
      </c>
      <c r="EK68" s="1">
        <v>90</v>
      </c>
      <c r="EL68" s="1">
        <v>60010192</v>
      </c>
      <c r="EM68" s="1">
        <v>32767</v>
      </c>
      <c r="EN68" s="1">
        <v>5</v>
      </c>
      <c r="EP68" s="1">
        <v>2836142314</v>
      </c>
      <c r="EQ68" s="1">
        <v>17889</v>
      </c>
      <c r="ER68" s="1">
        <v>10520</v>
      </c>
      <c r="ES68" s="1">
        <v>520</v>
      </c>
      <c r="ET68" s="1">
        <v>435.35</v>
      </c>
      <c r="EU68" s="1">
        <v>1</v>
      </c>
      <c r="EV68" s="1">
        <v>0</v>
      </c>
      <c r="EW68" s="1">
        <v>90</v>
      </c>
      <c r="EX68" s="1">
        <v>60004468</v>
      </c>
      <c r="EY68" s="1">
        <v>32767</v>
      </c>
      <c r="EZ68" s="1">
        <v>5</v>
      </c>
      <c r="FB68" s="1">
        <v>2879082919</v>
      </c>
      <c r="FC68" s="1">
        <v>30259</v>
      </c>
      <c r="FD68" s="1">
        <v>72</v>
      </c>
      <c r="FE68" s="1">
        <v>32</v>
      </c>
      <c r="FF68" s="1">
        <v>5789299.9400000004</v>
      </c>
      <c r="FG68" s="1">
        <v>1</v>
      </c>
      <c r="FH68" s="1">
        <v>0</v>
      </c>
      <c r="FI68" s="1">
        <v>90</v>
      </c>
      <c r="FJ68" s="1">
        <v>60003760</v>
      </c>
      <c r="FK68" s="1">
        <v>32767</v>
      </c>
      <c r="FL68" s="1">
        <v>0</v>
      </c>
      <c r="FN68" s="1">
        <v>2830212394</v>
      </c>
      <c r="FO68" s="1">
        <v>25617</v>
      </c>
      <c r="FP68" s="1">
        <v>222</v>
      </c>
      <c r="FQ68" s="1">
        <v>222</v>
      </c>
      <c r="FR68" s="1">
        <v>4287000.1100000003</v>
      </c>
      <c r="FS68" s="1">
        <v>1</v>
      </c>
      <c r="FT68" s="1">
        <v>1</v>
      </c>
      <c r="FU68" s="1">
        <v>90</v>
      </c>
      <c r="FV68" s="1">
        <v>60003760</v>
      </c>
      <c r="FW68" s="1">
        <v>-1</v>
      </c>
      <c r="FX68" s="1">
        <v>0</v>
      </c>
      <c r="FZ68" s="1">
        <v>2874948344</v>
      </c>
      <c r="GA68" s="1">
        <v>44</v>
      </c>
      <c r="GB68" s="1">
        <v>17936</v>
      </c>
      <c r="GC68" s="1">
        <v>17936</v>
      </c>
      <c r="GD68" s="1">
        <v>12782.99</v>
      </c>
      <c r="GE68" s="1">
        <v>1</v>
      </c>
      <c r="GF68" s="1">
        <v>0</v>
      </c>
      <c r="GG68" s="1">
        <v>90</v>
      </c>
      <c r="GH68" s="1">
        <v>60003760</v>
      </c>
      <c r="GI68" s="1">
        <v>32767</v>
      </c>
      <c r="GJ68" s="1">
        <v>4</v>
      </c>
      <c r="GL68" s="1">
        <v>2398767705</v>
      </c>
      <c r="GM68" s="1">
        <v>16681</v>
      </c>
      <c r="GN68" s="1">
        <v>100000</v>
      </c>
      <c r="GO68" s="1">
        <v>100000</v>
      </c>
      <c r="GP68" s="1">
        <v>5500</v>
      </c>
      <c r="GQ68" s="1">
        <v>1</v>
      </c>
      <c r="GR68" s="1">
        <v>1</v>
      </c>
      <c r="GS68" s="1">
        <v>90</v>
      </c>
      <c r="GT68" s="1">
        <v>60003760</v>
      </c>
      <c r="GU68" s="1">
        <v>-1</v>
      </c>
      <c r="GV68" s="1">
        <v>0</v>
      </c>
      <c r="GX68" s="1">
        <v>2860194566</v>
      </c>
      <c r="GY68" s="1">
        <v>16683</v>
      </c>
      <c r="GZ68" s="1">
        <v>12000</v>
      </c>
      <c r="HA68" s="1">
        <v>12000</v>
      </c>
      <c r="HB68" s="1">
        <v>8342.89</v>
      </c>
      <c r="HC68" s="1">
        <v>1</v>
      </c>
      <c r="HD68" s="1">
        <v>1</v>
      </c>
      <c r="HE68" s="1">
        <v>30</v>
      </c>
      <c r="HF68" s="1">
        <v>60004222</v>
      </c>
      <c r="HG68" s="1">
        <v>5</v>
      </c>
      <c r="HH68" s="1">
        <v>0</v>
      </c>
      <c r="HJ68"/>
      <c r="HK68"/>
      <c r="HL68"/>
      <c r="HM68"/>
      <c r="HN68"/>
      <c r="HO68"/>
      <c r="HP68"/>
      <c r="HQ68"/>
      <c r="HR68"/>
      <c r="HS68"/>
      <c r="HT68"/>
      <c r="HV68" s="1">
        <v>2806816584</v>
      </c>
      <c r="HW68" s="1">
        <v>16274</v>
      </c>
      <c r="HX68" s="1">
        <v>73912</v>
      </c>
      <c r="HY68" s="1">
        <v>73912</v>
      </c>
      <c r="HZ68" s="1">
        <v>899.69</v>
      </c>
      <c r="IA68" s="1">
        <v>1</v>
      </c>
      <c r="IB68" s="1">
        <v>0</v>
      </c>
      <c r="IC68" s="1">
        <v>90</v>
      </c>
      <c r="ID68" s="1">
        <v>60007585</v>
      </c>
      <c r="IE68" s="1">
        <v>32767</v>
      </c>
      <c r="IF68" s="1">
        <v>8</v>
      </c>
      <c r="IH68"/>
      <c r="II68"/>
      <c r="IJ68"/>
      <c r="IK68"/>
      <c r="IL68"/>
      <c r="IM68"/>
      <c r="IN68"/>
      <c r="IO68"/>
      <c r="IP68"/>
      <c r="IQ68"/>
      <c r="IR68"/>
      <c r="IT68" s="1">
        <v>2876960278</v>
      </c>
      <c r="IU68" s="1">
        <v>16679</v>
      </c>
      <c r="IV68" s="1">
        <v>157880</v>
      </c>
      <c r="IW68" s="1">
        <v>157880</v>
      </c>
      <c r="IX68" s="1">
        <v>1970</v>
      </c>
      <c r="IY68" s="1">
        <v>1</v>
      </c>
      <c r="IZ68" s="1">
        <v>0</v>
      </c>
      <c r="JA68" s="1">
        <v>90</v>
      </c>
      <c r="JB68" s="1">
        <v>60003760</v>
      </c>
      <c r="JC68" s="1">
        <v>32767</v>
      </c>
      <c r="JD68" s="1">
        <v>0</v>
      </c>
      <c r="JF68" s="1">
        <v>2854218539</v>
      </c>
      <c r="JG68" s="1">
        <v>16272</v>
      </c>
      <c r="JH68" s="1">
        <v>136700</v>
      </c>
      <c r="JI68" s="1">
        <v>6700</v>
      </c>
      <c r="JJ68" s="1">
        <v>80</v>
      </c>
      <c r="JK68" s="1">
        <v>1</v>
      </c>
      <c r="JL68" s="1">
        <v>0</v>
      </c>
      <c r="JM68" s="1">
        <v>90</v>
      </c>
      <c r="JN68" s="1">
        <v>60003937</v>
      </c>
      <c r="JO68" s="1">
        <v>32767</v>
      </c>
      <c r="JP68" s="1">
        <v>3</v>
      </c>
      <c r="KD68" s="1">
        <v>2837647597</v>
      </c>
      <c r="KE68" s="1">
        <v>25605</v>
      </c>
      <c r="KF68" s="1">
        <v>209</v>
      </c>
      <c r="KG68" s="1">
        <v>209</v>
      </c>
      <c r="KH68" s="1">
        <v>119001.17</v>
      </c>
      <c r="KI68" s="1">
        <v>1</v>
      </c>
      <c r="KJ68" s="1">
        <v>0</v>
      </c>
      <c r="KK68" s="1">
        <v>90</v>
      </c>
      <c r="KL68" s="1">
        <v>60002281</v>
      </c>
      <c r="KM68" s="1">
        <v>32767</v>
      </c>
      <c r="KN68" s="1">
        <v>4</v>
      </c>
      <c r="KP68" s="1">
        <v>2853431755</v>
      </c>
      <c r="KQ68" s="1">
        <v>25624</v>
      </c>
      <c r="KR68" s="1">
        <v>1</v>
      </c>
      <c r="KS68" s="1">
        <v>1</v>
      </c>
      <c r="KT68" s="1">
        <v>18500000</v>
      </c>
      <c r="KU68" s="1">
        <v>1</v>
      </c>
      <c r="KV68" s="1">
        <v>0</v>
      </c>
      <c r="KW68" s="1">
        <v>90</v>
      </c>
      <c r="KX68" s="1">
        <v>60001804</v>
      </c>
      <c r="KY68" s="1">
        <v>32767</v>
      </c>
      <c r="KZ68" s="1">
        <v>9</v>
      </c>
      <c r="LB68" s="1">
        <v>2714883768</v>
      </c>
      <c r="LC68" s="1">
        <v>9832</v>
      </c>
      <c r="LD68" s="1">
        <v>19573</v>
      </c>
      <c r="LE68" s="1">
        <v>19573</v>
      </c>
      <c r="LF68" s="1">
        <v>11393.78</v>
      </c>
      <c r="LG68" s="1">
        <v>1</v>
      </c>
      <c r="LH68" s="1">
        <v>0</v>
      </c>
      <c r="LI68" s="1">
        <v>90</v>
      </c>
      <c r="LJ68" s="1">
        <v>60003760</v>
      </c>
      <c r="LK68" s="1">
        <v>32767</v>
      </c>
      <c r="LL68" s="1">
        <v>0</v>
      </c>
      <c r="LN68" s="1">
        <v>2877386247</v>
      </c>
      <c r="LO68" s="1">
        <v>10209</v>
      </c>
      <c r="LP68" s="1">
        <v>4</v>
      </c>
      <c r="LQ68" s="1">
        <v>4</v>
      </c>
      <c r="LR68" s="1">
        <v>112808013</v>
      </c>
      <c r="LS68" s="1">
        <v>1</v>
      </c>
      <c r="LT68" s="1">
        <v>1</v>
      </c>
      <c r="LU68" s="1">
        <v>7</v>
      </c>
      <c r="LV68" s="1">
        <v>60003760</v>
      </c>
      <c r="LW68" s="1">
        <v>-1</v>
      </c>
      <c r="LX68" s="1">
        <v>0</v>
      </c>
      <c r="LZ68"/>
      <c r="MA68"/>
      <c r="MB68"/>
      <c r="MC68"/>
      <c r="MD68"/>
      <c r="ME68"/>
      <c r="MF68"/>
      <c r="MG68"/>
      <c r="MH68"/>
      <c r="MI68"/>
      <c r="MJ68"/>
      <c r="ML68" s="1">
        <v>2580112555</v>
      </c>
      <c r="MM68" s="1">
        <v>25625</v>
      </c>
      <c r="MN68" s="1">
        <v>10</v>
      </c>
      <c r="MO68" s="1">
        <v>10</v>
      </c>
      <c r="MP68" s="1">
        <v>200000</v>
      </c>
      <c r="MQ68" s="1">
        <v>1</v>
      </c>
      <c r="MR68" s="1">
        <v>1</v>
      </c>
      <c r="MS68" s="1">
        <v>90</v>
      </c>
      <c r="MT68" s="1">
        <v>60014935</v>
      </c>
      <c r="MU68" s="1">
        <v>10</v>
      </c>
      <c r="MV68" s="1">
        <v>0</v>
      </c>
      <c r="MX68" s="1">
        <v>2874548603</v>
      </c>
      <c r="MY68" s="1">
        <v>16672</v>
      </c>
      <c r="MZ68" s="1">
        <v>1303322</v>
      </c>
      <c r="NA68" s="1">
        <v>1303322</v>
      </c>
      <c r="NB68" s="1">
        <v>122.7</v>
      </c>
      <c r="NC68" s="1">
        <v>1</v>
      </c>
      <c r="ND68" s="1">
        <v>0</v>
      </c>
      <c r="NE68" s="1">
        <v>90</v>
      </c>
      <c r="NF68" s="1">
        <v>60003760</v>
      </c>
      <c r="NG68" s="1">
        <v>32767</v>
      </c>
      <c r="NH68" s="1">
        <v>0</v>
      </c>
      <c r="NJ68" s="1">
        <v>2865544356</v>
      </c>
      <c r="NK68" s="1">
        <v>16673</v>
      </c>
      <c r="NL68" s="1">
        <v>9570000</v>
      </c>
      <c r="NM68" s="1">
        <v>3997400</v>
      </c>
      <c r="NN68" s="1">
        <v>105.84</v>
      </c>
      <c r="NO68" s="1">
        <v>1</v>
      </c>
      <c r="NP68" s="1">
        <v>0</v>
      </c>
      <c r="NQ68" s="1">
        <v>30</v>
      </c>
      <c r="NR68" s="1">
        <v>60003760</v>
      </c>
      <c r="NS68" s="1">
        <v>32767</v>
      </c>
      <c r="NT68" s="1">
        <v>6</v>
      </c>
      <c r="NV68" s="1">
        <v>2871461087</v>
      </c>
      <c r="NW68" s="1">
        <v>3689</v>
      </c>
      <c r="NX68" s="1">
        <v>1000</v>
      </c>
      <c r="NY68" s="1">
        <v>1000</v>
      </c>
      <c r="NZ68" s="1">
        <v>10390</v>
      </c>
      <c r="OA68" s="1">
        <v>1</v>
      </c>
      <c r="OB68" s="1">
        <v>0</v>
      </c>
      <c r="OC68" s="1">
        <v>90</v>
      </c>
      <c r="OD68" s="1">
        <v>60003760</v>
      </c>
      <c r="OE68" s="1">
        <v>32767</v>
      </c>
      <c r="OF68" s="1">
        <v>0</v>
      </c>
      <c r="OH68" s="1">
        <v>2846039438</v>
      </c>
      <c r="OI68" s="1">
        <v>25598</v>
      </c>
      <c r="OJ68" s="1">
        <v>25000</v>
      </c>
      <c r="OK68" s="1">
        <v>25000</v>
      </c>
      <c r="OL68" s="1">
        <v>147997</v>
      </c>
      <c r="OM68" s="1">
        <v>1</v>
      </c>
      <c r="ON68" s="1">
        <v>0</v>
      </c>
      <c r="OO68" s="1">
        <v>90</v>
      </c>
      <c r="OP68" s="1">
        <v>60003760</v>
      </c>
      <c r="OQ68" s="1">
        <v>32767</v>
      </c>
      <c r="OR68" s="1">
        <v>0</v>
      </c>
      <c r="OT68" s="1">
        <v>2878297147</v>
      </c>
      <c r="OU68" s="1">
        <v>25600</v>
      </c>
      <c r="OV68" s="1">
        <v>112</v>
      </c>
      <c r="OW68" s="1">
        <v>112</v>
      </c>
      <c r="OX68" s="1">
        <v>30896</v>
      </c>
      <c r="OY68" s="1">
        <v>1</v>
      </c>
      <c r="OZ68" s="1">
        <v>0</v>
      </c>
      <c r="PA68" s="1">
        <v>14</v>
      </c>
      <c r="PB68" s="1">
        <v>60003760</v>
      </c>
      <c r="PC68" s="1">
        <v>32767</v>
      </c>
      <c r="PD68" s="1">
        <v>0</v>
      </c>
      <c r="PF68" s="1">
        <v>2874067529</v>
      </c>
      <c r="PG68" s="1">
        <v>16670</v>
      </c>
      <c r="PH68" s="1">
        <v>4000000</v>
      </c>
      <c r="PI68" s="1">
        <v>4000000</v>
      </c>
      <c r="PJ68" s="1">
        <v>116.93</v>
      </c>
      <c r="PK68" s="1">
        <v>1</v>
      </c>
      <c r="PL68" s="1">
        <v>0</v>
      </c>
      <c r="PM68" s="1">
        <v>90</v>
      </c>
      <c r="PN68" s="1">
        <v>60003760</v>
      </c>
      <c r="PO68" s="1">
        <v>32767</v>
      </c>
      <c r="PP68" s="1">
        <v>7</v>
      </c>
      <c r="PR68" s="1">
        <v>2878765077</v>
      </c>
      <c r="PS68" s="1">
        <v>10222</v>
      </c>
      <c r="PT68" s="1">
        <v>15</v>
      </c>
      <c r="PU68" s="1">
        <v>15</v>
      </c>
      <c r="PV68" s="1">
        <v>110602000</v>
      </c>
      <c r="PW68" s="1">
        <v>1</v>
      </c>
      <c r="PX68" s="1">
        <v>1</v>
      </c>
      <c r="PY68" s="1">
        <v>90</v>
      </c>
      <c r="PZ68" s="1">
        <v>60003760</v>
      </c>
      <c r="QA68" s="1">
        <v>-1</v>
      </c>
      <c r="QB68" s="1">
        <v>0</v>
      </c>
      <c r="QD68" s="1">
        <v>2877005012</v>
      </c>
      <c r="QE68" s="1">
        <v>9830</v>
      </c>
      <c r="QF68" s="1">
        <v>466727</v>
      </c>
      <c r="QG68" s="1">
        <v>381481</v>
      </c>
      <c r="QH68" s="1">
        <v>7376.99</v>
      </c>
      <c r="QI68" s="1">
        <v>1</v>
      </c>
      <c r="QJ68" s="1">
        <v>0</v>
      </c>
      <c r="QK68" s="1">
        <v>90</v>
      </c>
      <c r="QL68" s="1">
        <v>60003760</v>
      </c>
      <c r="QM68" s="1">
        <v>32767</v>
      </c>
      <c r="QN68" s="1">
        <v>0</v>
      </c>
      <c r="QP68" s="1">
        <v>2762002155</v>
      </c>
      <c r="QQ68" s="1">
        <v>16671</v>
      </c>
      <c r="QR68" s="1">
        <v>1000000</v>
      </c>
      <c r="QS68" s="1">
        <v>1000000</v>
      </c>
      <c r="QT68" s="1">
        <v>30</v>
      </c>
      <c r="QU68" s="1">
        <v>10000</v>
      </c>
      <c r="QV68" s="1">
        <v>1</v>
      </c>
      <c r="QW68" s="1">
        <v>90</v>
      </c>
      <c r="QX68" s="1">
        <v>60003760</v>
      </c>
      <c r="QY68" s="1">
        <v>32767</v>
      </c>
      <c r="QZ68" s="1">
        <v>0</v>
      </c>
      <c r="RB68" s="1">
        <v>2762000048</v>
      </c>
      <c r="RC68" s="1">
        <v>16682</v>
      </c>
      <c r="RD68" s="1">
        <v>100000</v>
      </c>
      <c r="RE68" s="1">
        <v>100000</v>
      </c>
      <c r="RF68" s="1">
        <v>150</v>
      </c>
      <c r="RG68" s="1">
        <v>1</v>
      </c>
      <c r="RH68" s="1">
        <v>1</v>
      </c>
      <c r="RI68" s="1">
        <v>90</v>
      </c>
      <c r="RJ68" s="1">
        <v>60003760</v>
      </c>
      <c r="RK68" s="1">
        <v>32767</v>
      </c>
      <c r="RL68" s="1">
        <v>0</v>
      </c>
      <c r="RN68" s="1">
        <v>2583225798</v>
      </c>
      <c r="RO68" s="1">
        <v>16678</v>
      </c>
      <c r="RP68" s="1">
        <v>30000</v>
      </c>
      <c r="RQ68" s="1">
        <v>30000</v>
      </c>
      <c r="RR68" s="1">
        <v>151.11000000000001</v>
      </c>
      <c r="RS68" s="1">
        <v>1</v>
      </c>
      <c r="RT68" s="1">
        <v>1</v>
      </c>
      <c r="RU68" s="1">
        <v>90</v>
      </c>
      <c r="RV68" s="1">
        <v>60003760</v>
      </c>
      <c r="RW68" s="1">
        <v>-1</v>
      </c>
      <c r="RX68" s="1">
        <v>0</v>
      </c>
      <c r="RZ68" s="1">
        <v>2879074493</v>
      </c>
      <c r="SA68" s="1">
        <v>30310</v>
      </c>
      <c r="SB68" s="1">
        <v>2000</v>
      </c>
      <c r="SC68" s="1">
        <v>2000</v>
      </c>
      <c r="SD68" s="1">
        <v>1058200.01</v>
      </c>
      <c r="SE68" s="1">
        <v>1</v>
      </c>
      <c r="SF68" s="1">
        <v>1</v>
      </c>
      <c r="SG68" s="1">
        <v>90</v>
      </c>
      <c r="SH68" s="1">
        <v>60003760</v>
      </c>
      <c r="SI68" s="1">
        <v>-1</v>
      </c>
      <c r="SJ68" s="1">
        <v>0</v>
      </c>
      <c r="SL68" s="1">
        <v>2778624936</v>
      </c>
      <c r="SM68" s="1">
        <v>30311</v>
      </c>
      <c r="SN68" s="1">
        <v>500</v>
      </c>
      <c r="SO68" s="1">
        <v>498</v>
      </c>
      <c r="SP68" s="1">
        <v>422010.11</v>
      </c>
      <c r="SQ68" s="1">
        <v>1</v>
      </c>
      <c r="SR68" s="1">
        <v>1</v>
      </c>
      <c r="SS68" s="1">
        <v>90</v>
      </c>
      <c r="ST68" s="1">
        <v>60003760</v>
      </c>
      <c r="SU68" s="1">
        <v>5</v>
      </c>
      <c r="SV68" s="1">
        <v>0</v>
      </c>
      <c r="SX68" s="1">
        <v>2846015724</v>
      </c>
      <c r="SY68" s="1">
        <v>25595</v>
      </c>
      <c r="SZ68" s="1">
        <v>20000</v>
      </c>
      <c r="TA68" s="1">
        <v>20000</v>
      </c>
      <c r="TB68" s="1">
        <v>89999</v>
      </c>
      <c r="TC68" s="1">
        <v>1</v>
      </c>
      <c r="TD68" s="1">
        <v>0</v>
      </c>
      <c r="TE68" s="1">
        <v>90</v>
      </c>
      <c r="TF68" s="1">
        <v>60003760</v>
      </c>
      <c r="TG68" s="1">
        <v>32767</v>
      </c>
      <c r="TH68" s="1">
        <v>6</v>
      </c>
      <c r="TJ68" s="1">
        <v>2877267385</v>
      </c>
      <c r="TK68" s="1">
        <v>25606</v>
      </c>
      <c r="TL68" s="1">
        <v>50</v>
      </c>
      <c r="TM68" s="1">
        <v>50</v>
      </c>
      <c r="TN68" s="1">
        <v>23899.99</v>
      </c>
      <c r="TO68" s="1">
        <v>1</v>
      </c>
      <c r="TP68" s="1">
        <v>0</v>
      </c>
      <c r="TQ68" s="1">
        <v>90</v>
      </c>
      <c r="TR68" s="1">
        <v>60003760</v>
      </c>
      <c r="TS68" s="1">
        <v>32767</v>
      </c>
      <c r="TT68" s="1">
        <v>0</v>
      </c>
      <c r="TV68" s="1">
        <v>2877949408</v>
      </c>
      <c r="TW68" s="1">
        <v>25622</v>
      </c>
      <c r="TX68" s="1">
        <v>100</v>
      </c>
      <c r="TY68" s="1">
        <v>66</v>
      </c>
      <c r="TZ68" s="1">
        <v>13277004.07</v>
      </c>
      <c r="UA68" s="1">
        <v>1</v>
      </c>
      <c r="UB68" s="1">
        <v>1</v>
      </c>
      <c r="UC68" s="1">
        <v>90</v>
      </c>
      <c r="UD68" s="1">
        <v>60003760</v>
      </c>
      <c r="UE68" s="1">
        <v>-1</v>
      </c>
      <c r="UF68" s="1">
        <v>0</v>
      </c>
      <c r="UH68" s="1">
        <v>2878472458</v>
      </c>
      <c r="UI68" s="1">
        <v>16680</v>
      </c>
      <c r="UJ68" s="1">
        <v>21600</v>
      </c>
      <c r="UK68" s="1">
        <v>21600</v>
      </c>
      <c r="UL68" s="1">
        <v>678.31</v>
      </c>
      <c r="UM68" s="1">
        <v>1</v>
      </c>
      <c r="UN68" s="1">
        <v>1</v>
      </c>
      <c r="UO68" s="1">
        <v>30</v>
      </c>
      <c r="UP68" s="1">
        <v>60003760</v>
      </c>
      <c r="UQ68" s="1">
        <v>-1</v>
      </c>
      <c r="UR68" s="1">
        <v>0</v>
      </c>
      <c r="UT68"/>
      <c r="UU68"/>
      <c r="UV68"/>
      <c r="UW68"/>
      <c r="UX68"/>
      <c r="UY68"/>
      <c r="UZ68"/>
      <c r="VA68"/>
      <c r="VB68"/>
      <c r="VC68"/>
      <c r="VD68"/>
      <c r="VF68"/>
      <c r="VG68"/>
      <c r="VH68"/>
      <c r="VI68"/>
      <c r="VJ68"/>
      <c r="VK68"/>
      <c r="VL68"/>
      <c r="VM68"/>
      <c r="VN68"/>
      <c r="VO68"/>
      <c r="VP68"/>
    </row>
    <row r="69" spans="2:588" x14ac:dyDescent="0.25">
      <c r="B69" s="1">
        <v>2816565688</v>
      </c>
      <c r="C69" s="1">
        <v>34</v>
      </c>
      <c r="D69" s="1">
        <v>40737281</v>
      </c>
      <c r="E69" s="1">
        <v>40737281</v>
      </c>
      <c r="F69" s="1">
        <v>6.1</v>
      </c>
      <c r="G69" s="1">
        <v>1</v>
      </c>
      <c r="H69" s="1">
        <v>0</v>
      </c>
      <c r="I69" s="1">
        <v>90</v>
      </c>
      <c r="J69" s="1">
        <v>60003760</v>
      </c>
      <c r="K69" s="1">
        <v>32767</v>
      </c>
      <c r="L69" s="1">
        <v>0</v>
      </c>
      <c r="N69" s="1">
        <v>2841292888</v>
      </c>
      <c r="O69" s="1">
        <v>35</v>
      </c>
      <c r="P69" s="1">
        <v>1289628</v>
      </c>
      <c r="Q69" s="1">
        <v>1289628</v>
      </c>
      <c r="R69" s="1">
        <v>16.38</v>
      </c>
      <c r="S69" s="1">
        <v>1</v>
      </c>
      <c r="T69" s="1">
        <v>0</v>
      </c>
      <c r="U69" s="1">
        <v>90</v>
      </c>
      <c r="V69" s="1">
        <v>60003760</v>
      </c>
      <c r="W69" s="1">
        <v>32767</v>
      </c>
      <c r="X69" s="1">
        <v>0</v>
      </c>
      <c r="Z69" s="1">
        <v>2773215608</v>
      </c>
      <c r="AA69" s="1">
        <v>36</v>
      </c>
      <c r="AB69" s="1">
        <v>5228864</v>
      </c>
      <c r="AC69" s="1">
        <v>5228864</v>
      </c>
      <c r="AD69" s="16">
        <v>55.44</v>
      </c>
      <c r="AE69" s="1">
        <v>1</v>
      </c>
      <c r="AF69" s="1">
        <v>0</v>
      </c>
      <c r="AG69" s="1">
        <v>90</v>
      </c>
      <c r="AH69" s="1">
        <v>60003760</v>
      </c>
      <c r="AI69" s="1">
        <v>32767</v>
      </c>
      <c r="AJ69" s="1">
        <v>11</v>
      </c>
      <c r="AL69" s="1">
        <v>2722555038</v>
      </c>
      <c r="AM69" s="1">
        <v>37</v>
      </c>
      <c r="AN69" s="1">
        <v>10000000</v>
      </c>
      <c r="AO69" s="1">
        <v>9278979</v>
      </c>
      <c r="AP69" s="16">
        <v>205.92</v>
      </c>
      <c r="AQ69" s="1">
        <v>1</v>
      </c>
      <c r="AR69" s="1">
        <v>0</v>
      </c>
      <c r="AS69" s="1">
        <v>90</v>
      </c>
      <c r="AT69" s="1">
        <v>60003760</v>
      </c>
      <c r="AU69" s="1">
        <v>32767</v>
      </c>
      <c r="AV69" s="1">
        <v>9</v>
      </c>
      <c r="AX69" s="1">
        <v>2878223154</v>
      </c>
      <c r="AY69" s="1">
        <v>38</v>
      </c>
      <c r="AZ69" s="1">
        <v>16362</v>
      </c>
      <c r="BA69" s="1">
        <v>16362</v>
      </c>
      <c r="BB69" s="1">
        <v>820</v>
      </c>
      <c r="BC69" s="1">
        <v>1</v>
      </c>
      <c r="BD69" s="1">
        <v>0</v>
      </c>
      <c r="BE69" s="1">
        <v>90</v>
      </c>
      <c r="BF69" s="1">
        <v>60001645</v>
      </c>
      <c r="BG69" s="1">
        <v>32767</v>
      </c>
      <c r="BH69" s="1">
        <v>6</v>
      </c>
      <c r="BJ69" s="1">
        <v>2706301533</v>
      </c>
      <c r="BK69" s="1">
        <v>39</v>
      </c>
      <c r="BL69" s="1">
        <v>500000</v>
      </c>
      <c r="BM69" s="1">
        <v>500000</v>
      </c>
      <c r="BN69" s="1">
        <v>899.95</v>
      </c>
      <c r="BO69" s="1">
        <v>1</v>
      </c>
      <c r="BP69" s="1">
        <v>0</v>
      </c>
      <c r="BQ69" s="1">
        <v>90</v>
      </c>
      <c r="BR69" s="1">
        <v>60003760</v>
      </c>
      <c r="BS69" s="1">
        <v>32767</v>
      </c>
      <c r="BT69" s="1">
        <v>5</v>
      </c>
      <c r="BV69" s="1">
        <v>2404793908</v>
      </c>
      <c r="BW69" s="1">
        <v>40</v>
      </c>
      <c r="BX69" s="1">
        <v>1011</v>
      </c>
      <c r="BY69" s="1">
        <v>1011</v>
      </c>
      <c r="BZ69" s="1">
        <v>2700</v>
      </c>
      <c r="CA69" s="1">
        <v>1</v>
      </c>
      <c r="CB69" s="1">
        <v>0</v>
      </c>
      <c r="CC69" s="1">
        <v>90</v>
      </c>
      <c r="CD69" s="1">
        <v>60003760</v>
      </c>
      <c r="CE69" s="1">
        <v>32767</v>
      </c>
      <c r="CF69" s="1">
        <v>13</v>
      </c>
      <c r="CH69" s="1">
        <v>2347047133</v>
      </c>
      <c r="CI69" s="1">
        <v>29668</v>
      </c>
      <c r="CJ69" s="1">
        <v>1</v>
      </c>
      <c r="CK69" s="1">
        <v>1</v>
      </c>
      <c r="CL69" s="1">
        <v>646500361</v>
      </c>
      <c r="CM69" s="1">
        <v>1</v>
      </c>
      <c r="CN69" s="1">
        <v>0</v>
      </c>
      <c r="CO69" s="1">
        <v>90</v>
      </c>
      <c r="CP69" s="1">
        <v>60003760</v>
      </c>
      <c r="CQ69" s="1">
        <v>32767</v>
      </c>
      <c r="CR69" s="1">
        <v>0</v>
      </c>
      <c r="CT69" s="1">
        <v>2392012391</v>
      </c>
      <c r="CU69" s="1">
        <v>16649</v>
      </c>
      <c r="CV69" s="1">
        <v>20000</v>
      </c>
      <c r="CW69" s="1">
        <v>20000</v>
      </c>
      <c r="CX69" s="1">
        <v>75004.009999999995</v>
      </c>
      <c r="CY69" s="1">
        <v>1</v>
      </c>
      <c r="CZ69" s="1">
        <v>1</v>
      </c>
      <c r="DA69" s="1">
        <v>90</v>
      </c>
      <c r="DB69" s="1">
        <v>60003760</v>
      </c>
      <c r="DC69" s="1">
        <v>-1</v>
      </c>
      <c r="DD69" s="1">
        <v>0</v>
      </c>
      <c r="DF69" s="1">
        <v>2410840224</v>
      </c>
      <c r="DG69" s="1">
        <v>17887</v>
      </c>
      <c r="DH69" s="1">
        <v>1241682</v>
      </c>
      <c r="DI69" s="1">
        <v>1201682</v>
      </c>
      <c r="DJ69" s="1">
        <v>1021.92</v>
      </c>
      <c r="DK69" s="1">
        <v>1</v>
      </c>
      <c r="DL69" s="1">
        <v>0</v>
      </c>
      <c r="DM69" s="1">
        <v>90</v>
      </c>
      <c r="DN69" s="1">
        <v>60003760</v>
      </c>
      <c r="DO69" s="1">
        <v>32767</v>
      </c>
      <c r="DP69" s="1">
        <v>0</v>
      </c>
      <c r="DR69" s="1">
        <v>2777372338</v>
      </c>
      <c r="DS69" s="1">
        <v>17888</v>
      </c>
      <c r="DT69" s="1">
        <v>1000000</v>
      </c>
      <c r="DU69" s="1">
        <v>1000000</v>
      </c>
      <c r="DV69" s="1">
        <v>425</v>
      </c>
      <c r="DW69" s="1">
        <v>1</v>
      </c>
      <c r="DX69" s="1">
        <v>0</v>
      </c>
      <c r="DY69" s="1">
        <v>90</v>
      </c>
      <c r="DZ69" s="1">
        <v>60003760</v>
      </c>
      <c r="EA69" s="1">
        <v>32767</v>
      </c>
      <c r="EB69" s="1">
        <v>8</v>
      </c>
      <c r="ED69" s="1">
        <v>2520135213</v>
      </c>
      <c r="EE69" s="1">
        <v>16273</v>
      </c>
      <c r="EF69" s="1">
        <v>1300000</v>
      </c>
      <c r="EG69" s="1">
        <v>1116650</v>
      </c>
      <c r="EH69" s="1">
        <v>900.02</v>
      </c>
      <c r="EI69" s="1">
        <v>1</v>
      </c>
      <c r="EJ69" s="1">
        <v>0</v>
      </c>
      <c r="EK69" s="1">
        <v>90</v>
      </c>
      <c r="EL69" s="1">
        <v>60010192</v>
      </c>
      <c r="EM69" s="1">
        <v>32767</v>
      </c>
      <c r="EN69" s="1">
        <v>5</v>
      </c>
      <c r="EP69" s="1">
        <v>2823772311</v>
      </c>
      <c r="EQ69" s="1">
        <v>17889</v>
      </c>
      <c r="ER69" s="1">
        <v>90000</v>
      </c>
      <c r="ES69" s="1">
        <v>80000</v>
      </c>
      <c r="ET69" s="1">
        <v>650</v>
      </c>
      <c r="EU69" s="1">
        <v>1</v>
      </c>
      <c r="EV69" s="1">
        <v>0</v>
      </c>
      <c r="EW69" s="1">
        <v>90</v>
      </c>
      <c r="EX69" s="1">
        <v>60012325</v>
      </c>
      <c r="EY69" s="1">
        <v>32767</v>
      </c>
      <c r="EZ69" s="1">
        <v>10</v>
      </c>
      <c r="FB69" s="1">
        <v>2879128001</v>
      </c>
      <c r="FC69" s="1">
        <v>30259</v>
      </c>
      <c r="FD69" s="1">
        <v>33</v>
      </c>
      <c r="FE69" s="1">
        <v>33</v>
      </c>
      <c r="FF69" s="1">
        <v>5789299.9299999997</v>
      </c>
      <c r="FG69" s="1">
        <v>1</v>
      </c>
      <c r="FH69" s="1">
        <v>0</v>
      </c>
      <c r="FI69" s="1">
        <v>90</v>
      </c>
      <c r="FJ69" s="1">
        <v>60003760</v>
      </c>
      <c r="FK69" s="1">
        <v>32767</v>
      </c>
      <c r="FL69" s="1">
        <v>0</v>
      </c>
      <c r="FN69" s="1">
        <v>2830085446</v>
      </c>
      <c r="FO69" s="1">
        <v>25617</v>
      </c>
      <c r="FP69" s="1">
        <v>450</v>
      </c>
      <c r="FQ69" s="1">
        <v>254</v>
      </c>
      <c r="FR69" s="1">
        <v>4478006</v>
      </c>
      <c r="FS69" s="1">
        <v>1</v>
      </c>
      <c r="FT69" s="1">
        <v>1</v>
      </c>
      <c r="FU69" s="1">
        <v>30</v>
      </c>
      <c r="FV69" s="1">
        <v>60003760</v>
      </c>
      <c r="FW69" s="1">
        <v>-1</v>
      </c>
      <c r="FX69" s="1">
        <v>0</v>
      </c>
      <c r="FZ69" s="1">
        <v>2874924027</v>
      </c>
      <c r="GA69" s="1">
        <v>44</v>
      </c>
      <c r="GB69" s="1">
        <v>3200</v>
      </c>
      <c r="GC69" s="1">
        <v>3200</v>
      </c>
      <c r="GD69" s="1">
        <v>13017.82</v>
      </c>
      <c r="GE69" s="1">
        <v>1</v>
      </c>
      <c r="GF69" s="1">
        <v>0</v>
      </c>
      <c r="GG69" s="1">
        <v>14</v>
      </c>
      <c r="GH69" s="1">
        <v>60003760</v>
      </c>
      <c r="GI69" s="1">
        <v>32767</v>
      </c>
      <c r="GJ69" s="1">
        <v>4</v>
      </c>
      <c r="GL69" s="1">
        <v>2399507312</v>
      </c>
      <c r="GM69" s="1">
        <v>16681</v>
      </c>
      <c r="GN69" s="1">
        <v>20000</v>
      </c>
      <c r="GO69" s="1">
        <v>20000</v>
      </c>
      <c r="GP69" s="1">
        <v>5551.02</v>
      </c>
      <c r="GQ69" s="1">
        <v>1</v>
      </c>
      <c r="GR69" s="1">
        <v>1</v>
      </c>
      <c r="GS69" s="1">
        <v>90</v>
      </c>
      <c r="GT69" s="1">
        <v>60003760</v>
      </c>
      <c r="GU69" s="1">
        <v>-1</v>
      </c>
      <c r="GV69" s="1">
        <v>0</v>
      </c>
      <c r="GX69" s="1">
        <v>2750413602</v>
      </c>
      <c r="GY69" s="1">
        <v>16683</v>
      </c>
      <c r="GZ69" s="1">
        <v>50000</v>
      </c>
      <c r="HA69" s="1">
        <v>49942</v>
      </c>
      <c r="HB69" s="1">
        <v>4500.12</v>
      </c>
      <c r="HC69" s="1">
        <v>1</v>
      </c>
      <c r="HD69" s="1">
        <v>1</v>
      </c>
      <c r="HE69" s="1">
        <v>90</v>
      </c>
      <c r="HF69" s="1">
        <v>60004459</v>
      </c>
      <c r="HG69" s="1">
        <v>10</v>
      </c>
      <c r="HH69" s="1">
        <v>0</v>
      </c>
      <c r="HJ69"/>
      <c r="HK69"/>
      <c r="HL69"/>
      <c r="HM69"/>
      <c r="HN69"/>
      <c r="HO69"/>
      <c r="HP69"/>
      <c r="HQ69"/>
      <c r="HR69"/>
      <c r="HS69"/>
      <c r="HT69"/>
      <c r="HV69" s="1">
        <v>2857367764</v>
      </c>
      <c r="HW69" s="1">
        <v>16274</v>
      </c>
      <c r="HX69" s="1">
        <v>68165</v>
      </c>
      <c r="HY69" s="1">
        <v>43233</v>
      </c>
      <c r="HZ69" s="1">
        <v>500</v>
      </c>
      <c r="IA69" s="1">
        <v>1</v>
      </c>
      <c r="IB69" s="1">
        <v>0</v>
      </c>
      <c r="IC69" s="1">
        <v>90</v>
      </c>
      <c r="ID69" s="1">
        <v>60013141</v>
      </c>
      <c r="IE69" s="1">
        <v>32767</v>
      </c>
      <c r="IF69" s="1">
        <v>8</v>
      </c>
      <c r="IH69"/>
      <c r="II69"/>
      <c r="IJ69"/>
      <c r="IK69"/>
      <c r="IL69"/>
      <c r="IM69"/>
      <c r="IN69"/>
      <c r="IO69"/>
      <c r="IP69"/>
      <c r="IQ69"/>
      <c r="IR69"/>
      <c r="IT69" s="1">
        <v>2769383800</v>
      </c>
      <c r="IU69" s="1">
        <v>16679</v>
      </c>
      <c r="IV69" s="1">
        <v>85095</v>
      </c>
      <c r="IW69" s="1">
        <v>36095</v>
      </c>
      <c r="IX69" s="1">
        <v>2000</v>
      </c>
      <c r="IY69" s="1">
        <v>1</v>
      </c>
      <c r="IZ69" s="1">
        <v>0</v>
      </c>
      <c r="JA69" s="1">
        <v>90</v>
      </c>
      <c r="JB69" s="1">
        <v>60002737</v>
      </c>
      <c r="JC69" s="1">
        <v>32767</v>
      </c>
      <c r="JD69" s="1">
        <v>6</v>
      </c>
      <c r="JF69" s="1">
        <v>2777411995</v>
      </c>
      <c r="JG69" s="1">
        <v>16272</v>
      </c>
      <c r="JH69" s="1">
        <v>4093</v>
      </c>
      <c r="JI69" s="1">
        <v>93</v>
      </c>
      <c r="JJ69" s="1">
        <v>85</v>
      </c>
      <c r="JK69" s="1">
        <v>1</v>
      </c>
      <c r="JL69" s="1">
        <v>0</v>
      </c>
      <c r="JM69" s="1">
        <v>90</v>
      </c>
      <c r="JN69" s="1">
        <v>60003034</v>
      </c>
      <c r="JO69" s="1">
        <v>32767</v>
      </c>
      <c r="JP69" s="1">
        <v>4</v>
      </c>
      <c r="KD69" s="1">
        <v>2784641930</v>
      </c>
      <c r="KE69" s="1">
        <v>25605</v>
      </c>
      <c r="KF69" s="1">
        <v>27</v>
      </c>
      <c r="KG69" s="1">
        <v>27</v>
      </c>
      <c r="KH69" s="1">
        <v>125156.01</v>
      </c>
      <c r="KI69" s="1">
        <v>1</v>
      </c>
      <c r="KJ69" s="1">
        <v>0</v>
      </c>
      <c r="KK69" s="1">
        <v>90</v>
      </c>
      <c r="KL69" s="1">
        <v>60004057</v>
      </c>
      <c r="KM69" s="1">
        <v>32767</v>
      </c>
      <c r="KN69" s="1">
        <v>9</v>
      </c>
      <c r="KP69" s="1">
        <v>2782582311</v>
      </c>
      <c r="KQ69" s="1">
        <v>25624</v>
      </c>
      <c r="KR69" s="1">
        <v>1</v>
      </c>
      <c r="KS69" s="1">
        <v>1</v>
      </c>
      <c r="KT69" s="1">
        <v>19000000.030000001</v>
      </c>
      <c r="KU69" s="1">
        <v>1</v>
      </c>
      <c r="KV69" s="1">
        <v>0</v>
      </c>
      <c r="KW69" s="1">
        <v>90</v>
      </c>
      <c r="KX69" s="1">
        <v>60003043</v>
      </c>
      <c r="KY69" s="1">
        <v>32767</v>
      </c>
      <c r="KZ69" s="1">
        <v>9</v>
      </c>
      <c r="LB69" s="1">
        <v>2714851230</v>
      </c>
      <c r="LC69" s="1">
        <v>9832</v>
      </c>
      <c r="LD69" s="1">
        <v>66935</v>
      </c>
      <c r="LE69" s="1">
        <v>64535</v>
      </c>
      <c r="LF69" s="1">
        <v>11897.66</v>
      </c>
      <c r="LG69" s="1">
        <v>1</v>
      </c>
      <c r="LH69" s="1">
        <v>0</v>
      </c>
      <c r="LI69" s="1">
        <v>90</v>
      </c>
      <c r="LJ69" s="1">
        <v>60003760</v>
      </c>
      <c r="LK69" s="1">
        <v>32767</v>
      </c>
      <c r="LL69" s="1">
        <v>0</v>
      </c>
      <c r="LN69" s="1">
        <v>2877123284</v>
      </c>
      <c r="LO69" s="1">
        <v>10209</v>
      </c>
      <c r="LP69" s="1">
        <v>8</v>
      </c>
      <c r="LQ69" s="1">
        <v>3</v>
      </c>
      <c r="LR69" s="1">
        <v>112808013.09</v>
      </c>
      <c r="LS69" s="1">
        <v>1</v>
      </c>
      <c r="LT69" s="1">
        <v>1</v>
      </c>
      <c r="LU69" s="1">
        <v>14</v>
      </c>
      <c r="LV69" s="1">
        <v>60003760</v>
      </c>
      <c r="LW69" s="1">
        <v>-1</v>
      </c>
      <c r="LX69" s="1">
        <v>0</v>
      </c>
      <c r="LZ69"/>
      <c r="MA69"/>
      <c r="MB69"/>
      <c r="MC69"/>
      <c r="MD69"/>
      <c r="ME69"/>
      <c r="MF69"/>
      <c r="MG69"/>
      <c r="MH69"/>
      <c r="MI69"/>
      <c r="MJ69"/>
      <c r="ML69" s="1">
        <v>2840055350</v>
      </c>
      <c r="MM69" s="1">
        <v>25625</v>
      </c>
      <c r="MN69" s="1">
        <v>20</v>
      </c>
      <c r="MO69" s="1">
        <v>18</v>
      </c>
      <c r="MP69" s="1">
        <v>2570000.0099999998</v>
      </c>
      <c r="MQ69" s="1">
        <v>1</v>
      </c>
      <c r="MR69" s="1">
        <v>1</v>
      </c>
      <c r="MS69" s="1">
        <v>90</v>
      </c>
      <c r="MT69" s="1">
        <v>60003037</v>
      </c>
      <c r="MU69" s="1">
        <v>10</v>
      </c>
      <c r="MV69" s="1">
        <v>0</v>
      </c>
      <c r="MX69" s="1">
        <v>2872954550</v>
      </c>
      <c r="MY69" s="1">
        <v>16672</v>
      </c>
      <c r="MZ69" s="1">
        <v>1000000</v>
      </c>
      <c r="NA69" s="1">
        <v>249600</v>
      </c>
      <c r="NB69" s="1">
        <v>122.7</v>
      </c>
      <c r="NC69" s="1">
        <v>1</v>
      </c>
      <c r="ND69" s="1">
        <v>0</v>
      </c>
      <c r="NE69" s="1">
        <v>90</v>
      </c>
      <c r="NF69" s="1">
        <v>60003760</v>
      </c>
      <c r="NG69" s="1">
        <v>32767</v>
      </c>
      <c r="NH69" s="1">
        <v>0</v>
      </c>
      <c r="NJ69" s="1">
        <v>2871275404</v>
      </c>
      <c r="NK69" s="1">
        <v>16673</v>
      </c>
      <c r="NL69" s="1">
        <v>5000000</v>
      </c>
      <c r="NM69" s="1">
        <v>5000000</v>
      </c>
      <c r="NN69" s="1">
        <v>133</v>
      </c>
      <c r="NO69" s="1">
        <v>1</v>
      </c>
      <c r="NP69" s="1">
        <v>0</v>
      </c>
      <c r="NQ69" s="1">
        <v>90</v>
      </c>
      <c r="NR69" s="1">
        <v>60003760</v>
      </c>
      <c r="NS69" s="1">
        <v>32767</v>
      </c>
      <c r="NT69" s="1">
        <v>6</v>
      </c>
      <c r="NV69" s="1">
        <v>2871615120</v>
      </c>
      <c r="NW69" s="1">
        <v>3689</v>
      </c>
      <c r="NX69" s="1">
        <v>415</v>
      </c>
      <c r="NY69" s="1">
        <v>415</v>
      </c>
      <c r="NZ69" s="1">
        <v>10388</v>
      </c>
      <c r="OA69" s="1">
        <v>1</v>
      </c>
      <c r="OB69" s="1">
        <v>0</v>
      </c>
      <c r="OC69" s="1">
        <v>30</v>
      </c>
      <c r="OD69" s="1">
        <v>60003760</v>
      </c>
      <c r="OE69" s="1">
        <v>32767</v>
      </c>
      <c r="OF69" s="1">
        <v>0</v>
      </c>
      <c r="OH69" s="1">
        <v>2846040026</v>
      </c>
      <c r="OI69" s="1">
        <v>25598</v>
      </c>
      <c r="OJ69" s="1">
        <v>35000</v>
      </c>
      <c r="OK69" s="1">
        <v>20397</v>
      </c>
      <c r="OL69" s="1">
        <v>147899</v>
      </c>
      <c r="OM69" s="1">
        <v>1</v>
      </c>
      <c r="ON69" s="1">
        <v>0</v>
      </c>
      <c r="OO69" s="1">
        <v>90</v>
      </c>
      <c r="OP69" s="1">
        <v>60003760</v>
      </c>
      <c r="OQ69" s="1">
        <v>32767</v>
      </c>
      <c r="OR69" s="1">
        <v>0</v>
      </c>
      <c r="OT69" s="1">
        <v>2878299626</v>
      </c>
      <c r="OU69" s="1">
        <v>25600</v>
      </c>
      <c r="OV69" s="1">
        <v>131</v>
      </c>
      <c r="OW69" s="1">
        <v>131</v>
      </c>
      <c r="OX69" s="1">
        <v>30890</v>
      </c>
      <c r="OY69" s="1">
        <v>1</v>
      </c>
      <c r="OZ69" s="1">
        <v>0</v>
      </c>
      <c r="PA69" s="1">
        <v>7</v>
      </c>
      <c r="PB69" s="1">
        <v>60003760</v>
      </c>
      <c r="PC69" s="1">
        <v>32767</v>
      </c>
      <c r="PD69" s="1">
        <v>0</v>
      </c>
      <c r="PF69" s="1">
        <v>2874090144</v>
      </c>
      <c r="PG69" s="1">
        <v>16670</v>
      </c>
      <c r="PH69" s="1">
        <v>4330000</v>
      </c>
      <c r="PI69" s="1">
        <v>4330000</v>
      </c>
      <c r="PJ69" s="1">
        <v>120.5</v>
      </c>
      <c r="PK69" s="1">
        <v>1</v>
      </c>
      <c r="PL69" s="1">
        <v>0</v>
      </c>
      <c r="PM69" s="1">
        <v>30</v>
      </c>
      <c r="PN69" s="1">
        <v>60003760</v>
      </c>
      <c r="PO69" s="1">
        <v>32767</v>
      </c>
      <c r="PP69" s="1">
        <v>7</v>
      </c>
      <c r="PR69" s="1">
        <v>2878893315</v>
      </c>
      <c r="PS69" s="1">
        <v>10222</v>
      </c>
      <c r="PT69" s="1">
        <v>1</v>
      </c>
      <c r="PU69" s="1">
        <v>1</v>
      </c>
      <c r="PV69" s="1">
        <v>110861083.62</v>
      </c>
      <c r="PW69" s="1">
        <v>1</v>
      </c>
      <c r="PX69" s="1">
        <v>1</v>
      </c>
      <c r="PY69" s="1">
        <v>90</v>
      </c>
      <c r="PZ69" s="1">
        <v>60003760</v>
      </c>
      <c r="QA69" s="1">
        <v>-1</v>
      </c>
      <c r="QB69" s="1">
        <v>0</v>
      </c>
      <c r="QD69" s="1">
        <v>2879039217</v>
      </c>
      <c r="QE69" s="1">
        <v>9830</v>
      </c>
      <c r="QF69" s="1">
        <v>1765</v>
      </c>
      <c r="QG69" s="1">
        <v>1765</v>
      </c>
      <c r="QH69" s="1">
        <v>7376.97</v>
      </c>
      <c r="QI69" s="1">
        <v>1</v>
      </c>
      <c r="QJ69" s="1">
        <v>0</v>
      </c>
      <c r="QK69" s="1">
        <v>90</v>
      </c>
      <c r="QL69" s="1">
        <v>60003760</v>
      </c>
      <c r="QM69" s="1">
        <v>32767</v>
      </c>
      <c r="QN69" s="1">
        <v>0</v>
      </c>
      <c r="QP69" s="1">
        <v>2761093728</v>
      </c>
      <c r="QQ69" s="1">
        <v>16671</v>
      </c>
      <c r="QR69" s="1">
        <v>200000</v>
      </c>
      <c r="QS69" s="1">
        <v>144434</v>
      </c>
      <c r="QT69" s="1">
        <v>65.03</v>
      </c>
      <c r="QU69" s="1">
        <v>1</v>
      </c>
      <c r="QV69" s="1">
        <v>1</v>
      </c>
      <c r="QW69" s="1">
        <v>90</v>
      </c>
      <c r="QX69" s="1">
        <v>60003760</v>
      </c>
      <c r="QY69" s="1">
        <v>32767</v>
      </c>
      <c r="QZ69" s="1">
        <v>0</v>
      </c>
      <c r="RB69" s="1">
        <v>2810687677</v>
      </c>
      <c r="RC69" s="1">
        <v>16682</v>
      </c>
      <c r="RD69" s="1">
        <v>1000000</v>
      </c>
      <c r="RE69" s="1">
        <v>806150</v>
      </c>
      <c r="RF69" s="1">
        <v>2852.98</v>
      </c>
      <c r="RG69" s="1">
        <v>1</v>
      </c>
      <c r="RH69" s="1">
        <v>1</v>
      </c>
      <c r="RI69" s="1">
        <v>90</v>
      </c>
      <c r="RJ69" s="1">
        <v>60003760</v>
      </c>
      <c r="RK69" s="1">
        <v>-1</v>
      </c>
      <c r="RL69" s="1">
        <v>0</v>
      </c>
      <c r="RN69" s="1">
        <v>2643220050</v>
      </c>
      <c r="RO69" s="1">
        <v>16678</v>
      </c>
      <c r="RP69" s="1">
        <v>10000000</v>
      </c>
      <c r="RQ69" s="1">
        <v>9981193</v>
      </c>
      <c r="RR69" s="1">
        <v>79.989999999999995</v>
      </c>
      <c r="RS69" s="1">
        <v>1</v>
      </c>
      <c r="RT69" s="1">
        <v>1</v>
      </c>
      <c r="RU69" s="1">
        <v>90</v>
      </c>
      <c r="RV69" s="1">
        <v>60003760</v>
      </c>
      <c r="RW69" s="1">
        <v>20</v>
      </c>
      <c r="RX69" s="1">
        <v>0</v>
      </c>
      <c r="RZ69" s="1">
        <v>2879023016</v>
      </c>
      <c r="SA69" s="1">
        <v>30310</v>
      </c>
      <c r="SB69" s="1">
        <v>2300</v>
      </c>
      <c r="SC69" s="1">
        <v>2208</v>
      </c>
      <c r="SD69" s="1">
        <v>1058300</v>
      </c>
      <c r="SE69" s="1">
        <v>1</v>
      </c>
      <c r="SF69" s="1">
        <v>1</v>
      </c>
      <c r="SG69" s="1">
        <v>90</v>
      </c>
      <c r="SH69" s="1">
        <v>60003760</v>
      </c>
      <c r="SI69" s="1">
        <v>-1</v>
      </c>
      <c r="SJ69" s="1">
        <v>0</v>
      </c>
      <c r="SL69" s="1">
        <v>2787209449</v>
      </c>
      <c r="SM69" s="1">
        <v>30311</v>
      </c>
      <c r="SN69" s="1">
        <v>100</v>
      </c>
      <c r="SO69" s="1">
        <v>100</v>
      </c>
      <c r="SP69" s="1">
        <v>420000.15</v>
      </c>
      <c r="SQ69" s="1">
        <v>1</v>
      </c>
      <c r="SR69" s="1">
        <v>1</v>
      </c>
      <c r="SS69" s="1">
        <v>90</v>
      </c>
      <c r="ST69" s="1">
        <v>60003760</v>
      </c>
      <c r="SU69" s="1">
        <v>20</v>
      </c>
      <c r="SV69" s="1">
        <v>0</v>
      </c>
      <c r="SX69" s="1">
        <v>2846016259</v>
      </c>
      <c r="SY69" s="1">
        <v>25595</v>
      </c>
      <c r="SZ69" s="1">
        <v>10000</v>
      </c>
      <c r="TA69" s="1">
        <v>10000</v>
      </c>
      <c r="TB69" s="1">
        <v>86999</v>
      </c>
      <c r="TC69" s="1">
        <v>1</v>
      </c>
      <c r="TD69" s="1">
        <v>0</v>
      </c>
      <c r="TE69" s="1">
        <v>90</v>
      </c>
      <c r="TF69" s="1">
        <v>60003760</v>
      </c>
      <c r="TG69" s="1">
        <v>32767</v>
      </c>
      <c r="TH69" s="1">
        <v>6</v>
      </c>
      <c r="TJ69" s="1">
        <v>2877291438</v>
      </c>
      <c r="TK69" s="1">
        <v>25606</v>
      </c>
      <c r="TL69" s="1">
        <v>30</v>
      </c>
      <c r="TM69" s="1">
        <v>30</v>
      </c>
      <c r="TN69" s="1">
        <v>23888</v>
      </c>
      <c r="TO69" s="1">
        <v>1</v>
      </c>
      <c r="TP69" s="1">
        <v>0</v>
      </c>
      <c r="TQ69" s="1">
        <v>90</v>
      </c>
      <c r="TR69" s="1">
        <v>60003760</v>
      </c>
      <c r="TS69" s="1">
        <v>32767</v>
      </c>
      <c r="TT69" s="1">
        <v>0</v>
      </c>
      <c r="TV69" s="1">
        <v>2877769170</v>
      </c>
      <c r="TW69" s="1">
        <v>25622</v>
      </c>
      <c r="TX69" s="1">
        <v>100</v>
      </c>
      <c r="TY69" s="1">
        <v>68</v>
      </c>
      <c r="TZ69" s="1">
        <v>13700000.029999999</v>
      </c>
      <c r="UA69" s="1">
        <v>1</v>
      </c>
      <c r="UB69" s="1">
        <v>1</v>
      </c>
      <c r="UC69" s="1">
        <v>90</v>
      </c>
      <c r="UD69" s="1">
        <v>60003760</v>
      </c>
      <c r="UE69" s="1">
        <v>-1</v>
      </c>
      <c r="UF69" s="1">
        <v>0</v>
      </c>
      <c r="UH69" s="1">
        <v>2878587034</v>
      </c>
      <c r="UI69" s="1">
        <v>16680</v>
      </c>
      <c r="UJ69" s="1">
        <v>675</v>
      </c>
      <c r="UK69" s="1">
        <v>675</v>
      </c>
      <c r="UL69" s="1">
        <v>679</v>
      </c>
      <c r="UM69" s="1">
        <v>1</v>
      </c>
      <c r="UN69" s="1">
        <v>1</v>
      </c>
      <c r="UO69" s="1">
        <v>30</v>
      </c>
      <c r="UP69" s="1">
        <v>60003760</v>
      </c>
      <c r="UQ69" s="1">
        <v>-1</v>
      </c>
      <c r="UR69" s="1">
        <v>0</v>
      </c>
      <c r="UT69"/>
      <c r="UU69"/>
      <c r="UV69"/>
      <c r="UW69"/>
      <c r="UX69"/>
      <c r="UY69"/>
      <c r="UZ69"/>
      <c r="VA69"/>
      <c r="VB69"/>
      <c r="VC69"/>
      <c r="VD69"/>
      <c r="VF69"/>
      <c r="VG69"/>
      <c r="VH69"/>
      <c r="VI69"/>
      <c r="VJ69"/>
      <c r="VK69"/>
      <c r="VL69"/>
      <c r="VM69"/>
      <c r="VN69"/>
      <c r="VO69"/>
      <c r="VP69"/>
    </row>
    <row r="70" spans="2:588" x14ac:dyDescent="0.25">
      <c r="B70" s="1">
        <v>2822914150</v>
      </c>
      <c r="C70" s="1">
        <v>34</v>
      </c>
      <c r="D70" s="1">
        <v>9364562</v>
      </c>
      <c r="E70" s="1">
        <v>9364562</v>
      </c>
      <c r="F70" s="1">
        <v>6.07</v>
      </c>
      <c r="G70" s="1">
        <v>1</v>
      </c>
      <c r="H70" s="1">
        <v>0</v>
      </c>
      <c r="I70" s="1">
        <v>90</v>
      </c>
      <c r="J70" s="1">
        <v>60003760</v>
      </c>
      <c r="K70" s="1">
        <v>32767</v>
      </c>
      <c r="L70" s="1">
        <v>0</v>
      </c>
      <c r="N70" s="1">
        <v>2840045896</v>
      </c>
      <c r="O70" s="1">
        <v>35</v>
      </c>
      <c r="P70" s="1">
        <v>6103309</v>
      </c>
      <c r="Q70" s="1">
        <v>6103309</v>
      </c>
      <c r="R70" s="1">
        <v>15.69</v>
      </c>
      <c r="S70" s="1">
        <v>1</v>
      </c>
      <c r="T70" s="1">
        <v>0</v>
      </c>
      <c r="U70" s="1">
        <v>90</v>
      </c>
      <c r="V70" s="1">
        <v>60003760</v>
      </c>
      <c r="W70" s="1">
        <v>32767</v>
      </c>
      <c r="X70" s="1">
        <v>0</v>
      </c>
      <c r="Z70" s="1">
        <v>2773308880</v>
      </c>
      <c r="AA70" s="1">
        <v>36</v>
      </c>
      <c r="AB70" s="1">
        <v>10829467</v>
      </c>
      <c r="AC70" s="1">
        <v>9257019</v>
      </c>
      <c r="AD70" s="16">
        <v>54.94</v>
      </c>
      <c r="AE70" s="1">
        <v>1</v>
      </c>
      <c r="AF70" s="1">
        <v>0</v>
      </c>
      <c r="AG70" s="1">
        <v>90</v>
      </c>
      <c r="AH70" s="1">
        <v>60003760</v>
      </c>
      <c r="AI70" s="1">
        <v>32767</v>
      </c>
      <c r="AJ70" s="1">
        <v>11</v>
      </c>
      <c r="AL70" s="1">
        <v>2723046094</v>
      </c>
      <c r="AM70" s="1">
        <v>37</v>
      </c>
      <c r="AN70" s="1">
        <v>11325345</v>
      </c>
      <c r="AO70" s="1">
        <v>11325345</v>
      </c>
      <c r="AP70" s="16">
        <v>215.13</v>
      </c>
      <c r="AQ70" s="1">
        <v>1</v>
      </c>
      <c r="AR70" s="1">
        <v>0</v>
      </c>
      <c r="AS70" s="1">
        <v>90</v>
      </c>
      <c r="AT70" s="1">
        <v>60003760</v>
      </c>
      <c r="AU70" s="1">
        <v>32767</v>
      </c>
      <c r="AV70" s="1">
        <v>9</v>
      </c>
      <c r="AX70" s="1">
        <v>2829905191</v>
      </c>
      <c r="AY70" s="1">
        <v>38</v>
      </c>
      <c r="AZ70" s="1">
        <v>433533</v>
      </c>
      <c r="BA70" s="1">
        <v>252362</v>
      </c>
      <c r="BB70" s="1">
        <v>900</v>
      </c>
      <c r="BC70" s="1">
        <v>1</v>
      </c>
      <c r="BD70" s="1">
        <v>0</v>
      </c>
      <c r="BE70" s="1">
        <v>90</v>
      </c>
      <c r="BF70" s="1">
        <v>60002743</v>
      </c>
      <c r="BG70" s="1">
        <v>32767</v>
      </c>
      <c r="BH70" s="1">
        <v>6</v>
      </c>
      <c r="BJ70" s="1">
        <v>2706301635</v>
      </c>
      <c r="BK70" s="1">
        <v>39</v>
      </c>
      <c r="BL70" s="1">
        <v>500000</v>
      </c>
      <c r="BM70" s="1">
        <v>500000</v>
      </c>
      <c r="BN70" s="1">
        <v>899.95</v>
      </c>
      <c r="BO70" s="1">
        <v>1</v>
      </c>
      <c r="BP70" s="1">
        <v>0</v>
      </c>
      <c r="BQ70" s="1">
        <v>90</v>
      </c>
      <c r="BR70" s="1">
        <v>60003760</v>
      </c>
      <c r="BS70" s="1">
        <v>32767</v>
      </c>
      <c r="BT70" s="1">
        <v>5</v>
      </c>
      <c r="BV70" s="1">
        <v>2405117945</v>
      </c>
      <c r="BW70" s="1">
        <v>40</v>
      </c>
      <c r="BX70" s="1">
        <v>127453</v>
      </c>
      <c r="BY70" s="1">
        <v>127453</v>
      </c>
      <c r="BZ70" s="1">
        <v>2820</v>
      </c>
      <c r="CA70" s="1">
        <v>1</v>
      </c>
      <c r="CB70" s="1">
        <v>0</v>
      </c>
      <c r="CC70" s="1">
        <v>30</v>
      </c>
      <c r="CD70" s="1">
        <v>60003760</v>
      </c>
      <c r="CE70" s="1">
        <v>32767</v>
      </c>
      <c r="CF70" s="1">
        <v>13</v>
      </c>
      <c r="CH70" s="1">
        <v>2346040862</v>
      </c>
      <c r="CI70" s="1">
        <v>29668</v>
      </c>
      <c r="CJ70" s="1">
        <v>1</v>
      </c>
      <c r="CK70" s="1">
        <v>1</v>
      </c>
      <c r="CL70" s="1">
        <v>620000000</v>
      </c>
      <c r="CM70" s="1">
        <v>1</v>
      </c>
      <c r="CN70" s="1">
        <v>0</v>
      </c>
      <c r="CO70" s="1">
        <v>90</v>
      </c>
      <c r="CP70" s="1">
        <v>60003760</v>
      </c>
      <c r="CQ70" s="1">
        <v>32767</v>
      </c>
      <c r="CR70" s="1">
        <v>0</v>
      </c>
      <c r="CT70" s="1">
        <v>2392013800</v>
      </c>
      <c r="CU70" s="1">
        <v>16649</v>
      </c>
      <c r="CV70" s="1">
        <v>100000</v>
      </c>
      <c r="CW70" s="1">
        <v>100000</v>
      </c>
      <c r="CX70" s="1">
        <v>75018.009999999995</v>
      </c>
      <c r="CY70" s="1">
        <v>1</v>
      </c>
      <c r="CZ70" s="1">
        <v>1</v>
      </c>
      <c r="DA70" s="1">
        <v>90</v>
      </c>
      <c r="DB70" s="1">
        <v>60003760</v>
      </c>
      <c r="DC70" s="1">
        <v>-1</v>
      </c>
      <c r="DD70" s="1">
        <v>0</v>
      </c>
      <c r="DF70" s="1">
        <v>2410840407</v>
      </c>
      <c r="DG70" s="1">
        <v>17887</v>
      </c>
      <c r="DH70" s="1">
        <v>1229265</v>
      </c>
      <c r="DI70" s="1">
        <v>1229265</v>
      </c>
      <c r="DJ70" s="1">
        <v>1021.91</v>
      </c>
      <c r="DK70" s="1">
        <v>1</v>
      </c>
      <c r="DL70" s="1">
        <v>0</v>
      </c>
      <c r="DM70" s="1">
        <v>90</v>
      </c>
      <c r="DN70" s="1">
        <v>60003760</v>
      </c>
      <c r="DO70" s="1">
        <v>32767</v>
      </c>
      <c r="DP70" s="1">
        <v>0</v>
      </c>
      <c r="DR70" s="1">
        <v>2780138433</v>
      </c>
      <c r="DS70" s="1">
        <v>17888</v>
      </c>
      <c r="DT70" s="1">
        <v>1000000</v>
      </c>
      <c r="DU70" s="1">
        <v>1000000</v>
      </c>
      <c r="DV70" s="1">
        <v>600</v>
      </c>
      <c r="DW70" s="1">
        <v>1</v>
      </c>
      <c r="DX70" s="1">
        <v>0</v>
      </c>
      <c r="DY70" s="1">
        <v>90</v>
      </c>
      <c r="DZ70" s="1">
        <v>60003760</v>
      </c>
      <c r="EA70" s="1">
        <v>32767</v>
      </c>
      <c r="EB70" s="1">
        <v>8</v>
      </c>
      <c r="ED70" s="1">
        <v>2763253232</v>
      </c>
      <c r="EE70" s="1">
        <v>16273</v>
      </c>
      <c r="EF70" s="1">
        <v>96986</v>
      </c>
      <c r="EG70" s="1">
        <v>21936</v>
      </c>
      <c r="EH70" s="1">
        <v>410</v>
      </c>
      <c r="EI70" s="1">
        <v>1</v>
      </c>
      <c r="EJ70" s="1">
        <v>0</v>
      </c>
      <c r="EK70" s="1">
        <v>90</v>
      </c>
      <c r="EL70" s="1">
        <v>60003145</v>
      </c>
      <c r="EM70" s="1">
        <v>32767</v>
      </c>
      <c r="EN70" s="1">
        <v>6</v>
      </c>
      <c r="EP70" s="1">
        <v>2707907129</v>
      </c>
      <c r="EQ70" s="1">
        <v>17889</v>
      </c>
      <c r="ER70" s="1">
        <v>400000</v>
      </c>
      <c r="ES70" s="1">
        <v>365000</v>
      </c>
      <c r="ET70" s="1">
        <v>675</v>
      </c>
      <c r="EU70" s="1">
        <v>1</v>
      </c>
      <c r="EV70" s="1">
        <v>0</v>
      </c>
      <c r="EW70" s="1">
        <v>90</v>
      </c>
      <c r="EX70" s="1">
        <v>60012325</v>
      </c>
      <c r="EY70" s="1">
        <v>32767</v>
      </c>
      <c r="EZ70" s="1">
        <v>10</v>
      </c>
      <c r="FB70" s="1">
        <v>2817464474</v>
      </c>
      <c r="FC70" s="1">
        <v>30259</v>
      </c>
      <c r="FD70" s="1">
        <v>100</v>
      </c>
      <c r="FE70" s="1">
        <v>69</v>
      </c>
      <c r="FF70" s="1">
        <v>5417009.0099999998</v>
      </c>
      <c r="FG70" s="1">
        <v>1</v>
      </c>
      <c r="FH70" s="1">
        <v>1</v>
      </c>
      <c r="FI70" s="1">
        <v>90</v>
      </c>
      <c r="FJ70" s="1">
        <v>60003760</v>
      </c>
      <c r="FK70" s="1">
        <v>-1</v>
      </c>
      <c r="FL70" s="1">
        <v>0</v>
      </c>
      <c r="FN70" s="1">
        <v>2831058759</v>
      </c>
      <c r="FO70" s="1">
        <v>25617</v>
      </c>
      <c r="FP70" s="1">
        <v>500</v>
      </c>
      <c r="FQ70" s="1">
        <v>85</v>
      </c>
      <c r="FR70" s="1">
        <v>4475385</v>
      </c>
      <c r="FS70" s="1">
        <v>1</v>
      </c>
      <c r="FT70" s="1">
        <v>1</v>
      </c>
      <c r="FU70" s="1">
        <v>90</v>
      </c>
      <c r="FV70" s="1">
        <v>60003760</v>
      </c>
      <c r="FW70" s="1">
        <v>-1</v>
      </c>
      <c r="FX70" s="1">
        <v>0</v>
      </c>
      <c r="FZ70" s="1">
        <v>2874792610</v>
      </c>
      <c r="GA70" s="1">
        <v>44</v>
      </c>
      <c r="GB70" s="1">
        <v>3468</v>
      </c>
      <c r="GC70" s="1">
        <v>3468</v>
      </c>
      <c r="GD70" s="1">
        <v>12788.94</v>
      </c>
      <c r="GE70" s="1">
        <v>1</v>
      </c>
      <c r="GF70" s="1">
        <v>0</v>
      </c>
      <c r="GG70" s="1">
        <v>90</v>
      </c>
      <c r="GH70" s="1">
        <v>60003760</v>
      </c>
      <c r="GI70" s="1">
        <v>32767</v>
      </c>
      <c r="GJ70" s="1">
        <v>4</v>
      </c>
      <c r="GL70" s="1">
        <v>2399553255</v>
      </c>
      <c r="GM70" s="1">
        <v>16681</v>
      </c>
      <c r="GN70" s="1">
        <v>1250</v>
      </c>
      <c r="GO70" s="1">
        <v>1250</v>
      </c>
      <c r="GP70" s="1">
        <v>5000</v>
      </c>
      <c r="GQ70" s="1">
        <v>1</v>
      </c>
      <c r="GR70" s="1">
        <v>1</v>
      </c>
      <c r="GS70" s="1">
        <v>90</v>
      </c>
      <c r="GT70" s="1">
        <v>60003760</v>
      </c>
      <c r="GU70" s="1">
        <v>-1</v>
      </c>
      <c r="GV70" s="1">
        <v>0</v>
      </c>
      <c r="GX70" s="1">
        <v>2816695535</v>
      </c>
      <c r="GY70" s="1">
        <v>16683</v>
      </c>
      <c r="GZ70" s="1">
        <v>10000</v>
      </c>
      <c r="HA70" s="1">
        <v>10000</v>
      </c>
      <c r="HB70" s="1">
        <v>6506.34</v>
      </c>
      <c r="HC70" s="1">
        <v>16</v>
      </c>
      <c r="HD70" s="1">
        <v>1</v>
      </c>
      <c r="HE70" s="1">
        <v>90</v>
      </c>
      <c r="HF70" s="1">
        <v>60015025</v>
      </c>
      <c r="HG70" s="1">
        <v>2</v>
      </c>
      <c r="HH70" s="1">
        <v>0</v>
      </c>
      <c r="HJ70"/>
      <c r="HK70"/>
      <c r="HL70"/>
      <c r="HM70"/>
      <c r="HN70"/>
      <c r="HO70"/>
      <c r="HP70"/>
      <c r="HQ70"/>
      <c r="HR70"/>
      <c r="HS70"/>
      <c r="HT70"/>
      <c r="HV70" s="1">
        <v>2846250193</v>
      </c>
      <c r="HW70" s="1">
        <v>16274</v>
      </c>
      <c r="HX70" s="1">
        <v>365600</v>
      </c>
      <c r="HY70" s="1">
        <v>15600</v>
      </c>
      <c r="HZ70" s="1">
        <v>899</v>
      </c>
      <c r="IA70" s="1">
        <v>1</v>
      </c>
      <c r="IB70" s="1">
        <v>0</v>
      </c>
      <c r="IC70" s="1">
        <v>90</v>
      </c>
      <c r="ID70" s="1">
        <v>60007585</v>
      </c>
      <c r="IE70" s="1">
        <v>32767</v>
      </c>
      <c r="IF70" s="1">
        <v>8</v>
      </c>
      <c r="IH70"/>
      <c r="II70"/>
      <c r="IJ70"/>
      <c r="IK70"/>
      <c r="IL70"/>
      <c r="IM70"/>
      <c r="IN70"/>
      <c r="IO70"/>
      <c r="IP70"/>
      <c r="IQ70"/>
      <c r="IR70"/>
      <c r="IT70" s="1">
        <v>2878767732</v>
      </c>
      <c r="IU70" s="1">
        <v>16679</v>
      </c>
      <c r="IV70" s="1">
        <v>945606</v>
      </c>
      <c r="IW70" s="1">
        <v>938046</v>
      </c>
      <c r="IX70" s="1">
        <v>1741.98</v>
      </c>
      <c r="IY70" s="1">
        <v>1</v>
      </c>
      <c r="IZ70" s="1">
        <v>0</v>
      </c>
      <c r="JA70" s="1">
        <v>90</v>
      </c>
      <c r="JB70" s="1">
        <v>60003760</v>
      </c>
      <c r="JC70" s="1">
        <v>32767</v>
      </c>
      <c r="JD70" s="1">
        <v>0</v>
      </c>
      <c r="JF70" s="1">
        <v>2698430991</v>
      </c>
      <c r="JG70" s="1">
        <v>16272</v>
      </c>
      <c r="JH70" s="1">
        <v>2269687</v>
      </c>
      <c r="JI70" s="1">
        <v>2184687</v>
      </c>
      <c r="JJ70" s="1">
        <v>155.01</v>
      </c>
      <c r="JK70" s="1">
        <v>1</v>
      </c>
      <c r="JL70" s="1">
        <v>0</v>
      </c>
      <c r="JM70" s="1">
        <v>90</v>
      </c>
      <c r="JN70" s="1">
        <v>60004210</v>
      </c>
      <c r="JO70" s="1">
        <v>32767</v>
      </c>
      <c r="JP70" s="1">
        <v>1</v>
      </c>
      <c r="KD70" s="1">
        <v>2869403991</v>
      </c>
      <c r="KE70" s="1">
        <v>25605</v>
      </c>
      <c r="KF70" s="1">
        <v>9</v>
      </c>
      <c r="KG70" s="1">
        <v>9</v>
      </c>
      <c r="KH70" s="1">
        <v>109700</v>
      </c>
      <c r="KI70" s="1">
        <v>1</v>
      </c>
      <c r="KJ70" s="1">
        <v>0</v>
      </c>
      <c r="KK70" s="1">
        <v>30</v>
      </c>
      <c r="KL70" s="1">
        <v>60002272</v>
      </c>
      <c r="KM70" s="1">
        <v>32767</v>
      </c>
      <c r="KN70" s="1">
        <v>10</v>
      </c>
      <c r="KP70" s="1">
        <v>2851530141</v>
      </c>
      <c r="KQ70" s="1">
        <v>25624</v>
      </c>
      <c r="KR70" s="1">
        <v>1</v>
      </c>
      <c r="KS70" s="1">
        <v>1</v>
      </c>
      <c r="KT70" s="1">
        <v>19000000.039999999</v>
      </c>
      <c r="KU70" s="1">
        <v>1</v>
      </c>
      <c r="KV70" s="1">
        <v>0</v>
      </c>
      <c r="KW70" s="1">
        <v>90</v>
      </c>
      <c r="KX70" s="1">
        <v>60003043</v>
      </c>
      <c r="KY70" s="1">
        <v>32767</v>
      </c>
      <c r="KZ70" s="1">
        <v>9</v>
      </c>
      <c r="LB70" s="1">
        <v>2868755634</v>
      </c>
      <c r="LC70" s="1">
        <v>9832</v>
      </c>
      <c r="LD70" s="1">
        <v>5020</v>
      </c>
      <c r="LE70" s="1">
        <v>5020</v>
      </c>
      <c r="LF70" s="1">
        <v>9700.0300000000007</v>
      </c>
      <c r="LG70" s="1">
        <v>1</v>
      </c>
      <c r="LH70" s="1">
        <v>0</v>
      </c>
      <c r="LI70" s="1">
        <v>30</v>
      </c>
      <c r="LJ70" s="1">
        <v>60003760</v>
      </c>
      <c r="LK70" s="1">
        <v>32767</v>
      </c>
      <c r="LL70" s="1">
        <v>0</v>
      </c>
      <c r="LN70" s="1">
        <v>2878789028</v>
      </c>
      <c r="LO70" s="1">
        <v>10209</v>
      </c>
      <c r="LP70" s="1">
        <v>3</v>
      </c>
      <c r="LQ70" s="1">
        <v>2</v>
      </c>
      <c r="LR70" s="1">
        <v>114000000</v>
      </c>
      <c r="LS70" s="1">
        <v>1</v>
      </c>
      <c r="LT70" s="1">
        <v>1</v>
      </c>
      <c r="LU70" s="1">
        <v>90</v>
      </c>
      <c r="LV70" s="1">
        <v>60003760</v>
      </c>
      <c r="LW70" s="1">
        <v>-1</v>
      </c>
      <c r="LX70" s="1">
        <v>0</v>
      </c>
      <c r="LZ70"/>
      <c r="MA70"/>
      <c r="MB70"/>
      <c r="MC70"/>
      <c r="MD70"/>
      <c r="ME70"/>
      <c r="MF70"/>
      <c r="MG70"/>
      <c r="MH70"/>
      <c r="MI70"/>
      <c r="MJ70"/>
      <c r="ML70" s="1">
        <v>2878436781</v>
      </c>
      <c r="MM70" s="1">
        <v>25625</v>
      </c>
      <c r="MN70" s="1">
        <v>25</v>
      </c>
      <c r="MO70" s="1">
        <v>25</v>
      </c>
      <c r="MP70" s="1">
        <v>3501000</v>
      </c>
      <c r="MQ70" s="1">
        <v>1</v>
      </c>
      <c r="MR70" s="1">
        <v>1</v>
      </c>
      <c r="MS70" s="1">
        <v>90</v>
      </c>
      <c r="MT70" s="1">
        <v>60003754</v>
      </c>
      <c r="MU70" s="1">
        <v>32767</v>
      </c>
      <c r="MV70" s="1">
        <v>0</v>
      </c>
      <c r="MX70" s="1">
        <v>2879026998</v>
      </c>
      <c r="MY70" s="1">
        <v>16672</v>
      </c>
      <c r="MZ70" s="1">
        <v>2160000</v>
      </c>
      <c r="NA70" s="1">
        <v>956482</v>
      </c>
      <c r="NB70" s="1">
        <v>119.94</v>
      </c>
      <c r="NC70" s="1">
        <v>1</v>
      </c>
      <c r="ND70" s="1">
        <v>0</v>
      </c>
      <c r="NE70" s="1">
        <v>90</v>
      </c>
      <c r="NF70" s="1">
        <v>60003760</v>
      </c>
      <c r="NG70" s="1">
        <v>32767</v>
      </c>
      <c r="NH70" s="1">
        <v>0</v>
      </c>
      <c r="NJ70" s="1">
        <v>2873389569</v>
      </c>
      <c r="NK70" s="1">
        <v>16673</v>
      </c>
      <c r="NL70" s="1">
        <v>7100000</v>
      </c>
      <c r="NM70" s="1">
        <v>134906</v>
      </c>
      <c r="NN70" s="1">
        <v>101.64</v>
      </c>
      <c r="NO70" s="1">
        <v>1</v>
      </c>
      <c r="NP70" s="1">
        <v>0</v>
      </c>
      <c r="NQ70" s="1">
        <v>7</v>
      </c>
      <c r="NR70" s="1">
        <v>60003760</v>
      </c>
      <c r="NS70" s="1">
        <v>32767</v>
      </c>
      <c r="NT70" s="1">
        <v>6</v>
      </c>
      <c r="NV70" s="1">
        <v>2871566580</v>
      </c>
      <c r="NW70" s="1">
        <v>3689</v>
      </c>
      <c r="NX70" s="1">
        <v>109845</v>
      </c>
      <c r="NY70" s="1">
        <v>109845</v>
      </c>
      <c r="NZ70" s="1">
        <v>10384.98</v>
      </c>
      <c r="OA70" s="1">
        <v>1</v>
      </c>
      <c r="OB70" s="1">
        <v>0</v>
      </c>
      <c r="OC70" s="1">
        <v>90</v>
      </c>
      <c r="OD70" s="1">
        <v>60003760</v>
      </c>
      <c r="OE70" s="1">
        <v>32767</v>
      </c>
      <c r="OF70" s="1">
        <v>0</v>
      </c>
      <c r="OH70" s="1">
        <v>2845506226</v>
      </c>
      <c r="OI70" s="1">
        <v>25598</v>
      </c>
      <c r="OJ70" s="1">
        <v>53</v>
      </c>
      <c r="OK70" s="1">
        <v>53</v>
      </c>
      <c r="OL70" s="1">
        <v>154000</v>
      </c>
      <c r="OM70" s="1">
        <v>1</v>
      </c>
      <c r="ON70" s="1">
        <v>0</v>
      </c>
      <c r="OO70" s="1">
        <v>30</v>
      </c>
      <c r="OP70" s="1">
        <v>60003760</v>
      </c>
      <c r="OQ70" s="1">
        <v>32767</v>
      </c>
      <c r="OR70" s="1">
        <v>0</v>
      </c>
      <c r="OT70" s="1">
        <v>2878139072</v>
      </c>
      <c r="OU70" s="1">
        <v>25600</v>
      </c>
      <c r="OV70" s="1">
        <v>4</v>
      </c>
      <c r="OW70" s="1">
        <v>4</v>
      </c>
      <c r="OX70" s="1">
        <v>35841.67</v>
      </c>
      <c r="OY70" s="1">
        <v>1</v>
      </c>
      <c r="OZ70" s="1">
        <v>0</v>
      </c>
      <c r="PA70" s="1">
        <v>30</v>
      </c>
      <c r="PB70" s="1">
        <v>60003760</v>
      </c>
      <c r="PC70" s="1">
        <v>32767</v>
      </c>
      <c r="PD70" s="1">
        <v>0</v>
      </c>
      <c r="PF70" s="1">
        <v>2872977584</v>
      </c>
      <c r="PG70" s="1">
        <v>16670</v>
      </c>
      <c r="PH70" s="1">
        <v>3988800</v>
      </c>
      <c r="PI70" s="1">
        <v>3988800</v>
      </c>
      <c r="PJ70" s="1">
        <v>120.92</v>
      </c>
      <c r="PK70" s="1">
        <v>1</v>
      </c>
      <c r="PL70" s="1">
        <v>0</v>
      </c>
      <c r="PM70" s="1">
        <v>90</v>
      </c>
      <c r="PN70" s="1">
        <v>60003760</v>
      </c>
      <c r="PO70" s="1">
        <v>32767</v>
      </c>
      <c r="PP70" s="1">
        <v>7</v>
      </c>
      <c r="PR70" s="1">
        <v>2879010272</v>
      </c>
      <c r="PS70" s="1">
        <v>10222</v>
      </c>
      <c r="PT70" s="1">
        <v>3</v>
      </c>
      <c r="PU70" s="1">
        <v>2</v>
      </c>
      <c r="PV70" s="1">
        <v>110861084.38</v>
      </c>
      <c r="PW70" s="1">
        <v>1</v>
      </c>
      <c r="PX70" s="1">
        <v>1</v>
      </c>
      <c r="PY70" s="1">
        <v>90</v>
      </c>
      <c r="PZ70" s="1">
        <v>60003760</v>
      </c>
      <c r="QA70" s="1">
        <v>-1</v>
      </c>
      <c r="QB70" s="1">
        <v>0</v>
      </c>
      <c r="QD70" s="1">
        <v>2879043749</v>
      </c>
      <c r="QE70" s="1">
        <v>9830</v>
      </c>
      <c r="QF70" s="1">
        <v>4402</v>
      </c>
      <c r="QG70" s="1">
        <v>3410</v>
      </c>
      <c r="QH70" s="1">
        <v>7376.96</v>
      </c>
      <c r="QI70" s="1">
        <v>1</v>
      </c>
      <c r="QJ70" s="1">
        <v>0</v>
      </c>
      <c r="QK70" s="1">
        <v>90</v>
      </c>
      <c r="QL70" s="1">
        <v>60003760</v>
      </c>
      <c r="QM70" s="1">
        <v>32767</v>
      </c>
      <c r="QN70" s="1">
        <v>0</v>
      </c>
      <c r="QP70" s="1">
        <v>2803818704</v>
      </c>
      <c r="QQ70" s="1">
        <v>16671</v>
      </c>
      <c r="QR70" s="1">
        <v>3000000</v>
      </c>
      <c r="QS70" s="1">
        <v>3000000</v>
      </c>
      <c r="QT70" s="1">
        <v>60.08</v>
      </c>
      <c r="QU70" s="1">
        <v>500000</v>
      </c>
      <c r="QV70" s="1">
        <v>1</v>
      </c>
      <c r="QW70" s="1">
        <v>90</v>
      </c>
      <c r="QX70" s="1">
        <v>60003760</v>
      </c>
      <c r="QY70" s="1">
        <v>32767</v>
      </c>
      <c r="QZ70" s="1">
        <v>0</v>
      </c>
      <c r="RB70" s="1">
        <v>2792727648</v>
      </c>
      <c r="RC70" s="1">
        <v>16682</v>
      </c>
      <c r="RD70" s="1">
        <v>38002</v>
      </c>
      <c r="RE70" s="1">
        <v>38002</v>
      </c>
      <c r="RF70" s="1">
        <v>0.01</v>
      </c>
      <c r="RG70" s="1">
        <v>1</v>
      </c>
      <c r="RH70" s="1">
        <v>1</v>
      </c>
      <c r="RI70" s="1">
        <v>90</v>
      </c>
      <c r="RJ70" s="1">
        <v>60003760</v>
      </c>
      <c r="RK70" s="1">
        <v>-1</v>
      </c>
      <c r="RL70" s="1">
        <v>0</v>
      </c>
      <c r="RN70" s="1">
        <v>2643220358</v>
      </c>
      <c r="RO70" s="1">
        <v>16678</v>
      </c>
      <c r="RP70" s="1">
        <v>5000000</v>
      </c>
      <c r="RQ70" s="1">
        <v>3053519</v>
      </c>
      <c r="RR70" s="1">
        <v>132.29</v>
      </c>
      <c r="RS70" s="1">
        <v>1</v>
      </c>
      <c r="RT70" s="1">
        <v>1</v>
      </c>
      <c r="RU70" s="1">
        <v>90</v>
      </c>
      <c r="RV70" s="1">
        <v>60003760</v>
      </c>
      <c r="RW70" s="1">
        <v>10</v>
      </c>
      <c r="RX70" s="1">
        <v>0</v>
      </c>
      <c r="SL70" s="1">
        <v>2782731437</v>
      </c>
      <c r="SM70" s="1">
        <v>30311</v>
      </c>
      <c r="SN70" s="1">
        <v>1000</v>
      </c>
      <c r="SO70" s="1">
        <v>1000</v>
      </c>
      <c r="SP70" s="1">
        <v>422016</v>
      </c>
      <c r="SQ70" s="1">
        <v>1</v>
      </c>
      <c r="SR70" s="1">
        <v>1</v>
      </c>
      <c r="SS70" s="1">
        <v>90</v>
      </c>
      <c r="ST70" s="1">
        <v>60003760</v>
      </c>
      <c r="SU70" s="1">
        <v>32767</v>
      </c>
      <c r="SV70" s="1">
        <v>0</v>
      </c>
      <c r="SX70" s="1">
        <v>2849815961</v>
      </c>
      <c r="SY70" s="1">
        <v>25595</v>
      </c>
      <c r="SZ70" s="1">
        <v>1941</v>
      </c>
      <c r="TA70" s="1">
        <v>1218</v>
      </c>
      <c r="TB70" s="1">
        <v>86998.98</v>
      </c>
      <c r="TC70" s="1">
        <v>1</v>
      </c>
      <c r="TD70" s="1">
        <v>0</v>
      </c>
      <c r="TE70" s="1">
        <v>30</v>
      </c>
      <c r="TF70" s="1">
        <v>60003760</v>
      </c>
      <c r="TG70" s="1">
        <v>32767</v>
      </c>
      <c r="TH70" s="1">
        <v>6</v>
      </c>
      <c r="TJ70" s="1">
        <v>2877393901</v>
      </c>
      <c r="TK70" s="1">
        <v>25606</v>
      </c>
      <c r="TL70" s="1">
        <v>5802</v>
      </c>
      <c r="TM70" s="1">
        <v>944</v>
      </c>
      <c r="TN70" s="1">
        <v>23887.95</v>
      </c>
      <c r="TO70" s="1">
        <v>1</v>
      </c>
      <c r="TP70" s="1">
        <v>0</v>
      </c>
      <c r="TQ70" s="1">
        <v>3</v>
      </c>
      <c r="TR70" s="1">
        <v>60003760</v>
      </c>
      <c r="TS70" s="1">
        <v>32767</v>
      </c>
      <c r="TT70" s="1">
        <v>0</v>
      </c>
      <c r="TV70" s="1">
        <v>2878634382</v>
      </c>
      <c r="TW70" s="1">
        <v>25622</v>
      </c>
      <c r="TX70" s="1">
        <v>100</v>
      </c>
      <c r="TY70" s="1">
        <v>96</v>
      </c>
      <c r="TZ70" s="1">
        <v>13800000</v>
      </c>
      <c r="UA70" s="1">
        <v>1</v>
      </c>
      <c r="UB70" s="1">
        <v>1</v>
      </c>
      <c r="UC70" s="1">
        <v>90</v>
      </c>
      <c r="UD70" s="1">
        <v>60003760</v>
      </c>
      <c r="UE70" s="1">
        <v>-1</v>
      </c>
      <c r="UF70" s="1">
        <v>0</v>
      </c>
      <c r="UH70" s="1">
        <v>2878616561</v>
      </c>
      <c r="UI70" s="1">
        <v>16680</v>
      </c>
      <c r="UJ70" s="1">
        <v>250000</v>
      </c>
      <c r="UK70" s="1">
        <v>250000</v>
      </c>
      <c r="UL70" s="1">
        <v>678.35</v>
      </c>
      <c r="UM70" s="1">
        <v>1</v>
      </c>
      <c r="UN70" s="1">
        <v>1</v>
      </c>
      <c r="UO70" s="1">
        <v>90</v>
      </c>
      <c r="UP70" s="1">
        <v>60003760</v>
      </c>
      <c r="UQ70" s="1">
        <v>-1</v>
      </c>
      <c r="UR70" s="1">
        <v>0</v>
      </c>
      <c r="UT70"/>
      <c r="UU70"/>
      <c r="UV70"/>
      <c r="UW70"/>
      <c r="UX70"/>
      <c r="UY70"/>
      <c r="UZ70"/>
      <c r="VA70"/>
      <c r="VB70"/>
      <c r="VC70"/>
      <c r="VD70"/>
      <c r="VF70"/>
      <c r="VG70"/>
      <c r="VH70"/>
      <c r="VI70"/>
      <c r="VJ70"/>
      <c r="VK70"/>
      <c r="VL70"/>
      <c r="VM70"/>
      <c r="VN70"/>
      <c r="VO70"/>
      <c r="VP70"/>
    </row>
    <row r="71" spans="2:588" x14ac:dyDescent="0.25">
      <c r="B71" s="1">
        <v>2822473886</v>
      </c>
      <c r="C71" s="1">
        <v>34</v>
      </c>
      <c r="D71" s="1">
        <v>2147483647</v>
      </c>
      <c r="E71" s="1">
        <v>2147483647</v>
      </c>
      <c r="F71" s="1">
        <v>6.05</v>
      </c>
      <c r="G71" s="1">
        <v>1</v>
      </c>
      <c r="H71" s="1">
        <v>0</v>
      </c>
      <c r="I71" s="1">
        <v>90</v>
      </c>
      <c r="J71" s="1">
        <v>60003760</v>
      </c>
      <c r="K71" s="1">
        <v>32767</v>
      </c>
      <c r="L71" s="1">
        <v>0</v>
      </c>
      <c r="N71" s="1">
        <v>2840114550</v>
      </c>
      <c r="O71" s="1">
        <v>35</v>
      </c>
      <c r="P71" s="1">
        <v>10319</v>
      </c>
      <c r="Q71" s="1">
        <v>10319</v>
      </c>
      <c r="R71" s="1">
        <v>16.329999999999998</v>
      </c>
      <c r="S71" s="1">
        <v>1</v>
      </c>
      <c r="T71" s="1">
        <v>0</v>
      </c>
      <c r="U71" s="1">
        <v>90</v>
      </c>
      <c r="V71" s="1">
        <v>60003760</v>
      </c>
      <c r="W71" s="1">
        <v>32767</v>
      </c>
      <c r="X71" s="1">
        <v>0</v>
      </c>
      <c r="Z71" s="1">
        <v>2774362684</v>
      </c>
      <c r="AA71" s="1">
        <v>36</v>
      </c>
      <c r="AB71" s="1">
        <v>2934352</v>
      </c>
      <c r="AC71" s="1">
        <v>2934352</v>
      </c>
      <c r="AD71" s="16">
        <v>55</v>
      </c>
      <c r="AE71" s="1">
        <v>1</v>
      </c>
      <c r="AF71" s="1">
        <v>0</v>
      </c>
      <c r="AG71" s="1">
        <v>90</v>
      </c>
      <c r="AH71" s="1">
        <v>60003760</v>
      </c>
      <c r="AI71" s="1">
        <v>32767</v>
      </c>
      <c r="AJ71" s="1">
        <v>11</v>
      </c>
      <c r="AL71" s="1">
        <v>2723705670</v>
      </c>
      <c r="AM71" s="1">
        <v>37</v>
      </c>
      <c r="AN71" s="1">
        <v>9000000</v>
      </c>
      <c r="AO71" s="1">
        <v>9000000</v>
      </c>
      <c r="AP71" s="16">
        <v>214.7</v>
      </c>
      <c r="AQ71" s="1">
        <v>1</v>
      </c>
      <c r="AR71" s="1">
        <v>0</v>
      </c>
      <c r="AS71" s="1">
        <v>90</v>
      </c>
      <c r="AT71" s="1">
        <v>60003760</v>
      </c>
      <c r="AU71" s="1">
        <v>32767</v>
      </c>
      <c r="AV71" s="1">
        <v>9</v>
      </c>
      <c r="AX71" s="1">
        <v>2829905802</v>
      </c>
      <c r="AY71" s="1">
        <v>38</v>
      </c>
      <c r="AZ71" s="1">
        <v>302529</v>
      </c>
      <c r="BA71" s="1">
        <v>121205</v>
      </c>
      <c r="BB71" s="1">
        <v>900</v>
      </c>
      <c r="BC71" s="1">
        <v>1</v>
      </c>
      <c r="BD71" s="1">
        <v>0</v>
      </c>
      <c r="BE71" s="1">
        <v>90</v>
      </c>
      <c r="BF71" s="1">
        <v>60002737</v>
      </c>
      <c r="BG71" s="1">
        <v>32767</v>
      </c>
      <c r="BH71" s="1">
        <v>6</v>
      </c>
      <c r="BJ71" s="1">
        <v>2706301717</v>
      </c>
      <c r="BK71" s="1">
        <v>39</v>
      </c>
      <c r="BL71" s="1">
        <v>500000</v>
      </c>
      <c r="BM71" s="1">
        <v>500000</v>
      </c>
      <c r="BN71" s="1">
        <v>899.95</v>
      </c>
      <c r="BO71" s="1">
        <v>1</v>
      </c>
      <c r="BP71" s="1">
        <v>0</v>
      </c>
      <c r="BQ71" s="1">
        <v>90</v>
      </c>
      <c r="BR71" s="1">
        <v>60003760</v>
      </c>
      <c r="BS71" s="1">
        <v>32767</v>
      </c>
      <c r="BT71" s="1">
        <v>5</v>
      </c>
      <c r="BV71" s="1">
        <v>2405475034</v>
      </c>
      <c r="BW71" s="1">
        <v>40</v>
      </c>
      <c r="BX71" s="1">
        <v>92</v>
      </c>
      <c r="BY71" s="1">
        <v>92</v>
      </c>
      <c r="BZ71" s="1">
        <v>2739.12</v>
      </c>
      <c r="CA71" s="1">
        <v>1</v>
      </c>
      <c r="CB71" s="1">
        <v>0</v>
      </c>
      <c r="CC71" s="1">
        <v>30</v>
      </c>
      <c r="CD71" s="1">
        <v>60003760</v>
      </c>
      <c r="CE71" s="1">
        <v>32767</v>
      </c>
      <c r="CF71" s="1">
        <v>13</v>
      </c>
      <c r="CH71" s="1">
        <v>2411882947</v>
      </c>
      <c r="CI71" s="1">
        <v>29668</v>
      </c>
      <c r="CJ71" s="1">
        <v>1</v>
      </c>
      <c r="CK71" s="1">
        <v>1</v>
      </c>
      <c r="CL71" s="1">
        <v>500000000</v>
      </c>
      <c r="CM71" s="1">
        <v>1</v>
      </c>
      <c r="CN71" s="1">
        <v>0</v>
      </c>
      <c r="CO71" s="1">
        <v>90</v>
      </c>
      <c r="CP71" s="1">
        <v>60003760</v>
      </c>
      <c r="CQ71" s="1">
        <v>32767</v>
      </c>
      <c r="CR71" s="1">
        <v>0</v>
      </c>
      <c r="CT71" s="1">
        <v>2392026620</v>
      </c>
      <c r="CU71" s="1">
        <v>16649</v>
      </c>
      <c r="CV71" s="1">
        <v>100000</v>
      </c>
      <c r="CW71" s="1">
        <v>100000</v>
      </c>
      <c r="CX71" s="1">
        <v>65001</v>
      </c>
      <c r="CY71" s="1">
        <v>1</v>
      </c>
      <c r="CZ71" s="1">
        <v>1</v>
      </c>
      <c r="DA71" s="1">
        <v>90</v>
      </c>
      <c r="DB71" s="1">
        <v>60003760</v>
      </c>
      <c r="DC71" s="1">
        <v>-1</v>
      </c>
      <c r="DD71" s="1">
        <v>0</v>
      </c>
      <c r="DF71" s="1">
        <v>2410840621</v>
      </c>
      <c r="DG71" s="1">
        <v>17887</v>
      </c>
      <c r="DH71" s="1">
        <v>1216972</v>
      </c>
      <c r="DI71" s="1">
        <v>1216972</v>
      </c>
      <c r="DJ71" s="1">
        <v>1021.9</v>
      </c>
      <c r="DK71" s="1">
        <v>1</v>
      </c>
      <c r="DL71" s="1">
        <v>0</v>
      </c>
      <c r="DM71" s="1">
        <v>90</v>
      </c>
      <c r="DN71" s="1">
        <v>60003760</v>
      </c>
      <c r="DO71" s="1">
        <v>32767</v>
      </c>
      <c r="DP71" s="1">
        <v>0</v>
      </c>
      <c r="DR71" s="1">
        <v>2779954416</v>
      </c>
      <c r="DS71" s="1">
        <v>17888</v>
      </c>
      <c r="DT71" s="1">
        <v>3579300</v>
      </c>
      <c r="DU71" s="1">
        <v>3579300</v>
      </c>
      <c r="DV71" s="1">
        <v>414</v>
      </c>
      <c r="DW71" s="1">
        <v>1</v>
      </c>
      <c r="DX71" s="1">
        <v>0</v>
      </c>
      <c r="DY71" s="1">
        <v>90</v>
      </c>
      <c r="DZ71" s="1">
        <v>60003760</v>
      </c>
      <c r="EA71" s="1">
        <v>32767</v>
      </c>
      <c r="EB71" s="1">
        <v>8</v>
      </c>
      <c r="ED71" s="1">
        <v>2862514949</v>
      </c>
      <c r="EE71" s="1">
        <v>16273</v>
      </c>
      <c r="EF71" s="1">
        <v>19591</v>
      </c>
      <c r="EG71" s="1">
        <v>15691</v>
      </c>
      <c r="EH71" s="1">
        <v>400</v>
      </c>
      <c r="EI71" s="1">
        <v>1</v>
      </c>
      <c r="EJ71" s="1">
        <v>0</v>
      </c>
      <c r="EK71" s="1">
        <v>90</v>
      </c>
      <c r="EL71" s="1">
        <v>60003049</v>
      </c>
      <c r="EM71" s="1">
        <v>32767</v>
      </c>
      <c r="EN71" s="1">
        <v>6</v>
      </c>
      <c r="EP71" s="1">
        <v>2867976516</v>
      </c>
      <c r="EQ71" s="1">
        <v>17889</v>
      </c>
      <c r="ER71" s="1">
        <v>100000</v>
      </c>
      <c r="ES71" s="1">
        <v>46710</v>
      </c>
      <c r="ET71" s="1">
        <v>420</v>
      </c>
      <c r="EU71" s="1">
        <v>1</v>
      </c>
      <c r="EV71" s="1">
        <v>0</v>
      </c>
      <c r="EW71" s="1">
        <v>90</v>
      </c>
      <c r="EX71" s="1">
        <v>60004375</v>
      </c>
      <c r="EY71" s="1">
        <v>32767</v>
      </c>
      <c r="EZ71" s="1">
        <v>11</v>
      </c>
      <c r="FB71" s="1">
        <v>2822803972</v>
      </c>
      <c r="FC71" s="1">
        <v>30259</v>
      </c>
      <c r="FD71" s="1">
        <v>500</v>
      </c>
      <c r="FE71" s="1">
        <v>500</v>
      </c>
      <c r="FF71" s="1">
        <v>5270000</v>
      </c>
      <c r="FG71" s="1">
        <v>1</v>
      </c>
      <c r="FH71" s="1">
        <v>1</v>
      </c>
      <c r="FI71" s="1">
        <v>90</v>
      </c>
      <c r="FJ71" s="1">
        <v>60003760</v>
      </c>
      <c r="FK71" s="1">
        <v>-1</v>
      </c>
      <c r="FL71" s="1">
        <v>0</v>
      </c>
      <c r="FN71" s="1">
        <v>2856660297</v>
      </c>
      <c r="FO71" s="1">
        <v>25617</v>
      </c>
      <c r="FP71" s="1">
        <v>200</v>
      </c>
      <c r="FQ71" s="1">
        <v>151</v>
      </c>
      <c r="FR71" s="1">
        <v>4100000</v>
      </c>
      <c r="FS71" s="1">
        <v>1</v>
      </c>
      <c r="FT71" s="1">
        <v>1</v>
      </c>
      <c r="FU71" s="1">
        <v>90</v>
      </c>
      <c r="FV71" s="1">
        <v>60003760</v>
      </c>
      <c r="FW71" s="1">
        <v>0</v>
      </c>
      <c r="FX71" s="1">
        <v>0</v>
      </c>
      <c r="FZ71" s="1">
        <v>2874791520</v>
      </c>
      <c r="GA71" s="1">
        <v>44</v>
      </c>
      <c r="GB71" s="1">
        <v>625</v>
      </c>
      <c r="GC71" s="1">
        <v>625</v>
      </c>
      <c r="GD71" s="1">
        <v>12788.95</v>
      </c>
      <c r="GE71" s="1">
        <v>1</v>
      </c>
      <c r="GF71" s="1">
        <v>0</v>
      </c>
      <c r="GG71" s="1">
        <v>90</v>
      </c>
      <c r="GH71" s="1">
        <v>60003760</v>
      </c>
      <c r="GI71" s="1">
        <v>32767</v>
      </c>
      <c r="GJ71" s="1">
        <v>4</v>
      </c>
      <c r="GL71" s="1">
        <v>2396757352</v>
      </c>
      <c r="GM71" s="1">
        <v>16681</v>
      </c>
      <c r="GN71" s="1">
        <v>175000</v>
      </c>
      <c r="GO71" s="1">
        <v>174792</v>
      </c>
      <c r="GP71" s="1">
        <v>5750</v>
      </c>
      <c r="GQ71" s="1">
        <v>100</v>
      </c>
      <c r="GR71" s="1">
        <v>1</v>
      </c>
      <c r="GS71" s="1">
        <v>90</v>
      </c>
      <c r="GT71" s="1">
        <v>60003760</v>
      </c>
      <c r="GU71" s="1">
        <v>-1</v>
      </c>
      <c r="GV71" s="1">
        <v>0</v>
      </c>
      <c r="GX71" s="1">
        <v>2816744987</v>
      </c>
      <c r="GY71" s="1">
        <v>16683</v>
      </c>
      <c r="GZ71" s="1">
        <v>10000</v>
      </c>
      <c r="HA71" s="1">
        <v>10000</v>
      </c>
      <c r="HB71" s="1">
        <v>6808.34</v>
      </c>
      <c r="HC71" s="1">
        <v>16</v>
      </c>
      <c r="HD71" s="1">
        <v>1</v>
      </c>
      <c r="HE71" s="1">
        <v>90</v>
      </c>
      <c r="HF71" s="1">
        <v>60015027</v>
      </c>
      <c r="HG71" s="1">
        <v>4</v>
      </c>
      <c r="HH71" s="1">
        <v>0</v>
      </c>
      <c r="HJ71"/>
      <c r="HK71"/>
      <c r="HL71"/>
      <c r="HM71"/>
      <c r="HN71"/>
      <c r="HO71"/>
      <c r="HP71"/>
      <c r="HQ71"/>
      <c r="HR71"/>
      <c r="HS71"/>
      <c r="HT71"/>
      <c r="HV71" s="1">
        <v>2846248507</v>
      </c>
      <c r="HW71" s="1">
        <v>16274</v>
      </c>
      <c r="HX71" s="1">
        <v>550000</v>
      </c>
      <c r="HY71" s="1">
        <v>478000</v>
      </c>
      <c r="HZ71" s="1">
        <v>1200</v>
      </c>
      <c r="IA71" s="1">
        <v>1</v>
      </c>
      <c r="IB71" s="1">
        <v>0</v>
      </c>
      <c r="IC71" s="1">
        <v>90</v>
      </c>
      <c r="ID71" s="1">
        <v>60002239</v>
      </c>
      <c r="IE71" s="1">
        <v>32767</v>
      </c>
      <c r="IF71" s="1">
        <v>8</v>
      </c>
      <c r="IH71"/>
      <c r="II71"/>
      <c r="IJ71"/>
      <c r="IK71"/>
      <c r="IL71"/>
      <c r="IM71"/>
      <c r="IN71"/>
      <c r="IO71"/>
      <c r="IP71"/>
      <c r="IQ71"/>
      <c r="IR71"/>
      <c r="IT71" s="1">
        <v>2790215256</v>
      </c>
      <c r="IU71" s="1">
        <v>16679</v>
      </c>
      <c r="IV71" s="1">
        <v>2000000</v>
      </c>
      <c r="IW71" s="1">
        <v>2000000</v>
      </c>
      <c r="IX71" s="1">
        <v>1741.96</v>
      </c>
      <c r="IY71" s="1">
        <v>1</v>
      </c>
      <c r="IZ71" s="1">
        <v>0</v>
      </c>
      <c r="JA71" s="1">
        <v>90</v>
      </c>
      <c r="JB71" s="1">
        <v>60003760</v>
      </c>
      <c r="JC71" s="1">
        <v>32767</v>
      </c>
      <c r="JD71" s="1">
        <v>0</v>
      </c>
      <c r="JF71" s="1">
        <v>2876292036</v>
      </c>
      <c r="JG71" s="1">
        <v>16272</v>
      </c>
      <c r="JH71" s="1">
        <v>135321</v>
      </c>
      <c r="JI71" s="1">
        <v>135321</v>
      </c>
      <c r="JJ71" s="1">
        <v>80</v>
      </c>
      <c r="JK71" s="1">
        <v>1</v>
      </c>
      <c r="JL71" s="1">
        <v>0</v>
      </c>
      <c r="JM71" s="1">
        <v>90</v>
      </c>
      <c r="JN71" s="1">
        <v>60003145</v>
      </c>
      <c r="JO71" s="1">
        <v>32767</v>
      </c>
      <c r="JP71" s="1">
        <v>6</v>
      </c>
      <c r="KD71" s="1">
        <v>2859547088</v>
      </c>
      <c r="KE71" s="1">
        <v>25605</v>
      </c>
      <c r="KF71" s="1">
        <v>4</v>
      </c>
      <c r="KG71" s="1">
        <v>4</v>
      </c>
      <c r="KH71" s="1">
        <v>118927.43</v>
      </c>
      <c r="KI71" s="1">
        <v>1</v>
      </c>
      <c r="KJ71" s="1">
        <v>0</v>
      </c>
      <c r="KK71" s="1">
        <v>90</v>
      </c>
      <c r="KL71" s="1">
        <v>60012667</v>
      </c>
      <c r="KM71" s="1">
        <v>32767</v>
      </c>
      <c r="KN71" s="1">
        <v>0</v>
      </c>
      <c r="KP71" s="1">
        <v>2771343324</v>
      </c>
      <c r="KQ71" s="1">
        <v>25624</v>
      </c>
      <c r="KR71" s="1">
        <v>22</v>
      </c>
      <c r="KS71" s="1">
        <v>22</v>
      </c>
      <c r="KT71" s="1">
        <v>23000000</v>
      </c>
      <c r="KU71" s="1">
        <v>1</v>
      </c>
      <c r="KV71" s="1">
        <v>0</v>
      </c>
      <c r="KW71" s="1">
        <v>90</v>
      </c>
      <c r="KX71" s="1">
        <v>60000304</v>
      </c>
      <c r="KY71" s="1">
        <v>32767</v>
      </c>
      <c r="KZ71" s="1">
        <v>10</v>
      </c>
      <c r="LB71" s="1">
        <v>2868420617</v>
      </c>
      <c r="LC71" s="1">
        <v>9832</v>
      </c>
      <c r="LD71" s="1">
        <v>5135</v>
      </c>
      <c r="LE71" s="1">
        <v>5135</v>
      </c>
      <c r="LF71" s="1">
        <v>9500</v>
      </c>
      <c r="LG71" s="1">
        <v>1</v>
      </c>
      <c r="LH71" s="1">
        <v>0</v>
      </c>
      <c r="LI71" s="1">
        <v>90</v>
      </c>
      <c r="LJ71" s="1">
        <v>60003760</v>
      </c>
      <c r="LK71" s="1">
        <v>32767</v>
      </c>
      <c r="LL71" s="1">
        <v>0</v>
      </c>
      <c r="LN71" s="1">
        <v>2878509528</v>
      </c>
      <c r="LO71" s="1">
        <v>10209</v>
      </c>
      <c r="LP71" s="1">
        <v>1</v>
      </c>
      <c r="LQ71" s="1">
        <v>1</v>
      </c>
      <c r="LR71" s="1">
        <v>111470934</v>
      </c>
      <c r="LS71" s="1">
        <v>1</v>
      </c>
      <c r="LT71" s="1">
        <v>1</v>
      </c>
      <c r="LU71" s="1">
        <v>90</v>
      </c>
      <c r="LV71" s="1">
        <v>60003760</v>
      </c>
      <c r="LW71" s="1">
        <v>-1</v>
      </c>
      <c r="LX71" s="1">
        <v>0</v>
      </c>
      <c r="LZ71"/>
      <c r="MA71"/>
      <c r="MB71"/>
      <c r="MC71"/>
      <c r="MD71"/>
      <c r="ME71"/>
      <c r="MF71"/>
      <c r="MG71"/>
      <c r="MH71"/>
      <c r="MI71"/>
      <c r="MJ71"/>
      <c r="ML71" s="1">
        <v>2878483122</v>
      </c>
      <c r="MM71" s="1">
        <v>25625</v>
      </c>
      <c r="MN71" s="1">
        <v>50</v>
      </c>
      <c r="MO71" s="1">
        <v>2</v>
      </c>
      <c r="MP71" s="1">
        <v>4215119.71</v>
      </c>
      <c r="MQ71" s="1">
        <v>1</v>
      </c>
      <c r="MR71" s="1">
        <v>1</v>
      </c>
      <c r="MS71" s="1">
        <v>90</v>
      </c>
      <c r="MT71" s="1">
        <v>60003760</v>
      </c>
      <c r="MU71" s="1">
        <v>0</v>
      </c>
      <c r="MV71" s="1">
        <v>0</v>
      </c>
      <c r="MX71" s="1">
        <v>2762002588</v>
      </c>
      <c r="MY71" s="1">
        <v>16672</v>
      </c>
      <c r="MZ71" s="1">
        <v>1000000</v>
      </c>
      <c r="NA71" s="1">
        <v>995616</v>
      </c>
      <c r="NB71" s="1">
        <v>12</v>
      </c>
      <c r="NC71" s="1">
        <v>1</v>
      </c>
      <c r="ND71" s="1">
        <v>1</v>
      </c>
      <c r="NE71" s="1">
        <v>90</v>
      </c>
      <c r="NF71" s="1">
        <v>60003760</v>
      </c>
      <c r="NG71" s="1">
        <v>32767</v>
      </c>
      <c r="NH71" s="1">
        <v>0</v>
      </c>
      <c r="NJ71" s="1">
        <v>2875066781</v>
      </c>
      <c r="NK71" s="1">
        <v>16673</v>
      </c>
      <c r="NL71" s="1">
        <v>10000000</v>
      </c>
      <c r="NM71" s="1">
        <v>10000000</v>
      </c>
      <c r="NN71" s="1">
        <v>106.28</v>
      </c>
      <c r="NO71" s="1">
        <v>1</v>
      </c>
      <c r="NP71" s="1">
        <v>0</v>
      </c>
      <c r="NQ71" s="1">
        <v>90</v>
      </c>
      <c r="NR71" s="1">
        <v>60003760</v>
      </c>
      <c r="NS71" s="1">
        <v>32767</v>
      </c>
      <c r="NT71" s="1">
        <v>6</v>
      </c>
      <c r="NV71" s="1">
        <v>2871853523</v>
      </c>
      <c r="NW71" s="1">
        <v>3689</v>
      </c>
      <c r="NX71" s="1">
        <v>27220</v>
      </c>
      <c r="NY71" s="1">
        <v>6960</v>
      </c>
      <c r="NZ71" s="1">
        <v>10299.99</v>
      </c>
      <c r="OA71" s="1">
        <v>1</v>
      </c>
      <c r="OB71" s="1">
        <v>0</v>
      </c>
      <c r="OC71" s="1">
        <v>90</v>
      </c>
      <c r="OD71" s="1">
        <v>60003760</v>
      </c>
      <c r="OE71" s="1">
        <v>32767</v>
      </c>
      <c r="OF71" s="1">
        <v>0</v>
      </c>
      <c r="OH71" s="1">
        <v>2851462844</v>
      </c>
      <c r="OI71" s="1">
        <v>25598</v>
      </c>
      <c r="OJ71" s="1">
        <v>780</v>
      </c>
      <c r="OK71" s="1">
        <v>684</v>
      </c>
      <c r="OL71" s="1">
        <v>147699</v>
      </c>
      <c r="OM71" s="1">
        <v>1</v>
      </c>
      <c r="ON71" s="1">
        <v>0</v>
      </c>
      <c r="OO71" s="1">
        <v>30</v>
      </c>
      <c r="OP71" s="1">
        <v>60003760</v>
      </c>
      <c r="OQ71" s="1">
        <v>32767</v>
      </c>
      <c r="OR71" s="1">
        <v>0</v>
      </c>
      <c r="OT71" s="1">
        <v>2876283275</v>
      </c>
      <c r="OU71" s="1">
        <v>25600</v>
      </c>
      <c r="OV71" s="1">
        <v>29</v>
      </c>
      <c r="OW71" s="1">
        <v>29</v>
      </c>
      <c r="OX71" s="1">
        <v>31000</v>
      </c>
      <c r="OY71" s="1">
        <v>1</v>
      </c>
      <c r="OZ71" s="1">
        <v>0</v>
      </c>
      <c r="PA71" s="1">
        <v>90</v>
      </c>
      <c r="PB71" s="1">
        <v>60003760</v>
      </c>
      <c r="PC71" s="1">
        <v>32767</v>
      </c>
      <c r="PD71" s="1">
        <v>0</v>
      </c>
      <c r="PF71" s="1">
        <v>2875342678</v>
      </c>
      <c r="PG71" s="1">
        <v>16670</v>
      </c>
      <c r="PH71" s="1">
        <v>5000000</v>
      </c>
      <c r="PI71" s="1">
        <v>714936</v>
      </c>
      <c r="PJ71" s="1">
        <v>120.94</v>
      </c>
      <c r="PK71" s="1">
        <v>1</v>
      </c>
      <c r="PL71" s="1">
        <v>0</v>
      </c>
      <c r="PM71" s="1">
        <v>90</v>
      </c>
      <c r="PN71" s="1">
        <v>60003760</v>
      </c>
      <c r="PO71" s="1">
        <v>32767</v>
      </c>
      <c r="PP71" s="1">
        <v>7</v>
      </c>
      <c r="PR71" s="1">
        <v>2878949691</v>
      </c>
      <c r="PS71" s="1">
        <v>10222</v>
      </c>
      <c r="PT71" s="1">
        <v>1</v>
      </c>
      <c r="PU71" s="1">
        <v>1</v>
      </c>
      <c r="PV71" s="1">
        <v>110870000</v>
      </c>
      <c r="PW71" s="1">
        <v>1</v>
      </c>
      <c r="PX71" s="1">
        <v>1</v>
      </c>
      <c r="PY71" s="1">
        <v>90</v>
      </c>
      <c r="PZ71" s="1">
        <v>60003760</v>
      </c>
      <c r="QA71" s="1">
        <v>-1</v>
      </c>
      <c r="QB71" s="1">
        <v>0</v>
      </c>
      <c r="QD71" s="1">
        <v>2861362956</v>
      </c>
      <c r="QE71" s="1">
        <v>9830</v>
      </c>
      <c r="QF71" s="1">
        <v>6200</v>
      </c>
      <c r="QG71" s="1">
        <v>1397</v>
      </c>
      <c r="QH71" s="1">
        <v>7377.42</v>
      </c>
      <c r="QI71" s="1">
        <v>1</v>
      </c>
      <c r="QJ71" s="1">
        <v>1</v>
      </c>
      <c r="QK71" s="1">
        <v>90</v>
      </c>
      <c r="QL71" s="1">
        <v>60003064</v>
      </c>
      <c r="QM71" s="1">
        <v>-1</v>
      </c>
      <c r="QN71" s="1">
        <v>0</v>
      </c>
      <c r="QP71" s="1">
        <v>2838649744</v>
      </c>
      <c r="QQ71" s="1">
        <v>16671</v>
      </c>
      <c r="QR71" s="1">
        <v>70000</v>
      </c>
      <c r="QS71" s="1">
        <v>70000</v>
      </c>
      <c r="QT71" s="1">
        <v>65.150000000000006</v>
      </c>
      <c r="QU71" s="1">
        <v>10</v>
      </c>
      <c r="QV71" s="1">
        <v>1</v>
      </c>
      <c r="QW71" s="1">
        <v>90</v>
      </c>
      <c r="QX71" s="1">
        <v>60003760</v>
      </c>
      <c r="QY71" s="1">
        <v>10</v>
      </c>
      <c r="QZ71" s="1">
        <v>0</v>
      </c>
      <c r="RB71" s="1">
        <v>2657491690</v>
      </c>
      <c r="RC71" s="1">
        <v>16682</v>
      </c>
      <c r="RD71" s="1">
        <v>200000</v>
      </c>
      <c r="RE71" s="1">
        <v>200000</v>
      </c>
      <c r="RF71" s="1">
        <v>2855</v>
      </c>
      <c r="RG71" s="1">
        <v>1</v>
      </c>
      <c r="RH71" s="1">
        <v>1</v>
      </c>
      <c r="RI71" s="1">
        <v>90</v>
      </c>
      <c r="RJ71" s="1">
        <v>60003760</v>
      </c>
      <c r="RK71" s="1">
        <v>-1</v>
      </c>
      <c r="RL71" s="1">
        <v>0</v>
      </c>
      <c r="RN71" s="1">
        <v>2697102003</v>
      </c>
      <c r="RO71" s="1">
        <v>16678</v>
      </c>
      <c r="RP71" s="1">
        <v>50000</v>
      </c>
      <c r="RQ71" s="1">
        <v>50000</v>
      </c>
      <c r="RR71" s="1">
        <v>131</v>
      </c>
      <c r="RS71" s="1">
        <v>1</v>
      </c>
      <c r="RT71" s="1">
        <v>1</v>
      </c>
      <c r="RU71" s="1">
        <v>90</v>
      </c>
      <c r="RV71" s="1">
        <v>60003760</v>
      </c>
      <c r="RW71" s="1">
        <v>10</v>
      </c>
      <c r="RX71" s="1">
        <v>0</v>
      </c>
      <c r="SL71" s="1">
        <v>2854741166</v>
      </c>
      <c r="SM71" s="1">
        <v>30311</v>
      </c>
      <c r="SN71" s="1">
        <v>1000</v>
      </c>
      <c r="SO71" s="1">
        <v>1000</v>
      </c>
      <c r="SP71" s="1">
        <v>2000000</v>
      </c>
      <c r="SQ71" s="1">
        <v>1</v>
      </c>
      <c r="SR71" s="1">
        <v>1</v>
      </c>
      <c r="SS71" s="1">
        <v>90</v>
      </c>
      <c r="ST71" s="1">
        <v>60003760</v>
      </c>
      <c r="SU71" s="1">
        <v>-1</v>
      </c>
      <c r="SV71" s="1">
        <v>0</v>
      </c>
      <c r="SX71" s="1">
        <v>2847100688</v>
      </c>
      <c r="SY71" s="1">
        <v>25595</v>
      </c>
      <c r="SZ71" s="1">
        <v>4</v>
      </c>
      <c r="TA71" s="1">
        <v>4</v>
      </c>
      <c r="TB71" s="1">
        <v>90000</v>
      </c>
      <c r="TC71" s="1">
        <v>1</v>
      </c>
      <c r="TD71" s="1">
        <v>0</v>
      </c>
      <c r="TE71" s="1">
        <v>30</v>
      </c>
      <c r="TF71" s="1">
        <v>60003760</v>
      </c>
      <c r="TG71" s="1">
        <v>32767</v>
      </c>
      <c r="TH71" s="1">
        <v>6</v>
      </c>
      <c r="TJ71" s="1">
        <v>2877263627</v>
      </c>
      <c r="TK71" s="1">
        <v>25606</v>
      </c>
      <c r="TL71" s="1">
        <v>41</v>
      </c>
      <c r="TM71" s="1">
        <v>41</v>
      </c>
      <c r="TN71" s="1">
        <v>23900</v>
      </c>
      <c r="TO71" s="1">
        <v>1</v>
      </c>
      <c r="TP71" s="1">
        <v>0</v>
      </c>
      <c r="TQ71" s="1">
        <v>1</v>
      </c>
      <c r="TR71" s="1">
        <v>60003760</v>
      </c>
      <c r="TS71" s="1">
        <v>32767</v>
      </c>
      <c r="TT71" s="1">
        <v>0</v>
      </c>
      <c r="TV71" s="1">
        <v>2877512455</v>
      </c>
      <c r="TW71" s="1">
        <v>25622</v>
      </c>
      <c r="TX71" s="1">
        <v>30</v>
      </c>
      <c r="TY71" s="1">
        <v>25</v>
      </c>
      <c r="TZ71" s="1">
        <v>13277004.08</v>
      </c>
      <c r="UA71" s="1">
        <v>1</v>
      </c>
      <c r="UB71" s="1">
        <v>1</v>
      </c>
      <c r="UC71" s="1">
        <v>90</v>
      </c>
      <c r="UD71" s="1">
        <v>60003760</v>
      </c>
      <c r="UE71" s="1">
        <v>-1</v>
      </c>
      <c r="UF71" s="1">
        <v>0</v>
      </c>
      <c r="UH71" s="1">
        <v>2878618078</v>
      </c>
      <c r="UI71" s="1">
        <v>16680</v>
      </c>
      <c r="UJ71" s="1">
        <v>21000</v>
      </c>
      <c r="UK71" s="1">
        <v>21000</v>
      </c>
      <c r="UL71" s="1">
        <v>679.02</v>
      </c>
      <c r="UM71" s="1">
        <v>1</v>
      </c>
      <c r="UN71" s="1">
        <v>1</v>
      </c>
      <c r="UO71" s="1">
        <v>90</v>
      </c>
      <c r="UP71" s="1">
        <v>60003760</v>
      </c>
      <c r="UQ71" s="1">
        <v>-1</v>
      </c>
      <c r="UR71" s="1">
        <v>0</v>
      </c>
      <c r="UT71"/>
      <c r="UU71"/>
      <c r="UV71"/>
      <c r="UW71"/>
      <c r="UX71"/>
      <c r="UY71"/>
      <c r="UZ71"/>
      <c r="VA71"/>
      <c r="VB71"/>
      <c r="VC71"/>
      <c r="VD71"/>
      <c r="VF71"/>
      <c r="VG71"/>
      <c r="VH71"/>
      <c r="VI71"/>
      <c r="VJ71"/>
      <c r="VK71"/>
      <c r="VL71"/>
      <c r="VM71"/>
      <c r="VN71"/>
      <c r="VO71"/>
      <c r="VP71"/>
    </row>
    <row r="72" spans="2:588" x14ac:dyDescent="0.25">
      <c r="B72" s="1">
        <v>2820863166</v>
      </c>
      <c r="C72" s="1">
        <v>34</v>
      </c>
      <c r="D72" s="1">
        <v>1568539</v>
      </c>
      <c r="E72" s="1">
        <v>1568539</v>
      </c>
      <c r="F72" s="1">
        <v>6</v>
      </c>
      <c r="G72" s="1">
        <v>1</v>
      </c>
      <c r="H72" s="1">
        <v>0</v>
      </c>
      <c r="I72" s="1">
        <v>90</v>
      </c>
      <c r="J72" s="1">
        <v>60003760</v>
      </c>
      <c r="K72" s="1">
        <v>32767</v>
      </c>
      <c r="L72" s="1">
        <v>0</v>
      </c>
      <c r="N72" s="1">
        <v>2839932178</v>
      </c>
      <c r="O72" s="1">
        <v>35</v>
      </c>
      <c r="P72" s="1">
        <v>50000000</v>
      </c>
      <c r="Q72" s="1">
        <v>50000000</v>
      </c>
      <c r="R72" s="1">
        <v>15.7</v>
      </c>
      <c r="S72" s="1">
        <v>1</v>
      </c>
      <c r="T72" s="1">
        <v>0</v>
      </c>
      <c r="U72" s="1">
        <v>90</v>
      </c>
      <c r="V72" s="1">
        <v>60003760</v>
      </c>
      <c r="W72" s="1">
        <v>32767</v>
      </c>
      <c r="X72" s="1">
        <v>0</v>
      </c>
      <c r="Z72" s="1">
        <v>2771932100</v>
      </c>
      <c r="AA72" s="1">
        <v>36</v>
      </c>
      <c r="AB72" s="1">
        <v>36432573</v>
      </c>
      <c r="AC72" s="1">
        <v>32304126</v>
      </c>
      <c r="AD72" s="16">
        <v>55.73</v>
      </c>
      <c r="AE72" s="1">
        <v>1</v>
      </c>
      <c r="AF72" s="1">
        <v>0</v>
      </c>
      <c r="AG72" s="1">
        <v>90</v>
      </c>
      <c r="AH72" s="1">
        <v>60003760</v>
      </c>
      <c r="AI72" s="1">
        <v>32767</v>
      </c>
      <c r="AJ72" s="1">
        <v>11</v>
      </c>
      <c r="AL72" s="1">
        <v>2714864115</v>
      </c>
      <c r="AM72" s="1">
        <v>37</v>
      </c>
      <c r="AN72" s="1">
        <v>10000000</v>
      </c>
      <c r="AO72" s="1">
        <v>8326562</v>
      </c>
      <c r="AP72" s="16">
        <v>267.72000000000003</v>
      </c>
      <c r="AQ72" s="1">
        <v>1</v>
      </c>
      <c r="AR72" s="1">
        <v>0</v>
      </c>
      <c r="AS72" s="1">
        <v>90</v>
      </c>
      <c r="AT72" s="1">
        <v>60003760</v>
      </c>
      <c r="AU72" s="1">
        <v>32767</v>
      </c>
      <c r="AV72" s="1">
        <v>9</v>
      </c>
      <c r="AX72" s="1">
        <v>2849914821</v>
      </c>
      <c r="AY72" s="1">
        <v>38</v>
      </c>
      <c r="AZ72" s="1">
        <v>250000</v>
      </c>
      <c r="BA72" s="1">
        <v>250000</v>
      </c>
      <c r="BB72" s="1">
        <v>900</v>
      </c>
      <c r="BC72" s="1">
        <v>1</v>
      </c>
      <c r="BD72" s="1">
        <v>0</v>
      </c>
      <c r="BE72" s="1">
        <v>90</v>
      </c>
      <c r="BF72" s="1">
        <v>60001651</v>
      </c>
      <c r="BG72" s="1">
        <v>32767</v>
      </c>
      <c r="BH72" s="1">
        <v>6</v>
      </c>
      <c r="BJ72" s="1">
        <v>2706301847</v>
      </c>
      <c r="BK72" s="1">
        <v>39</v>
      </c>
      <c r="BL72" s="1">
        <v>664913</v>
      </c>
      <c r="BM72" s="1">
        <v>664913</v>
      </c>
      <c r="BN72" s="1">
        <v>899.94</v>
      </c>
      <c r="BO72" s="1">
        <v>1</v>
      </c>
      <c r="BP72" s="1">
        <v>0</v>
      </c>
      <c r="BQ72" s="1">
        <v>90</v>
      </c>
      <c r="BR72" s="1">
        <v>60003760</v>
      </c>
      <c r="BS72" s="1">
        <v>32767</v>
      </c>
      <c r="BT72" s="1">
        <v>5</v>
      </c>
      <c r="BV72" s="1">
        <v>2405992670</v>
      </c>
      <c r="BW72" s="1">
        <v>40</v>
      </c>
      <c r="BX72" s="1">
        <v>15</v>
      </c>
      <c r="BY72" s="1">
        <v>15</v>
      </c>
      <c r="BZ72" s="1">
        <v>2700</v>
      </c>
      <c r="CA72" s="1">
        <v>1</v>
      </c>
      <c r="CB72" s="1">
        <v>0</v>
      </c>
      <c r="CC72" s="1">
        <v>90</v>
      </c>
      <c r="CD72" s="1">
        <v>60003760</v>
      </c>
      <c r="CE72" s="1">
        <v>32767</v>
      </c>
      <c r="CF72" s="1">
        <v>13</v>
      </c>
      <c r="CH72" s="1">
        <v>2411841558</v>
      </c>
      <c r="CI72" s="1">
        <v>29668</v>
      </c>
      <c r="CJ72" s="1">
        <v>8</v>
      </c>
      <c r="CK72" s="1">
        <v>8</v>
      </c>
      <c r="CL72" s="1">
        <v>498889950</v>
      </c>
      <c r="CM72" s="1">
        <v>1</v>
      </c>
      <c r="CN72" s="1">
        <v>0</v>
      </c>
      <c r="CO72" s="1">
        <v>90</v>
      </c>
      <c r="CP72" s="1">
        <v>60003760</v>
      </c>
      <c r="CQ72" s="1">
        <v>32767</v>
      </c>
      <c r="CR72" s="1">
        <v>0</v>
      </c>
      <c r="CT72" s="1">
        <v>2392098177</v>
      </c>
      <c r="CU72" s="1">
        <v>16649</v>
      </c>
      <c r="CV72" s="1">
        <v>10000</v>
      </c>
      <c r="CW72" s="1">
        <v>9900</v>
      </c>
      <c r="CX72" s="1">
        <v>92015.039999999994</v>
      </c>
      <c r="CY72" s="1">
        <v>1</v>
      </c>
      <c r="CZ72" s="1">
        <v>1</v>
      </c>
      <c r="DA72" s="1">
        <v>90</v>
      </c>
      <c r="DB72" s="1">
        <v>60003760</v>
      </c>
      <c r="DC72" s="1">
        <v>1</v>
      </c>
      <c r="DD72" s="1">
        <v>0</v>
      </c>
      <c r="DF72" s="1">
        <v>2410840771</v>
      </c>
      <c r="DG72" s="1">
        <v>17887</v>
      </c>
      <c r="DH72" s="1">
        <v>1204802</v>
      </c>
      <c r="DI72" s="1">
        <v>1204802</v>
      </c>
      <c r="DJ72" s="1">
        <v>1021.89</v>
      </c>
      <c r="DK72" s="1">
        <v>1</v>
      </c>
      <c r="DL72" s="1">
        <v>0</v>
      </c>
      <c r="DM72" s="1">
        <v>90</v>
      </c>
      <c r="DN72" s="1">
        <v>60003760</v>
      </c>
      <c r="DO72" s="1">
        <v>32767</v>
      </c>
      <c r="DP72" s="1">
        <v>0</v>
      </c>
      <c r="DR72" s="1">
        <v>2781016282</v>
      </c>
      <c r="DS72" s="1">
        <v>17888</v>
      </c>
      <c r="DT72" s="1">
        <v>500000</v>
      </c>
      <c r="DU72" s="1">
        <v>500000</v>
      </c>
      <c r="DV72" s="1">
        <v>448.01</v>
      </c>
      <c r="DW72" s="1">
        <v>1</v>
      </c>
      <c r="DX72" s="1">
        <v>0</v>
      </c>
      <c r="DY72" s="1">
        <v>30</v>
      </c>
      <c r="DZ72" s="1">
        <v>60003760</v>
      </c>
      <c r="EA72" s="1">
        <v>32767</v>
      </c>
      <c r="EB72" s="1">
        <v>8</v>
      </c>
      <c r="ED72" s="1">
        <v>2876293240</v>
      </c>
      <c r="EE72" s="1">
        <v>16273</v>
      </c>
      <c r="EF72" s="1">
        <v>5026</v>
      </c>
      <c r="EG72" s="1">
        <v>676</v>
      </c>
      <c r="EH72" s="1">
        <v>399</v>
      </c>
      <c r="EI72" s="1">
        <v>1</v>
      </c>
      <c r="EJ72" s="1">
        <v>0</v>
      </c>
      <c r="EK72" s="1">
        <v>90</v>
      </c>
      <c r="EL72" s="1">
        <v>60003145</v>
      </c>
      <c r="EM72" s="1">
        <v>32767</v>
      </c>
      <c r="EN72" s="1">
        <v>6</v>
      </c>
      <c r="EP72" s="1">
        <v>2744156905</v>
      </c>
      <c r="EQ72" s="1">
        <v>17889</v>
      </c>
      <c r="ER72" s="1">
        <v>502135</v>
      </c>
      <c r="ES72" s="1">
        <v>329970</v>
      </c>
      <c r="ET72" s="1">
        <v>698</v>
      </c>
      <c r="EU72" s="1">
        <v>1</v>
      </c>
      <c r="EV72" s="1">
        <v>0</v>
      </c>
      <c r="EW72" s="1">
        <v>90</v>
      </c>
      <c r="EX72" s="1">
        <v>60013045</v>
      </c>
      <c r="EY72" s="1">
        <v>32767</v>
      </c>
      <c r="EZ72" s="1">
        <v>12</v>
      </c>
      <c r="FB72" s="1">
        <v>2822807098</v>
      </c>
      <c r="FC72" s="1">
        <v>30259</v>
      </c>
      <c r="FD72" s="1">
        <v>500</v>
      </c>
      <c r="FE72" s="1">
        <v>192</v>
      </c>
      <c r="FF72" s="1">
        <v>5203002</v>
      </c>
      <c r="FG72" s="1">
        <v>1</v>
      </c>
      <c r="FH72" s="1">
        <v>1</v>
      </c>
      <c r="FI72" s="1">
        <v>90</v>
      </c>
      <c r="FJ72" s="1">
        <v>60003760</v>
      </c>
      <c r="FK72" s="1">
        <v>-1</v>
      </c>
      <c r="FL72" s="1">
        <v>0</v>
      </c>
      <c r="FN72" s="1">
        <v>2732564204</v>
      </c>
      <c r="FO72" s="1">
        <v>25617</v>
      </c>
      <c r="FP72" s="1">
        <v>120</v>
      </c>
      <c r="FQ72" s="1">
        <v>86</v>
      </c>
      <c r="FR72" s="1">
        <v>4050000.11</v>
      </c>
      <c r="FS72" s="1">
        <v>1</v>
      </c>
      <c r="FT72" s="1">
        <v>1</v>
      </c>
      <c r="FU72" s="1">
        <v>90</v>
      </c>
      <c r="FV72" s="1">
        <v>60003760</v>
      </c>
      <c r="FW72" s="1">
        <v>-1</v>
      </c>
      <c r="FX72" s="1">
        <v>0</v>
      </c>
      <c r="FZ72" s="1">
        <v>2876749508</v>
      </c>
      <c r="GA72" s="1">
        <v>44</v>
      </c>
      <c r="GB72" s="1">
        <v>44740</v>
      </c>
      <c r="GC72" s="1">
        <v>44740</v>
      </c>
      <c r="GD72" s="1">
        <v>12900</v>
      </c>
      <c r="GE72" s="1">
        <v>1</v>
      </c>
      <c r="GF72" s="1">
        <v>0</v>
      </c>
      <c r="GG72" s="1">
        <v>90</v>
      </c>
      <c r="GH72" s="1">
        <v>60003760</v>
      </c>
      <c r="GI72" s="1">
        <v>32767</v>
      </c>
      <c r="GJ72" s="1">
        <v>4</v>
      </c>
      <c r="GL72" s="1">
        <v>2398290438</v>
      </c>
      <c r="GM72" s="1">
        <v>16681</v>
      </c>
      <c r="GN72" s="1">
        <v>7500</v>
      </c>
      <c r="GO72" s="1">
        <v>7500</v>
      </c>
      <c r="GP72" s="1">
        <v>5200</v>
      </c>
      <c r="GQ72" s="1">
        <v>1</v>
      </c>
      <c r="GR72" s="1">
        <v>1</v>
      </c>
      <c r="GS72" s="1">
        <v>90</v>
      </c>
      <c r="GT72" s="1">
        <v>60003760</v>
      </c>
      <c r="GU72" s="1">
        <v>-1</v>
      </c>
      <c r="GV72" s="1">
        <v>0</v>
      </c>
      <c r="GX72" s="1">
        <v>2878373858</v>
      </c>
      <c r="GY72" s="1">
        <v>16683</v>
      </c>
      <c r="GZ72" s="1">
        <v>16670</v>
      </c>
      <c r="HA72" s="1">
        <v>16670</v>
      </c>
      <c r="HB72" s="1">
        <v>8360.14</v>
      </c>
      <c r="HC72" s="1">
        <v>1</v>
      </c>
      <c r="HD72" s="1">
        <v>1</v>
      </c>
      <c r="HE72" s="1">
        <v>90</v>
      </c>
      <c r="HF72" s="1">
        <v>60003760</v>
      </c>
      <c r="HG72" s="1">
        <v>-1</v>
      </c>
      <c r="HH72" s="1">
        <v>0</v>
      </c>
      <c r="HJ72"/>
      <c r="HK72"/>
      <c r="HL72"/>
      <c r="HM72"/>
      <c r="HN72"/>
      <c r="HO72"/>
      <c r="HP72"/>
      <c r="HQ72"/>
      <c r="HR72"/>
      <c r="HS72"/>
      <c r="HT72"/>
      <c r="HV72" s="1">
        <v>2873423697</v>
      </c>
      <c r="HW72" s="1">
        <v>16274</v>
      </c>
      <c r="HX72" s="1">
        <v>33277</v>
      </c>
      <c r="HY72" s="1">
        <v>29127</v>
      </c>
      <c r="HZ72" s="1">
        <v>500</v>
      </c>
      <c r="IA72" s="1">
        <v>1</v>
      </c>
      <c r="IB72" s="1">
        <v>0</v>
      </c>
      <c r="IC72" s="1">
        <v>90</v>
      </c>
      <c r="ID72" s="1">
        <v>60003172</v>
      </c>
      <c r="IE72" s="1">
        <v>32767</v>
      </c>
      <c r="IF72" s="1">
        <v>12</v>
      </c>
      <c r="IH72"/>
      <c r="II72"/>
      <c r="IJ72"/>
      <c r="IK72"/>
      <c r="IL72"/>
      <c r="IM72"/>
      <c r="IN72"/>
      <c r="IO72"/>
      <c r="IP72"/>
      <c r="IQ72"/>
      <c r="IR72"/>
      <c r="IT72" s="1">
        <v>2878925697</v>
      </c>
      <c r="IU72" s="1">
        <v>16679</v>
      </c>
      <c r="IV72" s="1">
        <v>2691000</v>
      </c>
      <c r="IW72" s="1">
        <v>2025978</v>
      </c>
      <c r="IX72" s="1">
        <v>1741.94</v>
      </c>
      <c r="IY72" s="1">
        <v>1</v>
      </c>
      <c r="IZ72" s="1">
        <v>0</v>
      </c>
      <c r="JA72" s="1">
        <v>90</v>
      </c>
      <c r="JB72" s="1">
        <v>60003760</v>
      </c>
      <c r="JC72" s="1">
        <v>32767</v>
      </c>
      <c r="JD72" s="1">
        <v>0</v>
      </c>
      <c r="JF72" s="1">
        <v>2854214161</v>
      </c>
      <c r="JG72" s="1">
        <v>16272</v>
      </c>
      <c r="JH72" s="1">
        <v>52373</v>
      </c>
      <c r="JI72" s="1">
        <v>52373</v>
      </c>
      <c r="JJ72" s="1">
        <v>80</v>
      </c>
      <c r="JK72" s="1">
        <v>1</v>
      </c>
      <c r="JL72" s="1">
        <v>0</v>
      </c>
      <c r="JM72" s="1">
        <v>90</v>
      </c>
      <c r="JN72" s="1">
        <v>60001801</v>
      </c>
      <c r="JO72" s="1">
        <v>32767</v>
      </c>
      <c r="JP72" s="1">
        <v>5</v>
      </c>
      <c r="KD72" s="1">
        <v>2865915670</v>
      </c>
      <c r="KE72" s="1">
        <v>25605</v>
      </c>
      <c r="KF72" s="1">
        <v>1027</v>
      </c>
      <c r="KG72" s="1">
        <v>1027</v>
      </c>
      <c r="KH72" s="1">
        <v>112000</v>
      </c>
      <c r="KI72" s="1">
        <v>1</v>
      </c>
      <c r="KJ72" s="1">
        <v>0</v>
      </c>
      <c r="KK72" s="1">
        <v>90</v>
      </c>
      <c r="KL72" s="1">
        <v>60012667</v>
      </c>
      <c r="KM72" s="1">
        <v>32767</v>
      </c>
      <c r="KN72" s="1">
        <v>0</v>
      </c>
      <c r="KP72" s="1">
        <v>2878356298</v>
      </c>
      <c r="KQ72" s="1">
        <v>25624</v>
      </c>
      <c r="KR72" s="1">
        <v>3</v>
      </c>
      <c r="KS72" s="1">
        <v>3</v>
      </c>
      <c r="KT72" s="1">
        <v>18249988.989999998</v>
      </c>
      <c r="KU72" s="1">
        <v>1</v>
      </c>
      <c r="KV72" s="1">
        <v>0</v>
      </c>
      <c r="KW72" s="1">
        <v>90</v>
      </c>
      <c r="KX72" s="1">
        <v>60003760</v>
      </c>
      <c r="KY72" s="1">
        <v>32767</v>
      </c>
      <c r="KZ72" s="1">
        <v>0</v>
      </c>
      <c r="LB72" s="1">
        <v>2866675381</v>
      </c>
      <c r="LC72" s="1">
        <v>9832</v>
      </c>
      <c r="LD72" s="1">
        <v>2525</v>
      </c>
      <c r="LE72" s="1">
        <v>2525</v>
      </c>
      <c r="LF72" s="1">
        <v>93498.98</v>
      </c>
      <c r="LG72" s="1">
        <v>1</v>
      </c>
      <c r="LH72" s="1">
        <v>0</v>
      </c>
      <c r="LI72" s="1">
        <v>90</v>
      </c>
      <c r="LJ72" s="1">
        <v>60003760</v>
      </c>
      <c r="LK72" s="1">
        <v>32767</v>
      </c>
      <c r="LL72" s="1">
        <v>0</v>
      </c>
      <c r="LN72" s="1">
        <v>2878892854</v>
      </c>
      <c r="LO72" s="1">
        <v>10209</v>
      </c>
      <c r="LP72" s="1">
        <v>1</v>
      </c>
      <c r="LQ72" s="1">
        <v>1</v>
      </c>
      <c r="LR72" s="1">
        <v>112809000.01000001</v>
      </c>
      <c r="LS72" s="1">
        <v>1</v>
      </c>
      <c r="LT72" s="1">
        <v>1</v>
      </c>
      <c r="LU72" s="1">
        <v>90</v>
      </c>
      <c r="LV72" s="1">
        <v>60003760</v>
      </c>
      <c r="LW72" s="1">
        <v>-1</v>
      </c>
      <c r="LX72" s="1">
        <v>0</v>
      </c>
      <c r="LZ72"/>
      <c r="MA72"/>
      <c r="MB72"/>
      <c r="MC72"/>
      <c r="MD72"/>
      <c r="ME72"/>
      <c r="MF72"/>
      <c r="MG72"/>
      <c r="MH72"/>
      <c r="MI72"/>
      <c r="MJ72"/>
      <c r="ML72" s="1">
        <v>2878596580</v>
      </c>
      <c r="MM72" s="1">
        <v>25625</v>
      </c>
      <c r="MN72" s="1">
        <v>80</v>
      </c>
      <c r="MO72" s="1">
        <v>78</v>
      </c>
      <c r="MP72" s="1">
        <v>4215200</v>
      </c>
      <c r="MQ72" s="1">
        <v>1</v>
      </c>
      <c r="MR72" s="1">
        <v>1</v>
      </c>
      <c r="MS72" s="1">
        <v>14</v>
      </c>
      <c r="MT72" s="1">
        <v>60003760</v>
      </c>
      <c r="MU72" s="1">
        <v>-1</v>
      </c>
      <c r="MV72" s="1">
        <v>0</v>
      </c>
      <c r="MX72" s="1">
        <v>2761094352</v>
      </c>
      <c r="MY72" s="1">
        <v>16672</v>
      </c>
      <c r="MZ72" s="1">
        <v>1000000</v>
      </c>
      <c r="NA72" s="1">
        <v>999940</v>
      </c>
      <c r="NB72" s="1">
        <v>11.02</v>
      </c>
      <c r="NC72" s="1">
        <v>1</v>
      </c>
      <c r="ND72" s="1">
        <v>1</v>
      </c>
      <c r="NE72" s="1">
        <v>90</v>
      </c>
      <c r="NF72" s="1">
        <v>60003760</v>
      </c>
      <c r="NG72" s="1">
        <v>32767</v>
      </c>
      <c r="NH72" s="1">
        <v>0</v>
      </c>
      <c r="NJ72" s="1">
        <v>2877225123</v>
      </c>
      <c r="NK72" s="1">
        <v>16673</v>
      </c>
      <c r="NL72" s="1">
        <v>2280000</v>
      </c>
      <c r="NM72" s="1">
        <v>2280000</v>
      </c>
      <c r="NN72" s="1">
        <v>109.22</v>
      </c>
      <c r="NO72" s="1">
        <v>1</v>
      </c>
      <c r="NP72" s="1">
        <v>0</v>
      </c>
      <c r="NQ72" s="1">
        <v>14</v>
      </c>
      <c r="NR72" s="1">
        <v>60003760</v>
      </c>
      <c r="NS72" s="1">
        <v>32767</v>
      </c>
      <c r="NT72" s="1">
        <v>6</v>
      </c>
      <c r="NV72" s="1">
        <v>2871802430</v>
      </c>
      <c r="NW72" s="1">
        <v>3689</v>
      </c>
      <c r="NX72" s="1">
        <v>20000</v>
      </c>
      <c r="NY72" s="1">
        <v>20000</v>
      </c>
      <c r="NZ72" s="1">
        <v>10379</v>
      </c>
      <c r="OA72" s="1">
        <v>1</v>
      </c>
      <c r="OB72" s="1">
        <v>0</v>
      </c>
      <c r="OC72" s="1">
        <v>90</v>
      </c>
      <c r="OD72" s="1">
        <v>60003760</v>
      </c>
      <c r="OE72" s="1">
        <v>32767</v>
      </c>
      <c r="OF72" s="1">
        <v>0</v>
      </c>
      <c r="OH72" s="1">
        <v>2850125360</v>
      </c>
      <c r="OI72" s="1">
        <v>25598</v>
      </c>
      <c r="OJ72" s="1">
        <v>46</v>
      </c>
      <c r="OK72" s="1">
        <v>46</v>
      </c>
      <c r="OL72" s="1">
        <v>164000</v>
      </c>
      <c r="OM72" s="1">
        <v>1</v>
      </c>
      <c r="ON72" s="1">
        <v>0</v>
      </c>
      <c r="OO72" s="1">
        <v>30</v>
      </c>
      <c r="OP72" s="1">
        <v>60003760</v>
      </c>
      <c r="OQ72" s="1">
        <v>32767</v>
      </c>
      <c r="OR72" s="1">
        <v>0</v>
      </c>
      <c r="OT72" s="1">
        <v>2851269433</v>
      </c>
      <c r="OU72" s="1">
        <v>25600</v>
      </c>
      <c r="OV72" s="1">
        <v>152</v>
      </c>
      <c r="OW72" s="1">
        <v>152</v>
      </c>
      <c r="OX72" s="1">
        <v>39500</v>
      </c>
      <c r="OY72" s="1">
        <v>1</v>
      </c>
      <c r="OZ72" s="1">
        <v>0</v>
      </c>
      <c r="PA72" s="1">
        <v>90</v>
      </c>
      <c r="PB72" s="1">
        <v>60004054</v>
      </c>
      <c r="PC72" s="1">
        <v>32767</v>
      </c>
      <c r="PD72" s="1">
        <v>6</v>
      </c>
      <c r="PF72" s="1">
        <v>2875586789</v>
      </c>
      <c r="PG72" s="1">
        <v>16670</v>
      </c>
      <c r="PH72" s="1">
        <v>3553339</v>
      </c>
      <c r="PI72" s="1">
        <v>3553339</v>
      </c>
      <c r="PJ72" s="1">
        <v>117.57</v>
      </c>
      <c r="PK72" s="1">
        <v>1</v>
      </c>
      <c r="PL72" s="1">
        <v>0</v>
      </c>
      <c r="PM72" s="1">
        <v>90</v>
      </c>
      <c r="PN72" s="1">
        <v>60003760</v>
      </c>
      <c r="PO72" s="1">
        <v>32767</v>
      </c>
      <c r="PP72" s="1">
        <v>7</v>
      </c>
      <c r="PR72" s="1">
        <v>2877231145</v>
      </c>
      <c r="PS72" s="1">
        <v>10222</v>
      </c>
      <c r="PT72" s="1">
        <v>4</v>
      </c>
      <c r="PU72" s="1">
        <v>1</v>
      </c>
      <c r="PV72" s="1">
        <v>110870000.04000001</v>
      </c>
      <c r="PW72" s="1">
        <v>1</v>
      </c>
      <c r="PX72" s="1">
        <v>1</v>
      </c>
      <c r="PY72" s="1">
        <v>90</v>
      </c>
      <c r="PZ72" s="1">
        <v>60003760</v>
      </c>
      <c r="QA72" s="1">
        <v>-1</v>
      </c>
      <c r="QB72" s="1">
        <v>0</v>
      </c>
      <c r="QD72" s="1">
        <v>2828503145</v>
      </c>
      <c r="QE72" s="1">
        <v>9830</v>
      </c>
      <c r="QF72" s="1">
        <v>100000</v>
      </c>
      <c r="QG72" s="1">
        <v>89268</v>
      </c>
      <c r="QH72" s="1">
        <v>6508.98</v>
      </c>
      <c r="QI72" s="1">
        <v>1</v>
      </c>
      <c r="QJ72" s="1">
        <v>1</v>
      </c>
      <c r="QK72" s="1">
        <v>90</v>
      </c>
      <c r="QL72" s="1">
        <v>60003760</v>
      </c>
      <c r="QM72" s="1">
        <v>2</v>
      </c>
      <c r="QN72" s="1">
        <v>0</v>
      </c>
      <c r="QP72" s="1">
        <v>2855707659</v>
      </c>
      <c r="QQ72" s="1">
        <v>16671</v>
      </c>
      <c r="QR72" s="1">
        <v>760000</v>
      </c>
      <c r="QS72" s="1">
        <v>750052</v>
      </c>
      <c r="QT72" s="1">
        <v>65.16</v>
      </c>
      <c r="QU72" s="1">
        <v>1</v>
      </c>
      <c r="QV72" s="1">
        <v>1</v>
      </c>
      <c r="QW72" s="1">
        <v>90</v>
      </c>
      <c r="QX72" s="1">
        <v>60003760</v>
      </c>
      <c r="QY72" s="1">
        <v>10</v>
      </c>
      <c r="QZ72" s="1">
        <v>0</v>
      </c>
      <c r="RB72" s="1">
        <v>2643218002</v>
      </c>
      <c r="RC72" s="1">
        <v>16682</v>
      </c>
      <c r="RD72" s="1">
        <v>300000</v>
      </c>
      <c r="RE72" s="1">
        <v>82690</v>
      </c>
      <c r="RF72" s="1">
        <v>2845.49</v>
      </c>
      <c r="RG72" s="1">
        <v>1</v>
      </c>
      <c r="RH72" s="1">
        <v>1</v>
      </c>
      <c r="RI72" s="1">
        <v>90</v>
      </c>
      <c r="RJ72" s="1">
        <v>60003760</v>
      </c>
      <c r="RK72" s="1">
        <v>10</v>
      </c>
      <c r="RL72" s="1">
        <v>0</v>
      </c>
      <c r="RN72" s="1">
        <v>2867588751</v>
      </c>
      <c r="RO72" s="1">
        <v>16678</v>
      </c>
      <c r="RP72" s="1">
        <v>10000</v>
      </c>
      <c r="RQ72" s="1">
        <v>10000</v>
      </c>
      <c r="RR72" s="1">
        <v>264</v>
      </c>
      <c r="RS72" s="1">
        <v>1</v>
      </c>
      <c r="RT72" s="1">
        <v>1</v>
      </c>
      <c r="RU72" s="1">
        <v>90</v>
      </c>
      <c r="RV72" s="1">
        <v>60003760</v>
      </c>
      <c r="RW72" s="1">
        <v>-1</v>
      </c>
      <c r="RX72" s="1">
        <v>0</v>
      </c>
      <c r="SL72" s="1">
        <v>2859356010</v>
      </c>
      <c r="SM72" s="1">
        <v>30311</v>
      </c>
      <c r="SN72" s="1">
        <v>131</v>
      </c>
      <c r="SO72" s="1">
        <v>131</v>
      </c>
      <c r="SP72" s="1">
        <v>2791895.58</v>
      </c>
      <c r="SQ72" s="1">
        <v>1</v>
      </c>
      <c r="SR72" s="1">
        <v>1</v>
      </c>
      <c r="SS72" s="1">
        <v>90</v>
      </c>
      <c r="ST72" s="1">
        <v>60003760</v>
      </c>
      <c r="SU72" s="1">
        <v>-1</v>
      </c>
      <c r="SV72" s="1">
        <v>0</v>
      </c>
      <c r="SX72" s="1">
        <v>2847851973</v>
      </c>
      <c r="SY72" s="1">
        <v>25595</v>
      </c>
      <c r="SZ72" s="1">
        <v>628</v>
      </c>
      <c r="TA72" s="1">
        <v>628</v>
      </c>
      <c r="TB72" s="1">
        <v>87000</v>
      </c>
      <c r="TC72" s="1">
        <v>1</v>
      </c>
      <c r="TD72" s="1">
        <v>0</v>
      </c>
      <c r="TE72" s="1">
        <v>30</v>
      </c>
      <c r="TF72" s="1">
        <v>60003760</v>
      </c>
      <c r="TG72" s="1">
        <v>32767</v>
      </c>
      <c r="TH72" s="1">
        <v>6</v>
      </c>
      <c r="TJ72" s="1">
        <v>2877168577</v>
      </c>
      <c r="TK72" s="1">
        <v>25606</v>
      </c>
      <c r="TL72" s="1">
        <v>96</v>
      </c>
      <c r="TM72" s="1">
        <v>96</v>
      </c>
      <c r="TN72" s="1">
        <v>23984</v>
      </c>
      <c r="TO72" s="1">
        <v>1</v>
      </c>
      <c r="TP72" s="1">
        <v>0</v>
      </c>
      <c r="TQ72" s="1">
        <v>90</v>
      </c>
      <c r="TR72" s="1">
        <v>60003760</v>
      </c>
      <c r="TS72" s="1">
        <v>32767</v>
      </c>
      <c r="TT72" s="1">
        <v>0</v>
      </c>
      <c r="TV72" s="1">
        <v>2878739311</v>
      </c>
      <c r="TW72" s="1">
        <v>25622</v>
      </c>
      <c r="TX72" s="1">
        <v>85</v>
      </c>
      <c r="TY72" s="1">
        <v>27</v>
      </c>
      <c r="TZ72" s="1">
        <v>13800001.16</v>
      </c>
      <c r="UA72" s="1">
        <v>1</v>
      </c>
      <c r="UB72" s="1">
        <v>1</v>
      </c>
      <c r="UC72" s="1">
        <v>90</v>
      </c>
      <c r="UD72" s="1">
        <v>60003760</v>
      </c>
      <c r="UE72" s="1">
        <v>-1</v>
      </c>
      <c r="UF72" s="1">
        <v>0</v>
      </c>
      <c r="UH72" s="1">
        <v>2878716192</v>
      </c>
      <c r="UI72" s="1">
        <v>16680</v>
      </c>
      <c r="UJ72" s="1">
        <v>500000</v>
      </c>
      <c r="UK72" s="1">
        <v>500000</v>
      </c>
      <c r="UL72" s="1">
        <v>679.16</v>
      </c>
      <c r="UM72" s="1">
        <v>1</v>
      </c>
      <c r="UN72" s="1">
        <v>1</v>
      </c>
      <c r="UO72" s="1">
        <v>90</v>
      </c>
      <c r="UP72" s="1">
        <v>60003760</v>
      </c>
      <c r="UQ72" s="1">
        <v>-1</v>
      </c>
      <c r="UR72" s="1">
        <v>0</v>
      </c>
      <c r="UT72"/>
      <c r="UU72"/>
      <c r="UV72"/>
      <c r="UW72"/>
      <c r="UX72"/>
      <c r="UY72"/>
      <c r="UZ72"/>
      <c r="VA72"/>
      <c r="VB72"/>
      <c r="VC72"/>
      <c r="VD72"/>
      <c r="VF72"/>
      <c r="VG72"/>
      <c r="VH72"/>
      <c r="VI72"/>
      <c r="VJ72"/>
      <c r="VK72"/>
      <c r="VL72"/>
      <c r="VM72"/>
      <c r="VN72"/>
      <c r="VO72"/>
      <c r="VP72"/>
    </row>
    <row r="73" spans="2:588" x14ac:dyDescent="0.25">
      <c r="B73" s="1">
        <v>2820930035</v>
      </c>
      <c r="C73" s="1">
        <v>34</v>
      </c>
      <c r="D73" s="1">
        <v>79754220</v>
      </c>
      <c r="E73" s="1">
        <v>79754220</v>
      </c>
      <c r="F73" s="1">
        <v>5.99</v>
      </c>
      <c r="G73" s="1">
        <v>1</v>
      </c>
      <c r="H73" s="1">
        <v>0</v>
      </c>
      <c r="I73" s="1">
        <v>90</v>
      </c>
      <c r="J73" s="1">
        <v>60003760</v>
      </c>
      <c r="K73" s="1">
        <v>32767</v>
      </c>
      <c r="L73" s="1">
        <v>0</v>
      </c>
      <c r="N73" s="1">
        <v>2839932878</v>
      </c>
      <c r="O73" s="1">
        <v>35</v>
      </c>
      <c r="P73" s="1">
        <v>50000000</v>
      </c>
      <c r="Q73" s="1">
        <v>50000000</v>
      </c>
      <c r="R73" s="1">
        <v>15.98</v>
      </c>
      <c r="S73" s="1">
        <v>1</v>
      </c>
      <c r="T73" s="1">
        <v>0</v>
      </c>
      <c r="U73" s="1">
        <v>90</v>
      </c>
      <c r="V73" s="1">
        <v>60003760</v>
      </c>
      <c r="W73" s="1">
        <v>32767</v>
      </c>
      <c r="X73" s="1">
        <v>0</v>
      </c>
      <c r="Z73" s="1">
        <v>2772000017</v>
      </c>
      <c r="AA73" s="1">
        <v>36</v>
      </c>
      <c r="AB73" s="1">
        <v>12547081</v>
      </c>
      <c r="AC73" s="1">
        <v>12547081</v>
      </c>
      <c r="AD73" s="16">
        <v>55.75</v>
      </c>
      <c r="AE73" s="1">
        <v>1</v>
      </c>
      <c r="AF73" s="1">
        <v>0</v>
      </c>
      <c r="AG73" s="1">
        <v>90</v>
      </c>
      <c r="AH73" s="1">
        <v>60003760</v>
      </c>
      <c r="AI73" s="1">
        <v>32767</v>
      </c>
      <c r="AJ73" s="1">
        <v>11</v>
      </c>
      <c r="AL73" s="1">
        <v>2751037453</v>
      </c>
      <c r="AM73" s="1">
        <v>37</v>
      </c>
      <c r="AN73" s="1">
        <v>1772932</v>
      </c>
      <c r="AO73" s="1">
        <v>1120835</v>
      </c>
      <c r="AP73" s="16">
        <v>164.88</v>
      </c>
      <c r="AQ73" s="1">
        <v>1</v>
      </c>
      <c r="AR73" s="1">
        <v>0</v>
      </c>
      <c r="AS73" s="1">
        <v>90</v>
      </c>
      <c r="AT73" s="1">
        <v>60003760</v>
      </c>
      <c r="AU73" s="1">
        <v>32767</v>
      </c>
      <c r="AV73" s="1">
        <v>9</v>
      </c>
      <c r="AX73" s="1">
        <v>2858670058</v>
      </c>
      <c r="AY73" s="1">
        <v>38</v>
      </c>
      <c r="AZ73" s="1">
        <v>8563</v>
      </c>
      <c r="BA73" s="1">
        <v>986</v>
      </c>
      <c r="BB73" s="1">
        <v>845.49</v>
      </c>
      <c r="BC73" s="1">
        <v>1</v>
      </c>
      <c r="BD73" s="1">
        <v>0</v>
      </c>
      <c r="BE73" s="1">
        <v>90</v>
      </c>
      <c r="BF73" s="1">
        <v>60001654</v>
      </c>
      <c r="BG73" s="1">
        <v>32767</v>
      </c>
      <c r="BH73" s="1">
        <v>6</v>
      </c>
      <c r="BJ73" s="1">
        <v>2700942887</v>
      </c>
      <c r="BK73" s="1">
        <v>39</v>
      </c>
      <c r="BL73" s="1">
        <v>201369</v>
      </c>
      <c r="BM73" s="1">
        <v>201369</v>
      </c>
      <c r="BN73" s="1">
        <v>910.09</v>
      </c>
      <c r="BO73" s="1">
        <v>1</v>
      </c>
      <c r="BP73" s="1">
        <v>0</v>
      </c>
      <c r="BQ73" s="1">
        <v>90</v>
      </c>
      <c r="BR73" s="1">
        <v>60003760</v>
      </c>
      <c r="BS73" s="1">
        <v>32767</v>
      </c>
      <c r="BT73" s="1">
        <v>5</v>
      </c>
      <c r="BV73" s="1">
        <v>2406056294</v>
      </c>
      <c r="BW73" s="1">
        <v>40</v>
      </c>
      <c r="BX73" s="1">
        <v>14</v>
      </c>
      <c r="BY73" s="1">
        <v>14</v>
      </c>
      <c r="BZ73" s="1">
        <v>2694.79</v>
      </c>
      <c r="CA73" s="1">
        <v>1</v>
      </c>
      <c r="CB73" s="1">
        <v>0</v>
      </c>
      <c r="CC73" s="1">
        <v>30</v>
      </c>
      <c r="CD73" s="1">
        <v>60003760</v>
      </c>
      <c r="CE73" s="1">
        <v>32767</v>
      </c>
      <c r="CF73" s="1">
        <v>13</v>
      </c>
      <c r="CH73" s="1">
        <v>2411210887</v>
      </c>
      <c r="CI73" s="1">
        <v>29668</v>
      </c>
      <c r="CJ73" s="1">
        <v>1</v>
      </c>
      <c r="CK73" s="1">
        <v>1</v>
      </c>
      <c r="CL73" s="1">
        <v>499999999.99000001</v>
      </c>
      <c r="CM73" s="1">
        <v>1</v>
      </c>
      <c r="CN73" s="1">
        <v>0</v>
      </c>
      <c r="CO73" s="1">
        <v>30</v>
      </c>
      <c r="CP73" s="1">
        <v>60003760</v>
      </c>
      <c r="CQ73" s="1">
        <v>32767</v>
      </c>
      <c r="CR73" s="1">
        <v>0</v>
      </c>
      <c r="CT73" s="1">
        <v>2392121071</v>
      </c>
      <c r="CU73" s="1">
        <v>16649</v>
      </c>
      <c r="CV73" s="1">
        <v>25000</v>
      </c>
      <c r="CW73" s="1">
        <v>25000</v>
      </c>
      <c r="CX73" s="1">
        <v>80010.080000000002</v>
      </c>
      <c r="CY73" s="1">
        <v>1</v>
      </c>
      <c r="CZ73" s="1">
        <v>1</v>
      </c>
      <c r="DA73" s="1">
        <v>90</v>
      </c>
      <c r="DB73" s="1">
        <v>60003760</v>
      </c>
      <c r="DC73" s="1">
        <v>-1</v>
      </c>
      <c r="DD73" s="1">
        <v>0</v>
      </c>
      <c r="DF73" s="1">
        <v>2410843921</v>
      </c>
      <c r="DG73" s="1">
        <v>17887</v>
      </c>
      <c r="DH73" s="1">
        <v>1157328</v>
      </c>
      <c r="DI73" s="1">
        <v>1157328</v>
      </c>
      <c r="DJ73" s="1">
        <v>1021.84</v>
      </c>
      <c r="DK73" s="1">
        <v>1</v>
      </c>
      <c r="DL73" s="1">
        <v>0</v>
      </c>
      <c r="DM73" s="1">
        <v>90</v>
      </c>
      <c r="DN73" s="1">
        <v>60003760</v>
      </c>
      <c r="DO73" s="1">
        <v>32767</v>
      </c>
      <c r="DP73" s="1">
        <v>0</v>
      </c>
      <c r="DR73" s="1">
        <v>2811409192</v>
      </c>
      <c r="DS73" s="1">
        <v>17888</v>
      </c>
      <c r="DT73" s="1">
        <v>30000000</v>
      </c>
      <c r="DU73" s="1">
        <v>30000000</v>
      </c>
      <c r="DV73" s="1">
        <v>497.99</v>
      </c>
      <c r="DW73" s="1">
        <v>1</v>
      </c>
      <c r="DX73" s="1">
        <v>0</v>
      </c>
      <c r="DY73" s="1">
        <v>90</v>
      </c>
      <c r="DZ73" s="1">
        <v>60003760</v>
      </c>
      <c r="EA73" s="1">
        <v>32767</v>
      </c>
      <c r="EB73" s="1">
        <v>8</v>
      </c>
      <c r="ED73" s="1">
        <v>2776443905</v>
      </c>
      <c r="EE73" s="1">
        <v>16273</v>
      </c>
      <c r="EF73" s="1">
        <v>147944</v>
      </c>
      <c r="EG73" s="1">
        <v>79414</v>
      </c>
      <c r="EH73" s="1">
        <v>700.06</v>
      </c>
      <c r="EI73" s="1">
        <v>1</v>
      </c>
      <c r="EJ73" s="1">
        <v>0</v>
      </c>
      <c r="EK73" s="1">
        <v>90</v>
      </c>
      <c r="EL73" s="1">
        <v>60001801</v>
      </c>
      <c r="EM73" s="1">
        <v>32767</v>
      </c>
      <c r="EN73" s="1">
        <v>5</v>
      </c>
      <c r="EP73" s="1">
        <v>2738583538</v>
      </c>
      <c r="EQ73" s="1">
        <v>17889</v>
      </c>
      <c r="ER73" s="1">
        <v>150000</v>
      </c>
      <c r="ES73" s="1">
        <v>94000</v>
      </c>
      <c r="ET73" s="1">
        <v>699</v>
      </c>
      <c r="EU73" s="1">
        <v>1</v>
      </c>
      <c r="EV73" s="1">
        <v>0</v>
      </c>
      <c r="EW73" s="1">
        <v>90</v>
      </c>
      <c r="EX73" s="1">
        <v>60013045</v>
      </c>
      <c r="EY73" s="1">
        <v>32767</v>
      </c>
      <c r="EZ73" s="1">
        <v>12</v>
      </c>
      <c r="FB73" s="1">
        <v>2764651769</v>
      </c>
      <c r="FC73" s="1">
        <v>30259</v>
      </c>
      <c r="FD73" s="1">
        <v>100</v>
      </c>
      <c r="FE73" s="1">
        <v>100</v>
      </c>
      <c r="FF73" s="1">
        <v>4750004.0199999996</v>
      </c>
      <c r="FG73" s="1">
        <v>1</v>
      </c>
      <c r="FH73" s="1">
        <v>1</v>
      </c>
      <c r="FI73" s="1">
        <v>90</v>
      </c>
      <c r="FJ73" s="1">
        <v>60003760</v>
      </c>
      <c r="FK73" s="1">
        <v>-1</v>
      </c>
      <c r="FL73" s="1">
        <v>0</v>
      </c>
      <c r="FN73" s="1">
        <v>2732160128</v>
      </c>
      <c r="FO73" s="1">
        <v>25617</v>
      </c>
      <c r="FP73" s="1">
        <v>250</v>
      </c>
      <c r="FQ73" s="1">
        <v>250</v>
      </c>
      <c r="FR73" s="1">
        <v>4063000.11</v>
      </c>
      <c r="FS73" s="1">
        <v>1</v>
      </c>
      <c r="FT73" s="1">
        <v>1</v>
      </c>
      <c r="FU73" s="1">
        <v>90</v>
      </c>
      <c r="FV73" s="1">
        <v>60003760</v>
      </c>
      <c r="FW73" s="1">
        <v>-1</v>
      </c>
      <c r="FX73" s="1">
        <v>0</v>
      </c>
      <c r="FZ73" s="1">
        <v>2876089356</v>
      </c>
      <c r="GA73" s="1">
        <v>44</v>
      </c>
      <c r="GB73" s="1">
        <v>852</v>
      </c>
      <c r="GC73" s="1">
        <v>852</v>
      </c>
      <c r="GD73" s="1">
        <v>12665</v>
      </c>
      <c r="GE73" s="1">
        <v>1</v>
      </c>
      <c r="GF73" s="1">
        <v>0</v>
      </c>
      <c r="GG73" s="1">
        <v>90</v>
      </c>
      <c r="GH73" s="1">
        <v>60003760</v>
      </c>
      <c r="GI73" s="1">
        <v>32767</v>
      </c>
      <c r="GJ73" s="1">
        <v>4</v>
      </c>
      <c r="GL73" s="1">
        <v>2368376401</v>
      </c>
      <c r="GM73" s="1">
        <v>16681</v>
      </c>
      <c r="GN73" s="1">
        <v>80000</v>
      </c>
      <c r="GO73" s="1">
        <v>80000</v>
      </c>
      <c r="GP73" s="1">
        <v>5001</v>
      </c>
      <c r="GQ73" s="1">
        <v>1</v>
      </c>
      <c r="GR73" s="1">
        <v>1</v>
      </c>
      <c r="GS73" s="1">
        <v>90</v>
      </c>
      <c r="GT73" s="1">
        <v>60003760</v>
      </c>
      <c r="GU73" s="1">
        <v>-1</v>
      </c>
      <c r="GV73" s="1">
        <v>0</v>
      </c>
      <c r="GX73" s="1">
        <v>2878236768</v>
      </c>
      <c r="GY73" s="1">
        <v>16683</v>
      </c>
      <c r="GZ73" s="1">
        <v>10000</v>
      </c>
      <c r="HA73" s="1">
        <v>10000</v>
      </c>
      <c r="HB73" s="1">
        <v>8360.15</v>
      </c>
      <c r="HC73" s="1">
        <v>1</v>
      </c>
      <c r="HD73" s="1">
        <v>1</v>
      </c>
      <c r="HE73" s="1">
        <v>30</v>
      </c>
      <c r="HF73" s="1">
        <v>60003760</v>
      </c>
      <c r="HG73" s="1">
        <v>-1</v>
      </c>
      <c r="HH73" s="1">
        <v>0</v>
      </c>
      <c r="HJ73"/>
      <c r="HK73"/>
      <c r="HL73"/>
      <c r="HM73"/>
      <c r="HN73"/>
      <c r="HO73"/>
      <c r="HP73"/>
      <c r="HQ73"/>
      <c r="HR73"/>
      <c r="HS73"/>
      <c r="HT73"/>
      <c r="HV73" s="1">
        <v>2799813847</v>
      </c>
      <c r="HW73" s="1">
        <v>16274</v>
      </c>
      <c r="HX73" s="1">
        <v>300000</v>
      </c>
      <c r="HY73" s="1">
        <v>258000</v>
      </c>
      <c r="HZ73" s="1">
        <v>750</v>
      </c>
      <c r="IA73" s="1">
        <v>1</v>
      </c>
      <c r="IB73" s="1">
        <v>0</v>
      </c>
      <c r="IC73" s="1">
        <v>90</v>
      </c>
      <c r="ID73" s="1">
        <v>60012325</v>
      </c>
      <c r="IE73" s="1">
        <v>32767</v>
      </c>
      <c r="IF73" s="1">
        <v>10</v>
      </c>
      <c r="IH73"/>
      <c r="II73"/>
      <c r="IJ73"/>
      <c r="IK73"/>
      <c r="IL73"/>
      <c r="IM73"/>
      <c r="IN73"/>
      <c r="IO73"/>
      <c r="IP73"/>
      <c r="IQ73"/>
      <c r="IR73"/>
      <c r="IT73" s="1">
        <v>2879043181</v>
      </c>
      <c r="IU73" s="1">
        <v>16679</v>
      </c>
      <c r="IV73" s="1">
        <v>130000</v>
      </c>
      <c r="IW73" s="1">
        <v>130000</v>
      </c>
      <c r="IX73" s="1">
        <v>1741.49</v>
      </c>
      <c r="IY73" s="1">
        <v>1</v>
      </c>
      <c r="IZ73" s="1">
        <v>0</v>
      </c>
      <c r="JA73" s="1">
        <v>90</v>
      </c>
      <c r="JB73" s="1">
        <v>60003760</v>
      </c>
      <c r="JC73" s="1">
        <v>32767</v>
      </c>
      <c r="JD73" s="1">
        <v>0</v>
      </c>
      <c r="JF73" s="1">
        <v>2854214350</v>
      </c>
      <c r="JG73" s="1">
        <v>16272</v>
      </c>
      <c r="JH73" s="1">
        <v>1317757</v>
      </c>
      <c r="JI73" s="1">
        <v>1317757</v>
      </c>
      <c r="JJ73" s="1">
        <v>80</v>
      </c>
      <c r="JK73" s="1">
        <v>1</v>
      </c>
      <c r="JL73" s="1">
        <v>0</v>
      </c>
      <c r="JM73" s="1">
        <v>90</v>
      </c>
      <c r="JN73" s="1">
        <v>60001804</v>
      </c>
      <c r="JO73" s="1">
        <v>32767</v>
      </c>
      <c r="JP73" s="1">
        <v>5</v>
      </c>
      <c r="KD73" s="1">
        <v>2872051806</v>
      </c>
      <c r="KE73" s="1">
        <v>25605</v>
      </c>
      <c r="KF73" s="1">
        <v>200</v>
      </c>
      <c r="KG73" s="1">
        <v>200</v>
      </c>
      <c r="KH73" s="1">
        <v>111900</v>
      </c>
      <c r="KI73" s="1">
        <v>1</v>
      </c>
      <c r="KJ73" s="1">
        <v>0</v>
      </c>
      <c r="KK73" s="1">
        <v>90</v>
      </c>
      <c r="KL73" s="1">
        <v>60012667</v>
      </c>
      <c r="KM73" s="1">
        <v>32767</v>
      </c>
      <c r="KN73" s="1">
        <v>0</v>
      </c>
      <c r="KP73" s="1">
        <v>2878377917</v>
      </c>
      <c r="KQ73" s="1">
        <v>25624</v>
      </c>
      <c r="KR73" s="1">
        <v>56</v>
      </c>
      <c r="KS73" s="1">
        <v>56</v>
      </c>
      <c r="KT73" s="1">
        <v>18200000</v>
      </c>
      <c r="KU73" s="1">
        <v>1</v>
      </c>
      <c r="KV73" s="1">
        <v>0</v>
      </c>
      <c r="KW73" s="1">
        <v>90</v>
      </c>
      <c r="KX73" s="1">
        <v>60003760</v>
      </c>
      <c r="KY73" s="1">
        <v>32767</v>
      </c>
      <c r="KZ73" s="1">
        <v>0</v>
      </c>
      <c r="LB73" s="1">
        <v>2864786931</v>
      </c>
      <c r="LC73" s="1">
        <v>9832</v>
      </c>
      <c r="LD73" s="1">
        <v>24375</v>
      </c>
      <c r="LE73" s="1">
        <v>24375</v>
      </c>
      <c r="LF73" s="1">
        <v>9500</v>
      </c>
      <c r="LG73" s="1">
        <v>1</v>
      </c>
      <c r="LH73" s="1">
        <v>0</v>
      </c>
      <c r="LI73" s="1">
        <v>90</v>
      </c>
      <c r="LJ73" s="1">
        <v>60003760</v>
      </c>
      <c r="LK73" s="1">
        <v>32767</v>
      </c>
      <c r="LL73" s="1">
        <v>0</v>
      </c>
      <c r="LN73" s="1">
        <v>2878521745</v>
      </c>
      <c r="LO73" s="1">
        <v>10209</v>
      </c>
      <c r="LP73" s="1">
        <v>1</v>
      </c>
      <c r="LQ73" s="1">
        <v>1</v>
      </c>
      <c r="LR73" s="1">
        <v>112809000.27</v>
      </c>
      <c r="LS73" s="1">
        <v>1</v>
      </c>
      <c r="LT73" s="1">
        <v>1</v>
      </c>
      <c r="LU73" s="1">
        <v>90</v>
      </c>
      <c r="LV73" s="1">
        <v>60003760</v>
      </c>
      <c r="LW73" s="1">
        <v>-1</v>
      </c>
      <c r="LX73" s="1">
        <v>0</v>
      </c>
      <c r="LZ73"/>
      <c r="MA73"/>
      <c r="MB73"/>
      <c r="MC73"/>
      <c r="MD73"/>
      <c r="ME73"/>
      <c r="MF73"/>
      <c r="MG73"/>
      <c r="MH73"/>
      <c r="MI73"/>
      <c r="MJ73"/>
      <c r="ML73" s="1">
        <v>2874568776</v>
      </c>
      <c r="MM73" s="1">
        <v>25625</v>
      </c>
      <c r="MN73" s="1">
        <v>500</v>
      </c>
      <c r="MO73" s="1">
        <v>389</v>
      </c>
      <c r="MP73" s="1">
        <v>4015103.04</v>
      </c>
      <c r="MQ73" s="1">
        <v>1</v>
      </c>
      <c r="MR73" s="1">
        <v>1</v>
      </c>
      <c r="MS73" s="1">
        <v>90</v>
      </c>
      <c r="MT73" s="1">
        <v>60003760</v>
      </c>
      <c r="MU73" s="1">
        <v>-1</v>
      </c>
      <c r="MV73" s="1">
        <v>0</v>
      </c>
      <c r="MX73" s="1">
        <v>2803825778</v>
      </c>
      <c r="MY73" s="1">
        <v>16672</v>
      </c>
      <c r="MZ73" s="1">
        <v>3000000</v>
      </c>
      <c r="NA73" s="1">
        <v>3000000</v>
      </c>
      <c r="NB73" s="1">
        <v>69.099999999999994</v>
      </c>
      <c r="NC73" s="1">
        <v>500000</v>
      </c>
      <c r="ND73" s="1">
        <v>1</v>
      </c>
      <c r="NE73" s="1">
        <v>90</v>
      </c>
      <c r="NF73" s="1">
        <v>60003760</v>
      </c>
      <c r="NG73" s="1">
        <v>32767</v>
      </c>
      <c r="NH73" s="1">
        <v>0</v>
      </c>
      <c r="NJ73" s="1">
        <v>2852683778</v>
      </c>
      <c r="NK73" s="1">
        <v>16673</v>
      </c>
      <c r="NL73" s="1">
        <v>3990</v>
      </c>
      <c r="NM73" s="1">
        <v>1470</v>
      </c>
      <c r="NN73" s="1">
        <v>111</v>
      </c>
      <c r="NO73" s="1">
        <v>1</v>
      </c>
      <c r="NP73" s="1">
        <v>0</v>
      </c>
      <c r="NQ73" s="1">
        <v>90</v>
      </c>
      <c r="NR73" s="1">
        <v>60002812</v>
      </c>
      <c r="NS73" s="1">
        <v>32767</v>
      </c>
      <c r="NT73" s="1">
        <v>3</v>
      </c>
      <c r="NV73" s="1">
        <v>2871912989</v>
      </c>
      <c r="NW73" s="1">
        <v>3689</v>
      </c>
      <c r="NX73" s="1">
        <v>2555</v>
      </c>
      <c r="NY73" s="1">
        <v>698</v>
      </c>
      <c r="NZ73" s="1">
        <v>10299.969999999999</v>
      </c>
      <c r="OA73" s="1">
        <v>1</v>
      </c>
      <c r="OB73" s="1">
        <v>0</v>
      </c>
      <c r="OC73" s="1">
        <v>30</v>
      </c>
      <c r="OD73" s="1">
        <v>60003760</v>
      </c>
      <c r="OE73" s="1">
        <v>32767</v>
      </c>
      <c r="OF73" s="1">
        <v>0</v>
      </c>
      <c r="OH73" s="1">
        <v>2850228101</v>
      </c>
      <c r="OI73" s="1">
        <v>25598</v>
      </c>
      <c r="OJ73" s="1">
        <v>39</v>
      </c>
      <c r="OK73" s="1">
        <v>39</v>
      </c>
      <c r="OL73" s="1">
        <v>150000</v>
      </c>
      <c r="OM73" s="1">
        <v>1</v>
      </c>
      <c r="ON73" s="1">
        <v>0</v>
      </c>
      <c r="OO73" s="1">
        <v>90</v>
      </c>
      <c r="OP73" s="1">
        <v>60003760</v>
      </c>
      <c r="OQ73" s="1">
        <v>32767</v>
      </c>
      <c r="OR73" s="1">
        <v>0</v>
      </c>
      <c r="OT73" s="1">
        <v>2874582697</v>
      </c>
      <c r="OU73" s="1">
        <v>25600</v>
      </c>
      <c r="OV73" s="1">
        <v>289</v>
      </c>
      <c r="OW73" s="1">
        <v>89</v>
      </c>
      <c r="OX73" s="1">
        <v>29000</v>
      </c>
      <c r="OY73" s="1">
        <v>1</v>
      </c>
      <c r="OZ73" s="1">
        <v>0</v>
      </c>
      <c r="PA73" s="1">
        <v>7</v>
      </c>
      <c r="PB73" s="1">
        <v>60004054</v>
      </c>
      <c r="PC73" s="1">
        <v>32767</v>
      </c>
      <c r="PD73" s="1">
        <v>6</v>
      </c>
      <c r="PF73" s="1">
        <v>2875586972</v>
      </c>
      <c r="PG73" s="1">
        <v>16670</v>
      </c>
      <c r="PH73" s="1">
        <v>3987894</v>
      </c>
      <c r="PI73" s="1">
        <v>3987894</v>
      </c>
      <c r="PJ73" s="1">
        <v>117.57</v>
      </c>
      <c r="PK73" s="1">
        <v>1</v>
      </c>
      <c r="PL73" s="1">
        <v>0</v>
      </c>
      <c r="PM73" s="1">
        <v>90</v>
      </c>
      <c r="PN73" s="1">
        <v>60003760</v>
      </c>
      <c r="PO73" s="1">
        <v>32767</v>
      </c>
      <c r="PP73" s="1">
        <v>7</v>
      </c>
      <c r="PR73" s="1">
        <v>2878152044</v>
      </c>
      <c r="PS73" s="1">
        <v>10222</v>
      </c>
      <c r="PT73" s="1">
        <v>1</v>
      </c>
      <c r="PU73" s="1">
        <v>1</v>
      </c>
      <c r="PV73" s="1">
        <v>110602020.05</v>
      </c>
      <c r="PW73" s="1">
        <v>1</v>
      </c>
      <c r="PX73" s="1">
        <v>1</v>
      </c>
      <c r="PY73" s="1">
        <v>14</v>
      </c>
      <c r="PZ73" s="1">
        <v>60003760</v>
      </c>
      <c r="QA73" s="1">
        <v>0</v>
      </c>
      <c r="QB73" s="1">
        <v>0</v>
      </c>
      <c r="QD73" s="1">
        <v>2819207968</v>
      </c>
      <c r="QE73" s="1">
        <v>9830</v>
      </c>
      <c r="QF73" s="1">
        <v>100000</v>
      </c>
      <c r="QG73" s="1">
        <v>67105</v>
      </c>
      <c r="QH73" s="1">
        <v>6400</v>
      </c>
      <c r="QI73" s="1">
        <v>1</v>
      </c>
      <c r="QJ73" s="1">
        <v>1</v>
      </c>
      <c r="QK73" s="1">
        <v>90</v>
      </c>
      <c r="QL73" s="1">
        <v>60003760</v>
      </c>
      <c r="QM73" s="1">
        <v>-1</v>
      </c>
      <c r="QN73" s="1">
        <v>0</v>
      </c>
      <c r="QP73" s="1">
        <v>2853690750</v>
      </c>
      <c r="QQ73" s="1">
        <v>16671</v>
      </c>
      <c r="QR73" s="1">
        <v>100000000</v>
      </c>
      <c r="QS73" s="1">
        <v>100000000</v>
      </c>
      <c r="QT73" s="1">
        <v>65.11</v>
      </c>
      <c r="QU73" s="1">
        <v>1</v>
      </c>
      <c r="QV73" s="1">
        <v>1</v>
      </c>
      <c r="QW73" s="1">
        <v>90</v>
      </c>
      <c r="QX73" s="1">
        <v>60003760</v>
      </c>
      <c r="QY73" s="1">
        <v>-1</v>
      </c>
      <c r="QZ73" s="1">
        <v>0</v>
      </c>
      <c r="RB73" s="1">
        <v>2645142027</v>
      </c>
      <c r="RC73" s="1">
        <v>16682</v>
      </c>
      <c r="RD73" s="1">
        <v>300000</v>
      </c>
      <c r="RE73" s="1">
        <v>299660</v>
      </c>
      <c r="RF73" s="1">
        <v>2099.59</v>
      </c>
      <c r="RG73" s="1">
        <v>1</v>
      </c>
      <c r="RH73" s="1">
        <v>1</v>
      </c>
      <c r="RI73" s="1">
        <v>90</v>
      </c>
      <c r="RJ73" s="1">
        <v>60003760</v>
      </c>
      <c r="RK73" s="1">
        <v>20</v>
      </c>
      <c r="RL73" s="1">
        <v>0</v>
      </c>
      <c r="RN73" s="1">
        <v>2868775420</v>
      </c>
      <c r="RO73" s="1">
        <v>16678</v>
      </c>
      <c r="RP73" s="1">
        <v>100000</v>
      </c>
      <c r="RQ73" s="1">
        <v>100000</v>
      </c>
      <c r="RR73" s="1">
        <v>266.3</v>
      </c>
      <c r="RS73" s="1">
        <v>1</v>
      </c>
      <c r="RT73" s="1">
        <v>1</v>
      </c>
      <c r="RU73" s="1">
        <v>90</v>
      </c>
      <c r="RV73" s="1">
        <v>60003760</v>
      </c>
      <c r="RW73" s="1">
        <v>-1</v>
      </c>
      <c r="RX73" s="1">
        <v>0</v>
      </c>
      <c r="SL73" s="1">
        <v>2866706790</v>
      </c>
      <c r="SM73" s="1">
        <v>30311</v>
      </c>
      <c r="SN73" s="1">
        <v>50</v>
      </c>
      <c r="SO73" s="1">
        <v>50</v>
      </c>
      <c r="SP73" s="1">
        <v>2958999.37</v>
      </c>
      <c r="SQ73" s="1">
        <v>1</v>
      </c>
      <c r="SR73" s="1">
        <v>1</v>
      </c>
      <c r="SS73" s="1">
        <v>90</v>
      </c>
      <c r="ST73" s="1">
        <v>60003760</v>
      </c>
      <c r="SU73" s="1">
        <v>-1</v>
      </c>
      <c r="SV73" s="1">
        <v>0</v>
      </c>
      <c r="SX73" s="1">
        <v>2848059330</v>
      </c>
      <c r="SY73" s="1">
        <v>25595</v>
      </c>
      <c r="SZ73" s="1">
        <v>645</v>
      </c>
      <c r="TA73" s="1">
        <v>645</v>
      </c>
      <c r="TB73" s="1">
        <v>86998.99</v>
      </c>
      <c r="TC73" s="1">
        <v>1</v>
      </c>
      <c r="TD73" s="1">
        <v>0</v>
      </c>
      <c r="TE73" s="1">
        <v>30</v>
      </c>
      <c r="TF73" s="1">
        <v>60003760</v>
      </c>
      <c r="TG73" s="1">
        <v>32767</v>
      </c>
      <c r="TH73" s="1">
        <v>6</v>
      </c>
      <c r="TJ73" s="1">
        <v>2874583481</v>
      </c>
      <c r="TK73" s="1">
        <v>25606</v>
      </c>
      <c r="TL73" s="1">
        <v>97</v>
      </c>
      <c r="TM73" s="1">
        <v>97</v>
      </c>
      <c r="TN73" s="1">
        <v>23000</v>
      </c>
      <c r="TO73" s="1">
        <v>1</v>
      </c>
      <c r="TP73" s="1">
        <v>0</v>
      </c>
      <c r="TQ73" s="1">
        <v>7</v>
      </c>
      <c r="TR73" s="1">
        <v>60004054</v>
      </c>
      <c r="TS73" s="1">
        <v>32767</v>
      </c>
      <c r="TT73" s="1">
        <v>6</v>
      </c>
      <c r="TV73" s="1">
        <v>2879074004</v>
      </c>
      <c r="TW73" s="1">
        <v>25622</v>
      </c>
      <c r="TX73" s="1">
        <v>14</v>
      </c>
      <c r="TY73" s="1">
        <v>12</v>
      </c>
      <c r="TZ73" s="1">
        <v>13800001.17</v>
      </c>
      <c r="UA73" s="1">
        <v>1</v>
      </c>
      <c r="UB73" s="1">
        <v>1</v>
      </c>
      <c r="UC73" s="1">
        <v>90</v>
      </c>
      <c r="UD73" s="1">
        <v>60003760</v>
      </c>
      <c r="UE73" s="1">
        <v>-1</v>
      </c>
      <c r="UF73" s="1">
        <v>0</v>
      </c>
      <c r="UH73" s="1">
        <v>2878641046</v>
      </c>
      <c r="UI73" s="1">
        <v>16680</v>
      </c>
      <c r="UJ73" s="1">
        <v>100000</v>
      </c>
      <c r="UK73" s="1">
        <v>100000</v>
      </c>
      <c r="UL73" s="1">
        <v>679.18</v>
      </c>
      <c r="UM73" s="1">
        <v>1</v>
      </c>
      <c r="UN73" s="1">
        <v>1</v>
      </c>
      <c r="UO73" s="1">
        <v>90</v>
      </c>
      <c r="UP73" s="1">
        <v>60003760</v>
      </c>
      <c r="UQ73" s="1">
        <v>-1</v>
      </c>
      <c r="UR73" s="1">
        <v>0</v>
      </c>
      <c r="UT73"/>
      <c r="UU73"/>
      <c r="UV73"/>
      <c r="UW73"/>
      <c r="UX73"/>
      <c r="UY73"/>
      <c r="UZ73"/>
      <c r="VA73"/>
      <c r="VB73"/>
      <c r="VC73"/>
      <c r="VD73"/>
      <c r="VF73"/>
      <c r="VG73"/>
      <c r="VH73"/>
      <c r="VI73"/>
      <c r="VJ73"/>
      <c r="VK73"/>
      <c r="VL73"/>
      <c r="VM73"/>
      <c r="VN73"/>
      <c r="VO73"/>
      <c r="VP73"/>
    </row>
    <row r="74" spans="2:588" x14ac:dyDescent="0.25">
      <c r="B74" s="1">
        <v>2820387141</v>
      </c>
      <c r="C74" s="1">
        <v>34</v>
      </c>
      <c r="D74" s="1">
        <v>9364562</v>
      </c>
      <c r="E74" s="1">
        <v>9364562</v>
      </c>
      <c r="F74" s="1">
        <v>6.06</v>
      </c>
      <c r="G74" s="1">
        <v>1</v>
      </c>
      <c r="H74" s="1">
        <v>0</v>
      </c>
      <c r="I74" s="1">
        <v>90</v>
      </c>
      <c r="J74" s="1">
        <v>60003760</v>
      </c>
      <c r="K74" s="1">
        <v>32767</v>
      </c>
      <c r="L74" s="1">
        <v>0</v>
      </c>
      <c r="N74" s="1">
        <v>2839933558</v>
      </c>
      <c r="O74" s="1">
        <v>35</v>
      </c>
      <c r="P74" s="1">
        <v>50000000</v>
      </c>
      <c r="Q74" s="1">
        <v>50000000</v>
      </c>
      <c r="R74" s="1">
        <v>16.23</v>
      </c>
      <c r="S74" s="1">
        <v>1</v>
      </c>
      <c r="T74" s="1">
        <v>0</v>
      </c>
      <c r="U74" s="1">
        <v>90</v>
      </c>
      <c r="V74" s="1">
        <v>60003760</v>
      </c>
      <c r="W74" s="1">
        <v>32767</v>
      </c>
      <c r="X74" s="1">
        <v>0</v>
      </c>
      <c r="Z74" s="1">
        <v>2772164700</v>
      </c>
      <c r="AA74" s="1">
        <v>36</v>
      </c>
      <c r="AB74" s="1">
        <v>1354778</v>
      </c>
      <c r="AC74" s="1">
        <v>1354778</v>
      </c>
      <c r="AD74" s="16">
        <v>58</v>
      </c>
      <c r="AE74" s="1">
        <v>1</v>
      </c>
      <c r="AF74" s="1">
        <v>0</v>
      </c>
      <c r="AG74" s="1">
        <v>90</v>
      </c>
      <c r="AH74" s="1">
        <v>60003760</v>
      </c>
      <c r="AI74" s="1">
        <v>32767</v>
      </c>
      <c r="AJ74" s="1">
        <v>11</v>
      </c>
      <c r="AL74" s="1">
        <v>2751122999</v>
      </c>
      <c r="AM74" s="1">
        <v>37</v>
      </c>
      <c r="AN74" s="1">
        <v>96801</v>
      </c>
      <c r="AO74" s="1">
        <v>96801</v>
      </c>
      <c r="AP74" s="16">
        <v>173.36</v>
      </c>
      <c r="AQ74" s="1">
        <v>1</v>
      </c>
      <c r="AR74" s="1">
        <v>0</v>
      </c>
      <c r="AS74" s="1">
        <v>90</v>
      </c>
      <c r="AT74" s="1">
        <v>60003760</v>
      </c>
      <c r="AU74" s="1">
        <v>32767</v>
      </c>
      <c r="AV74" s="1">
        <v>9</v>
      </c>
      <c r="AX74" s="1">
        <v>2877487207</v>
      </c>
      <c r="AY74" s="1">
        <v>38</v>
      </c>
      <c r="AZ74" s="1">
        <v>8600</v>
      </c>
      <c r="BA74" s="1">
        <v>8600</v>
      </c>
      <c r="BB74" s="1">
        <v>835.99</v>
      </c>
      <c r="BC74" s="1">
        <v>1</v>
      </c>
      <c r="BD74" s="1">
        <v>0</v>
      </c>
      <c r="BE74" s="1">
        <v>7</v>
      </c>
      <c r="BF74" s="1">
        <v>60001651</v>
      </c>
      <c r="BG74" s="1">
        <v>32767</v>
      </c>
      <c r="BH74" s="1">
        <v>6</v>
      </c>
      <c r="BJ74" s="1">
        <v>2702564617</v>
      </c>
      <c r="BK74" s="1">
        <v>39</v>
      </c>
      <c r="BL74" s="1">
        <v>2000000</v>
      </c>
      <c r="BM74" s="1">
        <v>2000000</v>
      </c>
      <c r="BN74" s="1">
        <v>948.9</v>
      </c>
      <c r="BO74" s="1">
        <v>1</v>
      </c>
      <c r="BP74" s="1">
        <v>0</v>
      </c>
      <c r="BQ74" s="1">
        <v>90</v>
      </c>
      <c r="BR74" s="1">
        <v>60003760</v>
      </c>
      <c r="BS74" s="1">
        <v>32767</v>
      </c>
      <c r="BT74" s="1">
        <v>5</v>
      </c>
      <c r="BV74" s="1">
        <v>2406007514</v>
      </c>
      <c r="BW74" s="1">
        <v>40</v>
      </c>
      <c r="BX74" s="1">
        <v>14</v>
      </c>
      <c r="BY74" s="1">
        <v>14</v>
      </c>
      <c r="BZ74" s="1">
        <v>2700</v>
      </c>
      <c r="CA74" s="1">
        <v>1</v>
      </c>
      <c r="CB74" s="1">
        <v>0</v>
      </c>
      <c r="CC74" s="1">
        <v>90</v>
      </c>
      <c r="CD74" s="1">
        <v>60003760</v>
      </c>
      <c r="CE74" s="1">
        <v>32767</v>
      </c>
      <c r="CF74" s="1">
        <v>13</v>
      </c>
      <c r="CH74" s="1">
        <v>2411264562</v>
      </c>
      <c r="CI74" s="1">
        <v>29668</v>
      </c>
      <c r="CJ74" s="1">
        <v>40</v>
      </c>
      <c r="CK74" s="1">
        <v>40</v>
      </c>
      <c r="CL74" s="1">
        <v>498889950.75999999</v>
      </c>
      <c r="CM74" s="1">
        <v>1</v>
      </c>
      <c r="CN74" s="1">
        <v>0</v>
      </c>
      <c r="CO74" s="1">
        <v>90</v>
      </c>
      <c r="CP74" s="1">
        <v>60003760</v>
      </c>
      <c r="CQ74" s="1">
        <v>32767</v>
      </c>
      <c r="CR74" s="1">
        <v>0</v>
      </c>
      <c r="CT74" s="1">
        <v>2392121281</v>
      </c>
      <c r="CU74" s="1">
        <v>16649</v>
      </c>
      <c r="CV74" s="1">
        <v>50000</v>
      </c>
      <c r="CW74" s="1">
        <v>50000</v>
      </c>
      <c r="CX74" s="1">
        <v>75019</v>
      </c>
      <c r="CY74" s="1">
        <v>1</v>
      </c>
      <c r="CZ74" s="1">
        <v>1</v>
      </c>
      <c r="DA74" s="1">
        <v>90</v>
      </c>
      <c r="DB74" s="1">
        <v>60003760</v>
      </c>
      <c r="DC74" s="1">
        <v>-1</v>
      </c>
      <c r="DD74" s="1">
        <v>0</v>
      </c>
      <c r="DF74" s="1">
        <v>2410844133</v>
      </c>
      <c r="DG74" s="1">
        <v>17887</v>
      </c>
      <c r="DH74" s="1">
        <v>1145755</v>
      </c>
      <c r="DI74" s="1">
        <v>1145755</v>
      </c>
      <c r="DJ74" s="1">
        <v>1021.83</v>
      </c>
      <c r="DK74" s="1">
        <v>1</v>
      </c>
      <c r="DL74" s="1">
        <v>0</v>
      </c>
      <c r="DM74" s="1">
        <v>90</v>
      </c>
      <c r="DN74" s="1">
        <v>60003760</v>
      </c>
      <c r="DO74" s="1">
        <v>32767</v>
      </c>
      <c r="DP74" s="1">
        <v>0</v>
      </c>
      <c r="DR74" s="1">
        <v>2811415529</v>
      </c>
      <c r="DS74" s="1">
        <v>17888</v>
      </c>
      <c r="DT74" s="1">
        <v>31664145</v>
      </c>
      <c r="DU74" s="1">
        <v>31664145</v>
      </c>
      <c r="DV74" s="1">
        <v>550.28</v>
      </c>
      <c r="DW74" s="1">
        <v>1</v>
      </c>
      <c r="DX74" s="1">
        <v>0</v>
      </c>
      <c r="DY74" s="1">
        <v>90</v>
      </c>
      <c r="DZ74" s="1">
        <v>60003760</v>
      </c>
      <c r="EA74" s="1">
        <v>32767</v>
      </c>
      <c r="EB74" s="1">
        <v>8</v>
      </c>
      <c r="ED74" s="1">
        <v>2748870946</v>
      </c>
      <c r="EE74" s="1">
        <v>16273</v>
      </c>
      <c r="EF74" s="1">
        <v>50000</v>
      </c>
      <c r="EG74" s="1">
        <v>49700</v>
      </c>
      <c r="EH74" s="1">
        <v>500</v>
      </c>
      <c r="EI74" s="1">
        <v>1</v>
      </c>
      <c r="EJ74" s="1">
        <v>0</v>
      </c>
      <c r="EK74" s="1">
        <v>90</v>
      </c>
      <c r="EL74" s="1">
        <v>60004081</v>
      </c>
      <c r="EM74" s="1">
        <v>32767</v>
      </c>
      <c r="EN74" s="1">
        <v>5</v>
      </c>
      <c r="EP74" s="1">
        <v>2733667305</v>
      </c>
      <c r="EQ74" s="1">
        <v>17889</v>
      </c>
      <c r="ER74" s="1">
        <v>107755</v>
      </c>
      <c r="ES74" s="1">
        <v>57755</v>
      </c>
      <c r="ET74" s="1">
        <v>697.99</v>
      </c>
      <c r="EU74" s="1">
        <v>1</v>
      </c>
      <c r="EV74" s="1">
        <v>0</v>
      </c>
      <c r="EW74" s="1">
        <v>90</v>
      </c>
      <c r="EX74" s="1">
        <v>60007498</v>
      </c>
      <c r="EY74" s="1">
        <v>32767</v>
      </c>
      <c r="EZ74" s="1">
        <v>12</v>
      </c>
      <c r="FB74" s="1">
        <v>2765162731</v>
      </c>
      <c r="FC74" s="1">
        <v>30259</v>
      </c>
      <c r="FD74" s="1">
        <v>300</v>
      </c>
      <c r="FE74" s="1">
        <v>300</v>
      </c>
      <c r="FF74" s="1">
        <v>518140.2</v>
      </c>
      <c r="FG74" s="1">
        <v>1</v>
      </c>
      <c r="FH74" s="1">
        <v>1</v>
      </c>
      <c r="FI74" s="1">
        <v>90</v>
      </c>
      <c r="FJ74" s="1">
        <v>60003760</v>
      </c>
      <c r="FK74" s="1">
        <v>32767</v>
      </c>
      <c r="FL74" s="1">
        <v>0</v>
      </c>
      <c r="FN74" s="1">
        <v>2731533790</v>
      </c>
      <c r="FO74" s="1">
        <v>25617</v>
      </c>
      <c r="FP74" s="1">
        <v>104</v>
      </c>
      <c r="FQ74" s="1">
        <v>67</v>
      </c>
      <c r="FR74" s="1">
        <v>3925000.22</v>
      </c>
      <c r="FS74" s="1">
        <v>1</v>
      </c>
      <c r="FT74" s="1">
        <v>1</v>
      </c>
      <c r="FU74" s="1">
        <v>90</v>
      </c>
      <c r="FV74" s="1">
        <v>60003760</v>
      </c>
      <c r="FW74" s="1">
        <v>32767</v>
      </c>
      <c r="FX74" s="1">
        <v>0</v>
      </c>
      <c r="FZ74" s="1">
        <v>2877089092</v>
      </c>
      <c r="GA74" s="1">
        <v>44</v>
      </c>
      <c r="GB74" s="1">
        <v>8145</v>
      </c>
      <c r="GC74" s="1">
        <v>8145</v>
      </c>
      <c r="GD74" s="1">
        <v>12999</v>
      </c>
      <c r="GE74" s="1">
        <v>1</v>
      </c>
      <c r="GF74" s="1">
        <v>0</v>
      </c>
      <c r="GG74" s="1">
        <v>90</v>
      </c>
      <c r="GH74" s="1">
        <v>60003760</v>
      </c>
      <c r="GI74" s="1">
        <v>32767</v>
      </c>
      <c r="GJ74" s="1">
        <v>4</v>
      </c>
      <c r="GL74" s="1">
        <v>2370267205</v>
      </c>
      <c r="GM74" s="1">
        <v>16681</v>
      </c>
      <c r="GN74" s="1">
        <v>10000</v>
      </c>
      <c r="GO74" s="1">
        <v>9557</v>
      </c>
      <c r="GP74" s="1">
        <v>5024.03</v>
      </c>
      <c r="GQ74" s="1">
        <v>1</v>
      </c>
      <c r="GR74" s="1">
        <v>1</v>
      </c>
      <c r="GS74" s="1">
        <v>90</v>
      </c>
      <c r="GT74" s="1">
        <v>60003760</v>
      </c>
      <c r="GU74" s="1">
        <v>40</v>
      </c>
      <c r="GV74" s="1">
        <v>0</v>
      </c>
      <c r="GX74" s="1">
        <v>2878470251</v>
      </c>
      <c r="GY74" s="1">
        <v>16683</v>
      </c>
      <c r="GZ74" s="1">
        <v>4520</v>
      </c>
      <c r="HA74" s="1">
        <v>4520</v>
      </c>
      <c r="HB74" s="1">
        <v>8360.16</v>
      </c>
      <c r="HC74" s="1">
        <v>1</v>
      </c>
      <c r="HD74" s="1">
        <v>1</v>
      </c>
      <c r="HE74" s="1">
        <v>30</v>
      </c>
      <c r="HF74" s="1">
        <v>60003760</v>
      </c>
      <c r="HG74" s="1">
        <v>-1</v>
      </c>
      <c r="HH74" s="1">
        <v>0</v>
      </c>
      <c r="HJ74"/>
      <c r="HK74"/>
      <c r="HL74"/>
      <c r="HM74"/>
      <c r="HN74"/>
      <c r="HO74"/>
      <c r="HP74"/>
      <c r="HQ74"/>
      <c r="HR74"/>
      <c r="HS74"/>
      <c r="HT74"/>
      <c r="HV74" s="1">
        <v>2823773125</v>
      </c>
      <c r="HW74" s="1">
        <v>16274</v>
      </c>
      <c r="HX74" s="1">
        <v>42343</v>
      </c>
      <c r="HY74" s="1">
        <v>343</v>
      </c>
      <c r="HZ74" s="1">
        <v>650</v>
      </c>
      <c r="IA74" s="1">
        <v>1</v>
      </c>
      <c r="IB74" s="1">
        <v>0</v>
      </c>
      <c r="IC74" s="1">
        <v>90</v>
      </c>
      <c r="ID74" s="1">
        <v>60013048</v>
      </c>
      <c r="IE74" s="1">
        <v>32767</v>
      </c>
      <c r="IF74" s="1">
        <v>10</v>
      </c>
      <c r="IH74"/>
      <c r="II74"/>
      <c r="IJ74"/>
      <c r="IK74"/>
      <c r="IL74"/>
      <c r="IM74"/>
      <c r="IN74"/>
      <c r="IO74"/>
      <c r="IP74"/>
      <c r="IQ74"/>
      <c r="IR74"/>
      <c r="IT74" s="1">
        <v>2879009521</v>
      </c>
      <c r="IU74" s="1">
        <v>16679</v>
      </c>
      <c r="IV74" s="1">
        <v>33000</v>
      </c>
      <c r="IW74" s="1">
        <v>33000</v>
      </c>
      <c r="IX74" s="1">
        <v>1741.47</v>
      </c>
      <c r="IY74" s="1">
        <v>1</v>
      </c>
      <c r="IZ74" s="1">
        <v>0</v>
      </c>
      <c r="JA74" s="1">
        <v>14</v>
      </c>
      <c r="JB74" s="1">
        <v>60003760</v>
      </c>
      <c r="JC74" s="1">
        <v>32767</v>
      </c>
      <c r="JD74" s="1">
        <v>0</v>
      </c>
      <c r="JF74" s="1">
        <v>2878164733</v>
      </c>
      <c r="JG74" s="1">
        <v>16272</v>
      </c>
      <c r="JH74" s="1">
        <v>62477</v>
      </c>
      <c r="JI74" s="1">
        <v>62477</v>
      </c>
      <c r="JJ74" s="1">
        <v>73</v>
      </c>
      <c r="JK74" s="1">
        <v>1</v>
      </c>
      <c r="JL74" s="1">
        <v>0</v>
      </c>
      <c r="JM74" s="1">
        <v>90</v>
      </c>
      <c r="JN74" s="1">
        <v>60004081</v>
      </c>
      <c r="JO74" s="1">
        <v>32767</v>
      </c>
      <c r="JP74" s="1">
        <v>5</v>
      </c>
      <c r="KD74" s="1">
        <v>2875527576</v>
      </c>
      <c r="KE74" s="1">
        <v>25605</v>
      </c>
      <c r="KF74" s="1">
        <v>2</v>
      </c>
      <c r="KG74" s="1">
        <v>2</v>
      </c>
      <c r="KH74" s="1">
        <v>105013.08</v>
      </c>
      <c r="KI74" s="1">
        <v>1</v>
      </c>
      <c r="KJ74" s="1">
        <v>0</v>
      </c>
      <c r="KK74" s="1">
        <v>7</v>
      </c>
      <c r="KL74" s="1">
        <v>60002356</v>
      </c>
      <c r="KM74" s="1">
        <v>32767</v>
      </c>
      <c r="KN74" s="1">
        <v>2</v>
      </c>
      <c r="KP74" s="1">
        <v>2875847788</v>
      </c>
      <c r="KQ74" s="1">
        <v>25624</v>
      </c>
      <c r="KR74" s="1">
        <v>70</v>
      </c>
      <c r="KS74" s="1">
        <v>42</v>
      </c>
      <c r="KT74" s="1">
        <v>18199994.789999999</v>
      </c>
      <c r="KU74" s="1">
        <v>1</v>
      </c>
      <c r="KV74" s="1">
        <v>0</v>
      </c>
      <c r="KW74" s="1">
        <v>30</v>
      </c>
      <c r="KX74" s="1">
        <v>60003760</v>
      </c>
      <c r="KY74" s="1">
        <v>32767</v>
      </c>
      <c r="KZ74" s="1">
        <v>1</v>
      </c>
      <c r="LB74" s="1">
        <v>2871194271</v>
      </c>
      <c r="LC74" s="1">
        <v>9832</v>
      </c>
      <c r="LD74" s="1">
        <v>2365</v>
      </c>
      <c r="LE74" s="1">
        <v>2365</v>
      </c>
      <c r="LF74" s="1">
        <v>9500</v>
      </c>
      <c r="LG74" s="1">
        <v>1</v>
      </c>
      <c r="LH74" s="1">
        <v>0</v>
      </c>
      <c r="LI74" s="1">
        <v>90</v>
      </c>
      <c r="LJ74" s="1">
        <v>60003760</v>
      </c>
      <c r="LK74" s="1">
        <v>32767</v>
      </c>
      <c r="LL74" s="1">
        <v>0</v>
      </c>
      <c r="LN74" s="1">
        <v>2878285575</v>
      </c>
      <c r="LO74" s="1">
        <v>10209</v>
      </c>
      <c r="LP74" s="1">
        <v>2</v>
      </c>
      <c r="LQ74" s="1">
        <v>1</v>
      </c>
      <c r="LR74" s="1">
        <v>114000000.02</v>
      </c>
      <c r="LS74" s="1">
        <v>1</v>
      </c>
      <c r="LT74" s="1">
        <v>1</v>
      </c>
      <c r="LU74" s="1">
        <v>90</v>
      </c>
      <c r="LV74" s="1">
        <v>60003760</v>
      </c>
      <c r="LW74" s="1">
        <v>-1</v>
      </c>
      <c r="LX74" s="1">
        <v>0</v>
      </c>
      <c r="ML74" s="1">
        <v>2874543901</v>
      </c>
      <c r="MM74" s="1">
        <v>25625</v>
      </c>
      <c r="MN74" s="1">
        <v>150</v>
      </c>
      <c r="MO74" s="1">
        <v>125</v>
      </c>
      <c r="MP74" s="1">
        <v>4216005.01</v>
      </c>
      <c r="MQ74" s="1">
        <v>1</v>
      </c>
      <c r="MR74" s="1">
        <v>1</v>
      </c>
      <c r="MS74" s="1">
        <v>30</v>
      </c>
      <c r="MT74" s="1">
        <v>60003760</v>
      </c>
      <c r="MU74" s="1">
        <v>-1</v>
      </c>
      <c r="MV74" s="1">
        <v>0</v>
      </c>
      <c r="MX74" s="1">
        <v>2793071953</v>
      </c>
      <c r="MY74" s="1">
        <v>16672</v>
      </c>
      <c r="MZ74" s="1">
        <v>10000000</v>
      </c>
      <c r="NA74" s="1">
        <v>9992299</v>
      </c>
      <c r="NB74" s="1">
        <v>15.99</v>
      </c>
      <c r="NC74" s="1">
        <v>1</v>
      </c>
      <c r="ND74" s="1">
        <v>1</v>
      </c>
      <c r="NE74" s="1">
        <v>90</v>
      </c>
      <c r="NF74" s="1">
        <v>60003760</v>
      </c>
      <c r="NG74" s="1">
        <v>20</v>
      </c>
      <c r="NH74" s="1">
        <v>0</v>
      </c>
      <c r="NJ74" s="1">
        <v>2878594299</v>
      </c>
      <c r="NK74" s="1">
        <v>16673</v>
      </c>
      <c r="NL74" s="1">
        <v>20710000</v>
      </c>
      <c r="NM74" s="1">
        <v>20710000</v>
      </c>
      <c r="NN74" s="1">
        <v>101.48</v>
      </c>
      <c r="NO74" s="1">
        <v>1</v>
      </c>
      <c r="NP74" s="1">
        <v>0</v>
      </c>
      <c r="NQ74" s="1">
        <v>90</v>
      </c>
      <c r="NR74" s="1">
        <v>60003760</v>
      </c>
      <c r="NS74" s="1">
        <v>32767</v>
      </c>
      <c r="NT74" s="1">
        <v>0</v>
      </c>
      <c r="NV74" s="1">
        <v>2873728757</v>
      </c>
      <c r="NW74" s="1">
        <v>3689</v>
      </c>
      <c r="NX74" s="1">
        <v>30930</v>
      </c>
      <c r="NY74" s="1">
        <v>30930</v>
      </c>
      <c r="NZ74" s="1">
        <v>10300</v>
      </c>
      <c r="OA74" s="1">
        <v>1</v>
      </c>
      <c r="OB74" s="1">
        <v>0</v>
      </c>
      <c r="OC74" s="1">
        <v>90</v>
      </c>
      <c r="OD74" s="1">
        <v>60003760</v>
      </c>
      <c r="OE74" s="1">
        <v>32767</v>
      </c>
      <c r="OF74" s="1">
        <v>0</v>
      </c>
      <c r="OH74" s="1">
        <v>2849257297</v>
      </c>
      <c r="OI74" s="1">
        <v>25598</v>
      </c>
      <c r="OJ74" s="1">
        <v>12</v>
      </c>
      <c r="OK74" s="1">
        <v>12</v>
      </c>
      <c r="OL74" s="1">
        <v>168500</v>
      </c>
      <c r="OM74" s="1">
        <v>1</v>
      </c>
      <c r="ON74" s="1">
        <v>0</v>
      </c>
      <c r="OO74" s="1">
        <v>90</v>
      </c>
      <c r="OP74" s="1">
        <v>60003760</v>
      </c>
      <c r="OQ74" s="1">
        <v>32767</v>
      </c>
      <c r="OR74" s="1">
        <v>0</v>
      </c>
      <c r="OT74" s="1">
        <v>2875531722</v>
      </c>
      <c r="OU74" s="1">
        <v>25600</v>
      </c>
      <c r="OV74" s="1">
        <v>116</v>
      </c>
      <c r="OW74" s="1">
        <v>116</v>
      </c>
      <c r="OX74" s="1">
        <v>29000</v>
      </c>
      <c r="OY74" s="1">
        <v>1</v>
      </c>
      <c r="OZ74" s="1">
        <v>0</v>
      </c>
      <c r="PA74" s="1">
        <v>7</v>
      </c>
      <c r="PB74" s="1">
        <v>60004054</v>
      </c>
      <c r="PC74" s="1">
        <v>32767</v>
      </c>
      <c r="PD74" s="1">
        <v>6</v>
      </c>
      <c r="PF74" s="1">
        <v>2875587109</v>
      </c>
      <c r="PG74" s="1">
        <v>16670</v>
      </c>
      <c r="PH74" s="1">
        <v>3978767</v>
      </c>
      <c r="PI74" s="1">
        <v>3978767</v>
      </c>
      <c r="PJ74" s="1">
        <v>117.57</v>
      </c>
      <c r="PK74" s="1">
        <v>1</v>
      </c>
      <c r="PL74" s="1">
        <v>0</v>
      </c>
      <c r="PM74" s="1">
        <v>90</v>
      </c>
      <c r="PN74" s="1">
        <v>60003760</v>
      </c>
      <c r="PO74" s="1">
        <v>32767</v>
      </c>
      <c r="PP74" s="1">
        <v>7</v>
      </c>
      <c r="QD74" s="1">
        <v>2772945712</v>
      </c>
      <c r="QE74" s="1">
        <v>9830</v>
      </c>
      <c r="QF74" s="1">
        <v>100000</v>
      </c>
      <c r="QG74" s="1">
        <v>46588</v>
      </c>
      <c r="QH74" s="1">
        <v>6373.04</v>
      </c>
      <c r="QI74" s="1">
        <v>1</v>
      </c>
      <c r="QJ74" s="1">
        <v>1</v>
      </c>
      <c r="QK74" s="1">
        <v>90</v>
      </c>
      <c r="QL74" s="1">
        <v>60003760</v>
      </c>
      <c r="QM74" s="1">
        <v>-1</v>
      </c>
      <c r="QN74" s="1">
        <v>0</v>
      </c>
      <c r="QP74" s="1">
        <v>2863506599</v>
      </c>
      <c r="QQ74" s="1">
        <v>16671</v>
      </c>
      <c r="QR74" s="1">
        <v>6000000</v>
      </c>
      <c r="QS74" s="1">
        <v>6000000</v>
      </c>
      <c r="QT74" s="1">
        <v>98.51</v>
      </c>
      <c r="QU74" s="1">
        <v>1</v>
      </c>
      <c r="QV74" s="1">
        <v>1</v>
      </c>
      <c r="QW74" s="1">
        <v>90</v>
      </c>
      <c r="QX74" s="1">
        <v>60003760</v>
      </c>
      <c r="QY74" s="1">
        <v>-1</v>
      </c>
      <c r="QZ74" s="1">
        <v>0</v>
      </c>
      <c r="RB74" s="1">
        <v>2697082833</v>
      </c>
      <c r="RC74" s="1">
        <v>16682</v>
      </c>
      <c r="RD74" s="1">
        <v>2000</v>
      </c>
      <c r="RE74" s="1">
        <v>1718</v>
      </c>
      <c r="RF74" s="1">
        <v>2861.5</v>
      </c>
      <c r="RG74" s="1">
        <v>1</v>
      </c>
      <c r="RH74" s="1">
        <v>1</v>
      </c>
      <c r="RI74" s="1">
        <v>90</v>
      </c>
      <c r="RJ74" s="1">
        <v>60003760</v>
      </c>
      <c r="RK74" s="1">
        <v>10</v>
      </c>
      <c r="RL74" s="1">
        <v>0</v>
      </c>
      <c r="RN74" s="1">
        <v>2868498230</v>
      </c>
      <c r="RO74" s="1">
        <v>16678</v>
      </c>
      <c r="RP74" s="1">
        <v>100000</v>
      </c>
      <c r="RQ74" s="1">
        <v>100000</v>
      </c>
      <c r="RR74" s="1">
        <v>265.60000000000002</v>
      </c>
      <c r="RS74" s="1">
        <v>1</v>
      </c>
      <c r="RT74" s="1">
        <v>1</v>
      </c>
      <c r="RU74" s="1">
        <v>90</v>
      </c>
      <c r="RV74" s="1">
        <v>60003760</v>
      </c>
      <c r="RW74" s="1">
        <v>-1</v>
      </c>
      <c r="RX74" s="1">
        <v>0</v>
      </c>
      <c r="SL74" s="1">
        <v>2876485264</v>
      </c>
      <c r="SM74" s="1">
        <v>30311</v>
      </c>
      <c r="SN74" s="1">
        <v>250</v>
      </c>
      <c r="SO74" s="1">
        <v>60</v>
      </c>
      <c r="SP74" s="1">
        <v>2970086.2</v>
      </c>
      <c r="SQ74" s="1">
        <v>1</v>
      </c>
      <c r="SR74" s="1">
        <v>1</v>
      </c>
      <c r="SS74" s="1">
        <v>90</v>
      </c>
      <c r="ST74" s="1">
        <v>60003760</v>
      </c>
      <c r="SU74" s="1">
        <v>0</v>
      </c>
      <c r="SV74" s="1">
        <v>0</v>
      </c>
      <c r="SX74" s="1">
        <v>2858061847</v>
      </c>
      <c r="SY74" s="1">
        <v>25595</v>
      </c>
      <c r="SZ74" s="1">
        <v>7</v>
      </c>
      <c r="TA74" s="1">
        <v>7</v>
      </c>
      <c r="TB74" s="1">
        <v>86600.95</v>
      </c>
      <c r="TC74" s="1">
        <v>1</v>
      </c>
      <c r="TD74" s="1">
        <v>0</v>
      </c>
      <c r="TE74" s="1">
        <v>90</v>
      </c>
      <c r="TF74" s="1">
        <v>60003760</v>
      </c>
      <c r="TG74" s="1">
        <v>32767</v>
      </c>
      <c r="TH74" s="1">
        <v>6</v>
      </c>
      <c r="TJ74" s="1">
        <v>2875532794</v>
      </c>
      <c r="TK74" s="1">
        <v>25606</v>
      </c>
      <c r="TL74" s="1">
        <v>33</v>
      </c>
      <c r="TM74" s="1">
        <v>33</v>
      </c>
      <c r="TN74" s="1">
        <v>23000</v>
      </c>
      <c r="TO74" s="1">
        <v>1</v>
      </c>
      <c r="TP74" s="1">
        <v>0</v>
      </c>
      <c r="TQ74" s="1">
        <v>7</v>
      </c>
      <c r="TR74" s="1">
        <v>60004054</v>
      </c>
      <c r="TS74" s="1">
        <v>32767</v>
      </c>
      <c r="TT74" s="1">
        <v>6</v>
      </c>
      <c r="TV74"/>
      <c r="TW74"/>
      <c r="TX74"/>
      <c r="TY74"/>
      <c r="TZ74"/>
      <c r="UA74"/>
      <c r="UB74"/>
      <c r="UC74"/>
      <c r="UD74"/>
      <c r="UE74"/>
      <c r="UF74"/>
      <c r="UH74" s="1">
        <v>2878764711</v>
      </c>
      <c r="UI74" s="1">
        <v>16680</v>
      </c>
      <c r="UJ74" s="1">
        <v>800000</v>
      </c>
      <c r="UK74" s="1">
        <v>800000</v>
      </c>
      <c r="UL74" s="1">
        <v>679.19</v>
      </c>
      <c r="UM74" s="1">
        <v>1</v>
      </c>
      <c r="UN74" s="1">
        <v>1</v>
      </c>
      <c r="UO74" s="1">
        <v>30</v>
      </c>
      <c r="UP74" s="1">
        <v>60003760</v>
      </c>
      <c r="UQ74" s="1">
        <v>-1</v>
      </c>
      <c r="UR74" s="1">
        <v>0</v>
      </c>
      <c r="UT74"/>
      <c r="UU74"/>
      <c r="UV74"/>
      <c r="UW74"/>
      <c r="UX74"/>
      <c r="UY74"/>
      <c r="UZ74"/>
      <c r="VA74"/>
      <c r="VB74"/>
      <c r="VC74"/>
      <c r="VD74"/>
      <c r="VF74"/>
      <c r="VG74"/>
      <c r="VH74"/>
      <c r="VI74"/>
      <c r="VJ74"/>
      <c r="VK74"/>
      <c r="VL74"/>
      <c r="VM74"/>
      <c r="VN74"/>
      <c r="VO74"/>
      <c r="VP74"/>
    </row>
    <row r="75" spans="2:588" x14ac:dyDescent="0.25">
      <c r="B75" s="1">
        <v>2823603207</v>
      </c>
      <c r="C75" s="1">
        <v>34</v>
      </c>
      <c r="D75" s="1">
        <v>756191304</v>
      </c>
      <c r="E75" s="1">
        <v>756191304</v>
      </c>
      <c r="F75" s="1">
        <v>6.74</v>
      </c>
      <c r="G75" s="1">
        <v>1</v>
      </c>
      <c r="H75" s="1">
        <v>0</v>
      </c>
      <c r="I75" s="1">
        <v>90</v>
      </c>
      <c r="J75" s="1">
        <v>60003760</v>
      </c>
      <c r="K75" s="1">
        <v>32767</v>
      </c>
      <c r="L75" s="1">
        <v>0</v>
      </c>
      <c r="N75" s="1">
        <v>2839934036</v>
      </c>
      <c r="O75" s="1">
        <v>35</v>
      </c>
      <c r="P75" s="1">
        <v>50000000</v>
      </c>
      <c r="Q75" s="1">
        <v>50000000</v>
      </c>
      <c r="R75" s="1">
        <v>16.46</v>
      </c>
      <c r="S75" s="1">
        <v>1</v>
      </c>
      <c r="T75" s="1">
        <v>0</v>
      </c>
      <c r="U75" s="1">
        <v>90</v>
      </c>
      <c r="V75" s="1">
        <v>60003760</v>
      </c>
      <c r="W75" s="1">
        <v>32767</v>
      </c>
      <c r="X75" s="1">
        <v>0</v>
      </c>
      <c r="Z75" s="1">
        <v>2772523793</v>
      </c>
      <c r="AA75" s="1">
        <v>36</v>
      </c>
      <c r="AB75" s="1">
        <v>47123916</v>
      </c>
      <c r="AC75" s="1">
        <v>47123916</v>
      </c>
      <c r="AD75" s="16">
        <v>55.39</v>
      </c>
      <c r="AE75" s="1">
        <v>1</v>
      </c>
      <c r="AF75" s="1">
        <v>0</v>
      </c>
      <c r="AG75" s="1">
        <v>90</v>
      </c>
      <c r="AH75" s="1">
        <v>60003760</v>
      </c>
      <c r="AI75" s="1">
        <v>32767</v>
      </c>
      <c r="AJ75" s="1">
        <v>11</v>
      </c>
      <c r="AL75" s="1">
        <v>2751370078</v>
      </c>
      <c r="AM75" s="1">
        <v>37</v>
      </c>
      <c r="AN75" s="1">
        <v>393824</v>
      </c>
      <c r="AO75" s="1">
        <v>393824</v>
      </c>
      <c r="AP75" s="16">
        <v>169.82</v>
      </c>
      <c r="AQ75" s="1">
        <v>1</v>
      </c>
      <c r="AR75" s="1">
        <v>0</v>
      </c>
      <c r="AS75" s="1">
        <v>90</v>
      </c>
      <c r="AT75" s="1">
        <v>60003760</v>
      </c>
      <c r="AU75" s="1">
        <v>32767</v>
      </c>
      <c r="AV75" s="1">
        <v>9</v>
      </c>
      <c r="AX75" s="1">
        <v>2878222860</v>
      </c>
      <c r="AY75" s="1">
        <v>38</v>
      </c>
      <c r="AZ75" s="1">
        <v>46418</v>
      </c>
      <c r="BA75" s="1">
        <v>45482</v>
      </c>
      <c r="BB75" s="1">
        <v>820</v>
      </c>
      <c r="BC75" s="1">
        <v>1</v>
      </c>
      <c r="BD75" s="1">
        <v>0</v>
      </c>
      <c r="BE75" s="1">
        <v>90</v>
      </c>
      <c r="BF75" s="1">
        <v>60003934</v>
      </c>
      <c r="BG75" s="1">
        <v>32767</v>
      </c>
      <c r="BH75" s="1">
        <v>5</v>
      </c>
      <c r="BJ75" s="1">
        <v>2719273574</v>
      </c>
      <c r="BK75" s="1">
        <v>39</v>
      </c>
      <c r="BL75" s="1">
        <v>9144623</v>
      </c>
      <c r="BM75" s="1">
        <v>9144623</v>
      </c>
      <c r="BN75" s="1">
        <v>900.01</v>
      </c>
      <c r="BO75" s="1">
        <v>1</v>
      </c>
      <c r="BP75" s="1">
        <v>0</v>
      </c>
      <c r="BQ75" s="1">
        <v>90</v>
      </c>
      <c r="BR75" s="1">
        <v>60003760</v>
      </c>
      <c r="BS75" s="1">
        <v>32767</v>
      </c>
      <c r="BT75" s="1">
        <v>5</v>
      </c>
      <c r="BV75" s="1">
        <v>2406015834</v>
      </c>
      <c r="BW75" s="1">
        <v>40</v>
      </c>
      <c r="BX75" s="1">
        <v>1776</v>
      </c>
      <c r="BY75" s="1">
        <v>1776</v>
      </c>
      <c r="BZ75" s="1">
        <v>2695.86</v>
      </c>
      <c r="CA75" s="1">
        <v>1</v>
      </c>
      <c r="CB75" s="1">
        <v>0</v>
      </c>
      <c r="CC75" s="1">
        <v>30</v>
      </c>
      <c r="CD75" s="1">
        <v>60003760</v>
      </c>
      <c r="CE75" s="1">
        <v>32767</v>
      </c>
      <c r="CF75" s="1">
        <v>13</v>
      </c>
      <c r="CH75" s="1">
        <v>2411114982</v>
      </c>
      <c r="CI75" s="1">
        <v>29668</v>
      </c>
      <c r="CJ75" s="1">
        <v>1</v>
      </c>
      <c r="CK75" s="1">
        <v>1</v>
      </c>
      <c r="CL75" s="1">
        <v>500000000</v>
      </c>
      <c r="CM75" s="1">
        <v>1</v>
      </c>
      <c r="CN75" s="1">
        <v>0</v>
      </c>
      <c r="CO75" s="1">
        <v>90</v>
      </c>
      <c r="CP75" s="1">
        <v>60003760</v>
      </c>
      <c r="CQ75" s="1">
        <v>32767</v>
      </c>
      <c r="CR75" s="1">
        <v>0</v>
      </c>
      <c r="CT75" s="1">
        <v>2392121515</v>
      </c>
      <c r="CU75" s="1">
        <v>16649</v>
      </c>
      <c r="CV75" s="1">
        <v>50000</v>
      </c>
      <c r="CW75" s="1">
        <v>50000</v>
      </c>
      <c r="CX75" s="1">
        <v>65000.1</v>
      </c>
      <c r="CY75" s="1">
        <v>1</v>
      </c>
      <c r="CZ75" s="1">
        <v>1</v>
      </c>
      <c r="DA75" s="1">
        <v>90</v>
      </c>
      <c r="DB75" s="1">
        <v>60003760</v>
      </c>
      <c r="DC75" s="1">
        <v>-1</v>
      </c>
      <c r="DD75" s="1">
        <v>0</v>
      </c>
      <c r="DF75" s="1">
        <v>2410844395</v>
      </c>
      <c r="DG75" s="1">
        <v>17887</v>
      </c>
      <c r="DH75" s="1">
        <v>1134298</v>
      </c>
      <c r="DI75" s="1">
        <v>1134298</v>
      </c>
      <c r="DJ75" s="1">
        <v>1021.82</v>
      </c>
      <c r="DK75" s="1">
        <v>1</v>
      </c>
      <c r="DL75" s="1">
        <v>0</v>
      </c>
      <c r="DM75" s="1">
        <v>90</v>
      </c>
      <c r="DN75" s="1">
        <v>60003760</v>
      </c>
      <c r="DO75" s="1">
        <v>32767</v>
      </c>
      <c r="DP75" s="1">
        <v>0</v>
      </c>
      <c r="DR75" s="1">
        <v>2810483039</v>
      </c>
      <c r="DS75" s="1">
        <v>17888</v>
      </c>
      <c r="DT75" s="1">
        <v>1552001</v>
      </c>
      <c r="DU75" s="1">
        <v>1552001</v>
      </c>
      <c r="DV75" s="1">
        <v>400</v>
      </c>
      <c r="DW75" s="1">
        <v>1</v>
      </c>
      <c r="DX75" s="1">
        <v>0</v>
      </c>
      <c r="DY75" s="1">
        <v>90</v>
      </c>
      <c r="DZ75" s="1">
        <v>60003760</v>
      </c>
      <c r="EA75" s="1">
        <v>32767</v>
      </c>
      <c r="EB75" s="1">
        <v>8</v>
      </c>
      <c r="ED75" s="1">
        <v>2865591239</v>
      </c>
      <c r="EE75" s="1">
        <v>16273</v>
      </c>
      <c r="EF75" s="1">
        <v>150000</v>
      </c>
      <c r="EG75" s="1">
        <v>87049</v>
      </c>
      <c r="EH75" s="1">
        <v>420</v>
      </c>
      <c r="EI75" s="1">
        <v>1</v>
      </c>
      <c r="EJ75" s="1">
        <v>0</v>
      </c>
      <c r="EK75" s="1">
        <v>90</v>
      </c>
      <c r="EL75" s="1">
        <v>60003142</v>
      </c>
      <c r="EM75" s="1">
        <v>32767</v>
      </c>
      <c r="EN75" s="1">
        <v>5</v>
      </c>
      <c r="EP75" s="1">
        <v>2732329597</v>
      </c>
      <c r="EQ75" s="1">
        <v>17889</v>
      </c>
      <c r="ER75" s="1">
        <v>400000</v>
      </c>
      <c r="ES75" s="1">
        <v>222123</v>
      </c>
      <c r="ET75" s="1">
        <v>1199.71</v>
      </c>
      <c r="EU75" s="1">
        <v>1</v>
      </c>
      <c r="EV75" s="1">
        <v>0</v>
      </c>
      <c r="EW75" s="1">
        <v>90</v>
      </c>
      <c r="EX75" s="1">
        <v>60000967</v>
      </c>
      <c r="EY75" s="1">
        <v>32767</v>
      </c>
      <c r="EZ75" s="1">
        <v>9</v>
      </c>
      <c r="FB75" s="1">
        <v>2767384055</v>
      </c>
      <c r="FC75" s="1">
        <v>30259</v>
      </c>
      <c r="FD75" s="1">
        <v>1000</v>
      </c>
      <c r="FE75" s="1">
        <v>1000</v>
      </c>
      <c r="FF75" s="1">
        <v>553004.06000000006</v>
      </c>
      <c r="FG75" s="1">
        <v>1</v>
      </c>
      <c r="FH75" s="1">
        <v>1</v>
      </c>
      <c r="FI75" s="1">
        <v>90</v>
      </c>
      <c r="FJ75" s="1">
        <v>60003760</v>
      </c>
      <c r="FK75" s="1">
        <v>32767</v>
      </c>
      <c r="FL75" s="1">
        <v>0</v>
      </c>
      <c r="FN75" s="1">
        <v>2729446782</v>
      </c>
      <c r="FO75" s="1">
        <v>25617</v>
      </c>
      <c r="FP75" s="1">
        <v>100</v>
      </c>
      <c r="FQ75" s="1">
        <v>17</v>
      </c>
      <c r="FR75" s="1">
        <v>4104506.91</v>
      </c>
      <c r="FS75" s="1">
        <v>1</v>
      </c>
      <c r="FT75" s="1">
        <v>1</v>
      </c>
      <c r="FU75" s="1">
        <v>90</v>
      </c>
      <c r="FV75" s="1">
        <v>60003760</v>
      </c>
      <c r="FW75" s="1">
        <v>-1</v>
      </c>
      <c r="FX75" s="1">
        <v>0</v>
      </c>
      <c r="FZ75" s="1">
        <v>2869964200</v>
      </c>
      <c r="GA75" s="1">
        <v>44</v>
      </c>
      <c r="GB75" s="1">
        <v>25622</v>
      </c>
      <c r="GC75" s="1">
        <v>25622</v>
      </c>
      <c r="GD75" s="1">
        <v>13400</v>
      </c>
      <c r="GE75" s="1">
        <v>1</v>
      </c>
      <c r="GF75" s="1">
        <v>0</v>
      </c>
      <c r="GG75" s="1">
        <v>30</v>
      </c>
      <c r="GH75" s="1">
        <v>60000688</v>
      </c>
      <c r="GI75" s="1">
        <v>32767</v>
      </c>
      <c r="GJ75" s="1">
        <v>3</v>
      </c>
      <c r="GL75" s="1">
        <v>2387698226</v>
      </c>
      <c r="GM75" s="1">
        <v>16681</v>
      </c>
      <c r="GN75" s="1">
        <v>39000</v>
      </c>
      <c r="GO75" s="1">
        <v>39000</v>
      </c>
      <c r="GP75" s="1">
        <v>4700</v>
      </c>
      <c r="GQ75" s="1">
        <v>1</v>
      </c>
      <c r="GR75" s="1">
        <v>1</v>
      </c>
      <c r="GS75" s="1">
        <v>90</v>
      </c>
      <c r="GT75" s="1">
        <v>60003760</v>
      </c>
      <c r="GU75" s="1">
        <v>-1</v>
      </c>
      <c r="GV75" s="1">
        <v>0</v>
      </c>
      <c r="GX75" s="1">
        <v>2878528563</v>
      </c>
      <c r="GY75" s="1">
        <v>16683</v>
      </c>
      <c r="GZ75" s="1">
        <v>220</v>
      </c>
      <c r="HA75" s="1">
        <v>220</v>
      </c>
      <c r="HB75" s="1">
        <v>8361</v>
      </c>
      <c r="HC75" s="1">
        <v>1</v>
      </c>
      <c r="HD75" s="1">
        <v>1</v>
      </c>
      <c r="HE75" s="1">
        <v>90</v>
      </c>
      <c r="HF75" s="1">
        <v>60003760</v>
      </c>
      <c r="HG75" s="1">
        <v>0</v>
      </c>
      <c r="HH75" s="1">
        <v>0</v>
      </c>
      <c r="HJ75"/>
      <c r="HK75"/>
      <c r="HL75"/>
      <c r="HM75"/>
      <c r="HN75"/>
      <c r="HO75"/>
      <c r="HP75"/>
      <c r="HQ75"/>
      <c r="HR75"/>
      <c r="HS75"/>
      <c r="HT75"/>
      <c r="HV75" s="1">
        <v>2803862409</v>
      </c>
      <c r="HW75" s="1">
        <v>16274</v>
      </c>
      <c r="HX75" s="1">
        <v>59376</v>
      </c>
      <c r="HY75" s="1">
        <v>200</v>
      </c>
      <c r="HZ75" s="1">
        <v>700</v>
      </c>
      <c r="IA75" s="1">
        <v>1</v>
      </c>
      <c r="IB75" s="1">
        <v>0</v>
      </c>
      <c r="IC75" s="1">
        <v>90</v>
      </c>
      <c r="ID75" s="1">
        <v>60007510</v>
      </c>
      <c r="IE75" s="1">
        <v>32767</v>
      </c>
      <c r="IF75" s="1">
        <v>9</v>
      </c>
      <c r="IH75"/>
      <c r="II75"/>
      <c r="IJ75"/>
      <c r="IK75"/>
      <c r="IL75"/>
      <c r="IM75"/>
      <c r="IN75"/>
      <c r="IO75"/>
      <c r="IP75"/>
      <c r="IQ75"/>
      <c r="IR75"/>
      <c r="IT75" s="1">
        <v>2879011582</v>
      </c>
      <c r="IU75" s="1">
        <v>16679</v>
      </c>
      <c r="IV75" s="1">
        <v>269414</v>
      </c>
      <c r="IW75" s="1">
        <v>232414</v>
      </c>
      <c r="IX75" s="1">
        <v>1741.44</v>
      </c>
      <c r="IY75" s="1">
        <v>1</v>
      </c>
      <c r="IZ75" s="1">
        <v>0</v>
      </c>
      <c r="JA75" s="1">
        <v>90</v>
      </c>
      <c r="JB75" s="1">
        <v>60003760</v>
      </c>
      <c r="JC75" s="1">
        <v>32767</v>
      </c>
      <c r="JD75" s="1">
        <v>0</v>
      </c>
      <c r="JF75" s="1">
        <v>2813263936</v>
      </c>
      <c r="JG75" s="1">
        <v>16272</v>
      </c>
      <c r="JH75" s="1">
        <v>554385</v>
      </c>
      <c r="JI75" s="1">
        <v>202600</v>
      </c>
      <c r="JJ75" s="1">
        <v>95.5</v>
      </c>
      <c r="JK75" s="1">
        <v>1</v>
      </c>
      <c r="JL75" s="1">
        <v>0</v>
      </c>
      <c r="JM75" s="1">
        <v>90</v>
      </c>
      <c r="JN75" s="1">
        <v>60003043</v>
      </c>
      <c r="JO75" s="1">
        <v>32767</v>
      </c>
      <c r="JP75" s="1">
        <v>4</v>
      </c>
      <c r="KD75" s="1">
        <v>2875236351</v>
      </c>
      <c r="KE75" s="1">
        <v>25605</v>
      </c>
      <c r="KF75" s="1">
        <v>5</v>
      </c>
      <c r="KG75" s="1">
        <v>5</v>
      </c>
      <c r="KH75" s="1">
        <v>106000</v>
      </c>
      <c r="KI75" s="1">
        <v>1</v>
      </c>
      <c r="KJ75" s="1">
        <v>0</v>
      </c>
      <c r="KK75" s="1">
        <v>90</v>
      </c>
      <c r="KL75" s="1">
        <v>60013150</v>
      </c>
      <c r="KM75" s="1">
        <v>32767</v>
      </c>
      <c r="KN75" s="1">
        <v>7</v>
      </c>
      <c r="KP75" s="1">
        <v>2878520061</v>
      </c>
      <c r="KQ75" s="1">
        <v>25624</v>
      </c>
      <c r="KR75" s="1">
        <v>60</v>
      </c>
      <c r="KS75" s="1">
        <v>60</v>
      </c>
      <c r="KT75" s="1">
        <v>18199889</v>
      </c>
      <c r="KU75" s="1">
        <v>1</v>
      </c>
      <c r="KV75" s="1">
        <v>0</v>
      </c>
      <c r="KW75" s="1">
        <v>30</v>
      </c>
      <c r="KX75" s="1">
        <v>60003760</v>
      </c>
      <c r="KY75" s="1">
        <v>32767</v>
      </c>
      <c r="KZ75" s="1">
        <v>0</v>
      </c>
      <c r="LB75" s="1">
        <v>2870441316</v>
      </c>
      <c r="LC75" s="1">
        <v>9832</v>
      </c>
      <c r="LD75" s="1">
        <v>114183</v>
      </c>
      <c r="LE75" s="1">
        <v>114183</v>
      </c>
      <c r="LF75" s="1">
        <v>9597</v>
      </c>
      <c r="LG75" s="1">
        <v>1</v>
      </c>
      <c r="LH75" s="1">
        <v>0</v>
      </c>
      <c r="LI75" s="1">
        <v>90</v>
      </c>
      <c r="LJ75" s="1">
        <v>60003760</v>
      </c>
      <c r="LK75" s="1">
        <v>32767</v>
      </c>
      <c r="LL75" s="1">
        <v>0</v>
      </c>
      <c r="ML75" s="1">
        <v>2878643419</v>
      </c>
      <c r="MM75" s="1">
        <v>25625</v>
      </c>
      <c r="MN75" s="1">
        <v>147</v>
      </c>
      <c r="MO75" s="1">
        <v>147</v>
      </c>
      <c r="MP75" s="1">
        <v>4217000.95</v>
      </c>
      <c r="MQ75" s="1">
        <v>1</v>
      </c>
      <c r="MR75" s="1">
        <v>1</v>
      </c>
      <c r="MS75" s="1">
        <v>90</v>
      </c>
      <c r="MT75" s="1">
        <v>60003760</v>
      </c>
      <c r="MU75" s="1">
        <v>-1</v>
      </c>
      <c r="MV75" s="1">
        <v>0</v>
      </c>
      <c r="MX75" s="1">
        <v>2793073968</v>
      </c>
      <c r="MY75" s="1">
        <v>16672</v>
      </c>
      <c r="MZ75" s="1">
        <v>2000000</v>
      </c>
      <c r="NA75" s="1">
        <v>1990930</v>
      </c>
      <c r="NB75" s="1">
        <v>69.09</v>
      </c>
      <c r="NC75" s="1">
        <v>1</v>
      </c>
      <c r="ND75" s="1">
        <v>1</v>
      </c>
      <c r="NE75" s="1">
        <v>90</v>
      </c>
      <c r="NF75" s="1">
        <v>60003760</v>
      </c>
      <c r="NG75" s="1">
        <v>10</v>
      </c>
      <c r="NH75" s="1">
        <v>0</v>
      </c>
      <c r="NJ75" s="1">
        <v>2878604236</v>
      </c>
      <c r="NK75" s="1">
        <v>16673</v>
      </c>
      <c r="NL75" s="1">
        <v>2400000</v>
      </c>
      <c r="NM75" s="1">
        <v>2071453</v>
      </c>
      <c r="NN75" s="1">
        <v>101.4</v>
      </c>
      <c r="NO75" s="1">
        <v>1</v>
      </c>
      <c r="NP75" s="1">
        <v>0</v>
      </c>
      <c r="NQ75" s="1">
        <v>90</v>
      </c>
      <c r="NR75" s="1">
        <v>60003760</v>
      </c>
      <c r="NS75" s="1">
        <v>32767</v>
      </c>
      <c r="NT75" s="1">
        <v>0</v>
      </c>
      <c r="NV75" s="1">
        <v>2872590848</v>
      </c>
      <c r="NW75" s="1">
        <v>3689</v>
      </c>
      <c r="NX75" s="1">
        <v>3865</v>
      </c>
      <c r="NY75" s="1">
        <v>3865</v>
      </c>
      <c r="NZ75" s="1">
        <v>10300</v>
      </c>
      <c r="OA75" s="1">
        <v>1</v>
      </c>
      <c r="OB75" s="1">
        <v>0</v>
      </c>
      <c r="OC75" s="1">
        <v>90</v>
      </c>
      <c r="OD75" s="1">
        <v>60003760</v>
      </c>
      <c r="OE75" s="1">
        <v>32767</v>
      </c>
      <c r="OF75" s="1">
        <v>0</v>
      </c>
      <c r="OH75" s="1">
        <v>2849827241</v>
      </c>
      <c r="OI75" s="1">
        <v>25598</v>
      </c>
      <c r="OJ75" s="1">
        <v>119</v>
      </c>
      <c r="OK75" s="1">
        <v>119</v>
      </c>
      <c r="OL75" s="1">
        <v>158090.1</v>
      </c>
      <c r="OM75" s="1">
        <v>1</v>
      </c>
      <c r="ON75" s="1">
        <v>0</v>
      </c>
      <c r="OO75" s="1">
        <v>90</v>
      </c>
      <c r="OP75" s="1">
        <v>60003760</v>
      </c>
      <c r="OQ75" s="1">
        <v>32767</v>
      </c>
      <c r="OR75" s="1">
        <v>0</v>
      </c>
      <c r="OT75" s="1">
        <v>2877506473</v>
      </c>
      <c r="OU75" s="1">
        <v>25600</v>
      </c>
      <c r="OV75" s="1">
        <v>18</v>
      </c>
      <c r="OW75" s="1">
        <v>18</v>
      </c>
      <c r="OX75" s="1">
        <v>28300</v>
      </c>
      <c r="OY75" s="1">
        <v>1</v>
      </c>
      <c r="OZ75" s="1">
        <v>0</v>
      </c>
      <c r="PA75" s="1">
        <v>1</v>
      </c>
      <c r="PB75" s="1">
        <v>60002737</v>
      </c>
      <c r="PC75" s="1">
        <v>32767</v>
      </c>
      <c r="PD75" s="1">
        <v>6</v>
      </c>
      <c r="PF75" s="1">
        <v>2874898358</v>
      </c>
      <c r="PG75" s="1">
        <v>16670</v>
      </c>
      <c r="PH75" s="1">
        <v>40550000</v>
      </c>
      <c r="PI75" s="1">
        <v>28539460</v>
      </c>
      <c r="PJ75" s="1">
        <v>120.96</v>
      </c>
      <c r="PK75" s="1">
        <v>1</v>
      </c>
      <c r="PL75" s="1">
        <v>0</v>
      </c>
      <c r="PM75" s="1">
        <v>90</v>
      </c>
      <c r="PN75" s="1">
        <v>60003760</v>
      </c>
      <c r="PO75" s="1">
        <v>32767</v>
      </c>
      <c r="PP75" s="1">
        <v>7</v>
      </c>
      <c r="QD75" s="1">
        <v>2774457250</v>
      </c>
      <c r="QE75" s="1">
        <v>9830</v>
      </c>
      <c r="QF75" s="1">
        <v>50000</v>
      </c>
      <c r="QG75" s="1">
        <v>15273</v>
      </c>
      <c r="QH75" s="1">
        <v>7113.06</v>
      </c>
      <c r="QI75" s="1">
        <v>1</v>
      </c>
      <c r="QJ75" s="1">
        <v>1</v>
      </c>
      <c r="QK75" s="1">
        <v>90</v>
      </c>
      <c r="QL75" s="1">
        <v>60003760</v>
      </c>
      <c r="QM75" s="1">
        <v>-1</v>
      </c>
      <c r="QN75" s="1">
        <v>0</v>
      </c>
      <c r="QP75" s="1">
        <v>2859899996</v>
      </c>
      <c r="QQ75" s="1">
        <v>16671</v>
      </c>
      <c r="QR75" s="1">
        <v>10000000</v>
      </c>
      <c r="QS75" s="1">
        <v>10000000</v>
      </c>
      <c r="QT75" s="1">
        <v>65.099999999999994</v>
      </c>
      <c r="QU75" s="1">
        <v>1</v>
      </c>
      <c r="QV75" s="1">
        <v>1</v>
      </c>
      <c r="QW75" s="1">
        <v>90</v>
      </c>
      <c r="QX75" s="1">
        <v>60003760</v>
      </c>
      <c r="QY75" s="1">
        <v>-1</v>
      </c>
      <c r="QZ75" s="1">
        <v>0</v>
      </c>
      <c r="RB75" s="1">
        <v>2868904770</v>
      </c>
      <c r="RC75" s="1">
        <v>16682</v>
      </c>
      <c r="RD75" s="1">
        <v>55000</v>
      </c>
      <c r="RE75" s="1">
        <v>55000</v>
      </c>
      <c r="RF75" s="1">
        <v>2862</v>
      </c>
      <c r="RG75" s="1">
        <v>1</v>
      </c>
      <c r="RH75" s="1">
        <v>1</v>
      </c>
      <c r="RI75" s="1">
        <v>90</v>
      </c>
      <c r="RJ75" s="1">
        <v>60003760</v>
      </c>
      <c r="RK75" s="1">
        <v>-1</v>
      </c>
      <c r="RL75" s="1">
        <v>0</v>
      </c>
      <c r="RN75" s="1">
        <v>2869350686</v>
      </c>
      <c r="RO75" s="1">
        <v>16678</v>
      </c>
      <c r="RP75" s="1">
        <v>2255200</v>
      </c>
      <c r="RQ75" s="1">
        <v>2255200</v>
      </c>
      <c r="RR75" s="1">
        <v>271.02999999999997</v>
      </c>
      <c r="RS75" s="1">
        <v>1</v>
      </c>
      <c r="RT75" s="1">
        <v>1</v>
      </c>
      <c r="RU75" s="1">
        <v>90</v>
      </c>
      <c r="RV75" s="1">
        <v>60003760</v>
      </c>
      <c r="RW75" s="1">
        <v>-1</v>
      </c>
      <c r="RX75" s="1">
        <v>0</v>
      </c>
      <c r="SL75" s="1">
        <v>2877453346</v>
      </c>
      <c r="SM75" s="1">
        <v>30311</v>
      </c>
      <c r="SN75" s="1">
        <v>420</v>
      </c>
      <c r="SO75" s="1">
        <v>75</v>
      </c>
      <c r="SP75" s="1">
        <v>2970086.11</v>
      </c>
      <c r="SQ75" s="1">
        <v>1</v>
      </c>
      <c r="SR75" s="1">
        <v>1</v>
      </c>
      <c r="SS75" s="1">
        <v>90</v>
      </c>
      <c r="ST75" s="1">
        <v>60003760</v>
      </c>
      <c r="SU75" s="1">
        <v>-1</v>
      </c>
      <c r="SV75" s="1">
        <v>0</v>
      </c>
      <c r="SX75" s="1">
        <v>2858338317</v>
      </c>
      <c r="SY75" s="1">
        <v>25595</v>
      </c>
      <c r="SZ75" s="1">
        <v>14</v>
      </c>
      <c r="TA75" s="1">
        <v>14</v>
      </c>
      <c r="TB75" s="1">
        <v>86496.5</v>
      </c>
      <c r="TC75" s="1">
        <v>1</v>
      </c>
      <c r="TD75" s="1">
        <v>0</v>
      </c>
      <c r="TE75" s="1">
        <v>30</v>
      </c>
      <c r="TF75" s="1">
        <v>60003760</v>
      </c>
      <c r="TG75" s="1">
        <v>32767</v>
      </c>
      <c r="TH75" s="1">
        <v>6</v>
      </c>
      <c r="TJ75" s="1">
        <v>2860494555</v>
      </c>
      <c r="TK75" s="1">
        <v>25606</v>
      </c>
      <c r="TL75" s="1">
        <v>103</v>
      </c>
      <c r="TM75" s="1">
        <v>103</v>
      </c>
      <c r="TN75" s="1">
        <v>24998</v>
      </c>
      <c r="TO75" s="1">
        <v>1</v>
      </c>
      <c r="TP75" s="1">
        <v>0</v>
      </c>
      <c r="TQ75" s="1">
        <v>14</v>
      </c>
      <c r="TR75" s="1">
        <v>60000511</v>
      </c>
      <c r="TS75" s="1">
        <v>32767</v>
      </c>
      <c r="TT75" s="1">
        <v>7</v>
      </c>
      <c r="TV75"/>
      <c r="TW75"/>
      <c r="TX75"/>
      <c r="TY75"/>
      <c r="TZ75"/>
      <c r="UA75"/>
      <c r="UB75"/>
      <c r="UC75"/>
      <c r="UD75"/>
      <c r="UE75"/>
      <c r="UF75"/>
      <c r="UH75" s="1">
        <v>2878274544</v>
      </c>
      <c r="UI75" s="1">
        <v>16680</v>
      </c>
      <c r="UJ75" s="1">
        <v>1462500</v>
      </c>
      <c r="UK75" s="1">
        <v>892308</v>
      </c>
      <c r="UL75" s="1">
        <v>679.25</v>
      </c>
      <c r="UM75" s="1">
        <v>1</v>
      </c>
      <c r="UN75" s="1">
        <v>1</v>
      </c>
      <c r="UO75" s="1">
        <v>90</v>
      </c>
      <c r="UP75" s="1">
        <v>60003760</v>
      </c>
      <c r="UQ75" s="1">
        <v>-1</v>
      </c>
      <c r="UR75" s="1">
        <v>0</v>
      </c>
      <c r="UT75"/>
      <c r="UU75"/>
      <c r="UV75"/>
      <c r="UW75"/>
      <c r="UX75"/>
      <c r="UY75"/>
      <c r="UZ75"/>
      <c r="VA75"/>
      <c r="VB75"/>
      <c r="VC75"/>
      <c r="VD75"/>
      <c r="VF75"/>
      <c r="VG75"/>
      <c r="VH75"/>
      <c r="VI75"/>
      <c r="VJ75"/>
      <c r="VK75"/>
      <c r="VL75"/>
      <c r="VM75"/>
      <c r="VN75"/>
      <c r="VO75"/>
      <c r="VP75"/>
    </row>
    <row r="76" spans="2:588" x14ac:dyDescent="0.25">
      <c r="B76" s="1">
        <v>2823642675</v>
      </c>
      <c r="C76" s="1">
        <v>34</v>
      </c>
      <c r="D76" s="1">
        <v>9364562</v>
      </c>
      <c r="E76" s="1">
        <v>9364562</v>
      </c>
      <c r="F76" s="1">
        <v>6.08</v>
      </c>
      <c r="G76" s="1">
        <v>1</v>
      </c>
      <c r="H76" s="1">
        <v>0</v>
      </c>
      <c r="I76" s="1">
        <v>90</v>
      </c>
      <c r="J76" s="1">
        <v>60003760</v>
      </c>
      <c r="K76" s="1">
        <v>32767</v>
      </c>
      <c r="L76" s="1">
        <v>0</v>
      </c>
      <c r="N76" s="1">
        <v>2838892067</v>
      </c>
      <c r="O76" s="1">
        <v>35</v>
      </c>
      <c r="P76" s="1">
        <v>12079</v>
      </c>
      <c r="Q76" s="1">
        <v>12079</v>
      </c>
      <c r="R76" s="1">
        <v>15.85</v>
      </c>
      <c r="S76" s="1">
        <v>1</v>
      </c>
      <c r="T76" s="1">
        <v>0</v>
      </c>
      <c r="U76" s="1">
        <v>30</v>
      </c>
      <c r="V76" s="1">
        <v>60003760</v>
      </c>
      <c r="W76" s="1">
        <v>32767</v>
      </c>
      <c r="X76" s="1">
        <v>0</v>
      </c>
      <c r="Z76" s="1">
        <v>2772639526</v>
      </c>
      <c r="AA76" s="1">
        <v>36</v>
      </c>
      <c r="AB76" s="1">
        <v>69196</v>
      </c>
      <c r="AC76" s="1">
        <v>69196</v>
      </c>
      <c r="AD76" s="16">
        <v>60</v>
      </c>
      <c r="AE76" s="1">
        <v>1</v>
      </c>
      <c r="AF76" s="1">
        <v>0</v>
      </c>
      <c r="AG76" s="1">
        <v>90</v>
      </c>
      <c r="AH76" s="1">
        <v>60003760</v>
      </c>
      <c r="AI76" s="1">
        <v>32767</v>
      </c>
      <c r="AJ76" s="1">
        <v>11</v>
      </c>
      <c r="AL76" s="1">
        <v>2751345732</v>
      </c>
      <c r="AM76" s="1">
        <v>37</v>
      </c>
      <c r="AN76" s="1">
        <v>2780819</v>
      </c>
      <c r="AO76" s="1">
        <v>2438394</v>
      </c>
      <c r="AP76" s="16">
        <v>164.45</v>
      </c>
      <c r="AQ76" s="1">
        <v>1</v>
      </c>
      <c r="AR76" s="1">
        <v>0</v>
      </c>
      <c r="AS76" s="1">
        <v>90</v>
      </c>
      <c r="AT76" s="1">
        <v>60003760</v>
      </c>
      <c r="AU76" s="1">
        <v>32767</v>
      </c>
      <c r="AV76" s="1">
        <v>9</v>
      </c>
      <c r="AX76" s="1">
        <v>2838266500</v>
      </c>
      <c r="AY76" s="1">
        <v>38</v>
      </c>
      <c r="AZ76" s="1">
        <v>38121</v>
      </c>
      <c r="BA76" s="1">
        <v>32</v>
      </c>
      <c r="BB76" s="1">
        <v>808</v>
      </c>
      <c r="BC76" s="1">
        <v>1</v>
      </c>
      <c r="BD76" s="1">
        <v>0</v>
      </c>
      <c r="BE76" s="1">
        <v>90</v>
      </c>
      <c r="BF76" s="1">
        <v>60003145</v>
      </c>
      <c r="BG76" s="1">
        <v>32767</v>
      </c>
      <c r="BH76" s="1">
        <v>9</v>
      </c>
      <c r="BJ76" s="1">
        <v>2712513001</v>
      </c>
      <c r="BK76" s="1">
        <v>39</v>
      </c>
      <c r="BL76" s="1">
        <v>2026</v>
      </c>
      <c r="BM76" s="1">
        <v>2026</v>
      </c>
      <c r="BN76" s="1">
        <v>1100</v>
      </c>
      <c r="BO76" s="1">
        <v>1</v>
      </c>
      <c r="BP76" s="1">
        <v>0</v>
      </c>
      <c r="BQ76" s="1">
        <v>90</v>
      </c>
      <c r="BR76" s="1">
        <v>60003760</v>
      </c>
      <c r="BS76" s="1">
        <v>32767</v>
      </c>
      <c r="BT76" s="1">
        <v>5</v>
      </c>
      <c r="BV76" s="1">
        <v>2406473598</v>
      </c>
      <c r="BW76" s="1">
        <v>40</v>
      </c>
      <c r="BX76" s="1">
        <v>793231</v>
      </c>
      <c r="BY76" s="1">
        <v>792111</v>
      </c>
      <c r="BZ76" s="1">
        <v>2690.2</v>
      </c>
      <c r="CA76" s="1">
        <v>1</v>
      </c>
      <c r="CB76" s="1">
        <v>0</v>
      </c>
      <c r="CC76" s="1">
        <v>30</v>
      </c>
      <c r="CD76" s="1">
        <v>60003760</v>
      </c>
      <c r="CE76" s="1">
        <v>32767</v>
      </c>
      <c r="CF76" s="1">
        <v>13</v>
      </c>
      <c r="CH76" s="1">
        <v>2411156275</v>
      </c>
      <c r="CI76" s="1">
        <v>29668</v>
      </c>
      <c r="CJ76" s="1">
        <v>1</v>
      </c>
      <c r="CK76" s="1">
        <v>1</v>
      </c>
      <c r="CL76" s="1">
        <v>510000999</v>
      </c>
      <c r="CM76" s="1">
        <v>1</v>
      </c>
      <c r="CN76" s="1">
        <v>0</v>
      </c>
      <c r="CO76" s="1">
        <v>90</v>
      </c>
      <c r="CP76" s="1">
        <v>60003760</v>
      </c>
      <c r="CQ76" s="1">
        <v>32767</v>
      </c>
      <c r="CR76" s="1">
        <v>0</v>
      </c>
      <c r="CT76" s="1">
        <v>2392105897</v>
      </c>
      <c r="CU76" s="1">
        <v>16649</v>
      </c>
      <c r="CV76" s="1">
        <v>10000</v>
      </c>
      <c r="CW76" s="1">
        <v>10000</v>
      </c>
      <c r="CX76" s="1">
        <v>92015.039999999994</v>
      </c>
      <c r="CY76" s="1">
        <v>1</v>
      </c>
      <c r="CZ76" s="1">
        <v>1</v>
      </c>
      <c r="DA76" s="1">
        <v>90</v>
      </c>
      <c r="DB76" s="1">
        <v>60003760</v>
      </c>
      <c r="DC76" s="1">
        <v>1</v>
      </c>
      <c r="DD76" s="1">
        <v>0</v>
      </c>
      <c r="DF76" s="1">
        <v>2410844436</v>
      </c>
      <c r="DG76" s="1">
        <v>17887</v>
      </c>
      <c r="DH76" s="1">
        <v>318495</v>
      </c>
      <c r="DI76" s="1">
        <v>133495</v>
      </c>
      <c r="DJ76" s="1">
        <v>1009.99</v>
      </c>
      <c r="DK76" s="1">
        <v>1</v>
      </c>
      <c r="DL76" s="1">
        <v>0</v>
      </c>
      <c r="DM76" s="1">
        <v>90</v>
      </c>
      <c r="DN76" s="1">
        <v>60003760</v>
      </c>
      <c r="DO76" s="1">
        <v>32767</v>
      </c>
      <c r="DP76" s="1">
        <v>0</v>
      </c>
      <c r="DR76" s="1">
        <v>2810534935</v>
      </c>
      <c r="DS76" s="1">
        <v>17888</v>
      </c>
      <c r="DT76" s="1">
        <v>11892960</v>
      </c>
      <c r="DU76" s="1">
        <v>11892960</v>
      </c>
      <c r="DV76" s="1">
        <v>368.99</v>
      </c>
      <c r="DW76" s="1">
        <v>1</v>
      </c>
      <c r="DX76" s="1">
        <v>0</v>
      </c>
      <c r="DY76" s="1">
        <v>90</v>
      </c>
      <c r="DZ76" s="1">
        <v>60003760</v>
      </c>
      <c r="EA76" s="1">
        <v>32767</v>
      </c>
      <c r="EB76" s="1">
        <v>8</v>
      </c>
      <c r="ED76" s="1">
        <v>2878164126</v>
      </c>
      <c r="EE76" s="1">
        <v>16273</v>
      </c>
      <c r="EF76" s="1">
        <v>25002</v>
      </c>
      <c r="EG76" s="1">
        <v>23792</v>
      </c>
      <c r="EH76" s="1">
        <v>400</v>
      </c>
      <c r="EI76" s="1">
        <v>1</v>
      </c>
      <c r="EJ76" s="1">
        <v>0</v>
      </c>
      <c r="EK76" s="1">
        <v>90</v>
      </c>
      <c r="EL76" s="1">
        <v>60004081</v>
      </c>
      <c r="EM76" s="1">
        <v>32767</v>
      </c>
      <c r="EN76" s="1">
        <v>5</v>
      </c>
      <c r="EP76" s="1">
        <v>2877668296</v>
      </c>
      <c r="EQ76" s="1">
        <v>17889</v>
      </c>
      <c r="ER76" s="1">
        <v>3932543</v>
      </c>
      <c r="ES76" s="1">
        <v>3168658</v>
      </c>
      <c r="ET76" s="1">
        <v>373.36</v>
      </c>
      <c r="EU76" s="1">
        <v>1</v>
      </c>
      <c r="EV76" s="1">
        <v>0</v>
      </c>
      <c r="EW76" s="1">
        <v>90</v>
      </c>
      <c r="EX76" s="1">
        <v>60003760</v>
      </c>
      <c r="EY76" s="1">
        <v>32767</v>
      </c>
      <c r="EZ76" s="1">
        <v>7</v>
      </c>
      <c r="FB76" s="1">
        <v>2768393783</v>
      </c>
      <c r="FC76" s="1">
        <v>30259</v>
      </c>
      <c r="FD76" s="1">
        <v>500</v>
      </c>
      <c r="FE76" s="1">
        <v>357</v>
      </c>
      <c r="FF76" s="1">
        <v>4622001</v>
      </c>
      <c r="FG76" s="1">
        <v>1</v>
      </c>
      <c r="FH76" s="1">
        <v>1</v>
      </c>
      <c r="FI76" s="1">
        <v>90</v>
      </c>
      <c r="FJ76" s="1">
        <v>60003463</v>
      </c>
      <c r="FK76" s="1">
        <v>32767</v>
      </c>
      <c r="FL76" s="1">
        <v>0</v>
      </c>
      <c r="FN76" s="1">
        <v>2729825006</v>
      </c>
      <c r="FO76" s="1">
        <v>25617</v>
      </c>
      <c r="FP76" s="1">
        <v>150</v>
      </c>
      <c r="FQ76" s="1">
        <v>148</v>
      </c>
      <c r="FR76" s="1">
        <v>4106070.01</v>
      </c>
      <c r="FS76" s="1">
        <v>1</v>
      </c>
      <c r="FT76" s="1">
        <v>1</v>
      </c>
      <c r="FU76" s="1">
        <v>90</v>
      </c>
      <c r="FV76" s="1">
        <v>60003760</v>
      </c>
      <c r="FW76" s="1">
        <v>-1</v>
      </c>
      <c r="FX76" s="1">
        <v>0</v>
      </c>
      <c r="FZ76" s="1">
        <v>2874450081</v>
      </c>
      <c r="GA76" s="1">
        <v>44</v>
      </c>
      <c r="GB76" s="1">
        <v>50</v>
      </c>
      <c r="GC76" s="1">
        <v>50</v>
      </c>
      <c r="GD76" s="1">
        <v>12700</v>
      </c>
      <c r="GE76" s="1">
        <v>1</v>
      </c>
      <c r="GF76" s="1">
        <v>0</v>
      </c>
      <c r="GG76" s="1">
        <v>30</v>
      </c>
      <c r="GH76" s="1">
        <v>60002440</v>
      </c>
      <c r="GI76" s="1">
        <v>32767</v>
      </c>
      <c r="GJ76" s="1">
        <v>1</v>
      </c>
      <c r="GL76" s="1">
        <v>2387698767</v>
      </c>
      <c r="GM76" s="1">
        <v>16681</v>
      </c>
      <c r="GN76" s="1">
        <v>39000</v>
      </c>
      <c r="GO76" s="1">
        <v>39000</v>
      </c>
      <c r="GP76" s="1">
        <v>4300</v>
      </c>
      <c r="GQ76" s="1">
        <v>1</v>
      </c>
      <c r="GR76" s="1">
        <v>1</v>
      </c>
      <c r="GS76" s="1">
        <v>90</v>
      </c>
      <c r="GT76" s="1">
        <v>60003760</v>
      </c>
      <c r="GU76" s="1">
        <v>-1</v>
      </c>
      <c r="GV76" s="1">
        <v>0</v>
      </c>
      <c r="GX76" s="1">
        <v>2878583442</v>
      </c>
      <c r="GY76" s="1">
        <v>16683</v>
      </c>
      <c r="GZ76" s="1">
        <v>204</v>
      </c>
      <c r="HA76" s="1">
        <v>204</v>
      </c>
      <c r="HB76" s="1">
        <v>8382</v>
      </c>
      <c r="HC76" s="1">
        <v>1</v>
      </c>
      <c r="HD76" s="1">
        <v>1</v>
      </c>
      <c r="HE76" s="1">
        <v>30</v>
      </c>
      <c r="HF76" s="1">
        <v>60003760</v>
      </c>
      <c r="HG76" s="1">
        <v>-1</v>
      </c>
      <c r="HH76" s="1">
        <v>0</v>
      </c>
      <c r="HJ76"/>
      <c r="HK76"/>
      <c r="HL76"/>
      <c r="HM76"/>
      <c r="HN76"/>
      <c r="HO76"/>
      <c r="HP76"/>
      <c r="HQ76"/>
      <c r="HR76"/>
      <c r="HS76"/>
      <c r="HT76"/>
      <c r="HV76" s="1">
        <v>2870046049</v>
      </c>
      <c r="HW76" s="1">
        <v>16274</v>
      </c>
      <c r="HX76" s="1">
        <v>297752</v>
      </c>
      <c r="HY76" s="1">
        <v>245252</v>
      </c>
      <c r="HZ76" s="1">
        <v>599</v>
      </c>
      <c r="IA76" s="1">
        <v>1</v>
      </c>
      <c r="IB76" s="1">
        <v>0</v>
      </c>
      <c r="IC76" s="1">
        <v>90</v>
      </c>
      <c r="ID76" s="1">
        <v>60004375</v>
      </c>
      <c r="IE76" s="1">
        <v>32767</v>
      </c>
      <c r="IF76" s="1">
        <v>9</v>
      </c>
      <c r="IH76"/>
      <c r="II76"/>
      <c r="IJ76"/>
      <c r="IK76"/>
      <c r="IL76"/>
      <c r="IM76"/>
      <c r="IN76"/>
      <c r="IO76"/>
      <c r="IP76"/>
      <c r="IQ76"/>
      <c r="IR76"/>
      <c r="IT76" s="1">
        <v>2879011837</v>
      </c>
      <c r="IU76" s="1">
        <v>16679</v>
      </c>
      <c r="IV76" s="1">
        <v>300000</v>
      </c>
      <c r="IW76" s="1">
        <v>300000</v>
      </c>
      <c r="IX76" s="1">
        <v>1741.44</v>
      </c>
      <c r="IY76" s="1">
        <v>1</v>
      </c>
      <c r="IZ76" s="1">
        <v>0</v>
      </c>
      <c r="JA76" s="1">
        <v>90</v>
      </c>
      <c r="JB76" s="1">
        <v>60003760</v>
      </c>
      <c r="JC76" s="1">
        <v>32767</v>
      </c>
      <c r="JD76" s="1">
        <v>0</v>
      </c>
      <c r="JF76" s="1">
        <v>2805369605</v>
      </c>
      <c r="JG76" s="1">
        <v>16272</v>
      </c>
      <c r="JH76" s="1">
        <v>8554</v>
      </c>
      <c r="JI76" s="1">
        <v>8554</v>
      </c>
      <c r="JJ76" s="1">
        <v>177.9</v>
      </c>
      <c r="JK76" s="1">
        <v>1</v>
      </c>
      <c r="JL76" s="1">
        <v>0</v>
      </c>
      <c r="JM76" s="1">
        <v>90</v>
      </c>
      <c r="JN76" s="1">
        <v>60003043</v>
      </c>
      <c r="JO76" s="1">
        <v>32767</v>
      </c>
      <c r="JP76" s="1">
        <v>4</v>
      </c>
      <c r="KD76" s="1">
        <v>2844951140</v>
      </c>
      <c r="KE76" s="1">
        <v>25605</v>
      </c>
      <c r="KF76" s="1">
        <v>8</v>
      </c>
      <c r="KG76" s="1">
        <v>8</v>
      </c>
      <c r="KH76" s="1">
        <v>200000</v>
      </c>
      <c r="KI76" s="1">
        <v>1</v>
      </c>
      <c r="KJ76" s="1">
        <v>0</v>
      </c>
      <c r="KK76" s="1">
        <v>30</v>
      </c>
      <c r="KL76" s="1">
        <v>60015027</v>
      </c>
      <c r="KM76" s="1">
        <v>32767</v>
      </c>
      <c r="KN76" s="1">
        <v>9</v>
      </c>
      <c r="KP76" s="1">
        <v>2877527485</v>
      </c>
      <c r="KQ76" s="1">
        <v>25624</v>
      </c>
      <c r="KR76" s="1">
        <v>333</v>
      </c>
      <c r="KS76" s="1">
        <v>137</v>
      </c>
      <c r="KT76" s="1">
        <v>18199888.850000001</v>
      </c>
      <c r="KU76" s="1">
        <v>1</v>
      </c>
      <c r="KV76" s="1">
        <v>0</v>
      </c>
      <c r="KW76" s="1">
        <v>90</v>
      </c>
      <c r="KX76" s="1">
        <v>60003760</v>
      </c>
      <c r="KY76" s="1">
        <v>32767</v>
      </c>
      <c r="KZ76" s="1">
        <v>1</v>
      </c>
      <c r="LB76" s="1">
        <v>2871541308</v>
      </c>
      <c r="LC76" s="1">
        <v>9832</v>
      </c>
      <c r="LD76" s="1">
        <v>90</v>
      </c>
      <c r="LE76" s="1">
        <v>90</v>
      </c>
      <c r="LF76" s="1">
        <v>13084.98</v>
      </c>
      <c r="LG76" s="1">
        <v>1</v>
      </c>
      <c r="LH76" s="1">
        <v>0</v>
      </c>
      <c r="LI76" s="1">
        <v>30</v>
      </c>
      <c r="LJ76" s="1">
        <v>60003760</v>
      </c>
      <c r="LK76" s="1">
        <v>32767</v>
      </c>
      <c r="LL76" s="1">
        <v>0</v>
      </c>
      <c r="ML76" s="1">
        <v>2877323349</v>
      </c>
      <c r="MM76" s="1">
        <v>25625</v>
      </c>
      <c r="MN76" s="1">
        <v>35</v>
      </c>
      <c r="MO76" s="1">
        <v>25</v>
      </c>
      <c r="MP76" s="1">
        <v>4217003</v>
      </c>
      <c r="MQ76" s="1">
        <v>1</v>
      </c>
      <c r="MR76" s="1">
        <v>1</v>
      </c>
      <c r="MS76" s="1">
        <v>30</v>
      </c>
      <c r="MT76" s="1">
        <v>60003760</v>
      </c>
      <c r="MU76" s="1">
        <v>-1</v>
      </c>
      <c r="MV76" s="1">
        <v>0</v>
      </c>
      <c r="MX76" s="1">
        <v>2386532669</v>
      </c>
      <c r="MY76" s="1">
        <v>16672</v>
      </c>
      <c r="MZ76" s="1">
        <v>100000000</v>
      </c>
      <c r="NA76" s="1">
        <v>99228880</v>
      </c>
      <c r="NB76" s="1">
        <v>70.2</v>
      </c>
      <c r="NC76" s="1">
        <v>1</v>
      </c>
      <c r="ND76" s="1">
        <v>1</v>
      </c>
      <c r="NE76" s="1">
        <v>90</v>
      </c>
      <c r="NF76" s="1">
        <v>60003760</v>
      </c>
      <c r="NG76" s="1">
        <v>-1</v>
      </c>
      <c r="NH76" s="1">
        <v>0</v>
      </c>
      <c r="NJ76" s="1">
        <v>2867232820</v>
      </c>
      <c r="NK76" s="1">
        <v>16673</v>
      </c>
      <c r="NL76" s="1">
        <v>3000000</v>
      </c>
      <c r="NM76" s="1">
        <v>3000000</v>
      </c>
      <c r="NN76" s="1">
        <v>101.33</v>
      </c>
      <c r="NO76" s="1">
        <v>1</v>
      </c>
      <c r="NP76" s="1">
        <v>0</v>
      </c>
      <c r="NQ76" s="1">
        <v>90</v>
      </c>
      <c r="NR76" s="1">
        <v>60003760</v>
      </c>
      <c r="NS76" s="1">
        <v>32767</v>
      </c>
      <c r="NT76" s="1">
        <v>6</v>
      </c>
      <c r="NV76" s="1">
        <v>2873300467</v>
      </c>
      <c r="NW76" s="1">
        <v>3689</v>
      </c>
      <c r="NX76" s="1">
        <v>8525</v>
      </c>
      <c r="NY76" s="1">
        <v>8525</v>
      </c>
      <c r="NZ76" s="1">
        <v>10299.89</v>
      </c>
      <c r="OA76" s="1">
        <v>1</v>
      </c>
      <c r="OB76" s="1">
        <v>0</v>
      </c>
      <c r="OC76" s="1">
        <v>30</v>
      </c>
      <c r="OD76" s="1">
        <v>60003760</v>
      </c>
      <c r="OE76" s="1">
        <v>32767</v>
      </c>
      <c r="OF76" s="1">
        <v>0</v>
      </c>
      <c r="OH76" s="1">
        <v>2847853615</v>
      </c>
      <c r="OI76" s="1">
        <v>25598</v>
      </c>
      <c r="OJ76" s="1">
        <v>955</v>
      </c>
      <c r="OK76" s="1">
        <v>955</v>
      </c>
      <c r="OL76" s="1">
        <v>150000</v>
      </c>
      <c r="OM76" s="1">
        <v>1</v>
      </c>
      <c r="ON76" s="1">
        <v>0</v>
      </c>
      <c r="OO76" s="1">
        <v>30</v>
      </c>
      <c r="OP76" s="1">
        <v>60003760</v>
      </c>
      <c r="OQ76" s="1">
        <v>32767</v>
      </c>
      <c r="OR76" s="1">
        <v>0</v>
      </c>
      <c r="OT76" s="1">
        <v>2869563226</v>
      </c>
      <c r="OU76" s="1">
        <v>25600</v>
      </c>
      <c r="OV76" s="1">
        <v>143</v>
      </c>
      <c r="OW76" s="1">
        <v>143</v>
      </c>
      <c r="OX76" s="1">
        <v>28998</v>
      </c>
      <c r="OY76" s="1">
        <v>1</v>
      </c>
      <c r="OZ76" s="1">
        <v>0</v>
      </c>
      <c r="PA76" s="1">
        <v>14</v>
      </c>
      <c r="PB76" s="1">
        <v>60000511</v>
      </c>
      <c r="PC76" s="1">
        <v>32767</v>
      </c>
      <c r="PD76" s="1">
        <v>7</v>
      </c>
      <c r="PF76" s="1">
        <v>2875627189</v>
      </c>
      <c r="PG76" s="1">
        <v>16670</v>
      </c>
      <c r="PH76" s="1">
        <v>1000000</v>
      </c>
      <c r="PI76" s="1">
        <v>948000</v>
      </c>
      <c r="PJ76" s="1">
        <v>119.31</v>
      </c>
      <c r="PK76" s="1">
        <v>1</v>
      </c>
      <c r="PL76" s="1">
        <v>0</v>
      </c>
      <c r="PM76" s="1">
        <v>30</v>
      </c>
      <c r="PN76" s="1">
        <v>60003760</v>
      </c>
      <c r="PO76" s="1">
        <v>32767</v>
      </c>
      <c r="PP76" s="1">
        <v>7</v>
      </c>
      <c r="QD76" s="1">
        <v>2775894128</v>
      </c>
      <c r="QE76" s="1">
        <v>9830</v>
      </c>
      <c r="QF76" s="1">
        <v>10000</v>
      </c>
      <c r="QG76" s="1">
        <v>10000</v>
      </c>
      <c r="QH76" s="1">
        <v>6303.08</v>
      </c>
      <c r="QI76" s="1">
        <v>1</v>
      </c>
      <c r="QJ76" s="1">
        <v>1</v>
      </c>
      <c r="QK76" s="1">
        <v>90</v>
      </c>
      <c r="QL76" s="1">
        <v>60003760</v>
      </c>
      <c r="QM76" s="1">
        <v>-1</v>
      </c>
      <c r="QN76" s="1">
        <v>0</v>
      </c>
      <c r="QP76" s="1">
        <v>2860456805</v>
      </c>
      <c r="QQ76" s="1">
        <v>16671</v>
      </c>
      <c r="QR76" s="1">
        <v>4000000</v>
      </c>
      <c r="QS76" s="1">
        <v>4000000</v>
      </c>
      <c r="QT76" s="1">
        <v>92.09</v>
      </c>
      <c r="QU76" s="1">
        <v>1</v>
      </c>
      <c r="QV76" s="1">
        <v>1</v>
      </c>
      <c r="QW76" s="1">
        <v>90</v>
      </c>
      <c r="QX76" s="1">
        <v>60003760</v>
      </c>
      <c r="QY76" s="1">
        <v>-1</v>
      </c>
      <c r="QZ76" s="1">
        <v>0</v>
      </c>
      <c r="RB76" s="1">
        <v>2865983846</v>
      </c>
      <c r="RC76" s="1">
        <v>16682</v>
      </c>
      <c r="RD76" s="1">
        <v>80000</v>
      </c>
      <c r="RE76" s="1">
        <v>44440</v>
      </c>
      <c r="RF76" s="1">
        <v>3100.39</v>
      </c>
      <c r="RG76" s="1">
        <v>1</v>
      </c>
      <c r="RH76" s="1">
        <v>1</v>
      </c>
      <c r="RI76" s="1">
        <v>90</v>
      </c>
      <c r="RJ76" s="1">
        <v>60003760</v>
      </c>
      <c r="RK76" s="1">
        <v>-1</v>
      </c>
      <c r="RL76" s="1">
        <v>0</v>
      </c>
      <c r="RN76" s="1">
        <v>2868971424</v>
      </c>
      <c r="RO76" s="1">
        <v>16678</v>
      </c>
      <c r="RP76" s="1">
        <v>5000000</v>
      </c>
      <c r="RQ76" s="1">
        <v>5000000</v>
      </c>
      <c r="RR76" s="1">
        <v>227.75</v>
      </c>
      <c r="RS76" s="1">
        <v>1</v>
      </c>
      <c r="RT76" s="1">
        <v>1</v>
      </c>
      <c r="RU76" s="1">
        <v>90</v>
      </c>
      <c r="RV76" s="1">
        <v>60003760</v>
      </c>
      <c r="RW76" s="1">
        <v>-1</v>
      </c>
      <c r="RX76" s="1">
        <v>0</v>
      </c>
      <c r="SL76" s="1">
        <v>2812552362</v>
      </c>
      <c r="SM76" s="1">
        <v>30311</v>
      </c>
      <c r="SN76" s="1">
        <v>1000</v>
      </c>
      <c r="SO76" s="1">
        <v>1000</v>
      </c>
      <c r="SP76" s="1">
        <v>422016.05</v>
      </c>
      <c r="SQ76" s="1">
        <v>1</v>
      </c>
      <c r="SR76" s="1">
        <v>1</v>
      </c>
      <c r="SS76" s="1">
        <v>90</v>
      </c>
      <c r="ST76" s="1">
        <v>60012667</v>
      </c>
      <c r="SU76" s="1">
        <v>32767</v>
      </c>
      <c r="SV76" s="1">
        <v>0</v>
      </c>
      <c r="SX76" s="1">
        <v>2861327821</v>
      </c>
      <c r="SY76" s="1">
        <v>25595</v>
      </c>
      <c r="SZ76" s="1">
        <v>43</v>
      </c>
      <c r="TA76" s="1">
        <v>43</v>
      </c>
      <c r="TB76" s="1">
        <v>84895</v>
      </c>
      <c r="TC76" s="1">
        <v>1</v>
      </c>
      <c r="TD76" s="1">
        <v>0</v>
      </c>
      <c r="TE76" s="1">
        <v>90</v>
      </c>
      <c r="TF76" s="1">
        <v>60003760</v>
      </c>
      <c r="TG76" s="1">
        <v>32767</v>
      </c>
      <c r="TH76" s="1">
        <v>6</v>
      </c>
      <c r="TJ76" s="1">
        <v>2866788557</v>
      </c>
      <c r="TK76" s="1">
        <v>25606</v>
      </c>
      <c r="TL76" s="1">
        <v>105</v>
      </c>
      <c r="TM76" s="1">
        <v>105</v>
      </c>
      <c r="TN76" s="1">
        <v>23986</v>
      </c>
      <c r="TO76" s="1">
        <v>1</v>
      </c>
      <c r="TP76" s="1">
        <v>0</v>
      </c>
      <c r="TQ76" s="1">
        <v>14</v>
      </c>
      <c r="TR76" s="1">
        <v>60000511</v>
      </c>
      <c r="TS76" s="1">
        <v>32767</v>
      </c>
      <c r="TT76" s="1">
        <v>7</v>
      </c>
      <c r="TV76"/>
      <c r="TW76"/>
      <c r="TX76"/>
      <c r="TY76"/>
      <c r="TZ76"/>
      <c r="UA76"/>
      <c r="UB76"/>
      <c r="UC76"/>
      <c r="UD76"/>
      <c r="UE76"/>
      <c r="UF76"/>
      <c r="UH76" s="1">
        <v>2878768563</v>
      </c>
      <c r="UI76" s="1">
        <v>16680</v>
      </c>
      <c r="UJ76" s="1">
        <v>47260</v>
      </c>
      <c r="UK76" s="1">
        <v>47260</v>
      </c>
      <c r="UL76" s="1">
        <v>679.26</v>
      </c>
      <c r="UM76" s="1">
        <v>1</v>
      </c>
      <c r="UN76" s="1">
        <v>1</v>
      </c>
      <c r="UO76" s="1">
        <v>90</v>
      </c>
      <c r="UP76" s="1">
        <v>60003760</v>
      </c>
      <c r="UQ76" s="1">
        <v>-1</v>
      </c>
      <c r="UR76" s="1">
        <v>0</v>
      </c>
      <c r="UT76"/>
      <c r="UU76"/>
      <c r="UV76"/>
      <c r="UW76"/>
      <c r="UX76"/>
      <c r="UY76"/>
      <c r="UZ76"/>
      <c r="VA76"/>
      <c r="VB76"/>
      <c r="VC76"/>
      <c r="VD76"/>
      <c r="VF76"/>
      <c r="VG76"/>
      <c r="VH76"/>
      <c r="VI76"/>
      <c r="VJ76"/>
      <c r="VK76"/>
      <c r="VL76"/>
      <c r="VM76"/>
      <c r="VN76"/>
      <c r="VO76"/>
      <c r="VP76"/>
    </row>
    <row r="77" spans="2:588" x14ac:dyDescent="0.25">
      <c r="B77" s="1">
        <v>2824695729</v>
      </c>
      <c r="C77" s="1">
        <v>34</v>
      </c>
      <c r="D77" s="1">
        <v>131794788</v>
      </c>
      <c r="E77" s="1">
        <v>131794788</v>
      </c>
      <c r="F77" s="1">
        <v>6.15</v>
      </c>
      <c r="G77" s="1">
        <v>1</v>
      </c>
      <c r="H77" s="1">
        <v>0</v>
      </c>
      <c r="I77" s="1">
        <v>90</v>
      </c>
      <c r="J77" s="1">
        <v>60003760</v>
      </c>
      <c r="K77" s="1">
        <v>32767</v>
      </c>
      <c r="L77" s="1">
        <v>0</v>
      </c>
      <c r="N77" s="1">
        <v>2839229269</v>
      </c>
      <c r="O77" s="1">
        <v>35</v>
      </c>
      <c r="P77" s="1">
        <v>369659</v>
      </c>
      <c r="Q77" s="1">
        <v>369659</v>
      </c>
      <c r="R77" s="1">
        <v>15.64</v>
      </c>
      <c r="S77" s="1">
        <v>1</v>
      </c>
      <c r="T77" s="1">
        <v>0</v>
      </c>
      <c r="U77" s="1">
        <v>30</v>
      </c>
      <c r="V77" s="1">
        <v>60003760</v>
      </c>
      <c r="W77" s="1">
        <v>32767</v>
      </c>
      <c r="X77" s="1">
        <v>0</v>
      </c>
      <c r="Z77" s="1">
        <v>2775206539</v>
      </c>
      <c r="AA77" s="1">
        <v>36</v>
      </c>
      <c r="AB77" s="1">
        <v>712517</v>
      </c>
      <c r="AC77" s="1">
        <v>712517</v>
      </c>
      <c r="AD77" s="16">
        <v>55</v>
      </c>
      <c r="AE77" s="1">
        <v>1</v>
      </c>
      <c r="AF77" s="1">
        <v>0</v>
      </c>
      <c r="AG77" s="1">
        <v>90</v>
      </c>
      <c r="AH77" s="1">
        <v>60003760</v>
      </c>
      <c r="AI77" s="1">
        <v>32767</v>
      </c>
      <c r="AJ77" s="1">
        <v>11</v>
      </c>
      <c r="AL77" s="1">
        <v>2751437821</v>
      </c>
      <c r="AM77" s="1">
        <v>37</v>
      </c>
      <c r="AN77" s="1">
        <v>4842983</v>
      </c>
      <c r="AO77" s="1">
        <v>4842983</v>
      </c>
      <c r="AP77" s="16">
        <v>164.44</v>
      </c>
      <c r="AQ77" s="1">
        <v>1</v>
      </c>
      <c r="AR77" s="1">
        <v>0</v>
      </c>
      <c r="AS77" s="1">
        <v>90</v>
      </c>
      <c r="AT77" s="1">
        <v>60003760</v>
      </c>
      <c r="AU77" s="1">
        <v>32767</v>
      </c>
      <c r="AV77" s="1">
        <v>9</v>
      </c>
      <c r="AX77" s="1">
        <v>2838264193</v>
      </c>
      <c r="AY77" s="1">
        <v>38</v>
      </c>
      <c r="AZ77" s="1">
        <v>1561</v>
      </c>
      <c r="BA77" s="1">
        <v>1561</v>
      </c>
      <c r="BB77" s="1">
        <v>808</v>
      </c>
      <c r="BC77" s="1">
        <v>1</v>
      </c>
      <c r="BD77" s="1">
        <v>0</v>
      </c>
      <c r="BE77" s="1">
        <v>90</v>
      </c>
      <c r="BF77" s="1">
        <v>60003046</v>
      </c>
      <c r="BG77" s="1">
        <v>32767</v>
      </c>
      <c r="BH77" s="1">
        <v>10</v>
      </c>
      <c r="BJ77" s="1">
        <v>2700424099</v>
      </c>
      <c r="BK77" s="1">
        <v>39</v>
      </c>
      <c r="BL77" s="1">
        <v>1000000</v>
      </c>
      <c r="BM77" s="1">
        <v>1000000</v>
      </c>
      <c r="BN77" s="1">
        <v>906.01</v>
      </c>
      <c r="BO77" s="1">
        <v>1</v>
      </c>
      <c r="BP77" s="1">
        <v>0</v>
      </c>
      <c r="BQ77" s="1">
        <v>90</v>
      </c>
      <c r="BR77" s="1">
        <v>60003760</v>
      </c>
      <c r="BS77" s="1">
        <v>32767</v>
      </c>
      <c r="BT77" s="1">
        <v>5</v>
      </c>
      <c r="BV77" s="1">
        <v>2406480163</v>
      </c>
      <c r="BW77" s="1">
        <v>40</v>
      </c>
      <c r="BX77" s="1">
        <v>497</v>
      </c>
      <c r="BY77" s="1">
        <v>311</v>
      </c>
      <c r="BZ77" s="1">
        <v>2690.1</v>
      </c>
      <c r="CA77" s="1">
        <v>1</v>
      </c>
      <c r="CB77" s="1">
        <v>0</v>
      </c>
      <c r="CC77" s="1">
        <v>90</v>
      </c>
      <c r="CD77" s="1">
        <v>60003760</v>
      </c>
      <c r="CE77" s="1">
        <v>32767</v>
      </c>
      <c r="CF77" s="1">
        <v>13</v>
      </c>
      <c r="CH77" s="1">
        <v>2411157002</v>
      </c>
      <c r="CI77" s="1">
        <v>29668</v>
      </c>
      <c r="CJ77" s="1">
        <v>1</v>
      </c>
      <c r="CK77" s="1">
        <v>1</v>
      </c>
      <c r="CL77" s="1">
        <v>510999999</v>
      </c>
      <c r="CM77" s="1">
        <v>1</v>
      </c>
      <c r="CN77" s="1">
        <v>0</v>
      </c>
      <c r="CO77" s="1">
        <v>90</v>
      </c>
      <c r="CP77" s="1">
        <v>60003760</v>
      </c>
      <c r="CQ77" s="1">
        <v>32767</v>
      </c>
      <c r="CR77" s="1">
        <v>0</v>
      </c>
      <c r="CT77" s="1">
        <v>2392107494</v>
      </c>
      <c r="CU77" s="1">
        <v>16649</v>
      </c>
      <c r="CV77" s="1">
        <v>20000</v>
      </c>
      <c r="CW77" s="1">
        <v>20000</v>
      </c>
      <c r="CX77" s="1">
        <v>82000.02</v>
      </c>
      <c r="CY77" s="1">
        <v>1</v>
      </c>
      <c r="CZ77" s="1">
        <v>1</v>
      </c>
      <c r="DA77" s="1">
        <v>90</v>
      </c>
      <c r="DB77" s="1">
        <v>60003760</v>
      </c>
      <c r="DC77" s="1">
        <v>-1</v>
      </c>
      <c r="DD77" s="1">
        <v>0</v>
      </c>
      <c r="DF77" s="1">
        <v>2410844540</v>
      </c>
      <c r="DG77" s="1">
        <v>17887</v>
      </c>
      <c r="DH77" s="1">
        <v>1122955</v>
      </c>
      <c r="DI77" s="1">
        <v>1122955</v>
      </c>
      <c r="DJ77" s="1">
        <v>1021.81</v>
      </c>
      <c r="DK77" s="1">
        <v>1</v>
      </c>
      <c r="DL77" s="1">
        <v>0</v>
      </c>
      <c r="DM77" s="1">
        <v>90</v>
      </c>
      <c r="DN77" s="1">
        <v>60003760</v>
      </c>
      <c r="DO77" s="1">
        <v>32767</v>
      </c>
      <c r="DP77" s="1">
        <v>0</v>
      </c>
      <c r="DR77" s="1">
        <v>2810177479</v>
      </c>
      <c r="DS77" s="1">
        <v>17888</v>
      </c>
      <c r="DT77" s="1">
        <v>570000</v>
      </c>
      <c r="DU77" s="1">
        <v>570000</v>
      </c>
      <c r="DV77" s="1">
        <v>400</v>
      </c>
      <c r="DW77" s="1">
        <v>1</v>
      </c>
      <c r="DX77" s="1">
        <v>0</v>
      </c>
      <c r="DY77" s="1">
        <v>90</v>
      </c>
      <c r="DZ77" s="1">
        <v>60003760</v>
      </c>
      <c r="EA77" s="1">
        <v>32767</v>
      </c>
      <c r="EB77" s="1">
        <v>8</v>
      </c>
      <c r="ED77" s="1">
        <v>2780891300</v>
      </c>
      <c r="EE77" s="1">
        <v>16273</v>
      </c>
      <c r="EF77" s="1">
        <v>876942</v>
      </c>
      <c r="EG77" s="1">
        <v>844908</v>
      </c>
      <c r="EH77" s="1">
        <v>449.97</v>
      </c>
      <c r="EI77" s="1">
        <v>1</v>
      </c>
      <c r="EJ77" s="1">
        <v>0</v>
      </c>
      <c r="EK77" s="1">
        <v>90</v>
      </c>
      <c r="EL77" s="1">
        <v>60003043</v>
      </c>
      <c r="EM77" s="1">
        <v>32767</v>
      </c>
      <c r="EN77" s="1">
        <v>4</v>
      </c>
      <c r="EP77" s="1">
        <v>2878411453</v>
      </c>
      <c r="EQ77" s="1">
        <v>17889</v>
      </c>
      <c r="ER77" s="1">
        <v>4067457</v>
      </c>
      <c r="ES77" s="1">
        <v>4067457</v>
      </c>
      <c r="ET77" s="1">
        <v>373.36</v>
      </c>
      <c r="EU77" s="1">
        <v>1</v>
      </c>
      <c r="EV77" s="1">
        <v>0</v>
      </c>
      <c r="EW77" s="1">
        <v>90</v>
      </c>
      <c r="EX77" s="1">
        <v>60003760</v>
      </c>
      <c r="EY77" s="1">
        <v>32767</v>
      </c>
      <c r="EZ77" s="1">
        <v>0</v>
      </c>
      <c r="FB77" s="1">
        <v>2773156780</v>
      </c>
      <c r="FC77" s="1">
        <v>30259</v>
      </c>
      <c r="FD77" s="1">
        <v>200</v>
      </c>
      <c r="FE77" s="1">
        <v>200</v>
      </c>
      <c r="FF77" s="1">
        <v>4621000.01</v>
      </c>
      <c r="FG77" s="1">
        <v>1</v>
      </c>
      <c r="FH77" s="1">
        <v>1</v>
      </c>
      <c r="FI77" s="1">
        <v>90</v>
      </c>
      <c r="FJ77" s="1">
        <v>60003760</v>
      </c>
      <c r="FK77" s="1">
        <v>3</v>
      </c>
      <c r="FL77" s="1">
        <v>0</v>
      </c>
      <c r="FN77" s="1">
        <v>2719661817</v>
      </c>
      <c r="FO77" s="1">
        <v>25617</v>
      </c>
      <c r="FP77" s="1">
        <v>50</v>
      </c>
      <c r="FQ77" s="1">
        <v>41</v>
      </c>
      <c r="FR77" s="1">
        <v>4023000</v>
      </c>
      <c r="FS77" s="1">
        <v>1</v>
      </c>
      <c r="FT77" s="1">
        <v>1</v>
      </c>
      <c r="FU77" s="1">
        <v>90</v>
      </c>
      <c r="FV77" s="1">
        <v>60003760</v>
      </c>
      <c r="FW77" s="1">
        <v>5</v>
      </c>
      <c r="FX77" s="1">
        <v>0</v>
      </c>
      <c r="FZ77" s="1">
        <v>2877098171</v>
      </c>
      <c r="GA77" s="1">
        <v>44</v>
      </c>
      <c r="GB77" s="1">
        <v>265</v>
      </c>
      <c r="GC77" s="1">
        <v>265</v>
      </c>
      <c r="GD77" s="1">
        <v>12620</v>
      </c>
      <c r="GE77" s="1">
        <v>1</v>
      </c>
      <c r="GF77" s="1">
        <v>0</v>
      </c>
      <c r="GG77" s="1">
        <v>90</v>
      </c>
      <c r="GH77" s="1">
        <v>60003934</v>
      </c>
      <c r="GI77" s="1">
        <v>32767</v>
      </c>
      <c r="GJ77" s="1">
        <v>1</v>
      </c>
      <c r="GL77" s="1">
        <v>2393736572</v>
      </c>
      <c r="GM77" s="1">
        <v>16681</v>
      </c>
      <c r="GN77" s="1">
        <v>4100000</v>
      </c>
      <c r="GO77" s="1">
        <v>2866231</v>
      </c>
      <c r="GP77" s="1">
        <v>5920</v>
      </c>
      <c r="GQ77" s="1">
        <v>1</v>
      </c>
      <c r="GR77" s="1">
        <v>1</v>
      </c>
      <c r="GS77" s="1">
        <v>90</v>
      </c>
      <c r="GT77" s="1">
        <v>60003760</v>
      </c>
      <c r="GU77" s="1">
        <v>-1</v>
      </c>
      <c r="GV77" s="1">
        <v>0</v>
      </c>
      <c r="GX77" s="1">
        <v>2878208514</v>
      </c>
      <c r="GY77" s="1">
        <v>16683</v>
      </c>
      <c r="GZ77" s="1">
        <v>16670</v>
      </c>
      <c r="HA77" s="1">
        <v>16670</v>
      </c>
      <c r="HB77" s="1">
        <v>8382.06</v>
      </c>
      <c r="HC77" s="1">
        <v>1</v>
      </c>
      <c r="HD77" s="1">
        <v>1</v>
      </c>
      <c r="HE77" s="1">
        <v>90</v>
      </c>
      <c r="HF77" s="1">
        <v>60003760</v>
      </c>
      <c r="HG77" s="1">
        <v>-1</v>
      </c>
      <c r="HH77" s="1">
        <v>0</v>
      </c>
      <c r="HJ77"/>
      <c r="HK77"/>
      <c r="HL77"/>
      <c r="HM77"/>
      <c r="HN77"/>
      <c r="HO77"/>
      <c r="HP77"/>
      <c r="HQ77"/>
      <c r="HR77"/>
      <c r="HS77"/>
      <c r="HT77"/>
      <c r="HV77" s="1">
        <v>2870089662</v>
      </c>
      <c r="HW77" s="1">
        <v>16274</v>
      </c>
      <c r="HX77" s="1">
        <v>237295</v>
      </c>
      <c r="HY77" s="1">
        <v>237295</v>
      </c>
      <c r="HZ77" s="1">
        <v>599</v>
      </c>
      <c r="IA77" s="1">
        <v>1</v>
      </c>
      <c r="IB77" s="1">
        <v>0</v>
      </c>
      <c r="IC77" s="1">
        <v>90</v>
      </c>
      <c r="ID77" s="1">
        <v>60004375</v>
      </c>
      <c r="IE77" s="1">
        <v>32767</v>
      </c>
      <c r="IF77" s="1">
        <v>9</v>
      </c>
      <c r="IH77"/>
      <c r="II77"/>
      <c r="IJ77"/>
      <c r="IK77"/>
      <c r="IL77"/>
      <c r="IM77"/>
      <c r="IN77"/>
      <c r="IO77"/>
      <c r="IP77"/>
      <c r="IQ77"/>
      <c r="IR77"/>
      <c r="IT77" s="1">
        <v>2879021329</v>
      </c>
      <c r="IU77" s="1">
        <v>16679</v>
      </c>
      <c r="IV77" s="1">
        <v>2600000</v>
      </c>
      <c r="IW77" s="1">
        <v>2351000</v>
      </c>
      <c r="IX77" s="1">
        <v>1741.41</v>
      </c>
      <c r="IY77" s="1">
        <v>1</v>
      </c>
      <c r="IZ77" s="1">
        <v>0</v>
      </c>
      <c r="JA77" s="1">
        <v>90</v>
      </c>
      <c r="JB77" s="1">
        <v>60003760</v>
      </c>
      <c r="JC77" s="1">
        <v>32767</v>
      </c>
      <c r="JD77" s="1">
        <v>0</v>
      </c>
      <c r="JF77" s="1">
        <v>2805369880</v>
      </c>
      <c r="JG77" s="1">
        <v>16272</v>
      </c>
      <c r="JH77" s="1">
        <v>481</v>
      </c>
      <c r="JI77" s="1">
        <v>481</v>
      </c>
      <c r="JJ77" s="1">
        <v>117.88</v>
      </c>
      <c r="JK77" s="1">
        <v>1</v>
      </c>
      <c r="JL77" s="1">
        <v>0</v>
      </c>
      <c r="JM77" s="1">
        <v>90</v>
      </c>
      <c r="JN77" s="1">
        <v>60003241</v>
      </c>
      <c r="JO77" s="1">
        <v>32767</v>
      </c>
      <c r="JP77" s="1">
        <v>4</v>
      </c>
      <c r="KD77" s="1">
        <v>2878496526</v>
      </c>
      <c r="KE77" s="1">
        <v>25605</v>
      </c>
      <c r="KF77" s="1">
        <v>1</v>
      </c>
      <c r="KG77" s="1">
        <v>1</v>
      </c>
      <c r="KH77" s="1">
        <v>125000</v>
      </c>
      <c r="KI77" s="1">
        <v>1</v>
      </c>
      <c r="KJ77" s="1">
        <v>0</v>
      </c>
      <c r="KK77" s="1">
        <v>7</v>
      </c>
      <c r="KL77" s="1">
        <v>60003760</v>
      </c>
      <c r="KM77" s="1">
        <v>32767</v>
      </c>
      <c r="KN77" s="1">
        <v>6</v>
      </c>
      <c r="KP77" s="1">
        <v>2878535984</v>
      </c>
      <c r="KQ77" s="1">
        <v>25624</v>
      </c>
      <c r="KR77" s="1">
        <v>5</v>
      </c>
      <c r="KS77" s="1">
        <v>5</v>
      </c>
      <c r="KT77" s="1">
        <v>18199888</v>
      </c>
      <c r="KU77" s="1">
        <v>1</v>
      </c>
      <c r="KV77" s="1">
        <v>0</v>
      </c>
      <c r="KW77" s="1">
        <v>7</v>
      </c>
      <c r="KX77" s="1">
        <v>60003760</v>
      </c>
      <c r="KY77" s="1">
        <v>32767</v>
      </c>
      <c r="KZ77" s="1">
        <v>0</v>
      </c>
      <c r="LB77" s="1">
        <v>2872432768</v>
      </c>
      <c r="LC77" s="1">
        <v>9832</v>
      </c>
      <c r="LD77" s="1">
        <v>16110</v>
      </c>
      <c r="LE77" s="1">
        <v>16110</v>
      </c>
      <c r="LF77" s="1">
        <v>9900</v>
      </c>
      <c r="LG77" s="1">
        <v>1</v>
      </c>
      <c r="LH77" s="1">
        <v>0</v>
      </c>
      <c r="LI77" s="1">
        <v>90</v>
      </c>
      <c r="LJ77" s="1">
        <v>60003760</v>
      </c>
      <c r="LK77" s="1">
        <v>32767</v>
      </c>
      <c r="LL77" s="1">
        <v>0</v>
      </c>
      <c r="ML77" s="1">
        <v>2877367359</v>
      </c>
      <c r="MM77" s="1">
        <v>25625</v>
      </c>
      <c r="MN77" s="1">
        <v>350</v>
      </c>
      <c r="MO77" s="1">
        <v>61</v>
      </c>
      <c r="MP77" s="1">
        <v>4217003.17</v>
      </c>
      <c r="MQ77" s="1">
        <v>1</v>
      </c>
      <c r="MR77" s="1">
        <v>1</v>
      </c>
      <c r="MS77" s="1">
        <v>90</v>
      </c>
      <c r="MT77" s="1">
        <v>60003760</v>
      </c>
      <c r="MU77" s="1">
        <v>-1</v>
      </c>
      <c r="MV77" s="1">
        <v>0</v>
      </c>
      <c r="MX77" s="1">
        <v>2601167685</v>
      </c>
      <c r="MY77" s="1">
        <v>16672</v>
      </c>
      <c r="MZ77" s="1">
        <v>20000000</v>
      </c>
      <c r="NA77" s="1">
        <v>20000000</v>
      </c>
      <c r="NB77" s="1">
        <v>94.11</v>
      </c>
      <c r="NC77" s="1">
        <v>1</v>
      </c>
      <c r="ND77" s="1">
        <v>1</v>
      </c>
      <c r="NE77" s="1">
        <v>90</v>
      </c>
      <c r="NF77" s="1">
        <v>60003760</v>
      </c>
      <c r="NG77" s="1">
        <v>-1</v>
      </c>
      <c r="NH77" s="1">
        <v>0</v>
      </c>
      <c r="NJ77" s="1">
        <v>2878715730</v>
      </c>
      <c r="NK77" s="1">
        <v>16673</v>
      </c>
      <c r="NL77" s="1">
        <v>9000000</v>
      </c>
      <c r="NM77" s="1">
        <v>3463070</v>
      </c>
      <c r="NN77" s="1">
        <v>101.33</v>
      </c>
      <c r="NO77" s="1">
        <v>1</v>
      </c>
      <c r="NP77" s="1">
        <v>0</v>
      </c>
      <c r="NQ77" s="1">
        <v>3</v>
      </c>
      <c r="NR77" s="1">
        <v>60003760</v>
      </c>
      <c r="NS77" s="1">
        <v>32767</v>
      </c>
      <c r="NT77" s="1">
        <v>0</v>
      </c>
      <c r="NV77" s="1">
        <v>2875151642</v>
      </c>
      <c r="NW77" s="1">
        <v>3689</v>
      </c>
      <c r="NX77" s="1">
        <v>1165</v>
      </c>
      <c r="NY77" s="1">
        <v>1165</v>
      </c>
      <c r="NZ77" s="1">
        <v>10250</v>
      </c>
      <c r="OA77" s="1">
        <v>1</v>
      </c>
      <c r="OB77" s="1">
        <v>0</v>
      </c>
      <c r="OC77" s="1">
        <v>90</v>
      </c>
      <c r="OD77" s="1">
        <v>60003760</v>
      </c>
      <c r="OE77" s="1">
        <v>32767</v>
      </c>
      <c r="OF77" s="1">
        <v>0</v>
      </c>
      <c r="OH77" s="1">
        <v>2857434187</v>
      </c>
      <c r="OI77" s="1">
        <v>25598</v>
      </c>
      <c r="OJ77" s="1">
        <v>52</v>
      </c>
      <c r="OK77" s="1">
        <v>52</v>
      </c>
      <c r="OL77" s="1">
        <v>150000</v>
      </c>
      <c r="OM77" s="1">
        <v>1</v>
      </c>
      <c r="ON77" s="1">
        <v>0</v>
      </c>
      <c r="OO77" s="1">
        <v>90</v>
      </c>
      <c r="OP77" s="1">
        <v>60003760</v>
      </c>
      <c r="OQ77" s="1">
        <v>32767</v>
      </c>
      <c r="OR77" s="1">
        <v>0</v>
      </c>
      <c r="OT77" s="1">
        <v>2787098084</v>
      </c>
      <c r="OU77" s="1">
        <v>25600</v>
      </c>
      <c r="OV77" s="1">
        <v>111</v>
      </c>
      <c r="OW77" s="1">
        <v>96</v>
      </c>
      <c r="OX77" s="1">
        <v>34000</v>
      </c>
      <c r="OY77" s="1">
        <v>1</v>
      </c>
      <c r="OZ77" s="1">
        <v>0</v>
      </c>
      <c r="PA77" s="1">
        <v>90</v>
      </c>
      <c r="PB77" s="1">
        <v>60003934</v>
      </c>
      <c r="PC77" s="1">
        <v>32767</v>
      </c>
      <c r="PD77" s="1">
        <v>3</v>
      </c>
      <c r="PF77" s="1">
        <v>2877661100</v>
      </c>
      <c r="PG77" s="1">
        <v>16670</v>
      </c>
      <c r="PH77" s="1">
        <v>5830000</v>
      </c>
      <c r="PI77" s="1">
        <v>5830000</v>
      </c>
      <c r="PJ77" s="1">
        <v>115.66</v>
      </c>
      <c r="PK77" s="1">
        <v>1</v>
      </c>
      <c r="PL77" s="1">
        <v>0</v>
      </c>
      <c r="PM77" s="1">
        <v>90</v>
      </c>
      <c r="PN77" s="1">
        <v>60003760</v>
      </c>
      <c r="PO77" s="1">
        <v>32767</v>
      </c>
      <c r="PP77" s="1">
        <v>7</v>
      </c>
      <c r="QD77" s="1">
        <v>2776347842</v>
      </c>
      <c r="QE77" s="1">
        <v>9830</v>
      </c>
      <c r="QF77" s="1">
        <v>10000</v>
      </c>
      <c r="QG77" s="1">
        <v>2109</v>
      </c>
      <c r="QH77" s="1">
        <v>6368.07</v>
      </c>
      <c r="QI77" s="1">
        <v>1</v>
      </c>
      <c r="QJ77" s="1">
        <v>1</v>
      </c>
      <c r="QK77" s="1">
        <v>90</v>
      </c>
      <c r="QL77" s="1">
        <v>60003760</v>
      </c>
      <c r="QM77" s="1">
        <v>-1</v>
      </c>
      <c r="QN77" s="1">
        <v>0</v>
      </c>
      <c r="QP77" s="1">
        <v>2860776024</v>
      </c>
      <c r="QQ77" s="1">
        <v>16671</v>
      </c>
      <c r="QR77" s="1">
        <v>3875969</v>
      </c>
      <c r="QS77" s="1">
        <v>2505689</v>
      </c>
      <c r="QT77" s="1">
        <v>95.07</v>
      </c>
      <c r="QU77" s="1">
        <v>1</v>
      </c>
      <c r="QV77" s="1">
        <v>1</v>
      </c>
      <c r="QW77" s="1">
        <v>90</v>
      </c>
      <c r="QX77" s="1">
        <v>60003760</v>
      </c>
      <c r="QY77" s="1">
        <v>-1</v>
      </c>
      <c r="QZ77" s="1">
        <v>0</v>
      </c>
      <c r="RB77" s="1">
        <v>2866318535</v>
      </c>
      <c r="RC77" s="1">
        <v>16682</v>
      </c>
      <c r="RD77" s="1">
        <v>100000</v>
      </c>
      <c r="RE77" s="1">
        <v>100000</v>
      </c>
      <c r="RF77" s="1">
        <v>3005.11</v>
      </c>
      <c r="RG77" s="1">
        <v>1</v>
      </c>
      <c r="RH77" s="1">
        <v>1</v>
      </c>
      <c r="RI77" s="1">
        <v>90</v>
      </c>
      <c r="RJ77" s="1">
        <v>60003760</v>
      </c>
      <c r="RK77" s="1">
        <v>-1</v>
      </c>
      <c r="RL77" s="1">
        <v>0</v>
      </c>
      <c r="RN77" s="1">
        <v>2871194545</v>
      </c>
      <c r="RO77" s="1">
        <v>16678</v>
      </c>
      <c r="RP77" s="1">
        <v>10000000</v>
      </c>
      <c r="RQ77" s="1">
        <v>10000000</v>
      </c>
      <c r="RR77" s="1">
        <v>252.34</v>
      </c>
      <c r="RS77" s="1">
        <v>1</v>
      </c>
      <c r="RT77" s="1">
        <v>1</v>
      </c>
      <c r="RU77" s="1">
        <v>90</v>
      </c>
      <c r="RV77" s="1">
        <v>60003760</v>
      </c>
      <c r="RW77" s="1">
        <v>-1</v>
      </c>
      <c r="RX77" s="1">
        <v>0</v>
      </c>
      <c r="SL77" s="1">
        <v>1933480304</v>
      </c>
      <c r="SM77" s="1">
        <v>30311</v>
      </c>
      <c r="SN77" s="1">
        <v>10</v>
      </c>
      <c r="SO77" s="1">
        <v>10</v>
      </c>
      <c r="SP77" s="1">
        <v>380999.89</v>
      </c>
      <c r="SQ77" s="1">
        <v>1</v>
      </c>
      <c r="SR77" s="1">
        <v>1</v>
      </c>
      <c r="SS77" s="1">
        <v>90</v>
      </c>
      <c r="ST77" s="1">
        <v>60000526</v>
      </c>
      <c r="SU77" s="1">
        <v>10</v>
      </c>
      <c r="SV77" s="1">
        <v>0</v>
      </c>
      <c r="SX77" s="1">
        <v>2860957401</v>
      </c>
      <c r="SY77" s="1">
        <v>25595</v>
      </c>
      <c r="SZ77" s="1">
        <v>136</v>
      </c>
      <c r="TA77" s="1">
        <v>136</v>
      </c>
      <c r="TB77" s="1">
        <v>85000</v>
      </c>
      <c r="TC77" s="1">
        <v>1</v>
      </c>
      <c r="TD77" s="1">
        <v>0</v>
      </c>
      <c r="TE77" s="1">
        <v>90</v>
      </c>
      <c r="TF77" s="1">
        <v>60003760</v>
      </c>
      <c r="TG77" s="1">
        <v>32767</v>
      </c>
      <c r="TH77" s="1">
        <v>6</v>
      </c>
      <c r="TJ77" s="1">
        <v>2876993902</v>
      </c>
      <c r="TK77" s="1">
        <v>25606</v>
      </c>
      <c r="TL77" s="1">
        <v>111</v>
      </c>
      <c r="TM77" s="1">
        <v>111</v>
      </c>
      <c r="TN77" s="1">
        <v>21250</v>
      </c>
      <c r="TO77" s="1">
        <v>1</v>
      </c>
      <c r="TP77" s="1">
        <v>0</v>
      </c>
      <c r="TQ77" s="1">
        <v>14</v>
      </c>
      <c r="TR77" s="1">
        <v>60000511</v>
      </c>
      <c r="TS77" s="1">
        <v>32767</v>
      </c>
      <c r="TT77" s="1">
        <v>7</v>
      </c>
      <c r="TV77"/>
      <c r="TW77"/>
      <c r="TX77"/>
      <c r="TY77"/>
      <c r="TZ77"/>
      <c r="UA77"/>
      <c r="UB77"/>
      <c r="UC77"/>
      <c r="UD77"/>
      <c r="UE77"/>
      <c r="UF77"/>
      <c r="UH77" s="1">
        <v>2878969284</v>
      </c>
      <c r="UI77" s="1">
        <v>16680</v>
      </c>
      <c r="UJ77" s="1">
        <v>200000</v>
      </c>
      <c r="UK77" s="1">
        <v>199114</v>
      </c>
      <c r="UL77" s="1">
        <v>679.27</v>
      </c>
      <c r="UM77" s="1">
        <v>1</v>
      </c>
      <c r="UN77" s="1">
        <v>1</v>
      </c>
      <c r="UO77" s="1">
        <v>90</v>
      </c>
      <c r="UP77" s="1">
        <v>60003760</v>
      </c>
      <c r="UQ77" s="1">
        <v>-1</v>
      </c>
      <c r="UR77" s="1">
        <v>0</v>
      </c>
      <c r="UT77"/>
      <c r="UU77"/>
      <c r="UV77"/>
      <c r="UW77"/>
      <c r="UX77"/>
      <c r="UY77"/>
      <c r="UZ77"/>
      <c r="VA77"/>
      <c r="VB77"/>
      <c r="VC77"/>
      <c r="VD77"/>
      <c r="VF77"/>
      <c r="VG77"/>
      <c r="VH77"/>
      <c r="VI77"/>
      <c r="VJ77"/>
      <c r="VK77"/>
      <c r="VL77"/>
      <c r="VM77"/>
      <c r="VN77"/>
      <c r="VO77"/>
      <c r="VP77"/>
    </row>
    <row r="78" spans="2:588" x14ac:dyDescent="0.25">
      <c r="B78" s="1">
        <v>2826059344</v>
      </c>
      <c r="C78" s="1">
        <v>34</v>
      </c>
      <c r="D78" s="1">
        <v>78550949</v>
      </c>
      <c r="E78" s="1">
        <v>78550949</v>
      </c>
      <c r="F78" s="1">
        <v>5.75</v>
      </c>
      <c r="G78" s="1">
        <v>1</v>
      </c>
      <c r="H78" s="1">
        <v>0</v>
      </c>
      <c r="I78" s="1">
        <v>90</v>
      </c>
      <c r="J78" s="1">
        <v>60003760</v>
      </c>
      <c r="K78" s="1">
        <v>32767</v>
      </c>
      <c r="L78" s="1">
        <v>0</v>
      </c>
      <c r="N78" s="1">
        <v>2843374597</v>
      </c>
      <c r="O78" s="1">
        <v>35</v>
      </c>
      <c r="P78" s="1">
        <v>2158293</v>
      </c>
      <c r="Q78" s="1">
        <v>2158293</v>
      </c>
      <c r="R78" s="1">
        <v>15.69</v>
      </c>
      <c r="S78" s="1">
        <v>1</v>
      </c>
      <c r="T78" s="1">
        <v>0</v>
      </c>
      <c r="U78" s="1">
        <v>90</v>
      </c>
      <c r="V78" s="1">
        <v>60003760</v>
      </c>
      <c r="W78" s="1">
        <v>32767</v>
      </c>
      <c r="X78" s="1">
        <v>0</v>
      </c>
      <c r="Z78" s="1">
        <v>2775038863</v>
      </c>
      <c r="AA78" s="1">
        <v>36</v>
      </c>
      <c r="AB78" s="1">
        <v>26292664</v>
      </c>
      <c r="AC78" s="1">
        <v>26292664</v>
      </c>
      <c r="AD78" s="16">
        <v>59</v>
      </c>
      <c r="AE78" s="1">
        <v>1</v>
      </c>
      <c r="AF78" s="1">
        <v>0</v>
      </c>
      <c r="AG78" s="1">
        <v>90</v>
      </c>
      <c r="AH78" s="1">
        <v>60003760</v>
      </c>
      <c r="AI78" s="1">
        <v>32767</v>
      </c>
      <c r="AJ78" s="1">
        <v>11</v>
      </c>
      <c r="AL78" s="1">
        <v>2751657622</v>
      </c>
      <c r="AM78" s="1">
        <v>37</v>
      </c>
      <c r="AN78" s="1">
        <v>249343</v>
      </c>
      <c r="AO78" s="1">
        <v>249343</v>
      </c>
      <c r="AP78" s="16">
        <v>175.01</v>
      </c>
      <c r="AQ78" s="1">
        <v>1</v>
      </c>
      <c r="AR78" s="1">
        <v>0</v>
      </c>
      <c r="AS78" s="1">
        <v>90</v>
      </c>
      <c r="AT78" s="1">
        <v>60003760</v>
      </c>
      <c r="AU78" s="1">
        <v>32767</v>
      </c>
      <c r="AV78" s="1">
        <v>9</v>
      </c>
      <c r="AX78" s="1">
        <v>2878223888</v>
      </c>
      <c r="AY78" s="1">
        <v>38</v>
      </c>
      <c r="AZ78" s="1">
        <v>166332</v>
      </c>
      <c r="BA78" s="1">
        <v>166332</v>
      </c>
      <c r="BB78" s="1">
        <v>820</v>
      </c>
      <c r="BC78" s="1">
        <v>1</v>
      </c>
      <c r="BD78" s="1">
        <v>0</v>
      </c>
      <c r="BE78" s="1">
        <v>90</v>
      </c>
      <c r="BF78" s="1">
        <v>60004081</v>
      </c>
      <c r="BG78" s="1">
        <v>32767</v>
      </c>
      <c r="BH78" s="1">
        <v>10</v>
      </c>
      <c r="BJ78" s="1">
        <v>2699965469</v>
      </c>
      <c r="BK78" s="1">
        <v>39</v>
      </c>
      <c r="BL78" s="1">
        <v>1000000</v>
      </c>
      <c r="BM78" s="1">
        <v>1000000</v>
      </c>
      <c r="BN78" s="1">
        <v>902.01</v>
      </c>
      <c r="BO78" s="1">
        <v>1</v>
      </c>
      <c r="BP78" s="1">
        <v>0</v>
      </c>
      <c r="BQ78" s="1">
        <v>90</v>
      </c>
      <c r="BR78" s="1">
        <v>60003760</v>
      </c>
      <c r="BS78" s="1">
        <v>32767</v>
      </c>
      <c r="BT78" s="1">
        <v>5</v>
      </c>
      <c r="BV78" s="1">
        <v>2400867619</v>
      </c>
      <c r="BW78" s="1">
        <v>40</v>
      </c>
      <c r="BX78" s="1">
        <v>41674</v>
      </c>
      <c r="BY78" s="1">
        <v>4221</v>
      </c>
      <c r="BZ78" s="1">
        <v>2758.94</v>
      </c>
      <c r="CA78" s="1">
        <v>1</v>
      </c>
      <c r="CB78" s="1">
        <v>0</v>
      </c>
      <c r="CC78" s="1">
        <v>90</v>
      </c>
      <c r="CD78" s="1">
        <v>60003469</v>
      </c>
      <c r="CE78" s="1">
        <v>32767</v>
      </c>
      <c r="CF78" s="1">
        <v>13</v>
      </c>
      <c r="CH78" s="1">
        <v>2411157317</v>
      </c>
      <c r="CI78" s="1">
        <v>29668</v>
      </c>
      <c r="CJ78" s="1">
        <v>1</v>
      </c>
      <c r="CK78" s="1">
        <v>1</v>
      </c>
      <c r="CL78" s="1">
        <v>512999999</v>
      </c>
      <c r="CM78" s="1">
        <v>1</v>
      </c>
      <c r="CN78" s="1">
        <v>0</v>
      </c>
      <c r="CO78" s="1">
        <v>90</v>
      </c>
      <c r="CP78" s="1">
        <v>60003760</v>
      </c>
      <c r="CQ78" s="1">
        <v>32767</v>
      </c>
      <c r="CR78" s="1">
        <v>0</v>
      </c>
      <c r="CT78" s="1">
        <v>2392108002</v>
      </c>
      <c r="CU78" s="1">
        <v>16649</v>
      </c>
      <c r="CV78" s="1">
        <v>20000</v>
      </c>
      <c r="CW78" s="1">
        <v>20000</v>
      </c>
      <c r="CX78" s="1">
        <v>90031</v>
      </c>
      <c r="CY78" s="1">
        <v>1</v>
      </c>
      <c r="CZ78" s="1">
        <v>1</v>
      </c>
      <c r="DA78" s="1">
        <v>90</v>
      </c>
      <c r="DB78" s="1">
        <v>60003760</v>
      </c>
      <c r="DC78" s="1">
        <v>-1</v>
      </c>
      <c r="DD78" s="1">
        <v>0</v>
      </c>
      <c r="DF78" s="1">
        <v>2410844720</v>
      </c>
      <c r="DG78" s="1">
        <v>17887</v>
      </c>
      <c r="DH78" s="1">
        <v>1111725</v>
      </c>
      <c r="DI78" s="1">
        <v>1111725</v>
      </c>
      <c r="DJ78" s="1">
        <v>1021.8</v>
      </c>
      <c r="DK78" s="1">
        <v>1</v>
      </c>
      <c r="DL78" s="1">
        <v>0</v>
      </c>
      <c r="DM78" s="1">
        <v>90</v>
      </c>
      <c r="DN78" s="1">
        <v>60003760</v>
      </c>
      <c r="DO78" s="1">
        <v>32767</v>
      </c>
      <c r="DP78" s="1">
        <v>0</v>
      </c>
      <c r="DR78" s="1">
        <v>2806801196</v>
      </c>
      <c r="DS78" s="1">
        <v>17888</v>
      </c>
      <c r="DT78" s="1">
        <v>6000000</v>
      </c>
      <c r="DU78" s="1">
        <v>6000000</v>
      </c>
      <c r="DV78" s="1">
        <v>400</v>
      </c>
      <c r="DW78" s="1">
        <v>1</v>
      </c>
      <c r="DX78" s="1">
        <v>0</v>
      </c>
      <c r="DY78" s="1">
        <v>90</v>
      </c>
      <c r="DZ78" s="1">
        <v>60003760</v>
      </c>
      <c r="EA78" s="1">
        <v>32767</v>
      </c>
      <c r="EB78" s="1">
        <v>8</v>
      </c>
      <c r="ED78" s="1">
        <v>2806050596</v>
      </c>
      <c r="EE78" s="1">
        <v>16273</v>
      </c>
      <c r="EF78" s="1">
        <v>151977</v>
      </c>
      <c r="EG78" s="1">
        <v>46604</v>
      </c>
      <c r="EH78" s="1">
        <v>500</v>
      </c>
      <c r="EI78" s="1">
        <v>1</v>
      </c>
      <c r="EJ78" s="1">
        <v>0</v>
      </c>
      <c r="EK78" s="1">
        <v>90</v>
      </c>
      <c r="EL78" s="1">
        <v>60004078</v>
      </c>
      <c r="EM78" s="1">
        <v>32767</v>
      </c>
      <c r="EN78" s="1">
        <v>4</v>
      </c>
      <c r="EP78" s="1">
        <v>2877470408</v>
      </c>
      <c r="EQ78" s="1">
        <v>17889</v>
      </c>
      <c r="ER78" s="1">
        <v>3771450</v>
      </c>
      <c r="ES78" s="1">
        <v>2749450</v>
      </c>
      <c r="ET78" s="1">
        <v>373.34</v>
      </c>
      <c r="EU78" s="1">
        <v>1</v>
      </c>
      <c r="EV78" s="1">
        <v>0</v>
      </c>
      <c r="EW78" s="1">
        <v>90</v>
      </c>
      <c r="EX78" s="1">
        <v>60003760</v>
      </c>
      <c r="EY78" s="1">
        <v>32767</v>
      </c>
      <c r="EZ78" s="1">
        <v>7</v>
      </c>
      <c r="FB78" s="1">
        <v>2813247995</v>
      </c>
      <c r="FC78" s="1">
        <v>30259</v>
      </c>
      <c r="FD78" s="1">
        <v>50</v>
      </c>
      <c r="FE78" s="1">
        <v>2</v>
      </c>
      <c r="FF78" s="1">
        <v>4513000</v>
      </c>
      <c r="FG78" s="1">
        <v>1</v>
      </c>
      <c r="FH78" s="1">
        <v>1</v>
      </c>
      <c r="FI78" s="1">
        <v>90</v>
      </c>
      <c r="FJ78" s="1">
        <v>60003760</v>
      </c>
      <c r="FK78" s="1">
        <v>32767</v>
      </c>
      <c r="FL78" s="1">
        <v>0</v>
      </c>
      <c r="FN78" s="1">
        <v>2869560643</v>
      </c>
      <c r="FO78" s="1">
        <v>25617</v>
      </c>
      <c r="FP78" s="1">
        <v>100</v>
      </c>
      <c r="FQ78" s="1">
        <v>100</v>
      </c>
      <c r="FR78" s="1">
        <v>4651000.08</v>
      </c>
      <c r="FS78" s="1">
        <v>1</v>
      </c>
      <c r="FT78" s="1">
        <v>1</v>
      </c>
      <c r="FU78" s="1">
        <v>90</v>
      </c>
      <c r="FV78" s="1">
        <v>60003760</v>
      </c>
      <c r="FW78" s="1">
        <v>-1</v>
      </c>
      <c r="FX78" s="1">
        <v>0</v>
      </c>
      <c r="FZ78" s="1">
        <v>2877105990</v>
      </c>
      <c r="GA78" s="1">
        <v>44</v>
      </c>
      <c r="GB78" s="1">
        <v>320</v>
      </c>
      <c r="GC78" s="1">
        <v>320</v>
      </c>
      <c r="GD78" s="1">
        <v>12600</v>
      </c>
      <c r="GE78" s="1">
        <v>1</v>
      </c>
      <c r="GF78" s="1">
        <v>0</v>
      </c>
      <c r="GG78" s="1">
        <v>90</v>
      </c>
      <c r="GH78" s="1">
        <v>60003934</v>
      </c>
      <c r="GI78" s="1">
        <v>32767</v>
      </c>
      <c r="GJ78" s="1">
        <v>1</v>
      </c>
      <c r="GL78" s="1">
        <v>2395347678</v>
      </c>
      <c r="GM78" s="1">
        <v>16681</v>
      </c>
      <c r="GN78" s="1">
        <v>10000</v>
      </c>
      <c r="GO78" s="1">
        <v>10000</v>
      </c>
      <c r="GP78" s="1">
        <v>5000</v>
      </c>
      <c r="GQ78" s="1">
        <v>1</v>
      </c>
      <c r="GR78" s="1">
        <v>1</v>
      </c>
      <c r="GS78" s="1">
        <v>30</v>
      </c>
      <c r="GT78" s="1">
        <v>60003760</v>
      </c>
      <c r="GU78" s="1">
        <v>-1</v>
      </c>
      <c r="GV78" s="1">
        <v>0</v>
      </c>
      <c r="GX78" s="1">
        <v>2878614262</v>
      </c>
      <c r="GY78" s="1">
        <v>16683</v>
      </c>
      <c r="GZ78" s="1">
        <v>80000</v>
      </c>
      <c r="HA78" s="1">
        <v>80000</v>
      </c>
      <c r="HB78" s="1">
        <v>8382.08</v>
      </c>
      <c r="HC78" s="1">
        <v>1</v>
      </c>
      <c r="HD78" s="1">
        <v>1</v>
      </c>
      <c r="HE78" s="1">
        <v>90</v>
      </c>
      <c r="HF78" s="1">
        <v>60003760</v>
      </c>
      <c r="HG78" s="1">
        <v>-1</v>
      </c>
      <c r="HH78" s="1">
        <v>0</v>
      </c>
      <c r="HJ78"/>
      <c r="HK78"/>
      <c r="HL78"/>
      <c r="HM78"/>
      <c r="HN78"/>
      <c r="HO78"/>
      <c r="HP78"/>
      <c r="HQ78"/>
      <c r="HR78"/>
      <c r="HS78"/>
      <c r="HT78"/>
      <c r="HV78" s="1">
        <v>2873437670</v>
      </c>
      <c r="HW78" s="1">
        <v>16274</v>
      </c>
      <c r="HX78" s="1">
        <v>94544</v>
      </c>
      <c r="HY78" s="1">
        <v>74544</v>
      </c>
      <c r="HZ78" s="1">
        <v>500</v>
      </c>
      <c r="IA78" s="1">
        <v>1</v>
      </c>
      <c r="IB78" s="1">
        <v>0</v>
      </c>
      <c r="IC78" s="1">
        <v>90</v>
      </c>
      <c r="ID78" s="1">
        <v>60000484</v>
      </c>
      <c r="IE78" s="1">
        <v>32767</v>
      </c>
      <c r="IF78" s="1">
        <v>9</v>
      </c>
      <c r="IH78"/>
      <c r="II78"/>
      <c r="IJ78"/>
      <c r="IK78"/>
      <c r="IL78"/>
      <c r="IM78"/>
      <c r="IN78"/>
      <c r="IO78"/>
      <c r="IP78"/>
      <c r="IQ78"/>
      <c r="IR78"/>
      <c r="IT78" s="1">
        <v>2827642428</v>
      </c>
      <c r="IU78" s="1">
        <v>16679</v>
      </c>
      <c r="IV78" s="1">
        <v>500000</v>
      </c>
      <c r="IW78" s="1">
        <v>500000</v>
      </c>
      <c r="IX78" s="1">
        <v>1600.2</v>
      </c>
      <c r="IY78" s="1">
        <v>1</v>
      </c>
      <c r="IZ78" s="1">
        <v>1</v>
      </c>
      <c r="JA78" s="1">
        <v>90</v>
      </c>
      <c r="JB78" s="1">
        <v>60003760</v>
      </c>
      <c r="JC78" s="1">
        <v>-1</v>
      </c>
      <c r="JD78" s="1">
        <v>0</v>
      </c>
      <c r="JF78" s="1">
        <v>2854209316</v>
      </c>
      <c r="JG78" s="1">
        <v>16272</v>
      </c>
      <c r="JH78" s="1">
        <v>559453</v>
      </c>
      <c r="JI78" s="1">
        <v>435153</v>
      </c>
      <c r="JJ78" s="1">
        <v>85</v>
      </c>
      <c r="JK78" s="1">
        <v>1</v>
      </c>
      <c r="JL78" s="1">
        <v>0</v>
      </c>
      <c r="JM78" s="1">
        <v>90</v>
      </c>
      <c r="JN78" s="1">
        <v>60001882</v>
      </c>
      <c r="JO78" s="1">
        <v>32767</v>
      </c>
      <c r="JP78" s="1">
        <v>4</v>
      </c>
      <c r="KD78" s="1">
        <v>2879136702</v>
      </c>
      <c r="KE78" s="1">
        <v>25605</v>
      </c>
      <c r="KF78" s="1">
        <v>107</v>
      </c>
      <c r="KG78" s="1">
        <v>107</v>
      </c>
      <c r="KH78" s="1">
        <v>111059.7</v>
      </c>
      <c r="KI78" s="1">
        <v>1</v>
      </c>
      <c r="KJ78" s="1">
        <v>0</v>
      </c>
      <c r="KK78" s="1">
        <v>90</v>
      </c>
      <c r="KL78" s="1">
        <v>60003760</v>
      </c>
      <c r="KM78" s="1">
        <v>32767</v>
      </c>
      <c r="KN78" s="1">
        <v>0</v>
      </c>
      <c r="KP78" s="1">
        <v>2878604422</v>
      </c>
      <c r="KQ78" s="1">
        <v>25624</v>
      </c>
      <c r="KR78" s="1">
        <v>20</v>
      </c>
      <c r="KS78" s="1">
        <v>20</v>
      </c>
      <c r="KT78" s="1">
        <v>18199886</v>
      </c>
      <c r="KU78" s="1">
        <v>1</v>
      </c>
      <c r="KV78" s="1">
        <v>0</v>
      </c>
      <c r="KW78" s="1">
        <v>30</v>
      </c>
      <c r="KX78" s="1">
        <v>60003760</v>
      </c>
      <c r="KY78" s="1">
        <v>32767</v>
      </c>
      <c r="KZ78" s="1">
        <v>0</v>
      </c>
      <c r="LB78" s="1">
        <v>2872432885</v>
      </c>
      <c r="LC78" s="1">
        <v>9832</v>
      </c>
      <c r="LD78" s="1">
        <v>23581</v>
      </c>
      <c r="LE78" s="1">
        <v>23581</v>
      </c>
      <c r="LF78" s="1">
        <v>9850</v>
      </c>
      <c r="LG78" s="1">
        <v>1</v>
      </c>
      <c r="LH78" s="1">
        <v>0</v>
      </c>
      <c r="LI78" s="1">
        <v>90</v>
      </c>
      <c r="LJ78" s="1">
        <v>60003760</v>
      </c>
      <c r="LK78" s="1">
        <v>32767</v>
      </c>
      <c r="LL78" s="1">
        <v>0</v>
      </c>
      <c r="ML78" s="1">
        <v>2878973957</v>
      </c>
      <c r="MM78" s="1">
        <v>25625</v>
      </c>
      <c r="MN78" s="1">
        <v>2</v>
      </c>
      <c r="MO78" s="1">
        <v>2</v>
      </c>
      <c r="MP78" s="1">
        <v>4217003.18</v>
      </c>
      <c r="MQ78" s="1">
        <v>1</v>
      </c>
      <c r="MR78" s="1">
        <v>1</v>
      </c>
      <c r="MS78" s="1">
        <v>7</v>
      </c>
      <c r="MT78" s="1">
        <v>60003760</v>
      </c>
      <c r="MU78" s="1">
        <v>-1</v>
      </c>
      <c r="MV78" s="1">
        <v>0</v>
      </c>
      <c r="MX78" s="1">
        <v>2866929380</v>
      </c>
      <c r="MY78" s="1">
        <v>16672</v>
      </c>
      <c r="MZ78" s="1">
        <v>5000000</v>
      </c>
      <c r="NA78" s="1">
        <v>5000000</v>
      </c>
      <c r="NB78" s="1">
        <v>96.35</v>
      </c>
      <c r="NC78" s="1">
        <v>1</v>
      </c>
      <c r="ND78" s="1">
        <v>1</v>
      </c>
      <c r="NE78" s="1">
        <v>90</v>
      </c>
      <c r="NF78" s="1">
        <v>60003760</v>
      </c>
      <c r="NG78" s="1">
        <v>-1</v>
      </c>
      <c r="NH78" s="1">
        <v>0</v>
      </c>
      <c r="NJ78" s="1">
        <v>2878360207</v>
      </c>
      <c r="NK78" s="1">
        <v>16673</v>
      </c>
      <c r="NL78" s="1">
        <v>4880000</v>
      </c>
      <c r="NM78" s="1">
        <v>3385850</v>
      </c>
      <c r="NN78" s="1">
        <v>101.3</v>
      </c>
      <c r="NO78" s="1">
        <v>1</v>
      </c>
      <c r="NP78" s="1">
        <v>0</v>
      </c>
      <c r="NQ78" s="1">
        <v>90</v>
      </c>
      <c r="NR78" s="1">
        <v>60003760</v>
      </c>
      <c r="NS78" s="1">
        <v>32767</v>
      </c>
      <c r="NT78" s="1">
        <v>0</v>
      </c>
      <c r="NV78" s="1">
        <v>2874956632</v>
      </c>
      <c r="NW78" s="1">
        <v>3689</v>
      </c>
      <c r="NX78" s="1">
        <v>50230</v>
      </c>
      <c r="NY78" s="1">
        <v>17908</v>
      </c>
      <c r="NZ78" s="1">
        <v>10173</v>
      </c>
      <c r="OA78" s="1">
        <v>1</v>
      </c>
      <c r="OB78" s="1">
        <v>0</v>
      </c>
      <c r="OC78" s="1">
        <v>90</v>
      </c>
      <c r="OD78" s="1">
        <v>60003760</v>
      </c>
      <c r="OE78" s="1">
        <v>32767</v>
      </c>
      <c r="OF78" s="1">
        <v>0</v>
      </c>
      <c r="OH78" s="1">
        <v>2857765065</v>
      </c>
      <c r="OI78" s="1">
        <v>25598</v>
      </c>
      <c r="OJ78" s="1">
        <v>156</v>
      </c>
      <c r="OK78" s="1">
        <v>156</v>
      </c>
      <c r="OL78" s="1">
        <v>150000</v>
      </c>
      <c r="OM78" s="1">
        <v>1</v>
      </c>
      <c r="ON78" s="1">
        <v>0</v>
      </c>
      <c r="OO78" s="1">
        <v>90</v>
      </c>
      <c r="OP78" s="1">
        <v>60003760</v>
      </c>
      <c r="OQ78" s="1">
        <v>32767</v>
      </c>
      <c r="OR78" s="1">
        <v>0</v>
      </c>
      <c r="OT78" s="1">
        <v>2877943103</v>
      </c>
      <c r="OU78" s="1">
        <v>25600</v>
      </c>
      <c r="OV78" s="1">
        <v>9</v>
      </c>
      <c r="OW78" s="1">
        <v>5</v>
      </c>
      <c r="OX78" s="1">
        <v>28500</v>
      </c>
      <c r="OY78" s="1">
        <v>1</v>
      </c>
      <c r="OZ78" s="1">
        <v>0</v>
      </c>
      <c r="PA78" s="1">
        <v>30</v>
      </c>
      <c r="PB78" s="1">
        <v>60004213</v>
      </c>
      <c r="PC78" s="1">
        <v>32767</v>
      </c>
      <c r="PD78" s="1">
        <v>3</v>
      </c>
      <c r="PF78" s="1">
        <v>2877661552</v>
      </c>
      <c r="PG78" s="1">
        <v>16670</v>
      </c>
      <c r="PH78" s="1">
        <v>6000000</v>
      </c>
      <c r="PI78" s="1">
        <v>6000000</v>
      </c>
      <c r="PJ78" s="1">
        <v>115.65</v>
      </c>
      <c r="PK78" s="1">
        <v>1</v>
      </c>
      <c r="PL78" s="1">
        <v>0</v>
      </c>
      <c r="PM78" s="1">
        <v>90</v>
      </c>
      <c r="PN78" s="1">
        <v>60003760</v>
      </c>
      <c r="PO78" s="1">
        <v>32767</v>
      </c>
      <c r="PP78" s="1">
        <v>7</v>
      </c>
      <c r="QD78" s="1">
        <v>2775065037</v>
      </c>
      <c r="QE78" s="1">
        <v>9830</v>
      </c>
      <c r="QF78" s="1">
        <v>10000</v>
      </c>
      <c r="QG78" s="1">
        <v>10000</v>
      </c>
      <c r="QH78" s="1">
        <v>6355.09</v>
      </c>
      <c r="QI78" s="1">
        <v>1</v>
      </c>
      <c r="QJ78" s="1">
        <v>1</v>
      </c>
      <c r="QK78" s="1">
        <v>90</v>
      </c>
      <c r="QL78" s="1">
        <v>60003760</v>
      </c>
      <c r="QM78" s="1">
        <v>-1</v>
      </c>
      <c r="QN78" s="1">
        <v>0</v>
      </c>
      <c r="QP78" s="1">
        <v>2392037937</v>
      </c>
      <c r="QQ78" s="1">
        <v>16671</v>
      </c>
      <c r="QR78" s="1">
        <v>10000000</v>
      </c>
      <c r="QS78" s="1">
        <v>10000000</v>
      </c>
      <c r="QT78" s="1">
        <v>65.12</v>
      </c>
      <c r="QU78" s="1">
        <v>1</v>
      </c>
      <c r="QV78" s="1">
        <v>1</v>
      </c>
      <c r="QW78" s="1">
        <v>90</v>
      </c>
      <c r="QX78" s="1">
        <v>60003760</v>
      </c>
      <c r="QY78" s="1">
        <v>-1</v>
      </c>
      <c r="QZ78" s="1">
        <v>0</v>
      </c>
      <c r="RB78" s="1">
        <v>2865407205</v>
      </c>
      <c r="RC78" s="1">
        <v>16682</v>
      </c>
      <c r="RD78" s="1">
        <v>100000</v>
      </c>
      <c r="RE78" s="1">
        <v>8931</v>
      </c>
      <c r="RF78" s="1">
        <v>3016.09</v>
      </c>
      <c r="RG78" s="1">
        <v>1</v>
      </c>
      <c r="RH78" s="1">
        <v>1</v>
      </c>
      <c r="RI78" s="1">
        <v>90</v>
      </c>
      <c r="RJ78" s="1">
        <v>60003760</v>
      </c>
      <c r="RK78" s="1">
        <v>-1</v>
      </c>
      <c r="RL78" s="1">
        <v>0</v>
      </c>
      <c r="RN78" s="1">
        <v>2873743724</v>
      </c>
      <c r="RO78" s="1">
        <v>16678</v>
      </c>
      <c r="RP78" s="1">
        <v>3101120</v>
      </c>
      <c r="RQ78" s="1">
        <v>3101120</v>
      </c>
      <c r="RR78" s="1">
        <v>270</v>
      </c>
      <c r="RS78" s="1">
        <v>1</v>
      </c>
      <c r="RT78" s="1">
        <v>1</v>
      </c>
      <c r="RU78" s="1">
        <v>90</v>
      </c>
      <c r="RV78" s="1">
        <v>60003760</v>
      </c>
      <c r="RW78" s="1">
        <v>-1</v>
      </c>
      <c r="RX78" s="1">
        <v>0</v>
      </c>
      <c r="SL78" s="1">
        <v>2793448391</v>
      </c>
      <c r="SM78" s="1">
        <v>30311</v>
      </c>
      <c r="SN78" s="1">
        <v>1000</v>
      </c>
      <c r="SO78" s="1">
        <v>512</v>
      </c>
      <c r="SP78" s="1">
        <v>2970088</v>
      </c>
      <c r="SQ78" s="1">
        <v>1</v>
      </c>
      <c r="SR78" s="1">
        <v>1</v>
      </c>
      <c r="SS78" s="1">
        <v>90</v>
      </c>
      <c r="ST78" s="1">
        <v>60003760</v>
      </c>
      <c r="SU78" s="1">
        <v>-1</v>
      </c>
      <c r="SV78" s="1">
        <v>0</v>
      </c>
      <c r="SX78" s="1">
        <v>2862401265</v>
      </c>
      <c r="SY78" s="1">
        <v>25595</v>
      </c>
      <c r="SZ78" s="1">
        <v>6437</v>
      </c>
      <c r="TA78" s="1">
        <v>2607</v>
      </c>
      <c r="TB78" s="1">
        <v>83498.95</v>
      </c>
      <c r="TC78" s="1">
        <v>1</v>
      </c>
      <c r="TD78" s="1">
        <v>0</v>
      </c>
      <c r="TE78" s="1">
        <v>90</v>
      </c>
      <c r="TF78" s="1">
        <v>60003760</v>
      </c>
      <c r="TG78" s="1">
        <v>32767</v>
      </c>
      <c r="TH78" s="1">
        <v>6</v>
      </c>
      <c r="TJ78" s="1">
        <v>2872069429</v>
      </c>
      <c r="TK78" s="1">
        <v>25606</v>
      </c>
      <c r="TL78" s="1">
        <v>125</v>
      </c>
      <c r="TM78" s="1">
        <v>81</v>
      </c>
      <c r="TN78" s="1">
        <v>24000</v>
      </c>
      <c r="TO78" s="1">
        <v>1</v>
      </c>
      <c r="TP78" s="1">
        <v>0</v>
      </c>
      <c r="TQ78" s="1">
        <v>90</v>
      </c>
      <c r="TR78" s="1">
        <v>60003934</v>
      </c>
      <c r="TS78" s="1">
        <v>32767</v>
      </c>
      <c r="TT78" s="1">
        <v>3</v>
      </c>
      <c r="TV78"/>
      <c r="TW78"/>
      <c r="TX78"/>
      <c r="TY78"/>
      <c r="TZ78"/>
      <c r="UA78"/>
      <c r="UB78"/>
      <c r="UC78"/>
      <c r="UD78"/>
      <c r="UE78"/>
      <c r="UF78"/>
      <c r="UH78" s="1">
        <v>2878450918</v>
      </c>
      <c r="UI78" s="1">
        <v>16680</v>
      </c>
      <c r="UJ78" s="1">
        <v>1800</v>
      </c>
      <c r="UK78" s="1">
        <v>1800</v>
      </c>
      <c r="UL78" s="1">
        <v>679.28</v>
      </c>
      <c r="UM78" s="1">
        <v>1</v>
      </c>
      <c r="UN78" s="1">
        <v>1</v>
      </c>
      <c r="UO78" s="1">
        <v>90</v>
      </c>
      <c r="UP78" s="1">
        <v>60003760</v>
      </c>
      <c r="UQ78" s="1">
        <v>-1</v>
      </c>
      <c r="UR78" s="1">
        <v>0</v>
      </c>
      <c r="UT78"/>
      <c r="UU78"/>
      <c r="UV78"/>
      <c r="UW78"/>
      <c r="UX78"/>
      <c r="UY78"/>
      <c r="UZ78"/>
      <c r="VA78"/>
      <c r="VB78"/>
      <c r="VC78"/>
      <c r="VD78"/>
      <c r="VF78"/>
      <c r="VG78"/>
      <c r="VH78"/>
      <c r="VI78"/>
      <c r="VJ78"/>
      <c r="VK78"/>
      <c r="VL78"/>
      <c r="VM78"/>
      <c r="VN78"/>
      <c r="VO78"/>
      <c r="VP78"/>
    </row>
    <row r="79" spans="2:588" x14ac:dyDescent="0.25">
      <c r="B79" s="1">
        <v>2825070729</v>
      </c>
      <c r="C79" s="1">
        <v>34</v>
      </c>
      <c r="D79" s="1">
        <v>34148339</v>
      </c>
      <c r="E79" s="1">
        <v>34148339</v>
      </c>
      <c r="F79" s="1">
        <v>6.03</v>
      </c>
      <c r="G79" s="1">
        <v>1</v>
      </c>
      <c r="H79" s="1">
        <v>0</v>
      </c>
      <c r="I79" s="1">
        <v>90</v>
      </c>
      <c r="J79" s="1">
        <v>60003760</v>
      </c>
      <c r="K79" s="1">
        <v>32767</v>
      </c>
      <c r="L79" s="1">
        <v>0</v>
      </c>
      <c r="N79" s="1">
        <v>2844219422</v>
      </c>
      <c r="O79" s="1">
        <v>35</v>
      </c>
      <c r="P79" s="1">
        <v>14972256</v>
      </c>
      <c r="Q79" s="1">
        <v>14972256</v>
      </c>
      <c r="R79" s="1">
        <v>16</v>
      </c>
      <c r="S79" s="1">
        <v>1</v>
      </c>
      <c r="T79" s="1">
        <v>0</v>
      </c>
      <c r="U79" s="1">
        <v>90</v>
      </c>
      <c r="V79" s="1">
        <v>60003760</v>
      </c>
      <c r="W79" s="1">
        <v>32767</v>
      </c>
      <c r="X79" s="1">
        <v>0</v>
      </c>
      <c r="Z79" s="1">
        <v>2778351401</v>
      </c>
      <c r="AA79" s="1">
        <v>36</v>
      </c>
      <c r="AB79" s="1">
        <v>4000000</v>
      </c>
      <c r="AC79" s="1">
        <v>4000000</v>
      </c>
      <c r="AD79" s="16">
        <v>56</v>
      </c>
      <c r="AE79" s="1">
        <v>1</v>
      </c>
      <c r="AF79" s="1">
        <v>0</v>
      </c>
      <c r="AG79" s="1">
        <v>90</v>
      </c>
      <c r="AH79" s="1">
        <v>60003760</v>
      </c>
      <c r="AI79" s="1">
        <v>32767</v>
      </c>
      <c r="AJ79" s="1">
        <v>11</v>
      </c>
      <c r="AL79" s="1">
        <v>2750250172</v>
      </c>
      <c r="AM79" s="1">
        <v>37</v>
      </c>
      <c r="AN79" s="1">
        <v>458568</v>
      </c>
      <c r="AO79" s="1">
        <v>458568</v>
      </c>
      <c r="AP79" s="16">
        <v>155.96</v>
      </c>
      <c r="AQ79" s="1">
        <v>1</v>
      </c>
      <c r="AR79" s="1">
        <v>0</v>
      </c>
      <c r="AS79" s="1">
        <v>90</v>
      </c>
      <c r="AT79" s="1">
        <v>60003760</v>
      </c>
      <c r="AU79" s="1">
        <v>32767</v>
      </c>
      <c r="AV79" s="1">
        <v>9</v>
      </c>
      <c r="AX79" s="1">
        <v>2863839083</v>
      </c>
      <c r="AY79" s="1">
        <v>38</v>
      </c>
      <c r="AZ79" s="1">
        <v>132635</v>
      </c>
      <c r="BA79" s="1">
        <v>132635</v>
      </c>
      <c r="BB79" s="1">
        <v>850</v>
      </c>
      <c r="BC79" s="1">
        <v>1</v>
      </c>
      <c r="BD79" s="1">
        <v>0</v>
      </c>
      <c r="BE79" s="1">
        <v>90</v>
      </c>
      <c r="BF79" s="1">
        <v>60014686</v>
      </c>
      <c r="BG79" s="1">
        <v>32767</v>
      </c>
      <c r="BH79" s="1">
        <v>8</v>
      </c>
      <c r="BJ79" s="1">
        <v>2684420811</v>
      </c>
      <c r="BK79" s="1">
        <v>39</v>
      </c>
      <c r="BL79" s="1">
        <v>1250000</v>
      </c>
      <c r="BM79" s="1">
        <v>1250000</v>
      </c>
      <c r="BN79" s="1">
        <v>999.99</v>
      </c>
      <c r="BO79" s="1">
        <v>1</v>
      </c>
      <c r="BP79" s="1">
        <v>0</v>
      </c>
      <c r="BQ79" s="1">
        <v>90</v>
      </c>
      <c r="BR79" s="1">
        <v>60003760</v>
      </c>
      <c r="BS79" s="1">
        <v>32767</v>
      </c>
      <c r="BT79" s="1">
        <v>5</v>
      </c>
      <c r="BV79" s="1">
        <v>2400904728</v>
      </c>
      <c r="BW79" s="1">
        <v>40</v>
      </c>
      <c r="BX79" s="1">
        <v>4545</v>
      </c>
      <c r="BY79" s="1">
        <v>4545</v>
      </c>
      <c r="BZ79" s="1">
        <v>2765</v>
      </c>
      <c r="CA79" s="1">
        <v>1</v>
      </c>
      <c r="CB79" s="1">
        <v>0</v>
      </c>
      <c r="CC79" s="1">
        <v>90</v>
      </c>
      <c r="CD79" s="1">
        <v>60003760</v>
      </c>
      <c r="CE79" s="1">
        <v>32767</v>
      </c>
      <c r="CF79" s="1">
        <v>13</v>
      </c>
      <c r="CH79" s="1">
        <v>2411157909</v>
      </c>
      <c r="CI79" s="1">
        <v>29668</v>
      </c>
      <c r="CJ79" s="1">
        <v>1</v>
      </c>
      <c r="CK79" s="1">
        <v>1</v>
      </c>
      <c r="CL79" s="1">
        <v>539999999</v>
      </c>
      <c r="CM79" s="1">
        <v>1</v>
      </c>
      <c r="CN79" s="1">
        <v>0</v>
      </c>
      <c r="CO79" s="1">
        <v>90</v>
      </c>
      <c r="CP79" s="1">
        <v>60003760</v>
      </c>
      <c r="CQ79" s="1">
        <v>32767</v>
      </c>
      <c r="CR79" s="1">
        <v>0</v>
      </c>
      <c r="CT79" s="1">
        <v>2392052864</v>
      </c>
      <c r="CU79" s="1">
        <v>16649</v>
      </c>
      <c r="CV79" s="1">
        <v>10000</v>
      </c>
      <c r="CW79" s="1">
        <v>10000</v>
      </c>
      <c r="CX79" s="1">
        <v>80000</v>
      </c>
      <c r="CY79" s="1">
        <v>1</v>
      </c>
      <c r="CZ79" s="1">
        <v>1</v>
      </c>
      <c r="DA79" s="1">
        <v>90</v>
      </c>
      <c r="DB79" s="1">
        <v>60003760</v>
      </c>
      <c r="DC79" s="1">
        <v>-1</v>
      </c>
      <c r="DD79" s="1">
        <v>0</v>
      </c>
      <c r="DF79" s="1">
        <v>2410844906</v>
      </c>
      <c r="DG79" s="1">
        <v>17887</v>
      </c>
      <c r="DH79" s="1">
        <v>1100608</v>
      </c>
      <c r="DI79" s="1">
        <v>1100608</v>
      </c>
      <c r="DJ79" s="1">
        <v>1021.79</v>
      </c>
      <c r="DK79" s="1">
        <v>1</v>
      </c>
      <c r="DL79" s="1">
        <v>0</v>
      </c>
      <c r="DM79" s="1">
        <v>90</v>
      </c>
      <c r="DN79" s="1">
        <v>60003760</v>
      </c>
      <c r="DO79" s="1">
        <v>32767</v>
      </c>
      <c r="DP79" s="1">
        <v>0</v>
      </c>
      <c r="DR79" s="1">
        <v>2802029273</v>
      </c>
      <c r="DS79" s="1">
        <v>17888</v>
      </c>
      <c r="DT79" s="1">
        <v>2522432</v>
      </c>
      <c r="DU79" s="1">
        <v>2522432</v>
      </c>
      <c r="DV79" s="1">
        <v>457</v>
      </c>
      <c r="DW79" s="1">
        <v>1</v>
      </c>
      <c r="DX79" s="1">
        <v>0</v>
      </c>
      <c r="DY79" s="1">
        <v>90</v>
      </c>
      <c r="DZ79" s="1">
        <v>60003760</v>
      </c>
      <c r="EA79" s="1">
        <v>32767</v>
      </c>
      <c r="EB79" s="1">
        <v>8</v>
      </c>
      <c r="ED79" s="1">
        <v>2844249995</v>
      </c>
      <c r="EE79" s="1">
        <v>16273</v>
      </c>
      <c r="EF79" s="1">
        <v>5000</v>
      </c>
      <c r="EG79" s="1">
        <v>5000</v>
      </c>
      <c r="EH79" s="1">
        <v>450</v>
      </c>
      <c r="EI79" s="1">
        <v>1</v>
      </c>
      <c r="EJ79" s="1">
        <v>0</v>
      </c>
      <c r="EK79" s="1">
        <v>90</v>
      </c>
      <c r="EL79" s="1">
        <v>60003043</v>
      </c>
      <c r="EM79" s="1">
        <v>32767</v>
      </c>
      <c r="EN79" s="1">
        <v>4</v>
      </c>
      <c r="EP79" s="1">
        <v>2878917387</v>
      </c>
      <c r="EQ79" s="1">
        <v>17889</v>
      </c>
      <c r="ER79" s="1">
        <v>100000</v>
      </c>
      <c r="ES79" s="1">
        <v>100000</v>
      </c>
      <c r="ET79" s="1">
        <v>429</v>
      </c>
      <c r="EU79" s="1">
        <v>1</v>
      </c>
      <c r="EV79" s="1">
        <v>0</v>
      </c>
      <c r="EW79" s="1">
        <v>90</v>
      </c>
      <c r="EX79" s="1">
        <v>60004081</v>
      </c>
      <c r="EY79" s="1">
        <v>32767</v>
      </c>
      <c r="EZ79" s="1">
        <v>0</v>
      </c>
      <c r="FB79" s="1">
        <v>2800812767</v>
      </c>
      <c r="FC79" s="1">
        <v>30259</v>
      </c>
      <c r="FD79" s="1">
        <v>100</v>
      </c>
      <c r="FE79" s="1">
        <v>100</v>
      </c>
      <c r="FF79" s="1">
        <v>4440000.2</v>
      </c>
      <c r="FG79" s="1">
        <v>1</v>
      </c>
      <c r="FH79" s="1">
        <v>1</v>
      </c>
      <c r="FI79" s="1">
        <v>90</v>
      </c>
      <c r="FJ79" s="1">
        <v>60003760</v>
      </c>
      <c r="FK79" s="1">
        <v>5</v>
      </c>
      <c r="FL79" s="1">
        <v>0</v>
      </c>
      <c r="FN79" s="1">
        <v>2869530562</v>
      </c>
      <c r="FO79" s="1">
        <v>25617</v>
      </c>
      <c r="FP79" s="1">
        <v>300</v>
      </c>
      <c r="FQ79" s="1">
        <v>217</v>
      </c>
      <c r="FR79" s="1">
        <v>4900017</v>
      </c>
      <c r="FS79" s="1">
        <v>1</v>
      </c>
      <c r="FT79" s="1">
        <v>1</v>
      </c>
      <c r="FU79" s="1">
        <v>90</v>
      </c>
      <c r="FV79" s="1">
        <v>60003760</v>
      </c>
      <c r="FW79" s="1">
        <v>-1</v>
      </c>
      <c r="FX79" s="1">
        <v>0</v>
      </c>
      <c r="FZ79" s="1">
        <v>2849015107</v>
      </c>
      <c r="GA79" s="1">
        <v>44</v>
      </c>
      <c r="GB79" s="1">
        <v>1100</v>
      </c>
      <c r="GC79" s="1">
        <v>1100</v>
      </c>
      <c r="GD79" s="1">
        <v>14000</v>
      </c>
      <c r="GE79" s="1">
        <v>1</v>
      </c>
      <c r="GF79" s="1">
        <v>0</v>
      </c>
      <c r="GG79" s="1">
        <v>90</v>
      </c>
      <c r="GH79" s="1">
        <v>60000925</v>
      </c>
      <c r="GI79" s="1">
        <v>32767</v>
      </c>
      <c r="GJ79" s="1">
        <v>6</v>
      </c>
      <c r="GL79" s="1">
        <v>2392359470</v>
      </c>
      <c r="GM79" s="1">
        <v>16681</v>
      </c>
      <c r="GN79" s="1">
        <v>10000</v>
      </c>
      <c r="GO79" s="1">
        <v>10000</v>
      </c>
      <c r="GP79" s="1">
        <v>5451.72</v>
      </c>
      <c r="GQ79" s="1">
        <v>1</v>
      </c>
      <c r="GR79" s="1">
        <v>1</v>
      </c>
      <c r="GS79" s="1">
        <v>30</v>
      </c>
      <c r="GT79" s="1">
        <v>60003760</v>
      </c>
      <c r="GU79" s="1">
        <v>-1</v>
      </c>
      <c r="GV79" s="1">
        <v>0</v>
      </c>
      <c r="GX79" s="1">
        <v>2878618840</v>
      </c>
      <c r="GY79" s="1">
        <v>16683</v>
      </c>
      <c r="GZ79" s="1">
        <v>7000</v>
      </c>
      <c r="HA79" s="1">
        <v>7000</v>
      </c>
      <c r="HB79" s="1">
        <v>8362.15</v>
      </c>
      <c r="HC79" s="1">
        <v>1</v>
      </c>
      <c r="HD79" s="1">
        <v>1</v>
      </c>
      <c r="HE79" s="1">
        <v>90</v>
      </c>
      <c r="HF79" s="1">
        <v>60003760</v>
      </c>
      <c r="HG79" s="1">
        <v>-1</v>
      </c>
      <c r="HH79" s="1">
        <v>0</v>
      </c>
      <c r="HJ79"/>
      <c r="HK79"/>
      <c r="HL79"/>
      <c r="HM79"/>
      <c r="HN79"/>
      <c r="HO79"/>
      <c r="HP79"/>
      <c r="HQ79"/>
      <c r="HR79"/>
      <c r="HS79"/>
      <c r="HT79"/>
      <c r="HV79" s="1">
        <v>2843996791</v>
      </c>
      <c r="HW79" s="1">
        <v>16274</v>
      </c>
      <c r="HX79" s="1">
        <v>215104</v>
      </c>
      <c r="HY79" s="1">
        <v>146104</v>
      </c>
      <c r="HZ79" s="1">
        <v>600</v>
      </c>
      <c r="IA79" s="1">
        <v>1</v>
      </c>
      <c r="IB79" s="1">
        <v>0</v>
      </c>
      <c r="IC79" s="1">
        <v>90</v>
      </c>
      <c r="ID79" s="1">
        <v>60000964</v>
      </c>
      <c r="IE79" s="1">
        <v>32767</v>
      </c>
      <c r="IF79" s="1">
        <v>8</v>
      </c>
      <c r="IH79"/>
      <c r="II79"/>
      <c r="IJ79"/>
      <c r="IK79"/>
      <c r="IL79"/>
      <c r="IM79"/>
      <c r="IN79"/>
      <c r="IO79"/>
      <c r="IP79"/>
      <c r="IQ79"/>
      <c r="IR79"/>
      <c r="IT79" s="1">
        <v>2826512363</v>
      </c>
      <c r="IU79" s="1">
        <v>16679</v>
      </c>
      <c r="IV79" s="1">
        <v>1000000</v>
      </c>
      <c r="IW79" s="1">
        <v>941143</v>
      </c>
      <c r="IX79" s="1">
        <v>1628.66</v>
      </c>
      <c r="IY79" s="1">
        <v>1</v>
      </c>
      <c r="IZ79" s="1">
        <v>1</v>
      </c>
      <c r="JA79" s="1">
        <v>90</v>
      </c>
      <c r="JB79" s="1">
        <v>60003760</v>
      </c>
      <c r="JC79" s="1">
        <v>-1</v>
      </c>
      <c r="JD79" s="1">
        <v>0</v>
      </c>
      <c r="JF79" s="1">
        <v>2727101179</v>
      </c>
      <c r="JG79" s="1">
        <v>16272</v>
      </c>
      <c r="JH79" s="1">
        <v>478361</v>
      </c>
      <c r="JI79" s="1">
        <v>478360</v>
      </c>
      <c r="JJ79" s="1">
        <v>123.95</v>
      </c>
      <c r="JK79" s="1">
        <v>1</v>
      </c>
      <c r="JL79" s="1">
        <v>0</v>
      </c>
      <c r="JM79" s="1">
        <v>90</v>
      </c>
      <c r="JN79" s="1">
        <v>60003208</v>
      </c>
      <c r="JO79" s="1">
        <v>32767</v>
      </c>
      <c r="JP79" s="1">
        <v>5</v>
      </c>
      <c r="KD79" s="1">
        <v>2860690384</v>
      </c>
      <c r="KE79" s="1">
        <v>25605</v>
      </c>
      <c r="KF79" s="1">
        <v>443</v>
      </c>
      <c r="KG79" s="1">
        <v>182</v>
      </c>
      <c r="KH79" s="1">
        <v>102484.05</v>
      </c>
      <c r="KI79" s="1">
        <v>1</v>
      </c>
      <c r="KJ79" s="1">
        <v>1</v>
      </c>
      <c r="KK79" s="1">
        <v>30</v>
      </c>
      <c r="KL79" s="1">
        <v>60004237</v>
      </c>
      <c r="KM79" s="1">
        <v>3</v>
      </c>
      <c r="KN79" s="1">
        <v>0</v>
      </c>
      <c r="KP79" s="1">
        <v>2877515599</v>
      </c>
      <c r="KQ79" s="1">
        <v>25624</v>
      </c>
      <c r="KR79" s="1">
        <v>2</v>
      </c>
      <c r="KS79" s="1">
        <v>2</v>
      </c>
      <c r="KT79" s="1">
        <v>18199885.989999998</v>
      </c>
      <c r="KU79" s="1">
        <v>1</v>
      </c>
      <c r="KV79" s="1">
        <v>0</v>
      </c>
      <c r="KW79" s="1">
        <v>90</v>
      </c>
      <c r="KX79" s="1">
        <v>60003760</v>
      </c>
      <c r="KY79" s="1">
        <v>32767</v>
      </c>
      <c r="KZ79" s="1">
        <v>1</v>
      </c>
      <c r="LB79" s="1">
        <v>2872428150</v>
      </c>
      <c r="LC79" s="1">
        <v>9832</v>
      </c>
      <c r="LD79" s="1">
        <v>8875</v>
      </c>
      <c r="LE79" s="1">
        <v>8875</v>
      </c>
      <c r="LF79" s="1">
        <v>9700</v>
      </c>
      <c r="LG79" s="1">
        <v>1</v>
      </c>
      <c r="LH79" s="1">
        <v>0</v>
      </c>
      <c r="LI79" s="1">
        <v>90</v>
      </c>
      <c r="LJ79" s="1">
        <v>60003760</v>
      </c>
      <c r="LK79" s="1">
        <v>32767</v>
      </c>
      <c r="LL79" s="1">
        <v>0</v>
      </c>
      <c r="ML79" s="1">
        <v>2878982411</v>
      </c>
      <c r="MM79" s="1">
        <v>25625</v>
      </c>
      <c r="MN79" s="1">
        <v>1</v>
      </c>
      <c r="MO79" s="1">
        <v>1</v>
      </c>
      <c r="MP79" s="1">
        <v>4217003.2300000004</v>
      </c>
      <c r="MQ79" s="1">
        <v>1</v>
      </c>
      <c r="MR79" s="1">
        <v>1</v>
      </c>
      <c r="MS79" s="1">
        <v>7</v>
      </c>
      <c r="MT79" s="1">
        <v>60003760</v>
      </c>
      <c r="MU79" s="1">
        <v>-1</v>
      </c>
      <c r="MV79" s="1">
        <v>0</v>
      </c>
      <c r="MX79" s="1">
        <v>2878290056</v>
      </c>
      <c r="MY79" s="1">
        <v>16672</v>
      </c>
      <c r="MZ79" s="1">
        <v>17000</v>
      </c>
      <c r="NA79" s="1">
        <v>17000</v>
      </c>
      <c r="NB79" s="1">
        <v>119.28</v>
      </c>
      <c r="NC79" s="1">
        <v>1</v>
      </c>
      <c r="ND79" s="1">
        <v>1</v>
      </c>
      <c r="NE79" s="1">
        <v>90</v>
      </c>
      <c r="NF79" s="1">
        <v>60003760</v>
      </c>
      <c r="NG79" s="1">
        <v>-1</v>
      </c>
      <c r="NH79" s="1">
        <v>0</v>
      </c>
      <c r="NJ79" s="1">
        <v>2878749437</v>
      </c>
      <c r="NK79" s="1">
        <v>16673</v>
      </c>
      <c r="NL79" s="1">
        <v>2040000</v>
      </c>
      <c r="NM79" s="1">
        <v>2032250</v>
      </c>
      <c r="NN79" s="1">
        <v>101.29</v>
      </c>
      <c r="NO79" s="1">
        <v>1</v>
      </c>
      <c r="NP79" s="1">
        <v>0</v>
      </c>
      <c r="NQ79" s="1">
        <v>3</v>
      </c>
      <c r="NR79" s="1">
        <v>60003760</v>
      </c>
      <c r="NS79" s="1">
        <v>32767</v>
      </c>
      <c r="NT79" s="1">
        <v>0</v>
      </c>
      <c r="NV79" s="1">
        <v>2874962124</v>
      </c>
      <c r="NW79" s="1">
        <v>3689</v>
      </c>
      <c r="NX79" s="1">
        <v>63146</v>
      </c>
      <c r="NY79" s="1">
        <v>63146</v>
      </c>
      <c r="NZ79" s="1">
        <v>10175</v>
      </c>
      <c r="OA79" s="1">
        <v>1</v>
      </c>
      <c r="OB79" s="1">
        <v>0</v>
      </c>
      <c r="OC79" s="1">
        <v>90</v>
      </c>
      <c r="OD79" s="1">
        <v>60003760</v>
      </c>
      <c r="OE79" s="1">
        <v>32767</v>
      </c>
      <c r="OF79" s="1">
        <v>0</v>
      </c>
      <c r="OH79" s="1">
        <v>2857831584</v>
      </c>
      <c r="OI79" s="1">
        <v>25598</v>
      </c>
      <c r="OJ79" s="1">
        <v>889</v>
      </c>
      <c r="OK79" s="1">
        <v>889</v>
      </c>
      <c r="OL79" s="1">
        <v>142999.99</v>
      </c>
      <c r="OM79" s="1">
        <v>1</v>
      </c>
      <c r="ON79" s="1">
        <v>0</v>
      </c>
      <c r="OO79" s="1">
        <v>90</v>
      </c>
      <c r="OP79" s="1">
        <v>60003760</v>
      </c>
      <c r="OQ79" s="1">
        <v>32767</v>
      </c>
      <c r="OR79" s="1">
        <v>0</v>
      </c>
      <c r="OT79" s="1">
        <v>2773833669</v>
      </c>
      <c r="OU79" s="1">
        <v>25600</v>
      </c>
      <c r="OV79" s="1">
        <v>113</v>
      </c>
      <c r="OW79" s="1">
        <v>33</v>
      </c>
      <c r="OX79" s="1">
        <v>31000</v>
      </c>
      <c r="OY79" s="1">
        <v>1</v>
      </c>
      <c r="OZ79" s="1">
        <v>0</v>
      </c>
      <c r="PA79" s="1">
        <v>90</v>
      </c>
      <c r="PB79" s="1">
        <v>60002431</v>
      </c>
      <c r="PC79" s="1">
        <v>32767</v>
      </c>
      <c r="PD79" s="1">
        <v>2</v>
      </c>
      <c r="PF79" s="1">
        <v>2878181655</v>
      </c>
      <c r="PG79" s="1">
        <v>16670</v>
      </c>
      <c r="PH79" s="1">
        <v>4090000</v>
      </c>
      <c r="PI79" s="1">
        <v>3030000</v>
      </c>
      <c r="PJ79" s="1">
        <v>115.5</v>
      </c>
      <c r="PK79" s="1">
        <v>1</v>
      </c>
      <c r="PL79" s="1">
        <v>0</v>
      </c>
      <c r="PM79" s="1">
        <v>90</v>
      </c>
      <c r="PN79" s="1">
        <v>60003760</v>
      </c>
      <c r="PO79" s="1">
        <v>32767</v>
      </c>
      <c r="PP79" s="1">
        <v>7</v>
      </c>
      <c r="QD79" s="1">
        <v>2777400660</v>
      </c>
      <c r="QE79" s="1">
        <v>9830</v>
      </c>
      <c r="QF79" s="1">
        <v>15000</v>
      </c>
      <c r="QG79" s="1">
        <v>15000</v>
      </c>
      <c r="QH79" s="1">
        <v>6369.31</v>
      </c>
      <c r="QI79" s="1">
        <v>1</v>
      </c>
      <c r="QJ79" s="1">
        <v>1</v>
      </c>
      <c r="QK79" s="1">
        <v>90</v>
      </c>
      <c r="QL79" s="1">
        <v>60003760</v>
      </c>
      <c r="QM79" s="1">
        <v>-1</v>
      </c>
      <c r="QN79" s="1">
        <v>0</v>
      </c>
      <c r="QP79" s="1">
        <v>2603699221</v>
      </c>
      <c r="QQ79" s="1">
        <v>16671</v>
      </c>
      <c r="QR79" s="1">
        <v>15000000</v>
      </c>
      <c r="QS79" s="1">
        <v>15000000</v>
      </c>
      <c r="QT79" s="1">
        <v>90</v>
      </c>
      <c r="QU79" s="1">
        <v>1</v>
      </c>
      <c r="QV79" s="1">
        <v>1</v>
      </c>
      <c r="QW79" s="1">
        <v>90</v>
      </c>
      <c r="QX79" s="1">
        <v>60003760</v>
      </c>
      <c r="QY79" s="1">
        <v>-1</v>
      </c>
      <c r="QZ79" s="1">
        <v>0</v>
      </c>
      <c r="RB79" s="1">
        <v>2865580563</v>
      </c>
      <c r="RC79" s="1">
        <v>16682</v>
      </c>
      <c r="RD79" s="1">
        <v>200000</v>
      </c>
      <c r="RE79" s="1">
        <v>190490</v>
      </c>
      <c r="RF79" s="1">
        <v>3005.12</v>
      </c>
      <c r="RG79" s="1">
        <v>1</v>
      </c>
      <c r="RH79" s="1">
        <v>1</v>
      </c>
      <c r="RI79" s="1">
        <v>90</v>
      </c>
      <c r="RJ79" s="1">
        <v>60003760</v>
      </c>
      <c r="RK79" s="1">
        <v>-1</v>
      </c>
      <c r="RL79" s="1">
        <v>0</v>
      </c>
      <c r="RN79" s="1">
        <v>2878294349</v>
      </c>
      <c r="RO79" s="1">
        <v>16678</v>
      </c>
      <c r="RP79" s="1">
        <v>500000</v>
      </c>
      <c r="RQ79" s="1">
        <v>406493</v>
      </c>
      <c r="RR79" s="1">
        <v>274.5</v>
      </c>
      <c r="RS79" s="1">
        <v>1</v>
      </c>
      <c r="RT79" s="1">
        <v>1</v>
      </c>
      <c r="RU79" s="1">
        <v>90</v>
      </c>
      <c r="RV79" s="1">
        <v>60003760</v>
      </c>
      <c r="RW79" s="1">
        <v>-1</v>
      </c>
      <c r="RX79" s="1">
        <v>0</v>
      </c>
      <c r="SX79" s="1">
        <v>2858834842</v>
      </c>
      <c r="SY79" s="1">
        <v>25595</v>
      </c>
      <c r="SZ79" s="1">
        <v>387</v>
      </c>
      <c r="TA79" s="1">
        <v>387</v>
      </c>
      <c r="TB79" s="1">
        <v>86496.46</v>
      </c>
      <c r="TC79" s="1">
        <v>1</v>
      </c>
      <c r="TD79" s="1">
        <v>0</v>
      </c>
      <c r="TE79" s="1">
        <v>90</v>
      </c>
      <c r="TF79" s="1">
        <v>60003760</v>
      </c>
      <c r="TG79" s="1">
        <v>32767</v>
      </c>
      <c r="TH79" s="1">
        <v>6</v>
      </c>
      <c r="TJ79" s="1">
        <v>2872068920</v>
      </c>
      <c r="TK79" s="1">
        <v>25606</v>
      </c>
      <c r="TL79" s="1">
        <v>101</v>
      </c>
      <c r="TM79" s="1">
        <v>101</v>
      </c>
      <c r="TN79" s="1">
        <v>24000</v>
      </c>
      <c r="TO79" s="1">
        <v>1</v>
      </c>
      <c r="TP79" s="1">
        <v>0</v>
      </c>
      <c r="TQ79" s="1">
        <v>90</v>
      </c>
      <c r="TR79" s="1">
        <v>60001882</v>
      </c>
      <c r="TS79" s="1">
        <v>32767</v>
      </c>
      <c r="TT79" s="1">
        <v>8</v>
      </c>
      <c r="TV79"/>
      <c r="TW79"/>
      <c r="TX79"/>
      <c r="TY79"/>
      <c r="TZ79"/>
      <c r="UA79"/>
      <c r="UB79"/>
      <c r="UC79"/>
      <c r="UD79"/>
      <c r="UE79"/>
      <c r="UF79"/>
      <c r="UH79" s="1">
        <v>2879122769</v>
      </c>
      <c r="UI79" s="1">
        <v>16680</v>
      </c>
      <c r="UJ79" s="1">
        <v>90450</v>
      </c>
      <c r="UK79" s="1">
        <v>90450</v>
      </c>
      <c r="UL79" s="1">
        <v>679.27</v>
      </c>
      <c r="UM79" s="1">
        <v>1</v>
      </c>
      <c r="UN79" s="1">
        <v>1</v>
      </c>
      <c r="UO79" s="1">
        <v>90</v>
      </c>
      <c r="UP79" s="1">
        <v>60003760</v>
      </c>
      <c r="UQ79" s="1">
        <v>-1</v>
      </c>
      <c r="UR79" s="1">
        <v>0</v>
      </c>
      <c r="UT79"/>
      <c r="UU79"/>
      <c r="UV79"/>
      <c r="UW79"/>
      <c r="UX79"/>
      <c r="UY79"/>
      <c r="UZ79"/>
      <c r="VA79"/>
      <c r="VB79"/>
      <c r="VC79"/>
      <c r="VD79"/>
      <c r="VF79"/>
      <c r="VG79"/>
      <c r="VH79"/>
      <c r="VI79"/>
      <c r="VJ79"/>
      <c r="VK79"/>
      <c r="VL79"/>
      <c r="VM79"/>
      <c r="VN79"/>
      <c r="VO79"/>
      <c r="VP79"/>
    </row>
    <row r="80" spans="2:588" x14ac:dyDescent="0.25">
      <c r="B80" s="1">
        <v>2825234420</v>
      </c>
      <c r="C80" s="1">
        <v>34</v>
      </c>
      <c r="D80" s="1">
        <v>2610300</v>
      </c>
      <c r="E80" s="1">
        <v>2610300</v>
      </c>
      <c r="F80" s="1">
        <v>6</v>
      </c>
      <c r="G80" s="1">
        <v>1</v>
      </c>
      <c r="H80" s="1">
        <v>0</v>
      </c>
      <c r="I80" s="1">
        <v>90</v>
      </c>
      <c r="J80" s="1">
        <v>60003760</v>
      </c>
      <c r="K80" s="1">
        <v>32767</v>
      </c>
      <c r="L80" s="1">
        <v>0</v>
      </c>
      <c r="N80" s="1">
        <v>2846458794</v>
      </c>
      <c r="O80" s="1">
        <v>35</v>
      </c>
      <c r="P80" s="1">
        <v>10048949</v>
      </c>
      <c r="Q80" s="1">
        <v>10048949</v>
      </c>
      <c r="R80" s="1">
        <v>15.63</v>
      </c>
      <c r="S80" s="1">
        <v>1</v>
      </c>
      <c r="T80" s="1">
        <v>0</v>
      </c>
      <c r="U80" s="1">
        <v>90</v>
      </c>
      <c r="V80" s="1">
        <v>60003760</v>
      </c>
      <c r="W80" s="1">
        <v>32767</v>
      </c>
      <c r="X80" s="1">
        <v>0</v>
      </c>
      <c r="Z80" s="1">
        <v>2781803821</v>
      </c>
      <c r="AA80" s="1">
        <v>36</v>
      </c>
      <c r="AB80" s="1">
        <v>37102</v>
      </c>
      <c r="AC80" s="1">
        <v>37102</v>
      </c>
      <c r="AD80" s="16">
        <v>55</v>
      </c>
      <c r="AE80" s="1">
        <v>1</v>
      </c>
      <c r="AF80" s="1">
        <v>0</v>
      </c>
      <c r="AG80" s="1">
        <v>90</v>
      </c>
      <c r="AH80" s="1">
        <v>60003760</v>
      </c>
      <c r="AI80" s="1">
        <v>32767</v>
      </c>
      <c r="AJ80" s="1">
        <v>11</v>
      </c>
      <c r="AL80" s="1">
        <v>2750706967</v>
      </c>
      <c r="AM80" s="1">
        <v>37</v>
      </c>
      <c r="AN80" s="1">
        <v>2509648</v>
      </c>
      <c r="AO80" s="1">
        <v>2509648</v>
      </c>
      <c r="AP80" s="16">
        <v>166.02</v>
      </c>
      <c r="AQ80" s="1">
        <v>1</v>
      </c>
      <c r="AR80" s="1">
        <v>0</v>
      </c>
      <c r="AS80" s="1">
        <v>90</v>
      </c>
      <c r="AT80" s="1">
        <v>60003760</v>
      </c>
      <c r="AU80" s="1">
        <v>32767</v>
      </c>
      <c r="AV80" s="1">
        <v>9</v>
      </c>
      <c r="AX80" s="1">
        <v>2878223319</v>
      </c>
      <c r="AY80" s="1">
        <v>38</v>
      </c>
      <c r="AZ80" s="1">
        <v>143575</v>
      </c>
      <c r="BA80" s="1">
        <v>143575</v>
      </c>
      <c r="BB80" s="1">
        <v>820</v>
      </c>
      <c r="BC80" s="1">
        <v>1</v>
      </c>
      <c r="BD80" s="1">
        <v>0</v>
      </c>
      <c r="BE80" s="1">
        <v>90</v>
      </c>
      <c r="BF80" s="1">
        <v>60001873</v>
      </c>
      <c r="BG80" s="1">
        <v>32767</v>
      </c>
      <c r="BH80" s="1">
        <v>8</v>
      </c>
      <c r="BJ80" s="1">
        <v>2684180452</v>
      </c>
      <c r="BK80" s="1">
        <v>39</v>
      </c>
      <c r="BL80" s="1">
        <v>47545720</v>
      </c>
      <c r="BM80" s="1">
        <v>47545720</v>
      </c>
      <c r="BN80" s="1">
        <v>1299.98</v>
      </c>
      <c r="BO80" s="1">
        <v>1</v>
      </c>
      <c r="BP80" s="1">
        <v>0</v>
      </c>
      <c r="BQ80" s="1">
        <v>90</v>
      </c>
      <c r="BR80" s="1">
        <v>60003760</v>
      </c>
      <c r="BS80" s="1">
        <v>32767</v>
      </c>
      <c r="BT80" s="1">
        <v>5</v>
      </c>
      <c r="BV80" s="1">
        <v>2401337029</v>
      </c>
      <c r="BW80" s="1">
        <v>40</v>
      </c>
      <c r="BX80" s="1">
        <v>1264150</v>
      </c>
      <c r="BY80" s="1">
        <v>752130</v>
      </c>
      <c r="BZ80" s="1">
        <v>2748.98</v>
      </c>
      <c r="CA80" s="1">
        <v>1</v>
      </c>
      <c r="CB80" s="1">
        <v>0</v>
      </c>
      <c r="CC80" s="1">
        <v>90</v>
      </c>
      <c r="CD80" s="1">
        <v>60003760</v>
      </c>
      <c r="CE80" s="1">
        <v>32767</v>
      </c>
      <c r="CF80" s="1">
        <v>13</v>
      </c>
      <c r="CH80" s="1">
        <v>2411157585</v>
      </c>
      <c r="CI80" s="1">
        <v>29668</v>
      </c>
      <c r="CJ80" s="1">
        <v>1</v>
      </c>
      <c r="CK80" s="1">
        <v>1</v>
      </c>
      <c r="CL80" s="1">
        <v>513999999</v>
      </c>
      <c r="CM80" s="1">
        <v>1</v>
      </c>
      <c r="CN80" s="1">
        <v>0</v>
      </c>
      <c r="CO80" s="1">
        <v>90</v>
      </c>
      <c r="CP80" s="1">
        <v>60003760</v>
      </c>
      <c r="CQ80" s="1">
        <v>32767</v>
      </c>
      <c r="CR80" s="1">
        <v>0</v>
      </c>
      <c r="CT80" s="1">
        <v>2392123908</v>
      </c>
      <c r="CU80" s="1">
        <v>16649</v>
      </c>
      <c r="CV80" s="1">
        <v>20000</v>
      </c>
      <c r="CW80" s="1">
        <v>20000</v>
      </c>
      <c r="CX80" s="1">
        <v>80010.070000000007</v>
      </c>
      <c r="CY80" s="1">
        <v>1</v>
      </c>
      <c r="CZ80" s="1">
        <v>1</v>
      </c>
      <c r="DA80" s="1">
        <v>90</v>
      </c>
      <c r="DB80" s="1">
        <v>60003760</v>
      </c>
      <c r="DC80" s="1">
        <v>-1</v>
      </c>
      <c r="DD80" s="1">
        <v>0</v>
      </c>
      <c r="DF80" s="1">
        <v>2410845097</v>
      </c>
      <c r="DG80" s="1">
        <v>17887</v>
      </c>
      <c r="DH80" s="1">
        <v>1089602</v>
      </c>
      <c r="DI80" s="1">
        <v>1059602</v>
      </c>
      <c r="DJ80" s="1">
        <v>1021.78</v>
      </c>
      <c r="DK80" s="1">
        <v>1</v>
      </c>
      <c r="DL80" s="1">
        <v>0</v>
      </c>
      <c r="DM80" s="1">
        <v>90</v>
      </c>
      <c r="DN80" s="1">
        <v>60003760</v>
      </c>
      <c r="DO80" s="1">
        <v>32767</v>
      </c>
      <c r="DP80" s="1">
        <v>0</v>
      </c>
      <c r="DR80" s="1">
        <v>2784286067</v>
      </c>
      <c r="DS80" s="1">
        <v>17888</v>
      </c>
      <c r="DT80" s="1">
        <v>12763800</v>
      </c>
      <c r="DU80" s="1">
        <v>12763800</v>
      </c>
      <c r="DV80" s="1">
        <v>470</v>
      </c>
      <c r="DW80" s="1">
        <v>1</v>
      </c>
      <c r="DX80" s="1">
        <v>0</v>
      </c>
      <c r="DY80" s="1">
        <v>90</v>
      </c>
      <c r="DZ80" s="1">
        <v>60003760</v>
      </c>
      <c r="EA80" s="1">
        <v>32767</v>
      </c>
      <c r="EB80" s="1">
        <v>8</v>
      </c>
      <c r="ED80" s="1">
        <v>2854208876</v>
      </c>
      <c r="EE80" s="1">
        <v>16273</v>
      </c>
      <c r="EF80" s="1">
        <v>50000</v>
      </c>
      <c r="EG80" s="1">
        <v>50000</v>
      </c>
      <c r="EH80" s="1">
        <v>450</v>
      </c>
      <c r="EI80" s="1">
        <v>1</v>
      </c>
      <c r="EJ80" s="1">
        <v>0</v>
      </c>
      <c r="EK80" s="1">
        <v>90</v>
      </c>
      <c r="EL80" s="1">
        <v>60003043</v>
      </c>
      <c r="EM80" s="1">
        <v>32767</v>
      </c>
      <c r="EN80" s="1">
        <v>4</v>
      </c>
      <c r="EP80" s="1">
        <v>2879039880</v>
      </c>
      <c r="EQ80" s="1">
        <v>17889</v>
      </c>
      <c r="ER80" s="1">
        <v>1900000</v>
      </c>
      <c r="ES80" s="1">
        <v>1900000</v>
      </c>
      <c r="ET80" s="1">
        <v>373</v>
      </c>
      <c r="EU80" s="1">
        <v>1</v>
      </c>
      <c r="EV80" s="1">
        <v>0</v>
      </c>
      <c r="EW80" s="1">
        <v>30</v>
      </c>
      <c r="EX80" s="1">
        <v>60003760</v>
      </c>
      <c r="EY80" s="1">
        <v>32767</v>
      </c>
      <c r="EZ80" s="1">
        <v>0</v>
      </c>
      <c r="FB80" s="1">
        <v>2787213310</v>
      </c>
      <c r="FC80" s="1">
        <v>30259</v>
      </c>
      <c r="FD80" s="1">
        <v>1000</v>
      </c>
      <c r="FE80" s="1">
        <v>1000</v>
      </c>
      <c r="FF80" s="1">
        <v>207101.15</v>
      </c>
      <c r="FG80" s="1">
        <v>1</v>
      </c>
      <c r="FH80" s="1">
        <v>1</v>
      </c>
      <c r="FI80" s="1">
        <v>90</v>
      </c>
      <c r="FJ80" s="1">
        <v>60003760</v>
      </c>
      <c r="FK80" s="1">
        <v>20</v>
      </c>
      <c r="FL80" s="1">
        <v>0</v>
      </c>
      <c r="FN80" s="1">
        <v>2869497197</v>
      </c>
      <c r="FO80" s="1">
        <v>25617</v>
      </c>
      <c r="FP80" s="1">
        <v>110</v>
      </c>
      <c r="FQ80" s="1">
        <v>6</v>
      </c>
      <c r="FR80" s="1">
        <v>4865034.38</v>
      </c>
      <c r="FS80" s="1">
        <v>1</v>
      </c>
      <c r="FT80" s="1">
        <v>1</v>
      </c>
      <c r="FU80" s="1">
        <v>90</v>
      </c>
      <c r="FV80" s="1">
        <v>60003760</v>
      </c>
      <c r="FW80" s="1">
        <v>-1</v>
      </c>
      <c r="FX80" s="1">
        <v>0</v>
      </c>
      <c r="FZ80" s="1">
        <v>2854521465</v>
      </c>
      <c r="GA80" s="1">
        <v>44</v>
      </c>
      <c r="GB80" s="1">
        <v>1090</v>
      </c>
      <c r="GC80" s="1">
        <v>1090</v>
      </c>
      <c r="GD80" s="1">
        <v>15000</v>
      </c>
      <c r="GE80" s="1">
        <v>1</v>
      </c>
      <c r="GF80" s="1">
        <v>0</v>
      </c>
      <c r="GG80" s="1">
        <v>90</v>
      </c>
      <c r="GH80" s="1">
        <v>60004435</v>
      </c>
      <c r="GI80" s="1">
        <v>32767</v>
      </c>
      <c r="GJ80" s="1">
        <v>5</v>
      </c>
      <c r="GL80" s="1">
        <v>2391766154</v>
      </c>
      <c r="GM80" s="1">
        <v>16681</v>
      </c>
      <c r="GN80" s="1">
        <v>3000000</v>
      </c>
      <c r="GO80" s="1">
        <v>3000000</v>
      </c>
      <c r="GP80" s="1">
        <v>5083</v>
      </c>
      <c r="GQ80" s="1">
        <v>1</v>
      </c>
      <c r="GR80" s="1">
        <v>1</v>
      </c>
      <c r="GS80" s="1">
        <v>90</v>
      </c>
      <c r="GT80" s="1">
        <v>60003760</v>
      </c>
      <c r="GU80" s="1">
        <v>-1</v>
      </c>
      <c r="GV80" s="1">
        <v>0</v>
      </c>
      <c r="GX80" s="1">
        <v>2878608605</v>
      </c>
      <c r="GY80" s="1">
        <v>16683</v>
      </c>
      <c r="GZ80" s="1">
        <v>7000</v>
      </c>
      <c r="HA80" s="1">
        <v>7000</v>
      </c>
      <c r="HB80" s="1">
        <v>8382.1200000000008</v>
      </c>
      <c r="HC80" s="1">
        <v>1</v>
      </c>
      <c r="HD80" s="1">
        <v>1</v>
      </c>
      <c r="HE80" s="1">
        <v>90</v>
      </c>
      <c r="HF80" s="1">
        <v>60003760</v>
      </c>
      <c r="HG80" s="1">
        <v>-1</v>
      </c>
      <c r="HH80" s="1">
        <v>0</v>
      </c>
      <c r="HJ80"/>
      <c r="HK80"/>
      <c r="HL80"/>
      <c r="HM80"/>
      <c r="HN80"/>
      <c r="HO80"/>
      <c r="HP80"/>
      <c r="HQ80"/>
      <c r="HR80"/>
      <c r="HS80"/>
      <c r="HT80"/>
      <c r="HV80" s="1">
        <v>2878425750</v>
      </c>
      <c r="HW80" s="1">
        <v>16274</v>
      </c>
      <c r="HX80" s="1">
        <v>1164900</v>
      </c>
      <c r="HY80" s="1">
        <v>1110900</v>
      </c>
      <c r="HZ80" s="1">
        <v>369.99</v>
      </c>
      <c r="IA80" s="1">
        <v>1</v>
      </c>
      <c r="IB80" s="1">
        <v>0</v>
      </c>
      <c r="IC80" s="1">
        <v>3</v>
      </c>
      <c r="ID80" s="1">
        <v>60003760</v>
      </c>
      <c r="IE80" s="1">
        <v>32767</v>
      </c>
      <c r="IF80" s="1">
        <v>0</v>
      </c>
      <c r="IH80"/>
      <c r="II80"/>
      <c r="IJ80"/>
      <c r="IK80"/>
      <c r="IL80"/>
      <c r="IM80"/>
      <c r="IN80"/>
      <c r="IO80"/>
      <c r="IP80"/>
      <c r="IQ80"/>
      <c r="IR80"/>
      <c r="IT80" s="1">
        <v>2826370344</v>
      </c>
      <c r="IU80" s="1">
        <v>16679</v>
      </c>
      <c r="IV80" s="1">
        <v>100000</v>
      </c>
      <c r="IW80" s="1">
        <v>100000</v>
      </c>
      <c r="IX80" s="1">
        <v>1620</v>
      </c>
      <c r="IY80" s="1">
        <v>1000</v>
      </c>
      <c r="IZ80" s="1">
        <v>1</v>
      </c>
      <c r="JA80" s="1">
        <v>90</v>
      </c>
      <c r="JB80" s="1">
        <v>60003760</v>
      </c>
      <c r="JC80" s="1">
        <v>-1</v>
      </c>
      <c r="JD80" s="1">
        <v>0</v>
      </c>
      <c r="JF80" s="1">
        <v>2799648567</v>
      </c>
      <c r="JG80" s="1">
        <v>16272</v>
      </c>
      <c r="JH80" s="1">
        <v>104731</v>
      </c>
      <c r="JI80" s="1">
        <v>102837</v>
      </c>
      <c r="JJ80" s="1">
        <v>85</v>
      </c>
      <c r="JK80" s="1">
        <v>1</v>
      </c>
      <c r="JL80" s="1">
        <v>0</v>
      </c>
      <c r="JM80" s="1">
        <v>90</v>
      </c>
      <c r="JN80" s="1">
        <v>60002851</v>
      </c>
      <c r="JO80" s="1">
        <v>32767</v>
      </c>
      <c r="JP80" s="1">
        <v>10</v>
      </c>
      <c r="KD80" s="1">
        <v>2819863495</v>
      </c>
      <c r="KE80" s="1">
        <v>25605</v>
      </c>
      <c r="KF80" s="1">
        <v>10000</v>
      </c>
      <c r="KG80" s="1">
        <v>7249</v>
      </c>
      <c r="KH80" s="1">
        <v>102499.09</v>
      </c>
      <c r="KI80" s="1">
        <v>50</v>
      </c>
      <c r="KJ80" s="1">
        <v>1</v>
      </c>
      <c r="KK80" s="1">
        <v>90</v>
      </c>
      <c r="KL80" s="1">
        <v>60003760</v>
      </c>
      <c r="KM80" s="1">
        <v>5</v>
      </c>
      <c r="KN80" s="1">
        <v>0</v>
      </c>
      <c r="KP80" s="1">
        <v>2878698355</v>
      </c>
      <c r="KQ80" s="1">
        <v>25624</v>
      </c>
      <c r="KR80" s="1">
        <v>1</v>
      </c>
      <c r="KS80" s="1">
        <v>1</v>
      </c>
      <c r="KT80" s="1">
        <v>18200000</v>
      </c>
      <c r="KU80" s="1">
        <v>1</v>
      </c>
      <c r="KV80" s="1">
        <v>0</v>
      </c>
      <c r="KW80" s="1">
        <v>90</v>
      </c>
      <c r="KX80" s="1">
        <v>60003760</v>
      </c>
      <c r="KY80" s="1">
        <v>32767</v>
      </c>
      <c r="KZ80" s="1">
        <v>0</v>
      </c>
      <c r="LB80" s="1">
        <v>2876038904</v>
      </c>
      <c r="LC80" s="1">
        <v>9832</v>
      </c>
      <c r="LD80" s="1">
        <v>150000</v>
      </c>
      <c r="LE80" s="1">
        <v>150000</v>
      </c>
      <c r="LF80" s="1">
        <v>9596.99</v>
      </c>
      <c r="LG80" s="1">
        <v>1</v>
      </c>
      <c r="LH80" s="1">
        <v>0</v>
      </c>
      <c r="LI80" s="1">
        <v>90</v>
      </c>
      <c r="LJ80" s="1">
        <v>60003760</v>
      </c>
      <c r="LK80" s="1">
        <v>32767</v>
      </c>
      <c r="LL80" s="1">
        <v>0</v>
      </c>
      <c r="ML80" s="1">
        <v>2878951176</v>
      </c>
      <c r="MM80" s="1">
        <v>25625</v>
      </c>
      <c r="MN80" s="1">
        <v>39</v>
      </c>
      <c r="MO80" s="1">
        <v>17</v>
      </c>
      <c r="MP80" s="1">
        <v>4217003.24</v>
      </c>
      <c r="MQ80" s="1">
        <v>1</v>
      </c>
      <c r="MR80" s="1">
        <v>1</v>
      </c>
      <c r="MS80" s="1">
        <v>90</v>
      </c>
      <c r="MT80" s="1">
        <v>60003760</v>
      </c>
      <c r="MU80" s="1">
        <v>-1</v>
      </c>
      <c r="MV80" s="1">
        <v>0</v>
      </c>
      <c r="MX80" s="1">
        <v>2876721765</v>
      </c>
      <c r="MY80" s="1">
        <v>16672</v>
      </c>
      <c r="MZ80" s="1">
        <v>2500000</v>
      </c>
      <c r="NA80" s="1">
        <v>2500000</v>
      </c>
      <c r="NB80" s="1">
        <v>111.58</v>
      </c>
      <c r="NC80" s="1">
        <v>1</v>
      </c>
      <c r="ND80" s="1">
        <v>1</v>
      </c>
      <c r="NE80" s="1">
        <v>90</v>
      </c>
      <c r="NF80" s="1">
        <v>60003760</v>
      </c>
      <c r="NG80" s="1">
        <v>-1</v>
      </c>
      <c r="NH80" s="1">
        <v>0</v>
      </c>
      <c r="NJ80" s="1">
        <v>2878884170</v>
      </c>
      <c r="NK80" s="1">
        <v>16673</v>
      </c>
      <c r="NL80" s="1">
        <v>1510000</v>
      </c>
      <c r="NM80" s="1">
        <v>1185000</v>
      </c>
      <c r="NN80" s="1">
        <v>101.27</v>
      </c>
      <c r="NO80" s="1">
        <v>1</v>
      </c>
      <c r="NP80" s="1">
        <v>0</v>
      </c>
      <c r="NQ80" s="1">
        <v>90</v>
      </c>
      <c r="NR80" s="1">
        <v>60003760</v>
      </c>
      <c r="NS80" s="1">
        <v>32767</v>
      </c>
      <c r="NT80" s="1">
        <v>0</v>
      </c>
      <c r="NV80" s="1">
        <v>2874966807</v>
      </c>
      <c r="NW80" s="1">
        <v>3689</v>
      </c>
      <c r="NX80" s="1">
        <v>4543</v>
      </c>
      <c r="NY80" s="1">
        <v>1865</v>
      </c>
      <c r="NZ80" s="1">
        <v>10174.98</v>
      </c>
      <c r="OA80" s="1">
        <v>1</v>
      </c>
      <c r="OB80" s="1">
        <v>0</v>
      </c>
      <c r="OC80" s="1">
        <v>30</v>
      </c>
      <c r="OD80" s="1">
        <v>60003760</v>
      </c>
      <c r="OE80" s="1">
        <v>32767</v>
      </c>
      <c r="OF80" s="1">
        <v>0</v>
      </c>
      <c r="OH80" s="1">
        <v>2858160349</v>
      </c>
      <c r="OI80" s="1">
        <v>25598</v>
      </c>
      <c r="OJ80" s="1">
        <v>10812</v>
      </c>
      <c r="OK80" s="1">
        <v>10812</v>
      </c>
      <c r="OL80" s="1">
        <v>142499.99</v>
      </c>
      <c r="OM80" s="1">
        <v>1</v>
      </c>
      <c r="ON80" s="1">
        <v>0</v>
      </c>
      <c r="OO80" s="1">
        <v>90</v>
      </c>
      <c r="OP80" s="1">
        <v>60003760</v>
      </c>
      <c r="OQ80" s="1">
        <v>32767</v>
      </c>
      <c r="OR80" s="1">
        <v>0</v>
      </c>
      <c r="OT80" s="1">
        <v>2835785183</v>
      </c>
      <c r="OU80" s="1">
        <v>25600</v>
      </c>
      <c r="OV80" s="1">
        <v>8</v>
      </c>
      <c r="OW80" s="1">
        <v>8</v>
      </c>
      <c r="OX80" s="1">
        <v>30400</v>
      </c>
      <c r="OY80" s="1">
        <v>1</v>
      </c>
      <c r="OZ80" s="1">
        <v>0</v>
      </c>
      <c r="PA80" s="1">
        <v>30</v>
      </c>
      <c r="PB80" s="1">
        <v>60003037</v>
      </c>
      <c r="PC80" s="1">
        <v>32767</v>
      </c>
      <c r="PD80" s="1">
        <v>3</v>
      </c>
      <c r="PF80" s="1">
        <v>2876878669</v>
      </c>
      <c r="PG80" s="1">
        <v>16670</v>
      </c>
      <c r="PH80" s="1">
        <v>6920000</v>
      </c>
      <c r="PI80" s="1">
        <v>6920000</v>
      </c>
      <c r="PJ80" s="1">
        <v>117.55</v>
      </c>
      <c r="PK80" s="1">
        <v>1</v>
      </c>
      <c r="PL80" s="1">
        <v>0</v>
      </c>
      <c r="PM80" s="1">
        <v>90</v>
      </c>
      <c r="PN80" s="1">
        <v>60003760</v>
      </c>
      <c r="PO80" s="1">
        <v>32767</v>
      </c>
      <c r="PP80" s="1">
        <v>7</v>
      </c>
      <c r="QD80" s="1">
        <v>2810547145</v>
      </c>
      <c r="QE80" s="1">
        <v>9830</v>
      </c>
      <c r="QF80" s="1">
        <v>15000</v>
      </c>
      <c r="QG80" s="1">
        <v>15000</v>
      </c>
      <c r="QH80" s="1">
        <v>6373.06</v>
      </c>
      <c r="QI80" s="1">
        <v>1</v>
      </c>
      <c r="QJ80" s="1">
        <v>1</v>
      </c>
      <c r="QK80" s="1">
        <v>90</v>
      </c>
      <c r="QL80" s="1">
        <v>60003760</v>
      </c>
      <c r="QM80" s="1">
        <v>-1</v>
      </c>
      <c r="QN80" s="1">
        <v>0</v>
      </c>
      <c r="QP80" s="1">
        <v>2643220869</v>
      </c>
      <c r="QQ80" s="1">
        <v>16671</v>
      </c>
      <c r="QR80" s="1">
        <v>10000000</v>
      </c>
      <c r="QS80" s="1">
        <v>10000000</v>
      </c>
      <c r="QT80" s="1">
        <v>25.07</v>
      </c>
      <c r="QU80" s="1">
        <v>1</v>
      </c>
      <c r="QV80" s="1">
        <v>1</v>
      </c>
      <c r="QW80" s="1">
        <v>90</v>
      </c>
      <c r="QX80" s="1">
        <v>60003760</v>
      </c>
      <c r="QY80" s="1">
        <v>20</v>
      </c>
      <c r="QZ80" s="1">
        <v>0</v>
      </c>
      <c r="RB80" s="1">
        <v>2865613038</v>
      </c>
      <c r="RC80" s="1">
        <v>16682</v>
      </c>
      <c r="RD80" s="1">
        <v>20000</v>
      </c>
      <c r="RE80" s="1">
        <v>20000</v>
      </c>
      <c r="RF80" s="1">
        <v>2996</v>
      </c>
      <c r="RG80" s="1">
        <v>1</v>
      </c>
      <c r="RH80" s="1">
        <v>1</v>
      </c>
      <c r="RI80" s="1">
        <v>90</v>
      </c>
      <c r="RJ80" s="1">
        <v>60003760</v>
      </c>
      <c r="RK80" s="1">
        <v>-1</v>
      </c>
      <c r="RL80" s="1">
        <v>0</v>
      </c>
      <c r="RN80" s="1">
        <v>2878194076</v>
      </c>
      <c r="RO80" s="1">
        <v>16678</v>
      </c>
      <c r="RP80" s="1">
        <v>1000000</v>
      </c>
      <c r="RQ80" s="1">
        <v>1000000</v>
      </c>
      <c r="RR80" s="1">
        <v>274.45</v>
      </c>
      <c r="RS80" s="1">
        <v>1</v>
      </c>
      <c r="RT80" s="1">
        <v>1</v>
      </c>
      <c r="RU80" s="1">
        <v>30</v>
      </c>
      <c r="RV80" s="1">
        <v>60003760</v>
      </c>
      <c r="RW80" s="1">
        <v>-1</v>
      </c>
      <c r="RX80" s="1">
        <v>0</v>
      </c>
      <c r="SX80" s="1">
        <v>2858818628</v>
      </c>
      <c r="SY80" s="1">
        <v>25595</v>
      </c>
      <c r="SZ80" s="1">
        <v>1500</v>
      </c>
      <c r="TA80" s="1">
        <v>1000</v>
      </c>
      <c r="TB80" s="1">
        <v>83498.990000000005</v>
      </c>
      <c r="TC80" s="1">
        <v>1</v>
      </c>
      <c r="TD80" s="1">
        <v>0</v>
      </c>
      <c r="TE80" s="1">
        <v>30</v>
      </c>
      <c r="TF80" s="1">
        <v>60003760</v>
      </c>
      <c r="TG80" s="1">
        <v>32767</v>
      </c>
      <c r="TH80" s="1">
        <v>6</v>
      </c>
      <c r="TJ80" s="1">
        <v>2762388078</v>
      </c>
      <c r="TK80" s="1">
        <v>25606</v>
      </c>
      <c r="TL80" s="1">
        <v>113</v>
      </c>
      <c r="TM80" s="1">
        <v>104</v>
      </c>
      <c r="TN80" s="1">
        <v>32000</v>
      </c>
      <c r="TO80" s="1">
        <v>1</v>
      </c>
      <c r="TP80" s="1">
        <v>0</v>
      </c>
      <c r="TQ80" s="1">
        <v>90</v>
      </c>
      <c r="TR80" s="1">
        <v>60000535</v>
      </c>
      <c r="TS80" s="1">
        <v>32767</v>
      </c>
      <c r="TT80" s="1">
        <v>6</v>
      </c>
      <c r="TV80"/>
      <c r="TW80"/>
      <c r="TX80"/>
      <c r="TY80"/>
      <c r="TZ80"/>
      <c r="UA80"/>
      <c r="UB80"/>
      <c r="UC80"/>
      <c r="UD80"/>
      <c r="UE80"/>
      <c r="UF80"/>
      <c r="UH80" s="1">
        <v>2878516290</v>
      </c>
      <c r="UI80" s="1">
        <v>16680</v>
      </c>
      <c r="UJ80" s="1">
        <v>100000</v>
      </c>
      <c r="UK80" s="1">
        <v>58703</v>
      </c>
      <c r="UL80" s="1">
        <v>679.29</v>
      </c>
      <c r="UM80" s="1">
        <v>1</v>
      </c>
      <c r="UN80" s="1">
        <v>1</v>
      </c>
      <c r="UO80" s="1">
        <v>30</v>
      </c>
      <c r="UP80" s="1">
        <v>60003760</v>
      </c>
      <c r="UQ80" s="1">
        <v>-1</v>
      </c>
      <c r="UR80" s="1">
        <v>0</v>
      </c>
      <c r="UT80"/>
      <c r="UU80"/>
      <c r="UV80"/>
      <c r="UW80"/>
      <c r="UX80"/>
      <c r="UY80"/>
      <c r="UZ80"/>
      <c r="VA80"/>
      <c r="VB80"/>
      <c r="VC80"/>
      <c r="VD80"/>
      <c r="VF80"/>
      <c r="VG80"/>
      <c r="VH80"/>
      <c r="VI80"/>
      <c r="VJ80"/>
      <c r="VK80"/>
      <c r="VL80"/>
      <c r="VM80"/>
      <c r="VN80"/>
      <c r="VO80"/>
      <c r="VP80"/>
    </row>
    <row r="81" spans="2:588" x14ac:dyDescent="0.25">
      <c r="B81" s="1">
        <v>2756001578</v>
      </c>
      <c r="C81" s="1">
        <v>34</v>
      </c>
      <c r="D81" s="1">
        <v>1</v>
      </c>
      <c r="E81" s="1">
        <v>1</v>
      </c>
      <c r="F81" s="1">
        <v>1005.91</v>
      </c>
      <c r="G81" s="1">
        <v>1</v>
      </c>
      <c r="H81" s="1">
        <v>0</v>
      </c>
      <c r="I81" s="1">
        <v>90</v>
      </c>
      <c r="J81" s="1">
        <v>60003760</v>
      </c>
      <c r="K81" s="1">
        <v>32767</v>
      </c>
      <c r="L81" s="1">
        <v>0</v>
      </c>
      <c r="N81" s="1">
        <v>2846584721</v>
      </c>
      <c r="O81" s="1">
        <v>35</v>
      </c>
      <c r="P81" s="1">
        <v>109183102</v>
      </c>
      <c r="Q81" s="1">
        <v>81232757</v>
      </c>
      <c r="R81" s="1">
        <v>15.62</v>
      </c>
      <c r="S81" s="1">
        <v>1</v>
      </c>
      <c r="T81" s="1">
        <v>0</v>
      </c>
      <c r="U81" s="1">
        <v>90</v>
      </c>
      <c r="V81" s="1">
        <v>60003760</v>
      </c>
      <c r="W81" s="1">
        <v>32767</v>
      </c>
      <c r="X81" s="1">
        <v>0</v>
      </c>
      <c r="Z81" s="1">
        <v>2780863532</v>
      </c>
      <c r="AA81" s="1">
        <v>36</v>
      </c>
      <c r="AB81" s="1">
        <v>4250000</v>
      </c>
      <c r="AC81" s="1">
        <v>4250000</v>
      </c>
      <c r="AD81" s="16">
        <v>59.53</v>
      </c>
      <c r="AE81" s="1">
        <v>1</v>
      </c>
      <c r="AF81" s="1">
        <v>0</v>
      </c>
      <c r="AG81" s="1">
        <v>90</v>
      </c>
      <c r="AH81" s="1">
        <v>60003760</v>
      </c>
      <c r="AI81" s="1">
        <v>32767</v>
      </c>
      <c r="AJ81" s="1">
        <v>11</v>
      </c>
      <c r="AL81" s="1">
        <v>2751809738</v>
      </c>
      <c r="AM81" s="1">
        <v>37</v>
      </c>
      <c r="AN81" s="1">
        <v>480593</v>
      </c>
      <c r="AO81" s="1">
        <v>480593</v>
      </c>
      <c r="AP81" s="16">
        <v>164.33</v>
      </c>
      <c r="AQ81" s="1">
        <v>1</v>
      </c>
      <c r="AR81" s="1">
        <v>0</v>
      </c>
      <c r="AS81" s="1">
        <v>90</v>
      </c>
      <c r="AT81" s="1">
        <v>60003760</v>
      </c>
      <c r="AU81" s="1">
        <v>32767</v>
      </c>
      <c r="AV81" s="1">
        <v>9</v>
      </c>
      <c r="AX81" s="1">
        <v>2878223717</v>
      </c>
      <c r="AY81" s="1">
        <v>38</v>
      </c>
      <c r="AZ81" s="1">
        <v>16448</v>
      </c>
      <c r="BA81" s="1">
        <v>16448</v>
      </c>
      <c r="BB81" s="1">
        <v>820</v>
      </c>
      <c r="BC81" s="1">
        <v>1</v>
      </c>
      <c r="BD81" s="1">
        <v>0</v>
      </c>
      <c r="BE81" s="1">
        <v>90</v>
      </c>
      <c r="BF81" s="1">
        <v>60004435</v>
      </c>
      <c r="BG81" s="1">
        <v>32767</v>
      </c>
      <c r="BH81" s="1">
        <v>9</v>
      </c>
      <c r="BJ81" s="1">
        <v>2684420320</v>
      </c>
      <c r="BK81" s="1">
        <v>39</v>
      </c>
      <c r="BL81" s="1">
        <v>750000</v>
      </c>
      <c r="BM81" s="1">
        <v>750000</v>
      </c>
      <c r="BN81" s="1">
        <v>1049.99</v>
      </c>
      <c r="BO81" s="1">
        <v>1</v>
      </c>
      <c r="BP81" s="1">
        <v>0</v>
      </c>
      <c r="BQ81" s="1">
        <v>90</v>
      </c>
      <c r="BR81" s="1">
        <v>60003760</v>
      </c>
      <c r="BS81" s="1">
        <v>32767</v>
      </c>
      <c r="BT81" s="1">
        <v>5</v>
      </c>
      <c r="BV81" s="1">
        <v>2401924524</v>
      </c>
      <c r="BW81" s="1">
        <v>40</v>
      </c>
      <c r="BX81" s="1">
        <v>462553</v>
      </c>
      <c r="BY81" s="1">
        <v>462553</v>
      </c>
      <c r="BZ81" s="1">
        <v>2748.97</v>
      </c>
      <c r="CA81" s="1">
        <v>1</v>
      </c>
      <c r="CB81" s="1">
        <v>0</v>
      </c>
      <c r="CC81" s="1">
        <v>90</v>
      </c>
      <c r="CD81" s="1">
        <v>60003760</v>
      </c>
      <c r="CE81" s="1">
        <v>32767</v>
      </c>
      <c r="CF81" s="1">
        <v>13</v>
      </c>
      <c r="CH81" s="1">
        <v>2411072630</v>
      </c>
      <c r="CI81" s="1">
        <v>29668</v>
      </c>
      <c r="CJ81" s="1">
        <v>2</v>
      </c>
      <c r="CK81" s="1">
        <v>2</v>
      </c>
      <c r="CL81" s="1">
        <v>499999998.97000003</v>
      </c>
      <c r="CM81" s="1">
        <v>1</v>
      </c>
      <c r="CN81" s="1">
        <v>0</v>
      </c>
      <c r="CO81" s="1">
        <v>90</v>
      </c>
      <c r="CP81" s="1">
        <v>60003760</v>
      </c>
      <c r="CQ81" s="1">
        <v>32767</v>
      </c>
      <c r="CR81" s="1">
        <v>0</v>
      </c>
      <c r="CT81" s="1">
        <v>2392137466</v>
      </c>
      <c r="CU81" s="1">
        <v>16649</v>
      </c>
      <c r="CV81" s="1">
        <v>10000</v>
      </c>
      <c r="CW81" s="1">
        <v>10000</v>
      </c>
      <c r="CX81" s="1">
        <v>85000</v>
      </c>
      <c r="CY81" s="1">
        <v>1</v>
      </c>
      <c r="CZ81" s="1">
        <v>1</v>
      </c>
      <c r="DA81" s="1">
        <v>90</v>
      </c>
      <c r="DB81" s="1">
        <v>60003760</v>
      </c>
      <c r="DC81" s="1">
        <v>-1</v>
      </c>
      <c r="DD81" s="1">
        <v>0</v>
      </c>
      <c r="DF81" s="1">
        <v>2410845253</v>
      </c>
      <c r="DG81" s="1">
        <v>17887</v>
      </c>
      <c r="DH81" s="1">
        <v>1078706</v>
      </c>
      <c r="DI81" s="1">
        <v>1078706</v>
      </c>
      <c r="DJ81" s="1">
        <v>1021.77</v>
      </c>
      <c r="DK81" s="1">
        <v>1</v>
      </c>
      <c r="DL81" s="1">
        <v>0</v>
      </c>
      <c r="DM81" s="1">
        <v>90</v>
      </c>
      <c r="DN81" s="1">
        <v>60003760</v>
      </c>
      <c r="DO81" s="1">
        <v>32767</v>
      </c>
      <c r="DP81" s="1">
        <v>0</v>
      </c>
      <c r="DR81" s="1">
        <v>2791531799</v>
      </c>
      <c r="DS81" s="1">
        <v>17888</v>
      </c>
      <c r="DT81" s="1">
        <v>5000000</v>
      </c>
      <c r="DU81" s="1">
        <v>4950000</v>
      </c>
      <c r="DV81" s="1">
        <v>414.99</v>
      </c>
      <c r="DW81" s="1">
        <v>1</v>
      </c>
      <c r="DX81" s="1">
        <v>0</v>
      </c>
      <c r="DY81" s="1">
        <v>90</v>
      </c>
      <c r="DZ81" s="1">
        <v>60003760</v>
      </c>
      <c r="EA81" s="1">
        <v>32767</v>
      </c>
      <c r="EB81" s="1">
        <v>8</v>
      </c>
      <c r="ED81" s="1">
        <v>2857339954</v>
      </c>
      <c r="EE81" s="1">
        <v>16273</v>
      </c>
      <c r="EF81" s="1">
        <v>65485</v>
      </c>
      <c r="EG81" s="1">
        <v>4385</v>
      </c>
      <c r="EH81" s="1">
        <v>440</v>
      </c>
      <c r="EI81" s="1">
        <v>1</v>
      </c>
      <c r="EJ81" s="1">
        <v>0</v>
      </c>
      <c r="EK81" s="1">
        <v>90</v>
      </c>
      <c r="EL81" s="1">
        <v>60003043</v>
      </c>
      <c r="EM81" s="1">
        <v>32767</v>
      </c>
      <c r="EN81" s="1">
        <v>4</v>
      </c>
      <c r="EP81" s="1">
        <v>2876489441</v>
      </c>
      <c r="EQ81" s="1">
        <v>17889</v>
      </c>
      <c r="ER81" s="1">
        <v>9041040</v>
      </c>
      <c r="ES81" s="1">
        <v>6149877</v>
      </c>
      <c r="ET81" s="1">
        <v>372.99</v>
      </c>
      <c r="EU81" s="1">
        <v>1</v>
      </c>
      <c r="EV81" s="1">
        <v>0</v>
      </c>
      <c r="EW81" s="1">
        <v>30</v>
      </c>
      <c r="EX81" s="1">
        <v>60003760</v>
      </c>
      <c r="EY81" s="1">
        <v>32767</v>
      </c>
      <c r="EZ81" s="1">
        <v>7</v>
      </c>
      <c r="FB81" s="1">
        <v>2783528537</v>
      </c>
      <c r="FC81" s="1">
        <v>30259</v>
      </c>
      <c r="FD81" s="1">
        <v>25</v>
      </c>
      <c r="FE81" s="1">
        <v>5</v>
      </c>
      <c r="FF81" s="1">
        <v>4001000.04</v>
      </c>
      <c r="FG81" s="1">
        <v>1</v>
      </c>
      <c r="FH81" s="1">
        <v>1</v>
      </c>
      <c r="FI81" s="1">
        <v>90</v>
      </c>
      <c r="FJ81" s="1">
        <v>60000364</v>
      </c>
      <c r="FK81" s="1">
        <v>0</v>
      </c>
      <c r="FL81" s="1">
        <v>0</v>
      </c>
      <c r="FN81" s="1">
        <v>2869926864</v>
      </c>
      <c r="FO81" s="1">
        <v>25617</v>
      </c>
      <c r="FP81" s="1">
        <v>20</v>
      </c>
      <c r="FQ81" s="1">
        <v>20</v>
      </c>
      <c r="FR81" s="1">
        <v>4550006.87</v>
      </c>
      <c r="FS81" s="1">
        <v>1</v>
      </c>
      <c r="FT81" s="1">
        <v>1</v>
      </c>
      <c r="FU81" s="1">
        <v>90</v>
      </c>
      <c r="FV81" s="1">
        <v>60003760</v>
      </c>
      <c r="FW81" s="1">
        <v>-1</v>
      </c>
      <c r="FX81" s="1">
        <v>0</v>
      </c>
      <c r="FZ81" s="1">
        <v>2877788901</v>
      </c>
      <c r="GA81" s="1">
        <v>44</v>
      </c>
      <c r="GB81" s="1">
        <v>55</v>
      </c>
      <c r="GC81" s="1">
        <v>55</v>
      </c>
      <c r="GD81" s="1">
        <v>12600.01</v>
      </c>
      <c r="GE81" s="1">
        <v>1</v>
      </c>
      <c r="GF81" s="1">
        <v>0</v>
      </c>
      <c r="GG81" s="1">
        <v>90</v>
      </c>
      <c r="GH81" s="1">
        <v>60004435</v>
      </c>
      <c r="GI81" s="1">
        <v>32767</v>
      </c>
      <c r="GJ81" s="1">
        <v>5</v>
      </c>
      <c r="GL81" s="1">
        <v>2391182760</v>
      </c>
      <c r="GM81" s="1">
        <v>16681</v>
      </c>
      <c r="GN81" s="1">
        <v>1000000</v>
      </c>
      <c r="GO81" s="1">
        <v>1000000</v>
      </c>
      <c r="GP81" s="1">
        <v>5655</v>
      </c>
      <c r="GQ81" s="1">
        <v>1</v>
      </c>
      <c r="GR81" s="1">
        <v>1</v>
      </c>
      <c r="GS81" s="1">
        <v>90</v>
      </c>
      <c r="GT81" s="1">
        <v>60003760</v>
      </c>
      <c r="GU81" s="1">
        <v>-1</v>
      </c>
      <c r="GV81" s="1">
        <v>0</v>
      </c>
      <c r="GX81" s="1">
        <v>2878265347</v>
      </c>
      <c r="GY81" s="1">
        <v>16683</v>
      </c>
      <c r="GZ81" s="1">
        <v>50000</v>
      </c>
      <c r="HA81" s="1">
        <v>50000</v>
      </c>
      <c r="HB81" s="1">
        <v>8382.15</v>
      </c>
      <c r="HC81" s="1">
        <v>1</v>
      </c>
      <c r="HD81" s="1">
        <v>1</v>
      </c>
      <c r="HE81" s="1">
        <v>1</v>
      </c>
      <c r="HF81" s="1">
        <v>60003760</v>
      </c>
      <c r="HG81" s="1">
        <v>-1</v>
      </c>
      <c r="HH81" s="1">
        <v>0</v>
      </c>
      <c r="HJ81"/>
      <c r="HK81"/>
      <c r="HL81"/>
      <c r="HM81"/>
      <c r="HN81"/>
      <c r="HO81"/>
      <c r="HP81"/>
      <c r="HQ81"/>
      <c r="HR81"/>
      <c r="HS81"/>
      <c r="HT81"/>
      <c r="HV81" s="1">
        <v>2878436488</v>
      </c>
      <c r="HW81" s="1">
        <v>16274</v>
      </c>
      <c r="HX81" s="1">
        <v>2817822</v>
      </c>
      <c r="HY81" s="1">
        <v>614588</v>
      </c>
      <c r="HZ81" s="1">
        <v>369.98</v>
      </c>
      <c r="IA81" s="1">
        <v>1</v>
      </c>
      <c r="IB81" s="1">
        <v>0</v>
      </c>
      <c r="IC81" s="1">
        <v>90</v>
      </c>
      <c r="ID81" s="1">
        <v>60003760</v>
      </c>
      <c r="IE81" s="1">
        <v>32767</v>
      </c>
      <c r="IF81" s="1">
        <v>0</v>
      </c>
      <c r="IH81"/>
      <c r="II81"/>
      <c r="IJ81"/>
      <c r="IK81"/>
      <c r="IL81"/>
      <c r="IM81"/>
      <c r="IN81"/>
      <c r="IO81"/>
      <c r="IP81"/>
      <c r="IQ81"/>
      <c r="IR81"/>
      <c r="IT81" s="1">
        <v>2826613996</v>
      </c>
      <c r="IU81" s="1">
        <v>16679</v>
      </c>
      <c r="IV81" s="1">
        <v>500094</v>
      </c>
      <c r="IW81" s="1">
        <v>500094</v>
      </c>
      <c r="IX81" s="1">
        <v>1631.61</v>
      </c>
      <c r="IY81" s="1">
        <v>1</v>
      </c>
      <c r="IZ81" s="1">
        <v>1</v>
      </c>
      <c r="JA81" s="1">
        <v>90</v>
      </c>
      <c r="JB81" s="1">
        <v>60003760</v>
      </c>
      <c r="JC81" s="1">
        <v>-1</v>
      </c>
      <c r="JD81" s="1">
        <v>0</v>
      </c>
      <c r="JF81" s="1">
        <v>2860147998</v>
      </c>
      <c r="JG81" s="1">
        <v>16272</v>
      </c>
      <c r="JH81" s="1">
        <v>446705</v>
      </c>
      <c r="JI81" s="1">
        <v>446705</v>
      </c>
      <c r="JJ81" s="1">
        <v>100</v>
      </c>
      <c r="JK81" s="1">
        <v>1</v>
      </c>
      <c r="JL81" s="1">
        <v>0</v>
      </c>
      <c r="JM81" s="1">
        <v>90</v>
      </c>
      <c r="JN81" s="1">
        <v>60012667</v>
      </c>
      <c r="JO81" s="1">
        <v>32767</v>
      </c>
      <c r="JP81" s="1">
        <v>0</v>
      </c>
      <c r="KD81" s="1">
        <v>2822051420</v>
      </c>
      <c r="KE81" s="1">
        <v>25605</v>
      </c>
      <c r="KF81" s="1">
        <v>400000</v>
      </c>
      <c r="KG81" s="1">
        <v>400000</v>
      </c>
      <c r="KH81" s="1">
        <v>71001.009999999995</v>
      </c>
      <c r="KI81" s="1">
        <v>1</v>
      </c>
      <c r="KJ81" s="1">
        <v>1</v>
      </c>
      <c r="KK81" s="1">
        <v>90</v>
      </c>
      <c r="KL81" s="1">
        <v>60003760</v>
      </c>
      <c r="KM81" s="1">
        <v>-1</v>
      </c>
      <c r="KN81" s="1">
        <v>0</v>
      </c>
      <c r="KP81" s="1">
        <v>2878788105</v>
      </c>
      <c r="KQ81" s="1">
        <v>25624</v>
      </c>
      <c r="KR81" s="1">
        <v>43</v>
      </c>
      <c r="KS81" s="1">
        <v>43</v>
      </c>
      <c r="KT81" s="1">
        <v>18199885.989999998</v>
      </c>
      <c r="KU81" s="1">
        <v>1</v>
      </c>
      <c r="KV81" s="1">
        <v>0</v>
      </c>
      <c r="KW81" s="1">
        <v>90</v>
      </c>
      <c r="KX81" s="1">
        <v>60003760</v>
      </c>
      <c r="KY81" s="1">
        <v>32767</v>
      </c>
      <c r="KZ81" s="1">
        <v>0</v>
      </c>
      <c r="LB81" s="1">
        <v>2876040130</v>
      </c>
      <c r="LC81" s="1">
        <v>9832</v>
      </c>
      <c r="LD81" s="1">
        <v>106384</v>
      </c>
      <c r="LE81" s="1">
        <v>106384</v>
      </c>
      <c r="LF81" s="1">
        <v>9699.99</v>
      </c>
      <c r="LG81" s="1">
        <v>1</v>
      </c>
      <c r="LH81" s="1">
        <v>0</v>
      </c>
      <c r="LI81" s="1">
        <v>90</v>
      </c>
      <c r="LJ81" s="1">
        <v>60003760</v>
      </c>
      <c r="LK81" s="1">
        <v>32767</v>
      </c>
      <c r="LL81" s="1">
        <v>0</v>
      </c>
      <c r="ML81"/>
      <c r="MM81"/>
      <c r="MN81"/>
      <c r="MO81"/>
      <c r="MP81"/>
      <c r="MQ81"/>
      <c r="MR81"/>
      <c r="MS81"/>
      <c r="MT81"/>
      <c r="MU81"/>
      <c r="MV81"/>
      <c r="MX81" s="1">
        <v>2876610125</v>
      </c>
      <c r="MY81" s="1">
        <v>16672</v>
      </c>
      <c r="MZ81" s="1">
        <v>200000</v>
      </c>
      <c r="NA81" s="1">
        <v>200000</v>
      </c>
      <c r="NB81" s="1">
        <v>111.31</v>
      </c>
      <c r="NC81" s="1">
        <v>1</v>
      </c>
      <c r="ND81" s="1">
        <v>1</v>
      </c>
      <c r="NE81" s="1">
        <v>90</v>
      </c>
      <c r="NF81" s="1">
        <v>60003760</v>
      </c>
      <c r="NG81" s="1">
        <v>-1</v>
      </c>
      <c r="NH81" s="1">
        <v>0</v>
      </c>
      <c r="NJ81" s="1">
        <v>2878932233</v>
      </c>
      <c r="NK81" s="1">
        <v>16673</v>
      </c>
      <c r="NL81" s="1">
        <v>2147149</v>
      </c>
      <c r="NM81" s="1">
        <v>2147149</v>
      </c>
      <c r="NN81" s="1">
        <v>101</v>
      </c>
      <c r="NO81" s="1">
        <v>1</v>
      </c>
      <c r="NP81" s="1">
        <v>0</v>
      </c>
      <c r="NQ81" s="1">
        <v>90</v>
      </c>
      <c r="NR81" s="1">
        <v>60003760</v>
      </c>
      <c r="NS81" s="1">
        <v>32767</v>
      </c>
      <c r="NT81" s="1">
        <v>0</v>
      </c>
      <c r="NV81" s="1">
        <v>2874842618</v>
      </c>
      <c r="NW81" s="1">
        <v>3689</v>
      </c>
      <c r="NX81" s="1">
        <v>41451</v>
      </c>
      <c r="NY81" s="1">
        <v>36816</v>
      </c>
      <c r="NZ81" s="1">
        <v>10178.99</v>
      </c>
      <c r="OA81" s="1">
        <v>1</v>
      </c>
      <c r="OB81" s="1">
        <v>0</v>
      </c>
      <c r="OC81" s="1">
        <v>30</v>
      </c>
      <c r="OD81" s="1">
        <v>60003760</v>
      </c>
      <c r="OE81" s="1">
        <v>32767</v>
      </c>
      <c r="OF81" s="1">
        <v>0</v>
      </c>
      <c r="OH81" s="1">
        <v>2858162470</v>
      </c>
      <c r="OI81" s="1">
        <v>25598</v>
      </c>
      <c r="OJ81" s="1">
        <v>20</v>
      </c>
      <c r="OK81" s="1">
        <v>20</v>
      </c>
      <c r="OL81" s="1">
        <v>142499.99</v>
      </c>
      <c r="OM81" s="1">
        <v>1</v>
      </c>
      <c r="ON81" s="1">
        <v>0</v>
      </c>
      <c r="OO81" s="1">
        <v>14</v>
      </c>
      <c r="OP81" s="1">
        <v>60003760</v>
      </c>
      <c r="OQ81" s="1">
        <v>32767</v>
      </c>
      <c r="OR81" s="1">
        <v>0</v>
      </c>
      <c r="OT81" s="1">
        <v>2878302761</v>
      </c>
      <c r="OU81" s="1">
        <v>25600</v>
      </c>
      <c r="OV81" s="1">
        <v>6</v>
      </c>
      <c r="OW81" s="1">
        <v>6</v>
      </c>
      <c r="OX81" s="1">
        <v>28000</v>
      </c>
      <c r="OY81" s="1">
        <v>1</v>
      </c>
      <c r="OZ81" s="1">
        <v>0</v>
      </c>
      <c r="PA81" s="1">
        <v>1</v>
      </c>
      <c r="PB81" s="1">
        <v>60002434</v>
      </c>
      <c r="PC81" s="1">
        <v>32767</v>
      </c>
      <c r="PD81" s="1">
        <v>3</v>
      </c>
      <c r="PF81" s="1">
        <v>2876441638</v>
      </c>
      <c r="PG81" s="1">
        <v>16670</v>
      </c>
      <c r="PH81" s="1">
        <v>3920000</v>
      </c>
      <c r="PI81" s="1">
        <v>3434700</v>
      </c>
      <c r="PJ81" s="1">
        <v>117.6</v>
      </c>
      <c r="PK81" s="1">
        <v>1</v>
      </c>
      <c r="PL81" s="1">
        <v>0</v>
      </c>
      <c r="PM81" s="1">
        <v>90</v>
      </c>
      <c r="PN81" s="1">
        <v>60003760</v>
      </c>
      <c r="PO81" s="1">
        <v>32767</v>
      </c>
      <c r="PP81" s="1">
        <v>7</v>
      </c>
      <c r="QD81" s="1">
        <v>2787573974</v>
      </c>
      <c r="QE81" s="1">
        <v>9830</v>
      </c>
      <c r="QF81" s="1">
        <v>100000</v>
      </c>
      <c r="QG81" s="1">
        <v>100000</v>
      </c>
      <c r="QH81" s="1">
        <v>7111.09</v>
      </c>
      <c r="QI81" s="1">
        <v>1</v>
      </c>
      <c r="QJ81" s="1">
        <v>1</v>
      </c>
      <c r="QK81" s="1">
        <v>90</v>
      </c>
      <c r="QL81" s="1">
        <v>60003760</v>
      </c>
      <c r="QM81" s="1">
        <v>-1</v>
      </c>
      <c r="QN81" s="1">
        <v>0</v>
      </c>
      <c r="QP81" s="1">
        <v>2643221211</v>
      </c>
      <c r="QQ81" s="1">
        <v>16671</v>
      </c>
      <c r="QR81" s="1">
        <v>10000000</v>
      </c>
      <c r="QS81" s="1">
        <v>9805523</v>
      </c>
      <c r="QT81" s="1">
        <v>59.97</v>
      </c>
      <c r="QU81" s="1">
        <v>1</v>
      </c>
      <c r="QV81" s="1">
        <v>1</v>
      </c>
      <c r="QW81" s="1">
        <v>90</v>
      </c>
      <c r="QX81" s="1">
        <v>60003760</v>
      </c>
      <c r="QY81" s="1">
        <v>10</v>
      </c>
      <c r="QZ81" s="1">
        <v>0</v>
      </c>
      <c r="RB81" s="1">
        <v>2877718242</v>
      </c>
      <c r="RC81" s="1">
        <v>16682</v>
      </c>
      <c r="RD81" s="1">
        <v>100000</v>
      </c>
      <c r="RE81" s="1">
        <v>100000</v>
      </c>
      <c r="RF81" s="1">
        <v>2862.02</v>
      </c>
      <c r="RG81" s="1">
        <v>1</v>
      </c>
      <c r="RH81" s="1">
        <v>1</v>
      </c>
      <c r="RI81" s="1">
        <v>90</v>
      </c>
      <c r="RJ81" s="1">
        <v>60003760</v>
      </c>
      <c r="RK81" s="1">
        <v>0</v>
      </c>
      <c r="RL81" s="1">
        <v>0</v>
      </c>
      <c r="RN81" s="1">
        <v>2876840960</v>
      </c>
      <c r="RO81" s="1">
        <v>16678</v>
      </c>
      <c r="RP81" s="1">
        <v>3000000</v>
      </c>
      <c r="RQ81" s="1">
        <v>3000000</v>
      </c>
      <c r="RR81" s="1">
        <v>223</v>
      </c>
      <c r="RS81" s="1">
        <v>1</v>
      </c>
      <c r="RT81" s="1">
        <v>1</v>
      </c>
      <c r="RU81" s="1">
        <v>90</v>
      </c>
      <c r="RV81" s="1">
        <v>60003760</v>
      </c>
      <c r="RW81" s="1">
        <v>0</v>
      </c>
      <c r="RX81" s="1">
        <v>0</v>
      </c>
      <c r="SX81" s="1">
        <v>2860434047</v>
      </c>
      <c r="SY81" s="1">
        <v>25595</v>
      </c>
      <c r="SZ81" s="1">
        <v>30</v>
      </c>
      <c r="TA81" s="1">
        <v>30</v>
      </c>
      <c r="TB81" s="1">
        <v>86496.45</v>
      </c>
      <c r="TC81" s="1">
        <v>1</v>
      </c>
      <c r="TD81" s="1">
        <v>0</v>
      </c>
      <c r="TE81" s="1">
        <v>30</v>
      </c>
      <c r="TF81" s="1">
        <v>60003760</v>
      </c>
      <c r="TG81" s="1">
        <v>32767</v>
      </c>
      <c r="TH81" s="1">
        <v>6</v>
      </c>
      <c r="TJ81" s="1">
        <v>2852154232</v>
      </c>
      <c r="TK81" s="1">
        <v>25606</v>
      </c>
      <c r="TL81" s="1">
        <v>45</v>
      </c>
      <c r="TM81" s="1">
        <v>45</v>
      </c>
      <c r="TN81" s="1">
        <v>23000</v>
      </c>
      <c r="TO81" s="1">
        <v>1</v>
      </c>
      <c r="TP81" s="1">
        <v>0</v>
      </c>
      <c r="TQ81" s="1">
        <v>90</v>
      </c>
      <c r="TR81" s="1">
        <v>60012667</v>
      </c>
      <c r="TS81" s="1">
        <v>32767</v>
      </c>
      <c r="TT81" s="1">
        <v>6</v>
      </c>
      <c r="TV81"/>
      <c r="TW81"/>
      <c r="TX81"/>
      <c r="TY81"/>
      <c r="TZ81"/>
      <c r="UA81"/>
      <c r="UB81"/>
      <c r="UC81"/>
      <c r="UD81"/>
      <c r="UE81"/>
      <c r="UF81"/>
      <c r="UH81"/>
      <c r="UI81"/>
      <c r="UJ81"/>
      <c r="UK81"/>
      <c r="UL81"/>
      <c r="UM81"/>
      <c r="UN81"/>
      <c r="UO81"/>
      <c r="UP81"/>
      <c r="UQ81"/>
      <c r="UR81"/>
      <c r="UT81"/>
      <c r="UU81"/>
      <c r="UV81"/>
      <c r="UW81"/>
      <c r="UX81"/>
      <c r="UY81"/>
      <c r="UZ81"/>
      <c r="VA81"/>
      <c r="VB81"/>
      <c r="VC81"/>
      <c r="VD81"/>
      <c r="VF81"/>
      <c r="VG81"/>
      <c r="VH81"/>
      <c r="VI81"/>
      <c r="VJ81"/>
      <c r="VK81"/>
      <c r="VL81"/>
      <c r="VM81"/>
      <c r="VN81"/>
      <c r="VO81"/>
      <c r="VP81"/>
    </row>
    <row r="82" spans="2:588" x14ac:dyDescent="0.25">
      <c r="B82" s="1">
        <v>2756613782</v>
      </c>
      <c r="C82" s="1">
        <v>34</v>
      </c>
      <c r="D82" s="1">
        <v>74178685</v>
      </c>
      <c r="E82" s="1">
        <v>74178685</v>
      </c>
      <c r="F82" s="1">
        <v>10.039999999999999</v>
      </c>
      <c r="G82" s="1">
        <v>1</v>
      </c>
      <c r="H82" s="1">
        <v>0</v>
      </c>
      <c r="I82" s="1">
        <v>90</v>
      </c>
      <c r="J82" s="1">
        <v>60003760</v>
      </c>
      <c r="K82" s="1">
        <v>32767</v>
      </c>
      <c r="L82" s="1">
        <v>0</v>
      </c>
      <c r="N82" s="1">
        <v>2846533610</v>
      </c>
      <c r="O82" s="1">
        <v>35</v>
      </c>
      <c r="P82" s="1">
        <v>194819</v>
      </c>
      <c r="Q82" s="1">
        <v>194819</v>
      </c>
      <c r="R82" s="1">
        <v>15.65</v>
      </c>
      <c r="S82" s="1">
        <v>1</v>
      </c>
      <c r="T82" s="1">
        <v>0</v>
      </c>
      <c r="U82" s="1">
        <v>30</v>
      </c>
      <c r="V82" s="1">
        <v>60003760</v>
      </c>
      <c r="W82" s="1">
        <v>32767</v>
      </c>
      <c r="X82" s="1">
        <v>0</v>
      </c>
      <c r="Z82" s="1">
        <v>2781081240</v>
      </c>
      <c r="AA82" s="1">
        <v>36</v>
      </c>
      <c r="AB82" s="1">
        <v>6224789</v>
      </c>
      <c r="AC82" s="1">
        <v>6224789</v>
      </c>
      <c r="AD82" s="16">
        <v>56.21</v>
      </c>
      <c r="AE82" s="1">
        <v>1</v>
      </c>
      <c r="AF82" s="1">
        <v>0</v>
      </c>
      <c r="AG82" s="1">
        <v>90</v>
      </c>
      <c r="AH82" s="1">
        <v>60003760</v>
      </c>
      <c r="AI82" s="1">
        <v>32767</v>
      </c>
      <c r="AJ82" s="1">
        <v>11</v>
      </c>
      <c r="AL82" s="1">
        <v>2747007259</v>
      </c>
      <c r="AM82" s="1">
        <v>37</v>
      </c>
      <c r="AN82" s="1">
        <v>21</v>
      </c>
      <c r="AO82" s="1">
        <v>21</v>
      </c>
      <c r="AP82" s="16">
        <v>17399.98</v>
      </c>
      <c r="AQ82" s="1">
        <v>1</v>
      </c>
      <c r="AR82" s="1">
        <v>0</v>
      </c>
      <c r="AS82" s="1">
        <v>90</v>
      </c>
      <c r="AT82" s="1">
        <v>60003760</v>
      </c>
      <c r="AU82" s="1">
        <v>32767</v>
      </c>
      <c r="AV82" s="1">
        <v>9</v>
      </c>
      <c r="AX82" s="1">
        <v>2836970044</v>
      </c>
      <c r="AY82" s="1">
        <v>38</v>
      </c>
      <c r="AZ82" s="1">
        <v>44611</v>
      </c>
      <c r="BA82" s="1">
        <v>1624</v>
      </c>
      <c r="BB82" s="1">
        <v>814</v>
      </c>
      <c r="BC82" s="1">
        <v>1</v>
      </c>
      <c r="BD82" s="1">
        <v>0</v>
      </c>
      <c r="BE82" s="1">
        <v>90</v>
      </c>
      <c r="BF82" s="1">
        <v>60004060</v>
      </c>
      <c r="BG82" s="1">
        <v>32767</v>
      </c>
      <c r="BH82" s="1">
        <v>10</v>
      </c>
      <c r="BJ82" s="1">
        <v>2684420546</v>
      </c>
      <c r="BK82" s="1">
        <v>39</v>
      </c>
      <c r="BL82" s="1">
        <v>1000000</v>
      </c>
      <c r="BM82" s="1">
        <v>1000000</v>
      </c>
      <c r="BN82" s="1">
        <v>1074.99</v>
      </c>
      <c r="BO82" s="1">
        <v>1</v>
      </c>
      <c r="BP82" s="1">
        <v>0</v>
      </c>
      <c r="BQ82" s="1">
        <v>90</v>
      </c>
      <c r="BR82" s="1">
        <v>60003760</v>
      </c>
      <c r="BS82" s="1">
        <v>32767</v>
      </c>
      <c r="BT82" s="1">
        <v>5</v>
      </c>
      <c r="BV82" s="1">
        <v>2402050330</v>
      </c>
      <c r="BW82" s="1">
        <v>40</v>
      </c>
      <c r="BX82" s="1">
        <v>6499</v>
      </c>
      <c r="BY82" s="1">
        <v>4129</v>
      </c>
      <c r="BZ82" s="1">
        <v>2755.71</v>
      </c>
      <c r="CA82" s="1">
        <v>1</v>
      </c>
      <c r="CB82" s="1">
        <v>0</v>
      </c>
      <c r="CC82" s="1">
        <v>90</v>
      </c>
      <c r="CD82" s="1">
        <v>60003760</v>
      </c>
      <c r="CE82" s="1">
        <v>32767</v>
      </c>
      <c r="CF82" s="1">
        <v>13</v>
      </c>
      <c r="CH82" s="1">
        <v>2410909334</v>
      </c>
      <c r="CI82" s="1">
        <v>29668</v>
      </c>
      <c r="CJ82" s="1">
        <v>1</v>
      </c>
      <c r="CK82" s="1">
        <v>1</v>
      </c>
      <c r="CL82" s="1">
        <v>500000000</v>
      </c>
      <c r="CM82" s="1">
        <v>1</v>
      </c>
      <c r="CN82" s="1">
        <v>0</v>
      </c>
      <c r="CO82" s="1">
        <v>90</v>
      </c>
      <c r="CP82" s="1">
        <v>60003760</v>
      </c>
      <c r="CQ82" s="1">
        <v>32767</v>
      </c>
      <c r="CR82" s="1">
        <v>0</v>
      </c>
      <c r="CT82" s="1">
        <v>2392142580</v>
      </c>
      <c r="CU82" s="1">
        <v>16649</v>
      </c>
      <c r="CV82" s="1">
        <v>5000</v>
      </c>
      <c r="CW82" s="1">
        <v>5000</v>
      </c>
      <c r="CX82" s="1">
        <v>92014</v>
      </c>
      <c r="CY82" s="1">
        <v>1</v>
      </c>
      <c r="CZ82" s="1">
        <v>1</v>
      </c>
      <c r="DA82" s="1">
        <v>90</v>
      </c>
      <c r="DB82" s="1">
        <v>60003760</v>
      </c>
      <c r="DC82" s="1">
        <v>-1</v>
      </c>
      <c r="DD82" s="1">
        <v>0</v>
      </c>
      <c r="DF82" s="1">
        <v>2410845556</v>
      </c>
      <c r="DG82" s="1">
        <v>17887</v>
      </c>
      <c r="DH82" s="1">
        <v>1067919</v>
      </c>
      <c r="DI82" s="1">
        <v>1067919</v>
      </c>
      <c r="DJ82" s="1">
        <v>1021.76</v>
      </c>
      <c r="DK82" s="1">
        <v>1</v>
      </c>
      <c r="DL82" s="1">
        <v>0</v>
      </c>
      <c r="DM82" s="1">
        <v>90</v>
      </c>
      <c r="DN82" s="1">
        <v>60003760</v>
      </c>
      <c r="DO82" s="1">
        <v>32767</v>
      </c>
      <c r="DP82" s="1">
        <v>0</v>
      </c>
      <c r="DR82" s="1">
        <v>2794239195</v>
      </c>
      <c r="DS82" s="1">
        <v>17888</v>
      </c>
      <c r="DT82" s="1">
        <v>7000000</v>
      </c>
      <c r="DU82" s="1">
        <v>2960531</v>
      </c>
      <c r="DV82" s="1">
        <v>398.71</v>
      </c>
      <c r="DW82" s="1">
        <v>1</v>
      </c>
      <c r="DX82" s="1">
        <v>0</v>
      </c>
      <c r="DY82" s="1">
        <v>90</v>
      </c>
      <c r="DZ82" s="1">
        <v>60003760</v>
      </c>
      <c r="EA82" s="1">
        <v>32767</v>
      </c>
      <c r="EB82" s="1">
        <v>8</v>
      </c>
      <c r="ED82" s="1">
        <v>2858959940</v>
      </c>
      <c r="EE82" s="1">
        <v>16273</v>
      </c>
      <c r="EF82" s="1">
        <v>2514242</v>
      </c>
      <c r="EG82" s="1">
        <v>2485696</v>
      </c>
      <c r="EH82" s="1">
        <v>439</v>
      </c>
      <c r="EI82" s="1">
        <v>1</v>
      </c>
      <c r="EJ82" s="1">
        <v>0</v>
      </c>
      <c r="EK82" s="1">
        <v>90</v>
      </c>
      <c r="EL82" s="1">
        <v>60003241</v>
      </c>
      <c r="EM82" s="1">
        <v>32767</v>
      </c>
      <c r="EN82" s="1">
        <v>4</v>
      </c>
      <c r="EP82" s="1">
        <v>2879045992</v>
      </c>
      <c r="EQ82" s="1">
        <v>17889</v>
      </c>
      <c r="ER82" s="1">
        <v>285726</v>
      </c>
      <c r="ES82" s="1">
        <v>285726</v>
      </c>
      <c r="ET82" s="1">
        <v>372.56</v>
      </c>
      <c r="EU82" s="1">
        <v>1</v>
      </c>
      <c r="EV82" s="1">
        <v>0</v>
      </c>
      <c r="EW82" s="1">
        <v>90</v>
      </c>
      <c r="EX82" s="1">
        <v>60003760</v>
      </c>
      <c r="EY82" s="1">
        <v>32767</v>
      </c>
      <c r="EZ82" s="1">
        <v>0</v>
      </c>
      <c r="FB82" s="1">
        <v>2791042654</v>
      </c>
      <c r="FC82" s="1">
        <v>30259</v>
      </c>
      <c r="FD82" s="1">
        <v>100</v>
      </c>
      <c r="FE82" s="1">
        <v>50</v>
      </c>
      <c r="FF82" s="1">
        <v>4600014.13</v>
      </c>
      <c r="FG82" s="1">
        <v>1</v>
      </c>
      <c r="FH82" s="1">
        <v>1</v>
      </c>
      <c r="FI82" s="1">
        <v>90</v>
      </c>
      <c r="FJ82" s="1">
        <v>60003760</v>
      </c>
      <c r="FK82" s="1">
        <v>5</v>
      </c>
      <c r="FL82" s="1">
        <v>0</v>
      </c>
      <c r="FN82" s="1">
        <v>2865188964</v>
      </c>
      <c r="FO82" s="1">
        <v>25617</v>
      </c>
      <c r="FP82" s="1">
        <v>200</v>
      </c>
      <c r="FQ82" s="1">
        <v>195</v>
      </c>
      <c r="FR82" s="1">
        <v>4651000.1100000003</v>
      </c>
      <c r="FS82" s="1">
        <v>1</v>
      </c>
      <c r="FT82" s="1">
        <v>1</v>
      </c>
      <c r="FU82" s="1">
        <v>90</v>
      </c>
      <c r="FV82" s="1">
        <v>60003760</v>
      </c>
      <c r="FW82" s="1">
        <v>-1</v>
      </c>
      <c r="FX82" s="1">
        <v>0</v>
      </c>
      <c r="FZ82" s="1">
        <v>2859417411</v>
      </c>
      <c r="GA82" s="1">
        <v>44</v>
      </c>
      <c r="GB82" s="1">
        <v>12400</v>
      </c>
      <c r="GC82" s="1">
        <v>12400</v>
      </c>
      <c r="GD82" s="1">
        <v>13500</v>
      </c>
      <c r="GE82" s="1">
        <v>1</v>
      </c>
      <c r="GF82" s="1">
        <v>0</v>
      </c>
      <c r="GG82" s="1">
        <v>90</v>
      </c>
      <c r="GH82" s="1">
        <v>60004063</v>
      </c>
      <c r="GI82" s="1">
        <v>32767</v>
      </c>
      <c r="GJ82" s="1">
        <v>5</v>
      </c>
      <c r="GL82" s="1">
        <v>2391367412</v>
      </c>
      <c r="GM82" s="1">
        <v>16681</v>
      </c>
      <c r="GN82" s="1">
        <v>40000</v>
      </c>
      <c r="GO82" s="1">
        <v>39966</v>
      </c>
      <c r="GP82" s="1">
        <v>5500</v>
      </c>
      <c r="GQ82" s="1">
        <v>1</v>
      </c>
      <c r="GR82" s="1">
        <v>1</v>
      </c>
      <c r="GS82" s="1">
        <v>90</v>
      </c>
      <c r="GT82" s="1">
        <v>60003760</v>
      </c>
      <c r="GU82" s="1">
        <v>-1</v>
      </c>
      <c r="GV82" s="1">
        <v>0</v>
      </c>
      <c r="GX82" s="1">
        <v>2878713433</v>
      </c>
      <c r="GY82" s="1">
        <v>16683</v>
      </c>
      <c r="GZ82" s="1">
        <v>40000</v>
      </c>
      <c r="HA82" s="1">
        <v>40000</v>
      </c>
      <c r="HB82" s="1">
        <v>8384.09</v>
      </c>
      <c r="HC82" s="1">
        <v>1</v>
      </c>
      <c r="HD82" s="1">
        <v>1</v>
      </c>
      <c r="HE82" s="1">
        <v>90</v>
      </c>
      <c r="HF82" s="1">
        <v>60003760</v>
      </c>
      <c r="HG82" s="1">
        <v>-1</v>
      </c>
      <c r="HH82" s="1">
        <v>0</v>
      </c>
      <c r="HJ82"/>
      <c r="HK82"/>
      <c r="HL82"/>
      <c r="HM82"/>
      <c r="HN82"/>
      <c r="HO82"/>
      <c r="HP82"/>
      <c r="HQ82"/>
      <c r="HR82"/>
      <c r="HS82"/>
      <c r="HT82"/>
      <c r="HV82" s="1">
        <v>2878608018</v>
      </c>
      <c r="HW82" s="1">
        <v>16274</v>
      </c>
      <c r="HX82" s="1">
        <v>565200</v>
      </c>
      <c r="HY82" s="1">
        <v>265200</v>
      </c>
      <c r="HZ82" s="1">
        <v>369.95</v>
      </c>
      <c r="IA82" s="1">
        <v>1</v>
      </c>
      <c r="IB82" s="1">
        <v>0</v>
      </c>
      <c r="IC82" s="1">
        <v>90</v>
      </c>
      <c r="ID82" s="1">
        <v>60003760</v>
      </c>
      <c r="IE82" s="1">
        <v>32767</v>
      </c>
      <c r="IF82" s="1">
        <v>0</v>
      </c>
      <c r="IH82"/>
      <c r="II82"/>
      <c r="IJ82"/>
      <c r="IK82"/>
      <c r="IL82"/>
      <c r="IM82"/>
      <c r="IN82"/>
      <c r="IO82"/>
      <c r="IP82"/>
      <c r="IQ82"/>
      <c r="IR82"/>
      <c r="IT82" s="1">
        <v>2818815720</v>
      </c>
      <c r="IU82" s="1">
        <v>16679</v>
      </c>
      <c r="IV82" s="1">
        <v>1000000</v>
      </c>
      <c r="IW82" s="1">
        <v>1000000</v>
      </c>
      <c r="IX82" s="1">
        <v>409.05</v>
      </c>
      <c r="IY82" s="1">
        <v>1</v>
      </c>
      <c r="IZ82" s="1">
        <v>1</v>
      </c>
      <c r="JA82" s="1">
        <v>90</v>
      </c>
      <c r="JB82" s="1">
        <v>60003760</v>
      </c>
      <c r="JC82" s="1">
        <v>-1</v>
      </c>
      <c r="JD82" s="1">
        <v>0</v>
      </c>
      <c r="JF82" s="1">
        <v>2854216370</v>
      </c>
      <c r="JG82" s="1">
        <v>16272</v>
      </c>
      <c r="JH82" s="1">
        <v>384620</v>
      </c>
      <c r="JI82" s="1">
        <v>326420</v>
      </c>
      <c r="JJ82" s="1">
        <v>80</v>
      </c>
      <c r="JK82" s="1">
        <v>1</v>
      </c>
      <c r="JL82" s="1">
        <v>0</v>
      </c>
      <c r="JM82" s="1">
        <v>90</v>
      </c>
      <c r="JN82" s="1">
        <v>60012667</v>
      </c>
      <c r="JO82" s="1">
        <v>32767</v>
      </c>
      <c r="JP82" s="1">
        <v>0</v>
      </c>
      <c r="KD82" s="1">
        <v>2823879569</v>
      </c>
      <c r="KE82" s="1">
        <v>25605</v>
      </c>
      <c r="KF82" s="1">
        <v>5000</v>
      </c>
      <c r="KG82" s="1">
        <v>5000</v>
      </c>
      <c r="KH82" s="1">
        <v>104000</v>
      </c>
      <c r="KI82" s="1">
        <v>1</v>
      </c>
      <c r="KJ82" s="1">
        <v>1</v>
      </c>
      <c r="KK82" s="1">
        <v>90</v>
      </c>
      <c r="KL82" s="1">
        <v>60003760</v>
      </c>
      <c r="KM82" s="1">
        <v>-1</v>
      </c>
      <c r="KN82" s="1">
        <v>0</v>
      </c>
      <c r="KP82" s="1">
        <v>2878838401</v>
      </c>
      <c r="KQ82" s="1">
        <v>25624</v>
      </c>
      <c r="KR82" s="1">
        <v>1</v>
      </c>
      <c r="KS82" s="1">
        <v>1</v>
      </c>
      <c r="KT82" s="1">
        <v>18199000</v>
      </c>
      <c r="KU82" s="1">
        <v>1</v>
      </c>
      <c r="KV82" s="1">
        <v>0</v>
      </c>
      <c r="KW82" s="1">
        <v>1</v>
      </c>
      <c r="KX82" s="1">
        <v>60003769</v>
      </c>
      <c r="KY82" s="1">
        <v>32767</v>
      </c>
      <c r="KZ82" s="1">
        <v>0</v>
      </c>
      <c r="LB82" s="1">
        <v>2875871777</v>
      </c>
      <c r="LC82" s="1">
        <v>9832</v>
      </c>
      <c r="LD82" s="1">
        <v>190489</v>
      </c>
      <c r="LE82" s="1">
        <v>190489</v>
      </c>
      <c r="LF82" s="1">
        <v>9898</v>
      </c>
      <c r="LG82" s="1">
        <v>1</v>
      </c>
      <c r="LH82" s="1">
        <v>0</v>
      </c>
      <c r="LI82" s="1">
        <v>90</v>
      </c>
      <c r="LJ82" s="1">
        <v>60003760</v>
      </c>
      <c r="LK82" s="1">
        <v>32767</v>
      </c>
      <c r="LL82" s="1">
        <v>0</v>
      </c>
      <c r="ML82"/>
      <c r="MM82"/>
      <c r="MN82"/>
      <c r="MO82"/>
      <c r="MP82"/>
      <c r="MQ82"/>
      <c r="MR82"/>
      <c r="MS82"/>
      <c r="MT82"/>
      <c r="MU82"/>
      <c r="MV82"/>
      <c r="MX82" s="1">
        <v>2876521714</v>
      </c>
      <c r="MY82" s="1">
        <v>16672</v>
      </c>
      <c r="MZ82" s="1">
        <v>217040</v>
      </c>
      <c r="NA82" s="1">
        <v>217040</v>
      </c>
      <c r="NB82" s="1">
        <v>108.53</v>
      </c>
      <c r="NC82" s="1">
        <v>1</v>
      </c>
      <c r="ND82" s="1">
        <v>1</v>
      </c>
      <c r="NE82" s="1">
        <v>90</v>
      </c>
      <c r="NF82" s="1">
        <v>60003760</v>
      </c>
      <c r="NG82" s="1">
        <v>-1</v>
      </c>
      <c r="NH82" s="1">
        <v>0</v>
      </c>
      <c r="NJ82" s="1">
        <v>2878945357</v>
      </c>
      <c r="NK82" s="1">
        <v>16673</v>
      </c>
      <c r="NL82" s="1">
        <v>11280000</v>
      </c>
      <c r="NM82" s="1">
        <v>11280000</v>
      </c>
      <c r="NN82" s="1">
        <v>100.99</v>
      </c>
      <c r="NO82" s="1">
        <v>1</v>
      </c>
      <c r="NP82" s="1">
        <v>0</v>
      </c>
      <c r="NQ82" s="1">
        <v>90</v>
      </c>
      <c r="NR82" s="1">
        <v>60003760</v>
      </c>
      <c r="NS82" s="1">
        <v>32767</v>
      </c>
      <c r="NT82" s="1">
        <v>0</v>
      </c>
      <c r="NV82" s="1">
        <v>2874835268</v>
      </c>
      <c r="NW82" s="1">
        <v>3689</v>
      </c>
      <c r="NX82" s="1">
        <v>10</v>
      </c>
      <c r="NY82" s="1">
        <v>10</v>
      </c>
      <c r="NZ82" s="1">
        <v>10369</v>
      </c>
      <c r="OA82" s="1">
        <v>1</v>
      </c>
      <c r="OB82" s="1">
        <v>0</v>
      </c>
      <c r="OC82" s="1">
        <v>90</v>
      </c>
      <c r="OD82" s="1">
        <v>60003760</v>
      </c>
      <c r="OE82" s="1">
        <v>32767</v>
      </c>
      <c r="OF82" s="1">
        <v>0</v>
      </c>
      <c r="OH82" s="1">
        <v>2858226594</v>
      </c>
      <c r="OI82" s="1">
        <v>25598</v>
      </c>
      <c r="OJ82" s="1">
        <v>566</v>
      </c>
      <c r="OK82" s="1">
        <v>566</v>
      </c>
      <c r="OL82" s="1">
        <v>142488</v>
      </c>
      <c r="OM82" s="1">
        <v>1</v>
      </c>
      <c r="ON82" s="1">
        <v>0</v>
      </c>
      <c r="OO82" s="1">
        <v>30</v>
      </c>
      <c r="OP82" s="1">
        <v>60003760</v>
      </c>
      <c r="OQ82" s="1">
        <v>32767</v>
      </c>
      <c r="OR82" s="1">
        <v>0</v>
      </c>
      <c r="OT82" s="1">
        <v>2816833834</v>
      </c>
      <c r="OU82" s="1">
        <v>25600</v>
      </c>
      <c r="OV82" s="1">
        <v>18</v>
      </c>
      <c r="OW82" s="1">
        <v>17</v>
      </c>
      <c r="OX82" s="1">
        <v>32000</v>
      </c>
      <c r="OY82" s="1">
        <v>1</v>
      </c>
      <c r="OZ82" s="1">
        <v>0</v>
      </c>
      <c r="PA82" s="1">
        <v>90</v>
      </c>
      <c r="PB82" s="1">
        <v>60004075</v>
      </c>
      <c r="PC82" s="1">
        <v>32767</v>
      </c>
      <c r="PD82" s="1">
        <v>8</v>
      </c>
      <c r="PF82" s="1">
        <v>2876156201</v>
      </c>
      <c r="PG82" s="1">
        <v>16670</v>
      </c>
      <c r="PH82" s="1">
        <v>2190000</v>
      </c>
      <c r="PI82" s="1">
        <v>2190000</v>
      </c>
      <c r="PJ82" s="1">
        <v>119.1</v>
      </c>
      <c r="PK82" s="1">
        <v>1</v>
      </c>
      <c r="PL82" s="1">
        <v>0</v>
      </c>
      <c r="PM82" s="1">
        <v>90</v>
      </c>
      <c r="PN82" s="1">
        <v>60003760</v>
      </c>
      <c r="PO82" s="1">
        <v>32767</v>
      </c>
      <c r="PP82" s="1">
        <v>7</v>
      </c>
      <c r="QD82" s="1">
        <v>2875474035</v>
      </c>
      <c r="QE82" s="1">
        <v>9830</v>
      </c>
      <c r="QF82" s="1">
        <v>25000</v>
      </c>
      <c r="QG82" s="1">
        <v>25000</v>
      </c>
      <c r="QH82" s="1">
        <v>7118.01</v>
      </c>
      <c r="QI82" s="1">
        <v>1</v>
      </c>
      <c r="QJ82" s="1">
        <v>1</v>
      </c>
      <c r="QK82" s="1">
        <v>30</v>
      </c>
      <c r="QL82" s="1">
        <v>60003760</v>
      </c>
      <c r="QM82" s="1">
        <v>-1</v>
      </c>
      <c r="QN82" s="1">
        <v>0</v>
      </c>
      <c r="QP82" s="1">
        <v>2867745318</v>
      </c>
      <c r="QQ82" s="1">
        <v>16671</v>
      </c>
      <c r="QR82" s="1">
        <v>535000</v>
      </c>
      <c r="QS82" s="1">
        <v>535000</v>
      </c>
      <c r="QT82" s="1">
        <v>92.29</v>
      </c>
      <c r="QU82" s="1">
        <v>1</v>
      </c>
      <c r="QV82" s="1">
        <v>1</v>
      </c>
      <c r="QW82" s="1">
        <v>90</v>
      </c>
      <c r="QX82" s="1">
        <v>60003760</v>
      </c>
      <c r="QY82" s="1">
        <v>-1</v>
      </c>
      <c r="QZ82" s="1">
        <v>0</v>
      </c>
      <c r="RB82" s="1">
        <v>2878198245</v>
      </c>
      <c r="RC82" s="1">
        <v>16682</v>
      </c>
      <c r="RD82" s="1">
        <v>50000</v>
      </c>
      <c r="RE82" s="1">
        <v>50000</v>
      </c>
      <c r="RF82" s="1">
        <v>3155.01</v>
      </c>
      <c r="RG82" s="1">
        <v>1</v>
      </c>
      <c r="RH82" s="1">
        <v>1</v>
      </c>
      <c r="RI82" s="1">
        <v>30</v>
      </c>
      <c r="RJ82" s="1">
        <v>60003760</v>
      </c>
      <c r="RK82" s="1">
        <v>-1</v>
      </c>
      <c r="RL82" s="1">
        <v>0</v>
      </c>
      <c r="RN82" s="1">
        <v>2702501524</v>
      </c>
      <c r="RO82" s="1">
        <v>16678</v>
      </c>
      <c r="RP82" s="1">
        <v>100000</v>
      </c>
      <c r="RQ82" s="1">
        <v>13367</v>
      </c>
      <c r="RR82" s="1">
        <v>132.31</v>
      </c>
      <c r="RS82" s="1">
        <v>100</v>
      </c>
      <c r="RT82" s="1">
        <v>1</v>
      </c>
      <c r="RU82" s="1">
        <v>90</v>
      </c>
      <c r="RV82" s="1">
        <v>60003754</v>
      </c>
      <c r="RW82" s="1">
        <v>32767</v>
      </c>
      <c r="RX82" s="1">
        <v>0</v>
      </c>
      <c r="SX82" s="1">
        <v>2667994801</v>
      </c>
      <c r="SY82" s="1">
        <v>25595</v>
      </c>
      <c r="SZ82" s="1">
        <v>3000</v>
      </c>
      <c r="TA82" s="1">
        <v>2791</v>
      </c>
      <c r="TB82" s="1">
        <v>140000.01</v>
      </c>
      <c r="TC82" s="1">
        <v>1</v>
      </c>
      <c r="TD82" s="1">
        <v>0</v>
      </c>
      <c r="TE82" s="1">
        <v>90</v>
      </c>
      <c r="TF82" s="1">
        <v>60003760</v>
      </c>
      <c r="TG82" s="1">
        <v>32767</v>
      </c>
      <c r="TH82" s="1">
        <v>6</v>
      </c>
      <c r="TJ82" s="1">
        <v>2834640019</v>
      </c>
      <c r="TK82" s="1">
        <v>25606</v>
      </c>
      <c r="TL82" s="1">
        <v>11</v>
      </c>
      <c r="TM82" s="1">
        <v>3</v>
      </c>
      <c r="TN82" s="1">
        <v>25000</v>
      </c>
      <c r="TO82" s="1">
        <v>1</v>
      </c>
      <c r="TP82" s="1">
        <v>0</v>
      </c>
      <c r="TQ82" s="1">
        <v>90</v>
      </c>
      <c r="TR82" s="1">
        <v>60012667</v>
      </c>
      <c r="TS82" s="1">
        <v>32767</v>
      </c>
      <c r="TT82" s="1">
        <v>6</v>
      </c>
      <c r="TV82"/>
      <c r="TW82"/>
      <c r="TX82"/>
      <c r="TY82"/>
      <c r="TZ82"/>
      <c r="UA82"/>
      <c r="UB82"/>
      <c r="UC82"/>
      <c r="UD82"/>
      <c r="UE82"/>
      <c r="UF82"/>
      <c r="UH82"/>
      <c r="UI82"/>
      <c r="UJ82"/>
      <c r="UK82"/>
      <c r="UL82"/>
      <c r="UM82"/>
      <c r="UN82"/>
      <c r="UO82"/>
      <c r="UP82"/>
      <c r="UQ82"/>
      <c r="UR82"/>
      <c r="UT82"/>
      <c r="UU82"/>
      <c r="UV82"/>
      <c r="UW82"/>
      <c r="UX82"/>
      <c r="UY82"/>
      <c r="UZ82"/>
      <c r="VA82"/>
      <c r="VB82"/>
      <c r="VC82"/>
      <c r="VD82"/>
      <c r="VF82"/>
      <c r="VG82"/>
      <c r="VH82"/>
      <c r="VI82"/>
      <c r="VJ82"/>
      <c r="VK82"/>
      <c r="VL82"/>
      <c r="VM82"/>
      <c r="VN82"/>
      <c r="VO82"/>
      <c r="VP82"/>
    </row>
    <row r="83" spans="2:588" x14ac:dyDescent="0.25">
      <c r="B83" s="1">
        <v>2758315006</v>
      </c>
      <c r="C83" s="1">
        <v>34</v>
      </c>
      <c r="D83" s="1">
        <v>1</v>
      </c>
      <c r="E83" s="1">
        <v>1</v>
      </c>
      <c r="F83" s="1">
        <v>1000000</v>
      </c>
      <c r="G83" s="1">
        <v>1</v>
      </c>
      <c r="H83" s="1">
        <v>0</v>
      </c>
      <c r="I83" s="1">
        <v>90</v>
      </c>
      <c r="J83" s="1">
        <v>60003760</v>
      </c>
      <c r="K83" s="1">
        <v>32767</v>
      </c>
      <c r="L83" s="1">
        <v>0</v>
      </c>
      <c r="N83" s="1">
        <v>2846298086</v>
      </c>
      <c r="O83" s="1">
        <v>35</v>
      </c>
      <c r="P83" s="1">
        <v>12120304</v>
      </c>
      <c r="Q83" s="1">
        <v>12120304</v>
      </c>
      <c r="R83" s="1">
        <v>20</v>
      </c>
      <c r="S83" s="1">
        <v>1</v>
      </c>
      <c r="T83" s="1">
        <v>0</v>
      </c>
      <c r="U83" s="1">
        <v>90</v>
      </c>
      <c r="V83" s="1">
        <v>60003760</v>
      </c>
      <c r="W83" s="1">
        <v>32767</v>
      </c>
      <c r="X83" s="1">
        <v>0</v>
      </c>
      <c r="Z83" s="1">
        <v>2781087373</v>
      </c>
      <c r="AA83" s="1">
        <v>36</v>
      </c>
      <c r="AB83" s="1">
        <v>2228313</v>
      </c>
      <c r="AC83" s="1">
        <v>2228313</v>
      </c>
      <c r="AD83" s="16">
        <v>56.18</v>
      </c>
      <c r="AE83" s="1">
        <v>1</v>
      </c>
      <c r="AF83" s="1">
        <v>0</v>
      </c>
      <c r="AG83" s="1">
        <v>90</v>
      </c>
      <c r="AH83" s="1">
        <v>60003760</v>
      </c>
      <c r="AI83" s="1">
        <v>32767</v>
      </c>
      <c r="AJ83" s="1">
        <v>11</v>
      </c>
      <c r="AL83" s="1">
        <v>2747066977</v>
      </c>
      <c r="AM83" s="1">
        <v>37</v>
      </c>
      <c r="AN83" s="1">
        <v>678996</v>
      </c>
      <c r="AO83" s="1">
        <v>678996</v>
      </c>
      <c r="AP83" s="16">
        <v>175</v>
      </c>
      <c r="AQ83" s="1">
        <v>1</v>
      </c>
      <c r="AR83" s="1">
        <v>0</v>
      </c>
      <c r="AS83" s="1">
        <v>90</v>
      </c>
      <c r="AT83" s="1">
        <v>60003760</v>
      </c>
      <c r="AU83" s="1">
        <v>32767</v>
      </c>
      <c r="AV83" s="1">
        <v>9</v>
      </c>
      <c r="AX83" s="1">
        <v>2862762273</v>
      </c>
      <c r="AY83" s="1">
        <v>38</v>
      </c>
      <c r="AZ83" s="1">
        <v>58763</v>
      </c>
      <c r="BA83" s="1">
        <v>8763</v>
      </c>
      <c r="BB83" s="1">
        <v>845</v>
      </c>
      <c r="BC83" s="1">
        <v>1</v>
      </c>
      <c r="BD83" s="1">
        <v>0</v>
      </c>
      <c r="BE83" s="1">
        <v>30</v>
      </c>
      <c r="BF83" s="1">
        <v>60004459</v>
      </c>
      <c r="BG83" s="1">
        <v>32767</v>
      </c>
      <c r="BH83" s="1">
        <v>8</v>
      </c>
      <c r="BJ83" s="1">
        <v>2746215054</v>
      </c>
      <c r="BK83" s="1">
        <v>39</v>
      </c>
      <c r="BL83" s="1">
        <v>499</v>
      </c>
      <c r="BM83" s="1">
        <v>499</v>
      </c>
      <c r="BN83" s="1">
        <v>900</v>
      </c>
      <c r="BO83" s="1">
        <v>1</v>
      </c>
      <c r="BP83" s="1">
        <v>0</v>
      </c>
      <c r="BQ83" s="1">
        <v>90</v>
      </c>
      <c r="BR83" s="1">
        <v>60003760</v>
      </c>
      <c r="BS83" s="1">
        <v>32767</v>
      </c>
      <c r="BT83" s="1">
        <v>5</v>
      </c>
      <c r="BV83" s="1">
        <v>2402138796</v>
      </c>
      <c r="BW83" s="1">
        <v>40</v>
      </c>
      <c r="BX83" s="1">
        <v>100000</v>
      </c>
      <c r="BY83" s="1">
        <v>85000</v>
      </c>
      <c r="BZ83" s="1">
        <v>2755.58</v>
      </c>
      <c r="CA83" s="1">
        <v>1</v>
      </c>
      <c r="CB83" s="1">
        <v>0</v>
      </c>
      <c r="CC83" s="1">
        <v>90</v>
      </c>
      <c r="CD83" s="1">
        <v>60003760</v>
      </c>
      <c r="CE83" s="1">
        <v>32767</v>
      </c>
      <c r="CF83" s="1">
        <v>13</v>
      </c>
      <c r="CH83" s="1">
        <v>2411652954</v>
      </c>
      <c r="CI83" s="1">
        <v>29668</v>
      </c>
      <c r="CJ83" s="1">
        <v>6</v>
      </c>
      <c r="CK83" s="1">
        <v>6</v>
      </c>
      <c r="CL83" s="1">
        <v>559999999</v>
      </c>
      <c r="CM83" s="1">
        <v>1</v>
      </c>
      <c r="CN83" s="1">
        <v>0</v>
      </c>
      <c r="CO83" s="1">
        <v>90</v>
      </c>
      <c r="CP83" s="1">
        <v>60003760</v>
      </c>
      <c r="CQ83" s="1">
        <v>32767</v>
      </c>
      <c r="CR83" s="1">
        <v>0</v>
      </c>
      <c r="CT83" s="1">
        <v>2392595890</v>
      </c>
      <c r="CU83" s="1">
        <v>16649</v>
      </c>
      <c r="CV83" s="1">
        <v>1000</v>
      </c>
      <c r="CW83" s="1">
        <v>1000</v>
      </c>
      <c r="CX83" s="1">
        <v>86000</v>
      </c>
      <c r="CY83" s="1">
        <v>1</v>
      </c>
      <c r="CZ83" s="1">
        <v>1</v>
      </c>
      <c r="DA83" s="1">
        <v>90</v>
      </c>
      <c r="DB83" s="1">
        <v>60003760</v>
      </c>
      <c r="DC83" s="1">
        <v>0</v>
      </c>
      <c r="DD83" s="1">
        <v>0</v>
      </c>
      <c r="DF83" s="1">
        <v>2410833641</v>
      </c>
      <c r="DG83" s="1">
        <v>17887</v>
      </c>
      <c r="DH83" s="1">
        <v>1346960</v>
      </c>
      <c r="DI83" s="1">
        <v>1346960</v>
      </c>
      <c r="DJ83" s="1">
        <v>1022.64</v>
      </c>
      <c r="DK83" s="1">
        <v>1</v>
      </c>
      <c r="DL83" s="1">
        <v>0</v>
      </c>
      <c r="DM83" s="1">
        <v>90</v>
      </c>
      <c r="DN83" s="1">
        <v>60003760</v>
      </c>
      <c r="DO83" s="1">
        <v>32767</v>
      </c>
      <c r="DP83" s="1">
        <v>0</v>
      </c>
      <c r="DR83" s="1">
        <v>2794744402</v>
      </c>
      <c r="DS83" s="1">
        <v>17888</v>
      </c>
      <c r="DT83" s="1">
        <v>2999159</v>
      </c>
      <c r="DU83" s="1">
        <v>2999159</v>
      </c>
      <c r="DV83" s="1">
        <v>399.99</v>
      </c>
      <c r="DW83" s="1">
        <v>1</v>
      </c>
      <c r="DX83" s="1">
        <v>0</v>
      </c>
      <c r="DY83" s="1">
        <v>90</v>
      </c>
      <c r="DZ83" s="1">
        <v>60003760</v>
      </c>
      <c r="EA83" s="1">
        <v>32767</v>
      </c>
      <c r="EB83" s="1">
        <v>8</v>
      </c>
      <c r="ED83" s="1">
        <v>2872904318</v>
      </c>
      <c r="EE83" s="1">
        <v>16273</v>
      </c>
      <c r="EF83" s="1">
        <v>550</v>
      </c>
      <c r="EG83" s="1">
        <v>550</v>
      </c>
      <c r="EH83" s="1">
        <v>750</v>
      </c>
      <c r="EI83" s="1">
        <v>1</v>
      </c>
      <c r="EJ83" s="1">
        <v>0</v>
      </c>
      <c r="EK83" s="1">
        <v>90</v>
      </c>
      <c r="EL83" s="1">
        <v>60003241</v>
      </c>
      <c r="EM83" s="1">
        <v>32767</v>
      </c>
      <c r="EN83" s="1">
        <v>4</v>
      </c>
      <c r="EP83" s="1">
        <v>2877285638</v>
      </c>
      <c r="EQ83" s="1">
        <v>17889</v>
      </c>
      <c r="ER83" s="1">
        <v>2800000</v>
      </c>
      <c r="ES83" s="1">
        <v>1671584</v>
      </c>
      <c r="ET83" s="1">
        <v>372.53</v>
      </c>
      <c r="EU83" s="1">
        <v>1</v>
      </c>
      <c r="EV83" s="1">
        <v>0</v>
      </c>
      <c r="EW83" s="1">
        <v>7</v>
      </c>
      <c r="EX83" s="1">
        <v>60003760</v>
      </c>
      <c r="EY83" s="1">
        <v>32767</v>
      </c>
      <c r="EZ83" s="1">
        <v>7</v>
      </c>
      <c r="FB83" s="1">
        <v>2794570542</v>
      </c>
      <c r="FC83" s="1">
        <v>30259</v>
      </c>
      <c r="FD83" s="1">
        <v>15</v>
      </c>
      <c r="FE83" s="1">
        <v>14</v>
      </c>
      <c r="FF83" s="1">
        <v>4110009.62</v>
      </c>
      <c r="FG83" s="1">
        <v>1</v>
      </c>
      <c r="FH83" s="1">
        <v>1</v>
      </c>
      <c r="FI83" s="1">
        <v>90</v>
      </c>
      <c r="FJ83" s="1">
        <v>60003760</v>
      </c>
      <c r="FK83" s="1">
        <v>32767</v>
      </c>
      <c r="FL83" s="1">
        <v>0</v>
      </c>
      <c r="FN83" s="1">
        <v>2870869991</v>
      </c>
      <c r="FO83" s="1">
        <v>25617</v>
      </c>
      <c r="FP83" s="1">
        <v>20</v>
      </c>
      <c r="FQ83" s="1">
        <v>20</v>
      </c>
      <c r="FR83" s="1">
        <v>4000000</v>
      </c>
      <c r="FS83" s="1">
        <v>1</v>
      </c>
      <c r="FT83" s="1">
        <v>1</v>
      </c>
      <c r="FU83" s="1">
        <v>30</v>
      </c>
      <c r="FV83" s="1">
        <v>60003760</v>
      </c>
      <c r="FW83" s="1">
        <v>5</v>
      </c>
      <c r="FX83" s="1">
        <v>0</v>
      </c>
      <c r="FZ83" s="1">
        <v>2876174901</v>
      </c>
      <c r="GA83" s="1">
        <v>44</v>
      </c>
      <c r="GB83" s="1">
        <v>6355</v>
      </c>
      <c r="GC83" s="1">
        <v>6355</v>
      </c>
      <c r="GD83" s="1">
        <v>12700</v>
      </c>
      <c r="GE83" s="1">
        <v>1</v>
      </c>
      <c r="GF83" s="1">
        <v>0</v>
      </c>
      <c r="GG83" s="1">
        <v>14</v>
      </c>
      <c r="GH83" s="1">
        <v>60000904</v>
      </c>
      <c r="GI83" s="1">
        <v>32767</v>
      </c>
      <c r="GJ83" s="1">
        <v>8</v>
      </c>
      <c r="GL83" s="1">
        <v>2391094132</v>
      </c>
      <c r="GM83" s="1">
        <v>16681</v>
      </c>
      <c r="GN83" s="1">
        <v>250000</v>
      </c>
      <c r="GO83" s="1">
        <v>250000</v>
      </c>
      <c r="GP83" s="1">
        <v>4782</v>
      </c>
      <c r="GQ83" s="1">
        <v>1</v>
      </c>
      <c r="GR83" s="1">
        <v>1</v>
      </c>
      <c r="GS83" s="1">
        <v>90</v>
      </c>
      <c r="GT83" s="1">
        <v>60003760</v>
      </c>
      <c r="GU83" s="1">
        <v>-1</v>
      </c>
      <c r="GV83" s="1">
        <v>0</v>
      </c>
      <c r="GX83" s="1">
        <v>2878760360</v>
      </c>
      <c r="GY83" s="1">
        <v>16683</v>
      </c>
      <c r="GZ83" s="1">
        <v>50000</v>
      </c>
      <c r="HA83" s="1">
        <v>50000</v>
      </c>
      <c r="HB83" s="1">
        <v>8384.34</v>
      </c>
      <c r="HC83" s="1">
        <v>1</v>
      </c>
      <c r="HD83" s="1">
        <v>1</v>
      </c>
      <c r="HE83" s="1">
        <v>1</v>
      </c>
      <c r="HF83" s="1">
        <v>60003760</v>
      </c>
      <c r="HG83" s="1">
        <v>-1</v>
      </c>
      <c r="HH83" s="1">
        <v>0</v>
      </c>
      <c r="HJ83"/>
      <c r="HK83"/>
      <c r="HL83"/>
      <c r="HM83"/>
      <c r="HN83"/>
      <c r="HO83"/>
      <c r="HP83"/>
      <c r="HQ83"/>
      <c r="HR83"/>
      <c r="HS83"/>
      <c r="HT83"/>
      <c r="HV83" s="1">
        <v>2878630199</v>
      </c>
      <c r="HW83" s="1">
        <v>16274</v>
      </c>
      <c r="HX83" s="1">
        <v>100000</v>
      </c>
      <c r="HY83" s="1">
        <v>100000</v>
      </c>
      <c r="HZ83" s="1">
        <v>369.91</v>
      </c>
      <c r="IA83" s="1">
        <v>1</v>
      </c>
      <c r="IB83" s="1">
        <v>0</v>
      </c>
      <c r="IC83" s="1">
        <v>30</v>
      </c>
      <c r="ID83" s="1">
        <v>60003760</v>
      </c>
      <c r="IE83" s="1">
        <v>32767</v>
      </c>
      <c r="IF83" s="1">
        <v>0</v>
      </c>
      <c r="IH83"/>
      <c r="II83"/>
      <c r="IJ83"/>
      <c r="IK83"/>
      <c r="IL83"/>
      <c r="IM83"/>
      <c r="IN83"/>
      <c r="IO83"/>
      <c r="IP83"/>
      <c r="IQ83"/>
      <c r="IR83"/>
      <c r="IT83" s="1">
        <v>2826057937</v>
      </c>
      <c r="IU83" s="1">
        <v>16679</v>
      </c>
      <c r="IV83" s="1">
        <v>300000</v>
      </c>
      <c r="IW83" s="1">
        <v>299967</v>
      </c>
      <c r="IX83" s="1">
        <v>1600.11</v>
      </c>
      <c r="IY83" s="1">
        <v>1</v>
      </c>
      <c r="IZ83" s="1">
        <v>1</v>
      </c>
      <c r="JA83" s="1">
        <v>30</v>
      </c>
      <c r="JB83" s="1">
        <v>60003760</v>
      </c>
      <c r="JC83" s="1">
        <v>0</v>
      </c>
      <c r="JD83" s="1">
        <v>0</v>
      </c>
      <c r="JF83" s="1">
        <v>2854217328</v>
      </c>
      <c r="JG83" s="1">
        <v>16272</v>
      </c>
      <c r="JH83" s="1">
        <v>389812</v>
      </c>
      <c r="JI83" s="1">
        <v>389812</v>
      </c>
      <c r="JJ83" s="1">
        <v>80</v>
      </c>
      <c r="JK83" s="1">
        <v>1</v>
      </c>
      <c r="JL83" s="1">
        <v>0</v>
      </c>
      <c r="JM83" s="1">
        <v>90</v>
      </c>
      <c r="JN83" s="1">
        <v>60000535</v>
      </c>
      <c r="JO83" s="1">
        <v>32767</v>
      </c>
      <c r="JP83" s="1">
        <v>0</v>
      </c>
      <c r="KD83" s="1">
        <v>2823886710</v>
      </c>
      <c r="KE83" s="1">
        <v>25605</v>
      </c>
      <c r="KF83" s="1">
        <v>5000</v>
      </c>
      <c r="KG83" s="1">
        <v>4871</v>
      </c>
      <c r="KH83" s="1">
        <v>105000</v>
      </c>
      <c r="KI83" s="1">
        <v>1</v>
      </c>
      <c r="KJ83" s="1">
        <v>1</v>
      </c>
      <c r="KK83" s="1">
        <v>90</v>
      </c>
      <c r="KL83" s="1">
        <v>60003760</v>
      </c>
      <c r="KM83" s="1">
        <v>-1</v>
      </c>
      <c r="KN83" s="1">
        <v>0</v>
      </c>
      <c r="KP83" s="1">
        <v>2876476204</v>
      </c>
      <c r="KQ83" s="1">
        <v>25624</v>
      </c>
      <c r="KR83" s="1">
        <v>37</v>
      </c>
      <c r="KS83" s="1">
        <v>6</v>
      </c>
      <c r="KT83" s="1">
        <v>18199000</v>
      </c>
      <c r="KU83" s="1">
        <v>1</v>
      </c>
      <c r="KV83" s="1">
        <v>0</v>
      </c>
      <c r="KW83" s="1">
        <v>90</v>
      </c>
      <c r="KX83" s="1">
        <v>60003760</v>
      </c>
      <c r="KY83" s="1">
        <v>32767</v>
      </c>
      <c r="KZ83" s="1">
        <v>1</v>
      </c>
      <c r="LB83" s="1">
        <v>2877088822</v>
      </c>
      <c r="LC83" s="1">
        <v>9832</v>
      </c>
      <c r="LD83" s="1">
        <v>14780</v>
      </c>
      <c r="LE83" s="1">
        <v>14780</v>
      </c>
      <c r="LF83" s="1">
        <v>9999</v>
      </c>
      <c r="LG83" s="1">
        <v>1</v>
      </c>
      <c r="LH83" s="1">
        <v>0</v>
      </c>
      <c r="LI83" s="1">
        <v>90</v>
      </c>
      <c r="LJ83" s="1">
        <v>60003760</v>
      </c>
      <c r="LK83" s="1">
        <v>32767</v>
      </c>
      <c r="LL83" s="1">
        <v>0</v>
      </c>
      <c r="ML83"/>
      <c r="MM83"/>
      <c r="MN83"/>
      <c r="MO83"/>
      <c r="MP83"/>
      <c r="MQ83"/>
      <c r="MR83"/>
      <c r="MS83"/>
      <c r="MT83"/>
      <c r="MU83"/>
      <c r="MV83"/>
      <c r="MX83" s="1">
        <v>2875878601</v>
      </c>
      <c r="MY83" s="1">
        <v>16672</v>
      </c>
      <c r="MZ83" s="1">
        <v>10000000</v>
      </c>
      <c r="NA83" s="1">
        <v>10000000</v>
      </c>
      <c r="NB83" s="1">
        <v>109.93</v>
      </c>
      <c r="NC83" s="1">
        <v>1</v>
      </c>
      <c r="ND83" s="1">
        <v>1</v>
      </c>
      <c r="NE83" s="1">
        <v>90</v>
      </c>
      <c r="NF83" s="1">
        <v>60003760</v>
      </c>
      <c r="NG83" s="1">
        <v>-1</v>
      </c>
      <c r="NH83" s="1">
        <v>0</v>
      </c>
      <c r="NJ83" s="1">
        <v>2846330725</v>
      </c>
      <c r="NK83" s="1">
        <v>16673</v>
      </c>
      <c r="NL83" s="1">
        <v>11530000</v>
      </c>
      <c r="NM83" s="1">
        <v>8650752</v>
      </c>
      <c r="NN83" s="1">
        <v>100.98</v>
      </c>
      <c r="NO83" s="1">
        <v>1</v>
      </c>
      <c r="NP83" s="1">
        <v>0</v>
      </c>
      <c r="NQ83" s="1">
        <v>90</v>
      </c>
      <c r="NR83" s="1">
        <v>60003760</v>
      </c>
      <c r="NS83" s="1">
        <v>32767</v>
      </c>
      <c r="NT83" s="1">
        <v>6</v>
      </c>
      <c r="NV83" s="1">
        <v>2874373050</v>
      </c>
      <c r="NW83" s="1">
        <v>3689</v>
      </c>
      <c r="NX83" s="1">
        <v>1830</v>
      </c>
      <c r="NY83" s="1">
        <v>1830</v>
      </c>
      <c r="NZ83" s="1">
        <v>10185.01</v>
      </c>
      <c r="OA83" s="1">
        <v>1</v>
      </c>
      <c r="OB83" s="1">
        <v>0</v>
      </c>
      <c r="OC83" s="1">
        <v>7</v>
      </c>
      <c r="OD83" s="1">
        <v>60003760</v>
      </c>
      <c r="OE83" s="1">
        <v>32767</v>
      </c>
      <c r="OF83" s="1">
        <v>0</v>
      </c>
      <c r="OH83" s="1">
        <v>2856928893</v>
      </c>
      <c r="OI83" s="1">
        <v>25598</v>
      </c>
      <c r="OJ83" s="1">
        <v>937</v>
      </c>
      <c r="OK83" s="1">
        <v>937</v>
      </c>
      <c r="OL83" s="1">
        <v>146980.19</v>
      </c>
      <c r="OM83" s="1">
        <v>1</v>
      </c>
      <c r="ON83" s="1">
        <v>0</v>
      </c>
      <c r="OO83" s="1">
        <v>90</v>
      </c>
      <c r="OP83" s="1">
        <v>60003760</v>
      </c>
      <c r="OQ83" s="1">
        <v>32767</v>
      </c>
      <c r="OR83" s="1">
        <v>0</v>
      </c>
      <c r="OT83" s="1">
        <v>2816214192</v>
      </c>
      <c r="OU83" s="1">
        <v>25600</v>
      </c>
      <c r="OV83" s="1">
        <v>230</v>
      </c>
      <c r="OW83" s="1">
        <v>230</v>
      </c>
      <c r="OX83" s="1">
        <v>31000</v>
      </c>
      <c r="OY83" s="1">
        <v>1</v>
      </c>
      <c r="OZ83" s="1">
        <v>0</v>
      </c>
      <c r="PA83" s="1">
        <v>90</v>
      </c>
      <c r="PB83" s="1">
        <v>60003049</v>
      </c>
      <c r="PC83" s="1">
        <v>32767</v>
      </c>
      <c r="PD83" s="1">
        <v>9</v>
      </c>
      <c r="PF83" s="1">
        <v>2876308236</v>
      </c>
      <c r="PG83" s="1">
        <v>16670</v>
      </c>
      <c r="PH83" s="1">
        <v>10000000</v>
      </c>
      <c r="PI83" s="1">
        <v>10000000</v>
      </c>
      <c r="PJ83" s="1">
        <v>115.84</v>
      </c>
      <c r="PK83" s="1">
        <v>1</v>
      </c>
      <c r="PL83" s="1">
        <v>0</v>
      </c>
      <c r="PM83" s="1">
        <v>90</v>
      </c>
      <c r="PN83" s="1">
        <v>60003760</v>
      </c>
      <c r="PO83" s="1">
        <v>32767</v>
      </c>
      <c r="PP83" s="1">
        <v>7</v>
      </c>
      <c r="QD83" s="1">
        <v>2874587641</v>
      </c>
      <c r="QE83" s="1">
        <v>9830</v>
      </c>
      <c r="QF83" s="1">
        <v>30000</v>
      </c>
      <c r="QG83" s="1">
        <v>4241</v>
      </c>
      <c r="QH83" s="1">
        <v>7118.02</v>
      </c>
      <c r="QI83" s="1">
        <v>1</v>
      </c>
      <c r="QJ83" s="1">
        <v>1</v>
      </c>
      <c r="QK83" s="1">
        <v>90</v>
      </c>
      <c r="QL83" s="1">
        <v>60003760</v>
      </c>
      <c r="QM83" s="1">
        <v>-1</v>
      </c>
      <c r="QN83" s="1">
        <v>0</v>
      </c>
      <c r="QP83" s="1">
        <v>2871383985</v>
      </c>
      <c r="QQ83" s="1">
        <v>16671</v>
      </c>
      <c r="QR83" s="1">
        <v>1000000</v>
      </c>
      <c r="QS83" s="1">
        <v>1000000</v>
      </c>
      <c r="QT83" s="1">
        <v>90</v>
      </c>
      <c r="QU83" s="1">
        <v>1</v>
      </c>
      <c r="QV83" s="1">
        <v>1</v>
      </c>
      <c r="QW83" s="1">
        <v>90</v>
      </c>
      <c r="QX83" s="1">
        <v>60003760</v>
      </c>
      <c r="QY83" s="1">
        <v>-1</v>
      </c>
      <c r="QZ83" s="1">
        <v>0</v>
      </c>
      <c r="RB83" s="1">
        <v>2876488652</v>
      </c>
      <c r="RC83" s="1">
        <v>16682</v>
      </c>
      <c r="RD83" s="1">
        <v>50000</v>
      </c>
      <c r="RE83" s="1">
        <v>3006</v>
      </c>
      <c r="RF83" s="1">
        <v>3245.01</v>
      </c>
      <c r="RG83" s="1">
        <v>1</v>
      </c>
      <c r="RH83" s="1">
        <v>1</v>
      </c>
      <c r="RI83" s="1">
        <v>90</v>
      </c>
      <c r="RJ83" s="1">
        <v>60003760</v>
      </c>
      <c r="RK83" s="1">
        <v>-1</v>
      </c>
      <c r="RL83" s="1">
        <v>0</v>
      </c>
      <c r="RN83" s="1">
        <v>2046713138</v>
      </c>
      <c r="RO83" s="1">
        <v>16678</v>
      </c>
      <c r="RP83" s="1">
        <v>100000</v>
      </c>
      <c r="RQ83" s="1">
        <v>84251</v>
      </c>
      <c r="RR83" s="1">
        <v>28.1</v>
      </c>
      <c r="RS83" s="1">
        <v>1</v>
      </c>
      <c r="RT83" s="1">
        <v>1</v>
      </c>
      <c r="RU83" s="1">
        <v>90</v>
      </c>
      <c r="RV83" s="1">
        <v>60000688</v>
      </c>
      <c r="RW83" s="1">
        <v>10</v>
      </c>
      <c r="RX83" s="1">
        <v>0</v>
      </c>
      <c r="SX83" s="1">
        <v>2730020220</v>
      </c>
      <c r="SY83" s="1">
        <v>25595</v>
      </c>
      <c r="SZ83" s="1">
        <v>1449</v>
      </c>
      <c r="TA83" s="1">
        <v>1449</v>
      </c>
      <c r="TB83" s="1">
        <v>114972</v>
      </c>
      <c r="TC83" s="1">
        <v>1</v>
      </c>
      <c r="TD83" s="1">
        <v>0</v>
      </c>
      <c r="TE83" s="1">
        <v>90</v>
      </c>
      <c r="TF83" s="1">
        <v>60003760</v>
      </c>
      <c r="TG83" s="1">
        <v>32767</v>
      </c>
      <c r="TH83" s="1">
        <v>6</v>
      </c>
      <c r="TJ83" s="1">
        <v>2718028408</v>
      </c>
      <c r="TK83" s="1">
        <v>25606</v>
      </c>
      <c r="TL83" s="1">
        <v>322</v>
      </c>
      <c r="TM83" s="1">
        <v>284</v>
      </c>
      <c r="TN83" s="1">
        <v>34000</v>
      </c>
      <c r="TO83" s="1">
        <v>1</v>
      </c>
      <c r="TP83" s="1">
        <v>0</v>
      </c>
      <c r="TQ83" s="1">
        <v>90</v>
      </c>
      <c r="TR83" s="1">
        <v>60004459</v>
      </c>
      <c r="TS83" s="1">
        <v>32767</v>
      </c>
      <c r="TT83" s="1">
        <v>6</v>
      </c>
      <c r="TV83"/>
      <c r="TW83"/>
      <c r="TX83"/>
      <c r="TY83"/>
      <c r="TZ83"/>
      <c r="UA83"/>
      <c r="UB83"/>
      <c r="UC83"/>
      <c r="UD83"/>
      <c r="UE83"/>
      <c r="UF83"/>
      <c r="UT83"/>
      <c r="UU83"/>
      <c r="UV83"/>
      <c r="UW83"/>
      <c r="UX83"/>
      <c r="UY83"/>
      <c r="UZ83"/>
      <c r="VA83"/>
      <c r="VB83"/>
      <c r="VC83"/>
      <c r="VD83"/>
      <c r="VF83"/>
      <c r="VG83"/>
      <c r="VH83"/>
      <c r="VI83"/>
      <c r="VJ83"/>
      <c r="VK83"/>
      <c r="VL83"/>
      <c r="VM83"/>
      <c r="VN83"/>
      <c r="VO83"/>
      <c r="VP83"/>
    </row>
    <row r="84" spans="2:588" x14ac:dyDescent="0.25">
      <c r="B84" s="1">
        <v>2758843939</v>
      </c>
      <c r="C84" s="1">
        <v>34</v>
      </c>
      <c r="D84" s="1">
        <v>193153797</v>
      </c>
      <c r="E84" s="1">
        <v>193153797</v>
      </c>
      <c r="F84" s="1">
        <v>6.21</v>
      </c>
      <c r="G84" s="1">
        <v>1</v>
      </c>
      <c r="H84" s="1">
        <v>0</v>
      </c>
      <c r="I84" s="1">
        <v>90</v>
      </c>
      <c r="J84" s="1">
        <v>60003760</v>
      </c>
      <c r="K84" s="1">
        <v>32767</v>
      </c>
      <c r="L84" s="1">
        <v>0</v>
      </c>
      <c r="N84" s="1">
        <v>2845269528</v>
      </c>
      <c r="O84" s="1">
        <v>35</v>
      </c>
      <c r="P84" s="1">
        <v>306645582</v>
      </c>
      <c r="Q84" s="1">
        <v>306645582</v>
      </c>
      <c r="R84" s="1">
        <v>15.97</v>
      </c>
      <c r="S84" s="1">
        <v>1</v>
      </c>
      <c r="T84" s="1">
        <v>0</v>
      </c>
      <c r="U84" s="1">
        <v>90</v>
      </c>
      <c r="V84" s="1">
        <v>60003760</v>
      </c>
      <c r="W84" s="1">
        <v>32767</v>
      </c>
      <c r="X84" s="1">
        <v>0</v>
      </c>
      <c r="Z84" s="1">
        <v>2810719302</v>
      </c>
      <c r="AA84" s="1">
        <v>36</v>
      </c>
      <c r="AB84" s="1">
        <v>14841</v>
      </c>
      <c r="AC84" s="1">
        <v>14841</v>
      </c>
      <c r="AD84" s="16">
        <v>62.44</v>
      </c>
      <c r="AE84" s="1">
        <v>1</v>
      </c>
      <c r="AF84" s="1">
        <v>0</v>
      </c>
      <c r="AG84" s="1">
        <v>90</v>
      </c>
      <c r="AH84" s="1">
        <v>60003760</v>
      </c>
      <c r="AI84" s="1">
        <v>32767</v>
      </c>
      <c r="AJ84" s="1">
        <v>11</v>
      </c>
      <c r="AL84" s="1">
        <v>2747075430</v>
      </c>
      <c r="AM84" s="1">
        <v>37</v>
      </c>
      <c r="AN84" s="1">
        <v>394137</v>
      </c>
      <c r="AO84" s="1">
        <v>274112</v>
      </c>
      <c r="AP84" s="16">
        <v>173.99</v>
      </c>
      <c r="AQ84" s="1">
        <v>1</v>
      </c>
      <c r="AR84" s="1">
        <v>0</v>
      </c>
      <c r="AS84" s="1">
        <v>90</v>
      </c>
      <c r="AT84" s="1">
        <v>60003760</v>
      </c>
      <c r="AU84" s="1">
        <v>32767</v>
      </c>
      <c r="AV84" s="1">
        <v>9</v>
      </c>
      <c r="AX84" s="1">
        <v>2849884042</v>
      </c>
      <c r="AY84" s="1">
        <v>38</v>
      </c>
      <c r="AZ84" s="1">
        <v>170000</v>
      </c>
      <c r="BA84" s="1">
        <v>61276</v>
      </c>
      <c r="BB84" s="1">
        <v>815</v>
      </c>
      <c r="BC84" s="1">
        <v>1</v>
      </c>
      <c r="BD84" s="1">
        <v>0</v>
      </c>
      <c r="BE84" s="1">
        <v>90</v>
      </c>
      <c r="BF84" s="1">
        <v>60003073</v>
      </c>
      <c r="BG84" s="1">
        <v>32767</v>
      </c>
      <c r="BH84" s="1">
        <v>8</v>
      </c>
      <c r="BJ84" s="1">
        <v>2868659750</v>
      </c>
      <c r="BK84" s="1">
        <v>39</v>
      </c>
      <c r="BL84" s="1">
        <v>5662</v>
      </c>
      <c r="BM84" s="1">
        <v>5662</v>
      </c>
      <c r="BN84" s="1">
        <v>870</v>
      </c>
      <c r="BO84" s="1">
        <v>1</v>
      </c>
      <c r="BP84" s="1">
        <v>0</v>
      </c>
      <c r="BQ84" s="1">
        <v>30</v>
      </c>
      <c r="BR84" s="1">
        <v>60003760</v>
      </c>
      <c r="BS84" s="1">
        <v>32767</v>
      </c>
      <c r="BT84" s="1">
        <v>5</v>
      </c>
      <c r="BV84" s="1">
        <v>2402270964</v>
      </c>
      <c r="BW84" s="1">
        <v>40</v>
      </c>
      <c r="BX84" s="1">
        <v>299909</v>
      </c>
      <c r="BY84" s="1">
        <v>299609</v>
      </c>
      <c r="BZ84" s="1">
        <v>2749</v>
      </c>
      <c r="CA84" s="1">
        <v>1</v>
      </c>
      <c r="CB84" s="1">
        <v>0</v>
      </c>
      <c r="CC84" s="1">
        <v>90</v>
      </c>
      <c r="CD84" s="1">
        <v>60003760</v>
      </c>
      <c r="CE84" s="1">
        <v>32767</v>
      </c>
      <c r="CF84" s="1">
        <v>13</v>
      </c>
      <c r="CH84" s="1">
        <v>2411653170</v>
      </c>
      <c r="CI84" s="1">
        <v>29668</v>
      </c>
      <c r="CJ84" s="1">
        <v>5</v>
      </c>
      <c r="CK84" s="1">
        <v>5</v>
      </c>
      <c r="CL84" s="1">
        <v>534999999</v>
      </c>
      <c r="CM84" s="1">
        <v>1</v>
      </c>
      <c r="CN84" s="1">
        <v>0</v>
      </c>
      <c r="CO84" s="1">
        <v>90</v>
      </c>
      <c r="CP84" s="1">
        <v>60003760</v>
      </c>
      <c r="CQ84" s="1">
        <v>32767</v>
      </c>
      <c r="CR84" s="1">
        <v>0</v>
      </c>
      <c r="CT84" s="1">
        <v>2393132503</v>
      </c>
      <c r="CU84" s="1">
        <v>16649</v>
      </c>
      <c r="CV84" s="1">
        <v>100000</v>
      </c>
      <c r="CW84" s="1">
        <v>100000</v>
      </c>
      <c r="CX84" s="1">
        <v>10369.219999999999</v>
      </c>
      <c r="CY84" s="1">
        <v>1</v>
      </c>
      <c r="CZ84" s="1">
        <v>1</v>
      </c>
      <c r="DA84" s="1">
        <v>30</v>
      </c>
      <c r="DB84" s="1">
        <v>60003760</v>
      </c>
      <c r="DC84" s="1">
        <v>-1</v>
      </c>
      <c r="DD84" s="1">
        <v>0</v>
      </c>
      <c r="DF84" s="1">
        <v>2410833771</v>
      </c>
      <c r="DG84" s="1">
        <v>17887</v>
      </c>
      <c r="DH84" s="1">
        <v>1333491</v>
      </c>
      <c r="DI84" s="1">
        <v>1333490</v>
      </c>
      <c r="DJ84" s="1">
        <v>1021.99</v>
      </c>
      <c r="DK84" s="1">
        <v>1</v>
      </c>
      <c r="DL84" s="1">
        <v>0</v>
      </c>
      <c r="DM84" s="1">
        <v>90</v>
      </c>
      <c r="DN84" s="1">
        <v>60003760</v>
      </c>
      <c r="DO84" s="1">
        <v>32767</v>
      </c>
      <c r="DP84" s="1">
        <v>0</v>
      </c>
      <c r="DR84" s="1">
        <v>2795390613</v>
      </c>
      <c r="DS84" s="1">
        <v>17888</v>
      </c>
      <c r="DT84" s="1">
        <v>258300</v>
      </c>
      <c r="DU84" s="1">
        <v>258300</v>
      </c>
      <c r="DV84" s="1">
        <v>399.98</v>
      </c>
      <c r="DW84" s="1">
        <v>1</v>
      </c>
      <c r="DX84" s="1">
        <v>0</v>
      </c>
      <c r="DY84" s="1">
        <v>90</v>
      </c>
      <c r="DZ84" s="1">
        <v>60003760</v>
      </c>
      <c r="EA84" s="1">
        <v>32767</v>
      </c>
      <c r="EB84" s="1">
        <v>8</v>
      </c>
      <c r="ED84" s="1">
        <v>2845603376</v>
      </c>
      <c r="EE84" s="1">
        <v>16273</v>
      </c>
      <c r="EF84" s="1">
        <v>37500</v>
      </c>
      <c r="EG84" s="1">
        <v>26400</v>
      </c>
      <c r="EH84" s="1">
        <v>430</v>
      </c>
      <c r="EI84" s="1">
        <v>1</v>
      </c>
      <c r="EJ84" s="1">
        <v>0</v>
      </c>
      <c r="EK84" s="1">
        <v>90</v>
      </c>
      <c r="EL84" s="1">
        <v>60004057</v>
      </c>
      <c r="EM84" s="1">
        <v>32767</v>
      </c>
      <c r="EN84" s="1">
        <v>9</v>
      </c>
      <c r="EP84" s="1">
        <v>2879111858</v>
      </c>
      <c r="EQ84" s="1">
        <v>17889</v>
      </c>
      <c r="ER84" s="1">
        <v>3000000</v>
      </c>
      <c r="ES84" s="1">
        <v>3000000</v>
      </c>
      <c r="ET84" s="1">
        <v>372.52</v>
      </c>
      <c r="EU84" s="1">
        <v>1</v>
      </c>
      <c r="EV84" s="1">
        <v>0</v>
      </c>
      <c r="EW84" s="1">
        <v>7</v>
      </c>
      <c r="EX84" s="1">
        <v>60003760</v>
      </c>
      <c r="EY84" s="1">
        <v>32767</v>
      </c>
      <c r="EZ84" s="1">
        <v>0</v>
      </c>
      <c r="FB84" s="1">
        <v>2834428024</v>
      </c>
      <c r="FC84" s="1">
        <v>30259</v>
      </c>
      <c r="FD84" s="1">
        <v>1000000</v>
      </c>
      <c r="FE84" s="1">
        <v>1000000</v>
      </c>
      <c r="FF84" s="1">
        <v>0.01</v>
      </c>
      <c r="FG84" s="1">
        <v>1</v>
      </c>
      <c r="FH84" s="1">
        <v>1</v>
      </c>
      <c r="FI84" s="1">
        <v>90</v>
      </c>
      <c r="FJ84" s="1">
        <v>60003760</v>
      </c>
      <c r="FK84" s="1">
        <v>-1</v>
      </c>
      <c r="FL84" s="1">
        <v>0</v>
      </c>
      <c r="FN84" s="1">
        <v>2873480431</v>
      </c>
      <c r="FO84" s="1">
        <v>25617</v>
      </c>
      <c r="FP84" s="1">
        <v>500</v>
      </c>
      <c r="FQ84" s="1">
        <v>500</v>
      </c>
      <c r="FR84" s="1">
        <v>4907002</v>
      </c>
      <c r="FS84" s="1">
        <v>1</v>
      </c>
      <c r="FT84" s="1">
        <v>1</v>
      </c>
      <c r="FU84" s="1">
        <v>90</v>
      </c>
      <c r="FV84" s="1">
        <v>60003760</v>
      </c>
      <c r="FW84" s="1">
        <v>-1</v>
      </c>
      <c r="FX84" s="1">
        <v>0</v>
      </c>
      <c r="FZ84" s="1">
        <v>2876151473</v>
      </c>
      <c r="GA84" s="1">
        <v>44</v>
      </c>
      <c r="GB84" s="1">
        <v>1704</v>
      </c>
      <c r="GC84" s="1">
        <v>1704</v>
      </c>
      <c r="GD84" s="1">
        <v>12600</v>
      </c>
      <c r="GE84" s="1">
        <v>1</v>
      </c>
      <c r="GF84" s="1">
        <v>0</v>
      </c>
      <c r="GG84" s="1">
        <v>14</v>
      </c>
      <c r="GH84" s="1">
        <v>60000904</v>
      </c>
      <c r="GI84" s="1">
        <v>32767</v>
      </c>
      <c r="GJ84" s="1">
        <v>8</v>
      </c>
      <c r="GL84" s="1">
        <v>2391094462</v>
      </c>
      <c r="GM84" s="1">
        <v>16681</v>
      </c>
      <c r="GN84" s="1">
        <v>250000</v>
      </c>
      <c r="GO84" s="1">
        <v>250000</v>
      </c>
      <c r="GP84" s="1">
        <v>4301</v>
      </c>
      <c r="GQ84" s="1">
        <v>1</v>
      </c>
      <c r="GR84" s="1">
        <v>1</v>
      </c>
      <c r="GS84" s="1">
        <v>90</v>
      </c>
      <c r="GT84" s="1">
        <v>60003760</v>
      </c>
      <c r="GU84" s="1">
        <v>-1</v>
      </c>
      <c r="GV84" s="1">
        <v>0</v>
      </c>
      <c r="GX84" s="1">
        <v>2878678920</v>
      </c>
      <c r="GY84" s="1">
        <v>16683</v>
      </c>
      <c r="GZ84" s="1">
        <v>30000</v>
      </c>
      <c r="HA84" s="1">
        <v>26901</v>
      </c>
      <c r="HB84" s="1">
        <v>8384.39</v>
      </c>
      <c r="HC84" s="1">
        <v>1</v>
      </c>
      <c r="HD84" s="1">
        <v>1</v>
      </c>
      <c r="HE84" s="1">
        <v>90</v>
      </c>
      <c r="HF84" s="1">
        <v>60003760</v>
      </c>
      <c r="HG84" s="1">
        <v>-1</v>
      </c>
      <c r="HH84" s="1">
        <v>0</v>
      </c>
      <c r="HJ84"/>
      <c r="HK84"/>
      <c r="HL84"/>
      <c r="HM84"/>
      <c r="HN84"/>
      <c r="HO84"/>
      <c r="HP84"/>
      <c r="HQ84"/>
      <c r="HR84"/>
      <c r="HS84"/>
      <c r="HT84"/>
      <c r="HV84" s="1">
        <v>2878641283</v>
      </c>
      <c r="HW84" s="1">
        <v>16274</v>
      </c>
      <c r="HX84" s="1">
        <v>100000</v>
      </c>
      <c r="HY84" s="1">
        <v>100000</v>
      </c>
      <c r="HZ84" s="1">
        <v>480</v>
      </c>
      <c r="IA84" s="1">
        <v>1</v>
      </c>
      <c r="IB84" s="1">
        <v>0</v>
      </c>
      <c r="IC84" s="1">
        <v>90</v>
      </c>
      <c r="ID84" s="1">
        <v>60004375</v>
      </c>
      <c r="IE84" s="1">
        <v>32767</v>
      </c>
      <c r="IF84" s="1">
        <v>0</v>
      </c>
      <c r="IH84"/>
      <c r="II84"/>
      <c r="IJ84"/>
      <c r="IK84"/>
      <c r="IL84"/>
      <c r="IM84"/>
      <c r="IN84"/>
      <c r="IO84"/>
      <c r="IP84"/>
      <c r="IQ84"/>
      <c r="IR84"/>
      <c r="IT84" s="1">
        <v>2755045454</v>
      </c>
      <c r="IU84" s="1">
        <v>16679</v>
      </c>
      <c r="IV84" s="1">
        <v>300000</v>
      </c>
      <c r="IW84" s="1">
        <v>298976</v>
      </c>
      <c r="IX84" s="1">
        <v>403</v>
      </c>
      <c r="IY84" s="1">
        <v>1</v>
      </c>
      <c r="IZ84" s="1">
        <v>1</v>
      </c>
      <c r="JA84" s="1">
        <v>90</v>
      </c>
      <c r="JB84" s="1">
        <v>60003760</v>
      </c>
      <c r="JC84" s="1">
        <v>32767</v>
      </c>
      <c r="JD84" s="1">
        <v>0</v>
      </c>
      <c r="JF84" s="1">
        <v>2854217486</v>
      </c>
      <c r="JG84" s="1">
        <v>16272</v>
      </c>
      <c r="JH84" s="1">
        <v>861918</v>
      </c>
      <c r="JI84" s="1">
        <v>861918</v>
      </c>
      <c r="JJ84" s="1">
        <v>80</v>
      </c>
      <c r="JK84" s="1">
        <v>1</v>
      </c>
      <c r="JL84" s="1">
        <v>0</v>
      </c>
      <c r="JM84" s="1">
        <v>90</v>
      </c>
      <c r="JN84" s="1">
        <v>60003073</v>
      </c>
      <c r="JO84" s="1">
        <v>32767</v>
      </c>
      <c r="JP84" s="1">
        <v>0</v>
      </c>
      <c r="KD84" s="1">
        <v>2823908130</v>
      </c>
      <c r="KE84" s="1">
        <v>25605</v>
      </c>
      <c r="KF84" s="1">
        <v>5000</v>
      </c>
      <c r="KG84" s="1">
        <v>4733</v>
      </c>
      <c r="KH84" s="1">
        <v>106000</v>
      </c>
      <c r="KI84" s="1">
        <v>1</v>
      </c>
      <c r="KJ84" s="1">
        <v>1</v>
      </c>
      <c r="KK84" s="1">
        <v>90</v>
      </c>
      <c r="KL84" s="1">
        <v>60003760</v>
      </c>
      <c r="KM84" s="1">
        <v>-1</v>
      </c>
      <c r="KN84" s="1">
        <v>0</v>
      </c>
      <c r="KP84" s="1">
        <v>2878899534</v>
      </c>
      <c r="KQ84" s="1">
        <v>25624</v>
      </c>
      <c r="KR84" s="1">
        <v>14</v>
      </c>
      <c r="KS84" s="1">
        <v>14</v>
      </c>
      <c r="KT84" s="1">
        <v>19099000</v>
      </c>
      <c r="KU84" s="1">
        <v>1</v>
      </c>
      <c r="KV84" s="1">
        <v>0</v>
      </c>
      <c r="KW84" s="1">
        <v>1</v>
      </c>
      <c r="KX84" s="1">
        <v>60003760</v>
      </c>
      <c r="KY84" s="1">
        <v>32767</v>
      </c>
      <c r="KZ84" s="1">
        <v>0</v>
      </c>
      <c r="LB84" s="1">
        <v>2792134316</v>
      </c>
      <c r="LC84" s="1">
        <v>9832</v>
      </c>
      <c r="LD84" s="1">
        <v>10008</v>
      </c>
      <c r="LE84" s="1">
        <v>9008</v>
      </c>
      <c r="LF84" s="1">
        <v>11855.25</v>
      </c>
      <c r="LG84" s="1">
        <v>1</v>
      </c>
      <c r="LH84" s="1">
        <v>0</v>
      </c>
      <c r="LI84" s="1">
        <v>90</v>
      </c>
      <c r="LJ84" s="1">
        <v>60002734</v>
      </c>
      <c r="LK84" s="1">
        <v>32767</v>
      </c>
      <c r="LL84" s="1">
        <v>5</v>
      </c>
      <c r="ML84"/>
      <c r="MM84"/>
      <c r="MN84"/>
      <c r="MO84"/>
      <c r="MP84"/>
      <c r="MQ84"/>
      <c r="MR84"/>
      <c r="MS84"/>
      <c r="MT84"/>
      <c r="MU84"/>
      <c r="MV84"/>
      <c r="MX84" s="1">
        <v>2875941705</v>
      </c>
      <c r="MY84" s="1">
        <v>16672</v>
      </c>
      <c r="MZ84" s="1">
        <v>10000000</v>
      </c>
      <c r="NA84" s="1">
        <v>10000000</v>
      </c>
      <c r="NB84" s="1">
        <v>96</v>
      </c>
      <c r="NC84" s="1">
        <v>1</v>
      </c>
      <c r="ND84" s="1">
        <v>1</v>
      </c>
      <c r="NE84" s="1">
        <v>90</v>
      </c>
      <c r="NF84" s="1">
        <v>60003760</v>
      </c>
      <c r="NG84" s="1">
        <v>-1</v>
      </c>
      <c r="NH84" s="1">
        <v>0</v>
      </c>
      <c r="NJ84" s="1">
        <v>2867406610</v>
      </c>
      <c r="NK84" s="1">
        <v>16673</v>
      </c>
      <c r="NL84" s="1">
        <v>23240000</v>
      </c>
      <c r="NM84" s="1">
        <v>22956730</v>
      </c>
      <c r="NN84" s="1">
        <v>100.97</v>
      </c>
      <c r="NO84" s="1">
        <v>1</v>
      </c>
      <c r="NP84" s="1">
        <v>0</v>
      </c>
      <c r="NQ84" s="1">
        <v>90</v>
      </c>
      <c r="NR84" s="1">
        <v>60003760</v>
      </c>
      <c r="NS84" s="1">
        <v>32767</v>
      </c>
      <c r="NT84" s="1">
        <v>6</v>
      </c>
      <c r="NV84" s="1">
        <v>2877785625</v>
      </c>
      <c r="NW84" s="1">
        <v>3689</v>
      </c>
      <c r="NX84" s="1">
        <v>1315</v>
      </c>
      <c r="NY84" s="1">
        <v>1315</v>
      </c>
      <c r="NZ84" s="1">
        <v>10200</v>
      </c>
      <c r="OA84" s="1">
        <v>1</v>
      </c>
      <c r="OB84" s="1">
        <v>0</v>
      </c>
      <c r="OC84" s="1">
        <v>90</v>
      </c>
      <c r="OD84" s="1">
        <v>60003760</v>
      </c>
      <c r="OE84" s="1">
        <v>32767</v>
      </c>
      <c r="OF84" s="1">
        <v>0</v>
      </c>
      <c r="OH84" s="1">
        <v>2855979128</v>
      </c>
      <c r="OI84" s="1">
        <v>25598</v>
      </c>
      <c r="OJ84" s="1">
        <v>3</v>
      </c>
      <c r="OK84" s="1">
        <v>3</v>
      </c>
      <c r="OL84" s="1">
        <v>146994.98000000001</v>
      </c>
      <c r="OM84" s="1">
        <v>1</v>
      </c>
      <c r="ON84" s="1">
        <v>0</v>
      </c>
      <c r="OO84" s="1">
        <v>90</v>
      </c>
      <c r="OP84" s="1">
        <v>60003760</v>
      </c>
      <c r="OQ84" s="1">
        <v>32767</v>
      </c>
      <c r="OR84" s="1">
        <v>0</v>
      </c>
      <c r="OT84" s="1">
        <v>2877528520</v>
      </c>
      <c r="OU84" s="1">
        <v>25600</v>
      </c>
      <c r="OV84" s="1">
        <v>4</v>
      </c>
      <c r="OW84" s="1">
        <v>4</v>
      </c>
      <c r="OX84" s="1">
        <v>30535</v>
      </c>
      <c r="OY84" s="1">
        <v>1</v>
      </c>
      <c r="OZ84" s="1">
        <v>0</v>
      </c>
      <c r="PA84" s="1">
        <v>30</v>
      </c>
      <c r="PB84" s="1">
        <v>60010201</v>
      </c>
      <c r="PC84" s="1">
        <v>32767</v>
      </c>
      <c r="PD84" s="1">
        <v>11</v>
      </c>
      <c r="PF84" s="1">
        <v>2876915909</v>
      </c>
      <c r="PG84" s="1">
        <v>16670</v>
      </c>
      <c r="PH84" s="1">
        <v>3500000</v>
      </c>
      <c r="PI84" s="1">
        <v>1947418</v>
      </c>
      <c r="PJ84" s="1">
        <v>115.59</v>
      </c>
      <c r="PK84" s="1">
        <v>1</v>
      </c>
      <c r="PL84" s="1">
        <v>0</v>
      </c>
      <c r="PM84" s="1">
        <v>90</v>
      </c>
      <c r="PN84" s="1">
        <v>60003760</v>
      </c>
      <c r="PO84" s="1">
        <v>32767</v>
      </c>
      <c r="PP84" s="1">
        <v>7</v>
      </c>
      <c r="QD84" s="1">
        <v>2874404212</v>
      </c>
      <c r="QE84" s="1">
        <v>9830</v>
      </c>
      <c r="QF84" s="1">
        <v>30000</v>
      </c>
      <c r="QG84" s="1">
        <v>30000</v>
      </c>
      <c r="QH84" s="1">
        <v>7113.1</v>
      </c>
      <c r="QI84" s="1">
        <v>1</v>
      </c>
      <c r="QJ84" s="1">
        <v>1</v>
      </c>
      <c r="QK84" s="1">
        <v>90</v>
      </c>
      <c r="QL84" s="1">
        <v>60003760</v>
      </c>
      <c r="QM84" s="1">
        <v>-1</v>
      </c>
      <c r="QN84" s="1">
        <v>0</v>
      </c>
      <c r="QP84" s="1">
        <v>2874653314</v>
      </c>
      <c r="QQ84" s="1">
        <v>16671</v>
      </c>
      <c r="QR84" s="1">
        <v>8450000</v>
      </c>
      <c r="QS84" s="1">
        <v>8450000</v>
      </c>
      <c r="QT84" s="1">
        <v>96</v>
      </c>
      <c r="QU84" s="1">
        <v>1</v>
      </c>
      <c r="QV84" s="1">
        <v>1</v>
      </c>
      <c r="QW84" s="1">
        <v>90</v>
      </c>
      <c r="QX84" s="1">
        <v>60003760</v>
      </c>
      <c r="QY84" s="1">
        <v>-1</v>
      </c>
      <c r="QZ84" s="1">
        <v>0</v>
      </c>
      <c r="RB84" s="1">
        <v>2876461353</v>
      </c>
      <c r="RC84" s="1">
        <v>16682</v>
      </c>
      <c r="RD84" s="1">
        <v>7500</v>
      </c>
      <c r="RE84" s="1">
        <v>7500</v>
      </c>
      <c r="RF84" s="1">
        <v>3245</v>
      </c>
      <c r="RG84" s="1">
        <v>1</v>
      </c>
      <c r="RH84" s="1">
        <v>1</v>
      </c>
      <c r="RI84" s="1">
        <v>90</v>
      </c>
      <c r="RJ84" s="1">
        <v>60003760</v>
      </c>
      <c r="RK84" s="1">
        <v>-1</v>
      </c>
      <c r="RL84" s="1">
        <v>0</v>
      </c>
      <c r="RN84" s="1">
        <v>2850610555</v>
      </c>
      <c r="RO84" s="1">
        <v>16678</v>
      </c>
      <c r="RP84" s="1">
        <v>100000</v>
      </c>
      <c r="RQ84" s="1">
        <v>75886</v>
      </c>
      <c r="RR84" s="1">
        <v>217.64</v>
      </c>
      <c r="RS84" s="1">
        <v>1</v>
      </c>
      <c r="RT84" s="1">
        <v>1</v>
      </c>
      <c r="RU84" s="1">
        <v>30</v>
      </c>
      <c r="RV84" s="1">
        <v>60004213</v>
      </c>
      <c r="RW84" s="1">
        <v>5</v>
      </c>
      <c r="RX84" s="1">
        <v>0</v>
      </c>
      <c r="SX84" s="1">
        <v>2733888464</v>
      </c>
      <c r="SY84" s="1">
        <v>25595</v>
      </c>
      <c r="SZ84" s="1">
        <v>15</v>
      </c>
      <c r="TA84" s="1">
        <v>15</v>
      </c>
      <c r="TB84" s="1">
        <v>140000</v>
      </c>
      <c r="TC84" s="1">
        <v>1</v>
      </c>
      <c r="TD84" s="1">
        <v>0</v>
      </c>
      <c r="TE84" s="1">
        <v>90</v>
      </c>
      <c r="TF84" s="1">
        <v>60003760</v>
      </c>
      <c r="TG84" s="1">
        <v>32767</v>
      </c>
      <c r="TH84" s="1">
        <v>6</v>
      </c>
      <c r="TJ84" s="1">
        <v>2877429260</v>
      </c>
      <c r="TK84" s="1">
        <v>25606</v>
      </c>
      <c r="TL84" s="1">
        <v>63</v>
      </c>
      <c r="TM84" s="1">
        <v>63</v>
      </c>
      <c r="TN84" s="1">
        <v>23600</v>
      </c>
      <c r="TO84" s="1">
        <v>1</v>
      </c>
      <c r="TP84" s="1">
        <v>0</v>
      </c>
      <c r="TQ84" s="1">
        <v>90</v>
      </c>
      <c r="TR84" s="1">
        <v>60012667</v>
      </c>
      <c r="TS84" s="1">
        <v>32767</v>
      </c>
      <c r="TT84" s="1">
        <v>6</v>
      </c>
      <c r="TV84"/>
      <c r="TW84"/>
      <c r="TX84"/>
      <c r="TY84"/>
      <c r="TZ84"/>
      <c r="UA84"/>
      <c r="UB84"/>
      <c r="UC84"/>
      <c r="UD84"/>
      <c r="UE84"/>
      <c r="UF84"/>
      <c r="UT84"/>
      <c r="UU84"/>
      <c r="UV84"/>
      <c r="UW84"/>
      <c r="UX84"/>
      <c r="UY84"/>
      <c r="UZ84"/>
      <c r="VA84"/>
      <c r="VB84"/>
      <c r="VC84"/>
      <c r="VD84"/>
      <c r="VF84"/>
      <c r="VG84"/>
      <c r="VH84"/>
      <c r="VI84"/>
      <c r="VJ84"/>
      <c r="VK84"/>
      <c r="VL84"/>
      <c r="VM84"/>
      <c r="VN84"/>
      <c r="VO84"/>
      <c r="VP84"/>
    </row>
    <row r="85" spans="2:588" x14ac:dyDescent="0.25">
      <c r="B85" s="1">
        <v>2758736336</v>
      </c>
      <c r="C85" s="1">
        <v>34</v>
      </c>
      <c r="D85" s="1">
        <v>72018437</v>
      </c>
      <c r="E85" s="1">
        <v>72018437</v>
      </c>
      <c r="F85" s="1">
        <v>6.21</v>
      </c>
      <c r="G85" s="1">
        <v>1</v>
      </c>
      <c r="H85" s="1">
        <v>0</v>
      </c>
      <c r="I85" s="1">
        <v>90</v>
      </c>
      <c r="J85" s="1">
        <v>60003760</v>
      </c>
      <c r="K85" s="1">
        <v>32767</v>
      </c>
      <c r="L85" s="1">
        <v>0</v>
      </c>
      <c r="N85" s="1">
        <v>2844870221</v>
      </c>
      <c r="O85" s="1">
        <v>35</v>
      </c>
      <c r="P85" s="1">
        <v>3240807</v>
      </c>
      <c r="Q85" s="1">
        <v>3240807</v>
      </c>
      <c r="R85" s="1">
        <v>15.69</v>
      </c>
      <c r="S85" s="1">
        <v>1</v>
      </c>
      <c r="T85" s="1">
        <v>0</v>
      </c>
      <c r="U85" s="1">
        <v>90</v>
      </c>
      <c r="V85" s="1">
        <v>60003760</v>
      </c>
      <c r="W85" s="1">
        <v>32767</v>
      </c>
      <c r="X85" s="1">
        <v>0</v>
      </c>
      <c r="Z85" s="1">
        <v>2808460924</v>
      </c>
      <c r="AA85" s="1">
        <v>36</v>
      </c>
      <c r="AB85" s="1">
        <v>9701</v>
      </c>
      <c r="AC85" s="1">
        <v>9701</v>
      </c>
      <c r="AD85" s="16">
        <v>55</v>
      </c>
      <c r="AE85" s="1">
        <v>1</v>
      </c>
      <c r="AF85" s="1">
        <v>0</v>
      </c>
      <c r="AG85" s="1">
        <v>90</v>
      </c>
      <c r="AH85" s="1">
        <v>60003760</v>
      </c>
      <c r="AI85" s="1">
        <v>32767</v>
      </c>
      <c r="AJ85" s="1">
        <v>11</v>
      </c>
      <c r="AL85" s="1">
        <v>2747568199</v>
      </c>
      <c r="AM85" s="1">
        <v>37</v>
      </c>
      <c r="AN85" s="1">
        <v>119090</v>
      </c>
      <c r="AO85" s="1">
        <v>119090</v>
      </c>
      <c r="AP85" s="16">
        <v>174.96</v>
      </c>
      <c r="AQ85" s="1">
        <v>1</v>
      </c>
      <c r="AR85" s="1">
        <v>0</v>
      </c>
      <c r="AS85" s="1">
        <v>90</v>
      </c>
      <c r="AT85" s="1">
        <v>60003760</v>
      </c>
      <c r="AU85" s="1">
        <v>32767</v>
      </c>
      <c r="AV85" s="1">
        <v>9</v>
      </c>
      <c r="AX85" s="1">
        <v>2845396183</v>
      </c>
      <c r="AY85" s="1">
        <v>38</v>
      </c>
      <c r="AZ85" s="1">
        <v>395</v>
      </c>
      <c r="BA85" s="1">
        <v>395</v>
      </c>
      <c r="BB85" s="1">
        <v>845</v>
      </c>
      <c r="BC85" s="1">
        <v>1</v>
      </c>
      <c r="BD85" s="1">
        <v>0</v>
      </c>
      <c r="BE85" s="1">
        <v>30</v>
      </c>
      <c r="BF85" s="1">
        <v>60012667</v>
      </c>
      <c r="BG85" s="1">
        <v>32767</v>
      </c>
      <c r="BH85" s="1">
        <v>8</v>
      </c>
      <c r="BJ85" s="1">
        <v>2868831031</v>
      </c>
      <c r="BK85" s="1">
        <v>39</v>
      </c>
      <c r="BL85" s="1">
        <v>204</v>
      </c>
      <c r="BM85" s="1">
        <v>204</v>
      </c>
      <c r="BN85" s="1">
        <v>810</v>
      </c>
      <c r="BO85" s="1">
        <v>1</v>
      </c>
      <c r="BP85" s="1">
        <v>0</v>
      </c>
      <c r="BQ85" s="1">
        <v>14</v>
      </c>
      <c r="BR85" s="1">
        <v>60003760</v>
      </c>
      <c r="BS85" s="1">
        <v>32767</v>
      </c>
      <c r="BT85" s="1">
        <v>5</v>
      </c>
      <c r="BV85" s="1">
        <v>2402173144</v>
      </c>
      <c r="BW85" s="1">
        <v>40</v>
      </c>
      <c r="BX85" s="1">
        <v>149646</v>
      </c>
      <c r="BY85" s="1">
        <v>149646</v>
      </c>
      <c r="BZ85" s="1">
        <v>2722.28</v>
      </c>
      <c r="CA85" s="1">
        <v>1</v>
      </c>
      <c r="CB85" s="1">
        <v>0</v>
      </c>
      <c r="CC85" s="1">
        <v>30</v>
      </c>
      <c r="CD85" s="1">
        <v>60003760</v>
      </c>
      <c r="CE85" s="1">
        <v>32767</v>
      </c>
      <c r="CF85" s="1">
        <v>13</v>
      </c>
      <c r="CH85" s="1">
        <v>2411653465</v>
      </c>
      <c r="CI85" s="1">
        <v>29668</v>
      </c>
      <c r="CJ85" s="1">
        <v>6</v>
      </c>
      <c r="CK85" s="1">
        <v>6</v>
      </c>
      <c r="CL85" s="1">
        <v>527999999</v>
      </c>
      <c r="CM85" s="1">
        <v>1</v>
      </c>
      <c r="CN85" s="1">
        <v>0</v>
      </c>
      <c r="CO85" s="1">
        <v>90</v>
      </c>
      <c r="CP85" s="1">
        <v>60003760</v>
      </c>
      <c r="CQ85" s="1">
        <v>32767</v>
      </c>
      <c r="CR85" s="1">
        <v>0</v>
      </c>
      <c r="CT85" s="1">
        <v>2393212483</v>
      </c>
      <c r="CU85" s="1">
        <v>16649</v>
      </c>
      <c r="CV85" s="1">
        <v>20000</v>
      </c>
      <c r="CW85" s="1">
        <v>20000</v>
      </c>
      <c r="CX85" s="1">
        <v>92507.18</v>
      </c>
      <c r="CY85" s="1">
        <v>1</v>
      </c>
      <c r="CZ85" s="1">
        <v>1</v>
      </c>
      <c r="DA85" s="1">
        <v>90</v>
      </c>
      <c r="DB85" s="1">
        <v>60003760</v>
      </c>
      <c r="DC85" s="1">
        <v>-1</v>
      </c>
      <c r="DD85" s="1">
        <v>0</v>
      </c>
      <c r="DF85" s="1">
        <v>2410864122</v>
      </c>
      <c r="DG85" s="1">
        <v>17887</v>
      </c>
      <c r="DH85" s="1">
        <v>100000</v>
      </c>
      <c r="DI85" s="1">
        <v>100000</v>
      </c>
      <c r="DJ85" s="1">
        <v>1050.3</v>
      </c>
      <c r="DK85" s="1">
        <v>1</v>
      </c>
      <c r="DL85" s="1">
        <v>0</v>
      </c>
      <c r="DM85" s="1">
        <v>90</v>
      </c>
      <c r="DN85" s="1">
        <v>60003760</v>
      </c>
      <c r="DO85" s="1">
        <v>32767</v>
      </c>
      <c r="DP85" s="1">
        <v>0</v>
      </c>
      <c r="DR85" s="1">
        <v>2795409234</v>
      </c>
      <c r="DS85" s="1">
        <v>17888</v>
      </c>
      <c r="DT85" s="1">
        <v>1000000</v>
      </c>
      <c r="DU85" s="1">
        <v>1000000</v>
      </c>
      <c r="DV85" s="1">
        <v>398.73</v>
      </c>
      <c r="DW85" s="1">
        <v>1</v>
      </c>
      <c r="DX85" s="1">
        <v>0</v>
      </c>
      <c r="DY85" s="1">
        <v>90</v>
      </c>
      <c r="DZ85" s="1">
        <v>60003760</v>
      </c>
      <c r="EA85" s="1">
        <v>32767</v>
      </c>
      <c r="EB85" s="1">
        <v>8</v>
      </c>
      <c r="ED85" s="1">
        <v>2854213653</v>
      </c>
      <c r="EE85" s="1">
        <v>16273</v>
      </c>
      <c r="EF85" s="1">
        <v>70075</v>
      </c>
      <c r="EG85" s="1">
        <v>70075</v>
      </c>
      <c r="EH85" s="1">
        <v>420</v>
      </c>
      <c r="EI85" s="1">
        <v>1</v>
      </c>
      <c r="EJ85" s="1">
        <v>0</v>
      </c>
      <c r="EK85" s="1">
        <v>90</v>
      </c>
      <c r="EL85" s="1">
        <v>60002272</v>
      </c>
      <c r="EM85" s="1">
        <v>32767</v>
      </c>
      <c r="EN85" s="1">
        <v>10</v>
      </c>
      <c r="EP85" s="1">
        <v>2822279249</v>
      </c>
      <c r="EQ85" s="1">
        <v>17889</v>
      </c>
      <c r="ER85" s="1">
        <v>250000</v>
      </c>
      <c r="ES85" s="1">
        <v>74247</v>
      </c>
      <c r="ET85" s="1">
        <v>264.39999999999998</v>
      </c>
      <c r="EU85" s="1">
        <v>1</v>
      </c>
      <c r="EV85" s="1">
        <v>1</v>
      </c>
      <c r="EW85" s="1">
        <v>90</v>
      </c>
      <c r="EX85" s="1">
        <v>60003760</v>
      </c>
      <c r="EY85" s="1">
        <v>32767</v>
      </c>
      <c r="EZ85" s="1">
        <v>0</v>
      </c>
      <c r="FB85" s="1">
        <v>2834428583</v>
      </c>
      <c r="FC85" s="1">
        <v>30259</v>
      </c>
      <c r="FD85" s="1">
        <v>10000</v>
      </c>
      <c r="FE85" s="1">
        <v>10000</v>
      </c>
      <c r="FF85" s="1">
        <v>0.1</v>
      </c>
      <c r="FG85" s="1">
        <v>1</v>
      </c>
      <c r="FH85" s="1">
        <v>1</v>
      </c>
      <c r="FI85" s="1">
        <v>90</v>
      </c>
      <c r="FJ85" s="1">
        <v>60003760</v>
      </c>
      <c r="FK85" s="1">
        <v>-1</v>
      </c>
      <c r="FL85" s="1">
        <v>0</v>
      </c>
      <c r="FN85" s="1">
        <v>2874176000</v>
      </c>
      <c r="FO85" s="1">
        <v>25617</v>
      </c>
      <c r="FP85" s="1">
        <v>10000</v>
      </c>
      <c r="FQ85" s="1">
        <v>10000</v>
      </c>
      <c r="FR85" s="1">
        <v>500</v>
      </c>
      <c r="FS85" s="1">
        <v>1</v>
      </c>
      <c r="FT85" s="1">
        <v>1</v>
      </c>
      <c r="FU85" s="1">
        <v>90</v>
      </c>
      <c r="FV85" s="1">
        <v>60003760</v>
      </c>
      <c r="FW85" s="1">
        <v>1</v>
      </c>
      <c r="FX85" s="1">
        <v>0</v>
      </c>
      <c r="FZ85" s="1">
        <v>2876202017</v>
      </c>
      <c r="GA85" s="1">
        <v>44</v>
      </c>
      <c r="GB85" s="1">
        <v>13061</v>
      </c>
      <c r="GC85" s="1">
        <v>13061</v>
      </c>
      <c r="GD85" s="1">
        <v>12650</v>
      </c>
      <c r="GE85" s="1">
        <v>1</v>
      </c>
      <c r="GF85" s="1">
        <v>0</v>
      </c>
      <c r="GG85" s="1">
        <v>14</v>
      </c>
      <c r="GH85" s="1">
        <v>60000904</v>
      </c>
      <c r="GI85" s="1">
        <v>32767</v>
      </c>
      <c r="GJ85" s="1">
        <v>8</v>
      </c>
      <c r="GL85" s="1">
        <v>2391094879</v>
      </c>
      <c r="GM85" s="1">
        <v>16681</v>
      </c>
      <c r="GN85" s="1">
        <v>500000</v>
      </c>
      <c r="GO85" s="1">
        <v>500000</v>
      </c>
      <c r="GP85" s="1">
        <v>3002</v>
      </c>
      <c r="GQ85" s="1">
        <v>1</v>
      </c>
      <c r="GR85" s="1">
        <v>1</v>
      </c>
      <c r="GS85" s="1">
        <v>90</v>
      </c>
      <c r="GT85" s="1">
        <v>60003760</v>
      </c>
      <c r="GU85" s="1">
        <v>-1</v>
      </c>
      <c r="GV85" s="1">
        <v>0</v>
      </c>
      <c r="GX85" s="1">
        <v>2878698424</v>
      </c>
      <c r="GY85" s="1">
        <v>16683</v>
      </c>
      <c r="GZ85" s="1">
        <v>2000</v>
      </c>
      <c r="HA85" s="1">
        <v>2000</v>
      </c>
      <c r="HB85" s="1">
        <v>8384.43</v>
      </c>
      <c r="HC85" s="1">
        <v>1</v>
      </c>
      <c r="HD85" s="1">
        <v>1</v>
      </c>
      <c r="HE85" s="1">
        <v>90</v>
      </c>
      <c r="HF85" s="1">
        <v>60003760</v>
      </c>
      <c r="HG85" s="1">
        <v>-1</v>
      </c>
      <c r="HH85" s="1">
        <v>0</v>
      </c>
      <c r="HJ85"/>
      <c r="HK85"/>
      <c r="HL85"/>
      <c r="HM85"/>
      <c r="HN85"/>
      <c r="HO85"/>
      <c r="HP85"/>
      <c r="HQ85"/>
      <c r="HR85"/>
      <c r="HS85"/>
      <c r="HT85"/>
      <c r="HV85" s="1">
        <v>2878801933</v>
      </c>
      <c r="HW85" s="1">
        <v>16274</v>
      </c>
      <c r="HX85" s="1">
        <v>330000</v>
      </c>
      <c r="HY85" s="1">
        <v>255000</v>
      </c>
      <c r="HZ85" s="1">
        <v>539</v>
      </c>
      <c r="IA85" s="1">
        <v>1</v>
      </c>
      <c r="IB85" s="1">
        <v>0</v>
      </c>
      <c r="IC85" s="1">
        <v>90</v>
      </c>
      <c r="ID85" s="1">
        <v>60004081</v>
      </c>
      <c r="IE85" s="1">
        <v>32767</v>
      </c>
      <c r="IF85" s="1">
        <v>0</v>
      </c>
      <c r="IH85"/>
      <c r="II85"/>
      <c r="IJ85"/>
      <c r="IK85"/>
      <c r="IL85"/>
      <c r="IM85"/>
      <c r="IN85"/>
      <c r="IO85"/>
      <c r="IP85"/>
      <c r="IQ85"/>
      <c r="IR85"/>
      <c r="IT85" s="1">
        <v>2761999687</v>
      </c>
      <c r="IU85" s="1">
        <v>16679</v>
      </c>
      <c r="IV85" s="1">
        <v>100000</v>
      </c>
      <c r="IW85" s="1">
        <v>78769</v>
      </c>
      <c r="IX85" s="1">
        <v>404</v>
      </c>
      <c r="IY85" s="1">
        <v>1</v>
      </c>
      <c r="IZ85" s="1">
        <v>1</v>
      </c>
      <c r="JA85" s="1">
        <v>90</v>
      </c>
      <c r="JB85" s="1">
        <v>60003760</v>
      </c>
      <c r="JC85" s="1">
        <v>32767</v>
      </c>
      <c r="JD85" s="1">
        <v>0</v>
      </c>
      <c r="JF85" s="1">
        <v>2760174327</v>
      </c>
      <c r="JG85" s="1">
        <v>16272</v>
      </c>
      <c r="JH85" s="1">
        <v>2582</v>
      </c>
      <c r="JI85" s="1">
        <v>2582</v>
      </c>
      <c r="JJ85" s="1">
        <v>100</v>
      </c>
      <c r="JK85" s="1">
        <v>1</v>
      </c>
      <c r="JL85" s="1">
        <v>0</v>
      </c>
      <c r="JM85" s="1">
        <v>90</v>
      </c>
      <c r="JN85" s="1">
        <v>60000526</v>
      </c>
      <c r="JO85" s="1">
        <v>32767</v>
      </c>
      <c r="JP85" s="1">
        <v>2</v>
      </c>
      <c r="KD85" s="1">
        <v>2825573107</v>
      </c>
      <c r="KE85" s="1">
        <v>25605</v>
      </c>
      <c r="KF85" s="1">
        <v>2000</v>
      </c>
      <c r="KG85" s="1">
        <v>2000</v>
      </c>
      <c r="KH85" s="1">
        <v>99004.01</v>
      </c>
      <c r="KI85" s="1">
        <v>1</v>
      </c>
      <c r="KJ85" s="1">
        <v>1</v>
      </c>
      <c r="KK85" s="1">
        <v>90</v>
      </c>
      <c r="KL85" s="1">
        <v>60003760</v>
      </c>
      <c r="KM85" s="1">
        <v>-1</v>
      </c>
      <c r="KN85" s="1">
        <v>0</v>
      </c>
      <c r="KP85" s="1">
        <v>2879039975</v>
      </c>
      <c r="KQ85" s="1">
        <v>25624</v>
      </c>
      <c r="KR85" s="1">
        <v>25</v>
      </c>
      <c r="KS85" s="1">
        <v>25</v>
      </c>
      <c r="KT85" s="1">
        <v>18195000</v>
      </c>
      <c r="KU85" s="1">
        <v>1</v>
      </c>
      <c r="KV85" s="1">
        <v>0</v>
      </c>
      <c r="KW85" s="1">
        <v>30</v>
      </c>
      <c r="KX85" s="1">
        <v>60003760</v>
      </c>
      <c r="KY85" s="1">
        <v>32767</v>
      </c>
      <c r="KZ85" s="1">
        <v>0</v>
      </c>
      <c r="LB85" s="1">
        <v>2858545053</v>
      </c>
      <c r="LC85" s="1">
        <v>9832</v>
      </c>
      <c r="LD85" s="1">
        <v>875</v>
      </c>
      <c r="LE85" s="1">
        <v>875</v>
      </c>
      <c r="LF85" s="1">
        <v>9600</v>
      </c>
      <c r="LG85" s="1">
        <v>1</v>
      </c>
      <c r="LH85" s="1">
        <v>0</v>
      </c>
      <c r="LI85" s="1">
        <v>14</v>
      </c>
      <c r="LJ85" s="1">
        <v>60002746</v>
      </c>
      <c r="LK85" s="1">
        <v>32767</v>
      </c>
      <c r="LL85" s="1">
        <v>6</v>
      </c>
      <c r="ML85"/>
      <c r="MM85"/>
      <c r="MN85"/>
      <c r="MO85"/>
      <c r="MP85"/>
      <c r="MQ85"/>
      <c r="MR85"/>
      <c r="MS85"/>
      <c r="MT85"/>
      <c r="MU85"/>
      <c r="MV85"/>
      <c r="MX85" s="1">
        <v>2876166513</v>
      </c>
      <c r="MY85" s="1">
        <v>16672</v>
      </c>
      <c r="MZ85" s="1">
        <v>432000</v>
      </c>
      <c r="NA85" s="1">
        <v>432000</v>
      </c>
      <c r="NB85" s="1">
        <v>115</v>
      </c>
      <c r="NC85" s="1">
        <v>1</v>
      </c>
      <c r="ND85" s="1">
        <v>1</v>
      </c>
      <c r="NE85" s="1">
        <v>90</v>
      </c>
      <c r="NF85" s="1">
        <v>60003760</v>
      </c>
      <c r="NG85" s="1">
        <v>-1</v>
      </c>
      <c r="NH85" s="1">
        <v>0</v>
      </c>
      <c r="NJ85" s="1">
        <v>2878964067</v>
      </c>
      <c r="NK85" s="1">
        <v>16673</v>
      </c>
      <c r="NL85" s="1">
        <v>7000000</v>
      </c>
      <c r="NM85" s="1">
        <v>5900000</v>
      </c>
      <c r="NN85" s="1">
        <v>100.96</v>
      </c>
      <c r="NO85" s="1">
        <v>1</v>
      </c>
      <c r="NP85" s="1">
        <v>0</v>
      </c>
      <c r="NQ85" s="1">
        <v>90</v>
      </c>
      <c r="NR85" s="1">
        <v>60003760</v>
      </c>
      <c r="NS85" s="1">
        <v>32767</v>
      </c>
      <c r="NT85" s="1">
        <v>0</v>
      </c>
      <c r="NV85" s="1">
        <v>2876745710</v>
      </c>
      <c r="NW85" s="1">
        <v>3689</v>
      </c>
      <c r="NX85" s="1">
        <v>998</v>
      </c>
      <c r="NY85" s="1">
        <v>998</v>
      </c>
      <c r="NZ85" s="1">
        <v>10500</v>
      </c>
      <c r="OA85" s="1">
        <v>1</v>
      </c>
      <c r="OB85" s="1">
        <v>0</v>
      </c>
      <c r="OC85" s="1">
        <v>90</v>
      </c>
      <c r="OD85" s="1">
        <v>60003760</v>
      </c>
      <c r="OE85" s="1">
        <v>32767</v>
      </c>
      <c r="OF85" s="1">
        <v>0</v>
      </c>
      <c r="OH85" s="1">
        <v>2856016488</v>
      </c>
      <c r="OI85" s="1">
        <v>25598</v>
      </c>
      <c r="OJ85" s="1">
        <v>4751</v>
      </c>
      <c r="OK85" s="1">
        <v>4751</v>
      </c>
      <c r="OL85" s="1">
        <v>144502.48000000001</v>
      </c>
      <c r="OM85" s="1">
        <v>1</v>
      </c>
      <c r="ON85" s="1">
        <v>0</v>
      </c>
      <c r="OO85" s="1">
        <v>90</v>
      </c>
      <c r="OP85" s="1">
        <v>60003760</v>
      </c>
      <c r="OQ85" s="1">
        <v>32767</v>
      </c>
      <c r="OR85" s="1">
        <v>0</v>
      </c>
      <c r="OT85" s="1">
        <v>2863398926</v>
      </c>
      <c r="OU85" s="1">
        <v>25600</v>
      </c>
      <c r="OV85" s="1">
        <v>4</v>
      </c>
      <c r="OW85" s="1">
        <v>4</v>
      </c>
      <c r="OX85" s="1">
        <v>28100</v>
      </c>
      <c r="OY85" s="1">
        <v>1</v>
      </c>
      <c r="OZ85" s="1">
        <v>0</v>
      </c>
      <c r="PA85" s="1">
        <v>30</v>
      </c>
      <c r="PB85" s="1">
        <v>60004057</v>
      </c>
      <c r="PC85" s="1">
        <v>32767</v>
      </c>
      <c r="PD85" s="1">
        <v>9</v>
      </c>
      <c r="PF85" s="1">
        <v>2769350426</v>
      </c>
      <c r="PG85" s="1">
        <v>16670</v>
      </c>
      <c r="PH85" s="1">
        <v>1278850</v>
      </c>
      <c r="PI85" s="1">
        <v>1027850</v>
      </c>
      <c r="PJ85" s="1">
        <v>145</v>
      </c>
      <c r="PK85" s="1">
        <v>1</v>
      </c>
      <c r="PL85" s="1">
        <v>0</v>
      </c>
      <c r="PM85" s="1">
        <v>90</v>
      </c>
      <c r="PN85" s="1">
        <v>60002737</v>
      </c>
      <c r="PO85" s="1">
        <v>32767</v>
      </c>
      <c r="PP85" s="1">
        <v>7</v>
      </c>
      <c r="QD85" s="1">
        <v>2543674716</v>
      </c>
      <c r="QE85" s="1">
        <v>9830</v>
      </c>
      <c r="QF85" s="1">
        <v>10000</v>
      </c>
      <c r="QG85" s="1">
        <v>9767</v>
      </c>
      <c r="QH85" s="1">
        <v>2588.16</v>
      </c>
      <c r="QI85" s="1">
        <v>1</v>
      </c>
      <c r="QJ85" s="1">
        <v>1</v>
      </c>
      <c r="QK85" s="1">
        <v>90</v>
      </c>
      <c r="QL85" s="1">
        <v>60003724</v>
      </c>
      <c r="QM85" s="1">
        <v>10</v>
      </c>
      <c r="QN85" s="1">
        <v>0</v>
      </c>
      <c r="QP85" s="1">
        <v>2878310748</v>
      </c>
      <c r="QQ85" s="1">
        <v>16671</v>
      </c>
      <c r="QR85" s="1">
        <v>48000</v>
      </c>
      <c r="QS85" s="1">
        <v>45335</v>
      </c>
      <c r="QT85" s="1">
        <v>99.24</v>
      </c>
      <c r="QU85" s="1">
        <v>1</v>
      </c>
      <c r="QV85" s="1">
        <v>1</v>
      </c>
      <c r="QW85" s="1">
        <v>90</v>
      </c>
      <c r="QX85" s="1">
        <v>60003760</v>
      </c>
      <c r="QY85" s="1">
        <v>-1</v>
      </c>
      <c r="QZ85" s="1">
        <v>0</v>
      </c>
      <c r="RB85" s="1">
        <v>2875930201</v>
      </c>
      <c r="RC85" s="1">
        <v>16682</v>
      </c>
      <c r="RD85" s="1">
        <v>100000</v>
      </c>
      <c r="RE85" s="1">
        <v>100000</v>
      </c>
      <c r="RF85" s="1">
        <v>3155</v>
      </c>
      <c r="RG85" s="1">
        <v>1</v>
      </c>
      <c r="RH85" s="1">
        <v>1</v>
      </c>
      <c r="RI85" s="1">
        <v>90</v>
      </c>
      <c r="RJ85" s="1">
        <v>60003760</v>
      </c>
      <c r="RK85" s="1">
        <v>-1</v>
      </c>
      <c r="RL85" s="1">
        <v>0</v>
      </c>
      <c r="RN85" s="1">
        <v>2869363697</v>
      </c>
      <c r="RO85" s="1">
        <v>16678</v>
      </c>
      <c r="RP85" s="1">
        <v>2000000</v>
      </c>
      <c r="RQ85" s="1">
        <v>2000000</v>
      </c>
      <c r="RR85" s="1">
        <v>132.32</v>
      </c>
      <c r="RS85" s="1">
        <v>1</v>
      </c>
      <c r="RT85" s="1">
        <v>1</v>
      </c>
      <c r="RU85" s="1">
        <v>90</v>
      </c>
      <c r="RV85" s="1">
        <v>60004459</v>
      </c>
      <c r="RW85" s="1">
        <v>10</v>
      </c>
      <c r="RX85" s="1">
        <v>0</v>
      </c>
      <c r="SX85" s="1">
        <v>2749766116</v>
      </c>
      <c r="SY85" s="1">
        <v>25595</v>
      </c>
      <c r="SZ85" s="1">
        <v>56179</v>
      </c>
      <c r="TA85" s="1">
        <v>28536</v>
      </c>
      <c r="TB85" s="1">
        <v>110995.98</v>
      </c>
      <c r="TC85" s="1">
        <v>1</v>
      </c>
      <c r="TD85" s="1">
        <v>0</v>
      </c>
      <c r="TE85" s="1">
        <v>90</v>
      </c>
      <c r="TF85" s="1">
        <v>60003760</v>
      </c>
      <c r="TG85" s="1">
        <v>32767</v>
      </c>
      <c r="TH85" s="1">
        <v>6</v>
      </c>
      <c r="TJ85" s="1">
        <v>2874122348</v>
      </c>
      <c r="TK85" s="1">
        <v>25606</v>
      </c>
      <c r="TL85" s="1">
        <v>4</v>
      </c>
      <c r="TM85" s="1">
        <v>4</v>
      </c>
      <c r="TN85" s="1">
        <v>29005</v>
      </c>
      <c r="TO85" s="1">
        <v>1</v>
      </c>
      <c r="TP85" s="1">
        <v>0</v>
      </c>
      <c r="TQ85" s="1">
        <v>7</v>
      </c>
      <c r="TR85" s="1">
        <v>60002356</v>
      </c>
      <c r="TS85" s="1">
        <v>32767</v>
      </c>
      <c r="TT85" s="1">
        <v>8</v>
      </c>
      <c r="TV85"/>
      <c r="TW85"/>
      <c r="TX85"/>
      <c r="TY85"/>
      <c r="TZ85"/>
      <c r="UA85"/>
      <c r="UB85"/>
      <c r="UC85"/>
      <c r="UD85"/>
      <c r="UE85"/>
      <c r="UF85"/>
      <c r="UT85"/>
      <c r="UU85"/>
      <c r="UV85"/>
      <c r="UW85"/>
      <c r="UX85"/>
      <c r="UY85"/>
      <c r="UZ85"/>
      <c r="VA85"/>
      <c r="VB85"/>
      <c r="VC85"/>
      <c r="VD85"/>
      <c r="VF85"/>
      <c r="VG85"/>
      <c r="VH85"/>
      <c r="VI85"/>
      <c r="VJ85"/>
      <c r="VK85"/>
      <c r="VL85"/>
      <c r="VM85"/>
      <c r="VN85"/>
      <c r="VO85"/>
      <c r="VP85"/>
    </row>
    <row r="86" spans="2:588" x14ac:dyDescent="0.25">
      <c r="B86" s="1">
        <v>2758758214</v>
      </c>
      <c r="C86" s="1">
        <v>34</v>
      </c>
      <c r="D86" s="1">
        <v>73753210</v>
      </c>
      <c r="E86" s="1">
        <v>73753210</v>
      </c>
      <c r="F86" s="1">
        <v>6.21</v>
      </c>
      <c r="G86" s="1">
        <v>1</v>
      </c>
      <c r="H86" s="1">
        <v>0</v>
      </c>
      <c r="I86" s="1">
        <v>90</v>
      </c>
      <c r="J86" s="1">
        <v>60003760</v>
      </c>
      <c r="K86" s="1">
        <v>32767</v>
      </c>
      <c r="L86" s="1">
        <v>0</v>
      </c>
      <c r="N86" s="1">
        <v>2852326970</v>
      </c>
      <c r="O86" s="1">
        <v>35</v>
      </c>
      <c r="P86" s="1">
        <v>2275616</v>
      </c>
      <c r="Q86" s="1">
        <v>2275616</v>
      </c>
      <c r="R86" s="1">
        <v>16</v>
      </c>
      <c r="S86" s="1">
        <v>1</v>
      </c>
      <c r="T86" s="1">
        <v>0</v>
      </c>
      <c r="U86" s="1">
        <v>90</v>
      </c>
      <c r="V86" s="1">
        <v>60003760</v>
      </c>
      <c r="W86" s="1">
        <v>32767</v>
      </c>
      <c r="X86" s="1">
        <v>0</v>
      </c>
      <c r="Z86" s="1">
        <v>2804941330</v>
      </c>
      <c r="AA86" s="1">
        <v>36</v>
      </c>
      <c r="AB86" s="1">
        <v>11000000</v>
      </c>
      <c r="AC86" s="1">
        <v>11000000</v>
      </c>
      <c r="AD86" s="16">
        <v>55</v>
      </c>
      <c r="AE86" s="1">
        <v>1</v>
      </c>
      <c r="AF86" s="1">
        <v>0</v>
      </c>
      <c r="AG86" s="1">
        <v>90</v>
      </c>
      <c r="AH86" s="1">
        <v>60003760</v>
      </c>
      <c r="AI86" s="1">
        <v>32767</v>
      </c>
      <c r="AJ86" s="1">
        <v>11</v>
      </c>
      <c r="AL86" s="1">
        <v>2747836720</v>
      </c>
      <c r="AM86" s="1">
        <v>37</v>
      </c>
      <c r="AN86" s="1">
        <v>1136384</v>
      </c>
      <c r="AO86" s="1">
        <v>1136384</v>
      </c>
      <c r="AP86" s="16">
        <v>155.96</v>
      </c>
      <c r="AQ86" s="1">
        <v>1</v>
      </c>
      <c r="AR86" s="1">
        <v>0</v>
      </c>
      <c r="AS86" s="1">
        <v>90</v>
      </c>
      <c r="AT86" s="1">
        <v>60003760</v>
      </c>
      <c r="AU86" s="1">
        <v>32767</v>
      </c>
      <c r="AV86" s="1">
        <v>9</v>
      </c>
      <c r="AX86" s="1">
        <v>2838211804</v>
      </c>
      <c r="AY86" s="1">
        <v>38</v>
      </c>
      <c r="AZ86" s="1">
        <v>2238668</v>
      </c>
      <c r="BA86" s="1">
        <v>1685367</v>
      </c>
      <c r="BB86" s="1">
        <v>850</v>
      </c>
      <c r="BC86" s="1">
        <v>1</v>
      </c>
      <c r="BD86" s="1">
        <v>0</v>
      </c>
      <c r="BE86" s="1">
        <v>90</v>
      </c>
      <c r="BF86" s="1">
        <v>60002359</v>
      </c>
      <c r="BG86" s="1">
        <v>32767</v>
      </c>
      <c r="BH86" s="1">
        <v>8</v>
      </c>
      <c r="BJ86" s="1">
        <v>2864989784</v>
      </c>
      <c r="BK86" s="1">
        <v>39</v>
      </c>
      <c r="BL86" s="1">
        <v>257735</v>
      </c>
      <c r="BM86" s="1">
        <v>79053</v>
      </c>
      <c r="BN86" s="1">
        <v>810</v>
      </c>
      <c r="BO86" s="1">
        <v>1</v>
      </c>
      <c r="BP86" s="1">
        <v>0</v>
      </c>
      <c r="BQ86" s="1">
        <v>90</v>
      </c>
      <c r="BR86" s="1">
        <v>60003760</v>
      </c>
      <c r="BS86" s="1">
        <v>32767</v>
      </c>
      <c r="BT86" s="1">
        <v>5</v>
      </c>
      <c r="BV86" s="1">
        <v>2402678084</v>
      </c>
      <c r="BW86" s="1">
        <v>40</v>
      </c>
      <c r="BX86" s="1">
        <v>200000</v>
      </c>
      <c r="BY86" s="1">
        <v>57815</v>
      </c>
      <c r="BZ86" s="1">
        <v>2724.98</v>
      </c>
      <c r="CA86" s="1">
        <v>1</v>
      </c>
      <c r="CB86" s="1">
        <v>0</v>
      </c>
      <c r="CC86" s="1">
        <v>90</v>
      </c>
      <c r="CD86" s="1">
        <v>60003760</v>
      </c>
      <c r="CE86" s="1">
        <v>32767</v>
      </c>
      <c r="CF86" s="1">
        <v>13</v>
      </c>
      <c r="CH86" s="1">
        <v>2411653302</v>
      </c>
      <c r="CI86" s="1">
        <v>29668</v>
      </c>
      <c r="CJ86" s="1">
        <v>5</v>
      </c>
      <c r="CK86" s="1">
        <v>5</v>
      </c>
      <c r="CL86" s="1">
        <v>544999999</v>
      </c>
      <c r="CM86" s="1">
        <v>1</v>
      </c>
      <c r="CN86" s="1">
        <v>0</v>
      </c>
      <c r="CO86" s="1">
        <v>90</v>
      </c>
      <c r="CP86" s="1">
        <v>60003760</v>
      </c>
      <c r="CQ86" s="1">
        <v>32767</v>
      </c>
      <c r="CR86" s="1">
        <v>0</v>
      </c>
      <c r="CT86" s="1">
        <v>2321133774</v>
      </c>
      <c r="CU86" s="1">
        <v>16649</v>
      </c>
      <c r="CV86" s="1">
        <v>60000</v>
      </c>
      <c r="CW86" s="1">
        <v>60000</v>
      </c>
      <c r="CX86" s="1">
        <v>1000.01</v>
      </c>
      <c r="CY86" s="1">
        <v>1</v>
      </c>
      <c r="CZ86" s="1">
        <v>1</v>
      </c>
      <c r="DA86" s="1">
        <v>90</v>
      </c>
      <c r="DB86" s="1">
        <v>60003760</v>
      </c>
      <c r="DC86" s="1">
        <v>-1</v>
      </c>
      <c r="DD86" s="1">
        <v>0</v>
      </c>
      <c r="DF86" s="1">
        <v>2410201177</v>
      </c>
      <c r="DG86" s="1">
        <v>17887</v>
      </c>
      <c r="DH86" s="1">
        <v>1000000</v>
      </c>
      <c r="DI86" s="1">
        <v>1000000</v>
      </c>
      <c r="DJ86" s="1">
        <v>989.47</v>
      </c>
      <c r="DK86" s="1">
        <v>1</v>
      </c>
      <c r="DL86" s="1">
        <v>0</v>
      </c>
      <c r="DM86" s="1">
        <v>90</v>
      </c>
      <c r="DN86" s="1">
        <v>60003760</v>
      </c>
      <c r="DO86" s="1">
        <v>32767</v>
      </c>
      <c r="DP86" s="1">
        <v>0</v>
      </c>
      <c r="DR86" s="1">
        <v>2798235992</v>
      </c>
      <c r="DS86" s="1">
        <v>17888</v>
      </c>
      <c r="DT86" s="1">
        <v>895200</v>
      </c>
      <c r="DU86" s="1">
        <v>895200</v>
      </c>
      <c r="DV86" s="1">
        <v>400</v>
      </c>
      <c r="DW86" s="1">
        <v>1</v>
      </c>
      <c r="DX86" s="1">
        <v>0</v>
      </c>
      <c r="DY86" s="1">
        <v>90</v>
      </c>
      <c r="DZ86" s="1">
        <v>60003760</v>
      </c>
      <c r="EA86" s="1">
        <v>32767</v>
      </c>
      <c r="EB86" s="1">
        <v>8</v>
      </c>
      <c r="ED86" s="1">
        <v>2871015932</v>
      </c>
      <c r="EE86" s="1">
        <v>16273</v>
      </c>
      <c r="EF86" s="1">
        <v>1971</v>
      </c>
      <c r="EG86" s="1">
        <v>1971</v>
      </c>
      <c r="EH86" s="1">
        <v>430</v>
      </c>
      <c r="EI86" s="1">
        <v>1</v>
      </c>
      <c r="EJ86" s="1">
        <v>0</v>
      </c>
      <c r="EK86" s="1">
        <v>14</v>
      </c>
      <c r="EL86" s="1">
        <v>60002851</v>
      </c>
      <c r="EM86" s="1">
        <v>32767</v>
      </c>
      <c r="EN86" s="1">
        <v>10</v>
      </c>
      <c r="EP86" s="1">
        <v>2825478595</v>
      </c>
      <c r="EQ86" s="1">
        <v>17889</v>
      </c>
      <c r="ER86" s="1">
        <v>10000000</v>
      </c>
      <c r="ES86" s="1">
        <v>10000000</v>
      </c>
      <c r="ET86" s="1">
        <v>266.01</v>
      </c>
      <c r="EU86" s="1">
        <v>1</v>
      </c>
      <c r="EV86" s="1">
        <v>1</v>
      </c>
      <c r="EW86" s="1">
        <v>90</v>
      </c>
      <c r="EX86" s="1">
        <v>60003760</v>
      </c>
      <c r="EY86" s="1">
        <v>-1</v>
      </c>
      <c r="EZ86" s="1">
        <v>0</v>
      </c>
      <c r="FB86" s="1">
        <v>2841474324</v>
      </c>
      <c r="FC86" s="1">
        <v>30259</v>
      </c>
      <c r="FD86" s="1">
        <v>40</v>
      </c>
      <c r="FE86" s="1">
        <v>40</v>
      </c>
      <c r="FF86" s="1">
        <v>5574105.3499999996</v>
      </c>
      <c r="FG86" s="1">
        <v>1</v>
      </c>
      <c r="FH86" s="1">
        <v>1</v>
      </c>
      <c r="FI86" s="1">
        <v>90</v>
      </c>
      <c r="FJ86" s="1">
        <v>60003760</v>
      </c>
      <c r="FK86" s="1">
        <v>-1</v>
      </c>
      <c r="FL86" s="1">
        <v>0</v>
      </c>
      <c r="FN86" s="1">
        <v>2872768335</v>
      </c>
      <c r="FO86" s="1">
        <v>25617</v>
      </c>
      <c r="FP86" s="1">
        <v>80</v>
      </c>
      <c r="FQ86" s="1">
        <v>53</v>
      </c>
      <c r="FR86" s="1">
        <v>4024000</v>
      </c>
      <c r="FS86" s="1">
        <v>1</v>
      </c>
      <c r="FT86" s="1">
        <v>1</v>
      </c>
      <c r="FU86" s="1">
        <v>90</v>
      </c>
      <c r="FV86" s="1">
        <v>60003760</v>
      </c>
      <c r="FW86" s="1">
        <v>40</v>
      </c>
      <c r="FX86" s="1">
        <v>0</v>
      </c>
      <c r="FZ86" s="1">
        <v>2860372130</v>
      </c>
      <c r="GA86" s="1">
        <v>44</v>
      </c>
      <c r="GB86" s="1">
        <v>2266</v>
      </c>
      <c r="GC86" s="1">
        <v>2266</v>
      </c>
      <c r="GD86" s="1">
        <v>15000</v>
      </c>
      <c r="GE86" s="1">
        <v>1</v>
      </c>
      <c r="GF86" s="1">
        <v>0</v>
      </c>
      <c r="GG86" s="1">
        <v>14</v>
      </c>
      <c r="GH86" s="1">
        <v>60003367</v>
      </c>
      <c r="GI86" s="1">
        <v>32767</v>
      </c>
      <c r="GJ86" s="1">
        <v>7</v>
      </c>
      <c r="GL86" s="1">
        <v>2329518807</v>
      </c>
      <c r="GM86" s="1">
        <v>16681</v>
      </c>
      <c r="GN86" s="1">
        <v>39815</v>
      </c>
      <c r="GO86" s="1">
        <v>39815</v>
      </c>
      <c r="GP86" s="1">
        <v>3000</v>
      </c>
      <c r="GQ86" s="1">
        <v>1</v>
      </c>
      <c r="GR86" s="1">
        <v>1</v>
      </c>
      <c r="GS86" s="1">
        <v>90</v>
      </c>
      <c r="GT86" s="1">
        <v>60003760</v>
      </c>
      <c r="GU86" s="1">
        <v>-1</v>
      </c>
      <c r="GV86" s="1">
        <v>0</v>
      </c>
      <c r="GX86" s="1">
        <v>2878272971</v>
      </c>
      <c r="GY86" s="1">
        <v>16683</v>
      </c>
      <c r="GZ86" s="1">
        <v>382000</v>
      </c>
      <c r="HA86" s="1">
        <v>381847</v>
      </c>
      <c r="HB86" s="1">
        <v>8384.4599999999991</v>
      </c>
      <c r="HC86" s="1">
        <v>1</v>
      </c>
      <c r="HD86" s="1">
        <v>1</v>
      </c>
      <c r="HE86" s="1">
        <v>90</v>
      </c>
      <c r="HF86" s="1">
        <v>60003760</v>
      </c>
      <c r="HG86" s="1">
        <v>-1</v>
      </c>
      <c r="HH86" s="1">
        <v>0</v>
      </c>
      <c r="HV86" s="1">
        <v>2878742817</v>
      </c>
      <c r="HW86" s="1">
        <v>16274</v>
      </c>
      <c r="HX86" s="1">
        <v>3116937</v>
      </c>
      <c r="HY86" s="1">
        <v>3116937</v>
      </c>
      <c r="HZ86" s="1">
        <v>369.83</v>
      </c>
      <c r="IA86" s="1">
        <v>1</v>
      </c>
      <c r="IB86" s="1">
        <v>0</v>
      </c>
      <c r="IC86" s="1">
        <v>90</v>
      </c>
      <c r="ID86" s="1">
        <v>60003760</v>
      </c>
      <c r="IE86" s="1">
        <v>32767</v>
      </c>
      <c r="IF86" s="1">
        <v>0</v>
      </c>
      <c r="IH86"/>
      <c r="II86"/>
      <c r="IJ86"/>
      <c r="IK86"/>
      <c r="IL86"/>
      <c r="IM86"/>
      <c r="IN86"/>
      <c r="IO86"/>
      <c r="IP86"/>
      <c r="IQ86"/>
      <c r="IR86"/>
      <c r="IT86" s="1">
        <v>2779597761</v>
      </c>
      <c r="IU86" s="1">
        <v>16679</v>
      </c>
      <c r="IV86" s="1">
        <v>10000000</v>
      </c>
      <c r="IW86" s="1">
        <v>10000000</v>
      </c>
      <c r="IX86" s="1">
        <v>1300.01</v>
      </c>
      <c r="IY86" s="1">
        <v>1</v>
      </c>
      <c r="IZ86" s="1">
        <v>1</v>
      </c>
      <c r="JA86" s="1">
        <v>90</v>
      </c>
      <c r="JB86" s="1">
        <v>60003760</v>
      </c>
      <c r="JC86" s="1">
        <v>-1</v>
      </c>
      <c r="JD86" s="1">
        <v>0</v>
      </c>
      <c r="JF86" s="1">
        <v>2854211803</v>
      </c>
      <c r="JG86" s="1">
        <v>16272</v>
      </c>
      <c r="JH86" s="1">
        <v>184486</v>
      </c>
      <c r="JI86" s="1">
        <v>154486</v>
      </c>
      <c r="JJ86" s="1">
        <v>80</v>
      </c>
      <c r="JK86" s="1">
        <v>1</v>
      </c>
      <c r="JL86" s="1">
        <v>0</v>
      </c>
      <c r="JM86" s="1">
        <v>90</v>
      </c>
      <c r="JN86" s="1">
        <v>60000784</v>
      </c>
      <c r="JO86" s="1">
        <v>32767</v>
      </c>
      <c r="JP86" s="1">
        <v>7</v>
      </c>
      <c r="KD86" s="1">
        <v>2761634142</v>
      </c>
      <c r="KE86" s="1">
        <v>25605</v>
      </c>
      <c r="KF86" s="1">
        <v>500</v>
      </c>
      <c r="KG86" s="1">
        <v>422</v>
      </c>
      <c r="KH86" s="1">
        <v>96055</v>
      </c>
      <c r="KI86" s="1">
        <v>1</v>
      </c>
      <c r="KJ86" s="1">
        <v>1</v>
      </c>
      <c r="KK86" s="1">
        <v>90</v>
      </c>
      <c r="KL86" s="1">
        <v>60003760</v>
      </c>
      <c r="KM86" s="1">
        <v>3</v>
      </c>
      <c r="KN86" s="1">
        <v>0</v>
      </c>
      <c r="KP86" s="1">
        <v>2876470520</v>
      </c>
      <c r="KQ86" s="1">
        <v>25624</v>
      </c>
      <c r="KR86" s="1">
        <v>17</v>
      </c>
      <c r="KS86" s="1">
        <v>17</v>
      </c>
      <c r="KT86" s="1">
        <v>18194994</v>
      </c>
      <c r="KU86" s="1">
        <v>1</v>
      </c>
      <c r="KV86" s="1">
        <v>0</v>
      </c>
      <c r="KW86" s="1">
        <v>90</v>
      </c>
      <c r="KX86" s="1">
        <v>60003760</v>
      </c>
      <c r="KY86" s="1">
        <v>32767</v>
      </c>
      <c r="KZ86" s="1">
        <v>1</v>
      </c>
      <c r="LB86" s="1">
        <v>2857361335</v>
      </c>
      <c r="LC86" s="1">
        <v>9832</v>
      </c>
      <c r="LD86" s="1">
        <v>8950</v>
      </c>
      <c r="LE86" s="1">
        <v>8174</v>
      </c>
      <c r="LF86" s="1">
        <v>9500</v>
      </c>
      <c r="LG86" s="1">
        <v>1</v>
      </c>
      <c r="LH86" s="1">
        <v>0</v>
      </c>
      <c r="LI86" s="1">
        <v>30</v>
      </c>
      <c r="LJ86" s="1">
        <v>60002746</v>
      </c>
      <c r="LK86" s="1">
        <v>32767</v>
      </c>
      <c r="LL86" s="1">
        <v>6</v>
      </c>
      <c r="ML86"/>
      <c r="MM86"/>
      <c r="MN86"/>
      <c r="MO86"/>
      <c r="MP86"/>
      <c r="MQ86"/>
      <c r="MR86"/>
      <c r="MS86"/>
      <c r="MT86"/>
      <c r="MU86"/>
      <c r="MV86"/>
      <c r="MX86" s="1">
        <v>2876190358</v>
      </c>
      <c r="MY86" s="1">
        <v>16672</v>
      </c>
      <c r="MZ86" s="1">
        <v>1560125</v>
      </c>
      <c r="NA86" s="1">
        <v>1560125</v>
      </c>
      <c r="NB86" s="1">
        <v>96.33</v>
      </c>
      <c r="NC86" s="1">
        <v>1</v>
      </c>
      <c r="ND86" s="1">
        <v>1</v>
      </c>
      <c r="NE86" s="1">
        <v>90</v>
      </c>
      <c r="NF86" s="1">
        <v>60003760</v>
      </c>
      <c r="NG86" s="1">
        <v>-1</v>
      </c>
      <c r="NH86" s="1">
        <v>0</v>
      </c>
      <c r="NJ86" s="1">
        <v>2878972690</v>
      </c>
      <c r="NK86" s="1">
        <v>16673</v>
      </c>
      <c r="NL86" s="1">
        <v>12069203</v>
      </c>
      <c r="NM86" s="1">
        <v>11721083</v>
      </c>
      <c r="NN86" s="1">
        <v>100.95</v>
      </c>
      <c r="NO86" s="1">
        <v>1</v>
      </c>
      <c r="NP86" s="1">
        <v>0</v>
      </c>
      <c r="NQ86" s="1">
        <v>90</v>
      </c>
      <c r="NR86" s="1">
        <v>60003760</v>
      </c>
      <c r="NS86" s="1">
        <v>32767</v>
      </c>
      <c r="NT86" s="1">
        <v>0</v>
      </c>
      <c r="NV86" s="1">
        <v>2875873742</v>
      </c>
      <c r="NW86" s="1">
        <v>3689</v>
      </c>
      <c r="NX86" s="1">
        <v>37862</v>
      </c>
      <c r="NY86" s="1">
        <v>37862</v>
      </c>
      <c r="NZ86" s="1">
        <v>10173</v>
      </c>
      <c r="OA86" s="1">
        <v>1</v>
      </c>
      <c r="OB86" s="1">
        <v>0</v>
      </c>
      <c r="OC86" s="1">
        <v>90</v>
      </c>
      <c r="OD86" s="1">
        <v>60003760</v>
      </c>
      <c r="OE86" s="1">
        <v>32767</v>
      </c>
      <c r="OF86" s="1">
        <v>0</v>
      </c>
      <c r="OH86" s="1">
        <v>2856036799</v>
      </c>
      <c r="OI86" s="1">
        <v>25598</v>
      </c>
      <c r="OJ86" s="1">
        <v>127</v>
      </c>
      <c r="OK86" s="1">
        <v>127</v>
      </c>
      <c r="OL86" s="1">
        <v>143999</v>
      </c>
      <c r="OM86" s="1">
        <v>1</v>
      </c>
      <c r="ON86" s="1">
        <v>0</v>
      </c>
      <c r="OO86" s="1">
        <v>90</v>
      </c>
      <c r="OP86" s="1">
        <v>60003760</v>
      </c>
      <c r="OQ86" s="1">
        <v>32767</v>
      </c>
      <c r="OR86" s="1">
        <v>0</v>
      </c>
      <c r="OT86" s="1">
        <v>2807207830</v>
      </c>
      <c r="OU86" s="1">
        <v>25600</v>
      </c>
      <c r="OV86" s="1">
        <v>16</v>
      </c>
      <c r="OW86" s="1">
        <v>16</v>
      </c>
      <c r="OX86" s="1">
        <v>29900</v>
      </c>
      <c r="OY86" s="1">
        <v>1</v>
      </c>
      <c r="OZ86" s="1">
        <v>0</v>
      </c>
      <c r="PA86" s="1">
        <v>90</v>
      </c>
      <c r="PB86" s="1">
        <v>60002848</v>
      </c>
      <c r="PC86" s="1">
        <v>32767</v>
      </c>
      <c r="PD86" s="1">
        <v>12</v>
      </c>
      <c r="PF86" s="1">
        <v>2877381057</v>
      </c>
      <c r="PG86" s="1">
        <v>16670</v>
      </c>
      <c r="PH86" s="1">
        <v>4500000</v>
      </c>
      <c r="PI86" s="1">
        <v>4500000</v>
      </c>
      <c r="PJ86" s="1">
        <v>115.45</v>
      </c>
      <c r="PK86" s="1">
        <v>1</v>
      </c>
      <c r="PL86" s="1">
        <v>0</v>
      </c>
      <c r="PM86" s="1">
        <v>90</v>
      </c>
      <c r="PN86" s="1">
        <v>60003760</v>
      </c>
      <c r="PO86" s="1">
        <v>32767</v>
      </c>
      <c r="PP86" s="1">
        <v>7</v>
      </c>
      <c r="QD86" s="1">
        <v>2833597719</v>
      </c>
      <c r="QE86" s="1">
        <v>9830</v>
      </c>
      <c r="QF86" s="1">
        <v>2000</v>
      </c>
      <c r="QG86" s="1">
        <v>1448</v>
      </c>
      <c r="QH86" s="1">
        <v>4463.0200000000004</v>
      </c>
      <c r="QI86" s="1">
        <v>100</v>
      </c>
      <c r="QJ86" s="1">
        <v>1</v>
      </c>
      <c r="QK86" s="1">
        <v>30</v>
      </c>
      <c r="QL86" s="1">
        <v>60004063</v>
      </c>
      <c r="QM86" s="1">
        <v>4</v>
      </c>
      <c r="QN86" s="1">
        <v>0</v>
      </c>
      <c r="QP86" s="1">
        <v>2876087767</v>
      </c>
      <c r="QQ86" s="1">
        <v>16671</v>
      </c>
      <c r="QR86" s="1">
        <v>10000000</v>
      </c>
      <c r="QS86" s="1">
        <v>6203536</v>
      </c>
      <c r="QT86" s="1">
        <v>99.2</v>
      </c>
      <c r="QU86" s="1">
        <v>1</v>
      </c>
      <c r="QV86" s="1">
        <v>1</v>
      </c>
      <c r="QW86" s="1">
        <v>7</v>
      </c>
      <c r="QX86" s="1">
        <v>60003760</v>
      </c>
      <c r="QY86" s="1">
        <v>-1</v>
      </c>
      <c r="QZ86" s="1">
        <v>0</v>
      </c>
      <c r="RB86" s="1">
        <v>1440318043</v>
      </c>
      <c r="RC86" s="1">
        <v>16682</v>
      </c>
      <c r="RD86" s="1">
        <v>10000</v>
      </c>
      <c r="RE86" s="1">
        <v>6141</v>
      </c>
      <c r="RF86" s="1">
        <v>150.01</v>
      </c>
      <c r="RG86" s="1">
        <v>1</v>
      </c>
      <c r="RH86" s="1">
        <v>1</v>
      </c>
      <c r="RI86" s="1">
        <v>90</v>
      </c>
      <c r="RJ86" s="1">
        <v>60004444</v>
      </c>
      <c r="RK86" s="1">
        <v>10</v>
      </c>
      <c r="RL86" s="1">
        <v>0</v>
      </c>
      <c r="RN86" s="1">
        <v>2878530171</v>
      </c>
      <c r="RO86" s="1">
        <v>16678</v>
      </c>
      <c r="RP86" s="1">
        <v>650000</v>
      </c>
      <c r="RQ86" s="1">
        <v>650000</v>
      </c>
      <c r="RR86" s="1">
        <v>247.51</v>
      </c>
      <c r="RS86" s="1">
        <v>1</v>
      </c>
      <c r="RT86" s="1">
        <v>1</v>
      </c>
      <c r="RU86" s="1">
        <v>90</v>
      </c>
      <c r="RV86" s="1">
        <v>60003760</v>
      </c>
      <c r="RW86" s="1">
        <v>-1</v>
      </c>
      <c r="RX86" s="1">
        <v>0</v>
      </c>
      <c r="SX86" s="1">
        <v>2749488430</v>
      </c>
      <c r="SY86" s="1">
        <v>25595</v>
      </c>
      <c r="SZ86" s="1">
        <v>1000</v>
      </c>
      <c r="TA86" s="1">
        <v>1000</v>
      </c>
      <c r="TB86" s="1">
        <v>127000</v>
      </c>
      <c r="TC86" s="1">
        <v>1</v>
      </c>
      <c r="TD86" s="1">
        <v>0</v>
      </c>
      <c r="TE86" s="1">
        <v>90</v>
      </c>
      <c r="TF86" s="1">
        <v>60003760</v>
      </c>
      <c r="TG86" s="1">
        <v>32767</v>
      </c>
      <c r="TH86" s="1">
        <v>6</v>
      </c>
      <c r="TJ86" s="1">
        <v>2762412671</v>
      </c>
      <c r="TK86" s="1">
        <v>25606</v>
      </c>
      <c r="TL86" s="1">
        <v>10</v>
      </c>
      <c r="TM86" s="1">
        <v>10</v>
      </c>
      <c r="TN86" s="1">
        <v>31000</v>
      </c>
      <c r="TO86" s="1">
        <v>1</v>
      </c>
      <c r="TP86" s="1">
        <v>0</v>
      </c>
      <c r="TQ86" s="1">
        <v>90</v>
      </c>
      <c r="TR86" s="1">
        <v>60012670</v>
      </c>
      <c r="TS86" s="1">
        <v>32767</v>
      </c>
      <c r="TT86" s="1">
        <v>8</v>
      </c>
      <c r="TV86"/>
      <c r="TW86"/>
      <c r="TX86"/>
      <c r="TY86"/>
      <c r="TZ86"/>
      <c r="UA86"/>
      <c r="UB86"/>
      <c r="UC86"/>
      <c r="UD86"/>
      <c r="UE86"/>
      <c r="UF86"/>
      <c r="UT86"/>
      <c r="UU86"/>
      <c r="UV86"/>
      <c r="UW86"/>
      <c r="UX86"/>
      <c r="UY86"/>
      <c r="UZ86"/>
      <c r="VA86"/>
      <c r="VB86"/>
      <c r="VC86"/>
      <c r="VD86"/>
      <c r="VF86"/>
      <c r="VG86"/>
      <c r="VH86"/>
      <c r="VI86"/>
      <c r="VJ86"/>
      <c r="VK86"/>
      <c r="VL86"/>
      <c r="VM86"/>
      <c r="VN86"/>
      <c r="VO86"/>
      <c r="VP86"/>
    </row>
    <row r="87" spans="2:588" x14ac:dyDescent="0.25">
      <c r="B87" s="1">
        <v>2758776708</v>
      </c>
      <c r="C87" s="1">
        <v>34</v>
      </c>
      <c r="D87" s="1">
        <v>60704472</v>
      </c>
      <c r="E87" s="1">
        <v>60704472</v>
      </c>
      <c r="F87" s="1">
        <v>6.21</v>
      </c>
      <c r="G87" s="1">
        <v>1</v>
      </c>
      <c r="H87" s="1">
        <v>0</v>
      </c>
      <c r="I87" s="1">
        <v>90</v>
      </c>
      <c r="J87" s="1">
        <v>60003760</v>
      </c>
      <c r="K87" s="1">
        <v>32767</v>
      </c>
      <c r="L87" s="1">
        <v>0</v>
      </c>
      <c r="N87" s="1">
        <v>2852415142</v>
      </c>
      <c r="O87" s="1">
        <v>35</v>
      </c>
      <c r="P87" s="1">
        <v>2664</v>
      </c>
      <c r="Q87" s="1">
        <v>2664</v>
      </c>
      <c r="R87" s="1">
        <v>16.22</v>
      </c>
      <c r="S87" s="1">
        <v>1</v>
      </c>
      <c r="T87" s="1">
        <v>0</v>
      </c>
      <c r="U87" s="1">
        <v>30</v>
      </c>
      <c r="V87" s="1">
        <v>60003760</v>
      </c>
      <c r="W87" s="1">
        <v>32767</v>
      </c>
      <c r="X87" s="1">
        <v>0</v>
      </c>
      <c r="Z87" s="1">
        <v>2800015324</v>
      </c>
      <c r="AA87" s="1">
        <v>36</v>
      </c>
      <c r="AB87" s="1">
        <v>4377689</v>
      </c>
      <c r="AC87" s="1">
        <v>4377689</v>
      </c>
      <c r="AD87" s="16">
        <v>59.01</v>
      </c>
      <c r="AE87" s="1">
        <v>1</v>
      </c>
      <c r="AF87" s="1">
        <v>0</v>
      </c>
      <c r="AG87" s="1">
        <v>90</v>
      </c>
      <c r="AH87" s="1">
        <v>60003760</v>
      </c>
      <c r="AI87" s="1">
        <v>32767</v>
      </c>
      <c r="AJ87" s="1">
        <v>11</v>
      </c>
      <c r="AL87" s="1">
        <v>2747861235</v>
      </c>
      <c r="AM87" s="1">
        <v>37</v>
      </c>
      <c r="AN87" s="1">
        <v>1001284</v>
      </c>
      <c r="AO87" s="1">
        <v>1001284</v>
      </c>
      <c r="AP87" s="16">
        <v>168.99</v>
      </c>
      <c r="AQ87" s="1">
        <v>1</v>
      </c>
      <c r="AR87" s="1">
        <v>0</v>
      </c>
      <c r="AS87" s="1">
        <v>90</v>
      </c>
      <c r="AT87" s="1">
        <v>60003760</v>
      </c>
      <c r="AU87" s="1">
        <v>32767</v>
      </c>
      <c r="AV87" s="1">
        <v>9</v>
      </c>
      <c r="AX87" s="1">
        <v>2877221813</v>
      </c>
      <c r="AY87" s="1">
        <v>38</v>
      </c>
      <c r="AZ87" s="1">
        <v>14051</v>
      </c>
      <c r="BA87" s="1">
        <v>14051</v>
      </c>
      <c r="BB87" s="1">
        <v>808</v>
      </c>
      <c r="BC87" s="1">
        <v>1</v>
      </c>
      <c r="BD87" s="1">
        <v>0</v>
      </c>
      <c r="BE87" s="1">
        <v>7</v>
      </c>
      <c r="BF87" s="1">
        <v>60000535</v>
      </c>
      <c r="BG87" s="1">
        <v>32767</v>
      </c>
      <c r="BH87" s="1">
        <v>8</v>
      </c>
      <c r="BJ87" s="1">
        <v>2864273279</v>
      </c>
      <c r="BK87" s="1">
        <v>39</v>
      </c>
      <c r="BL87" s="1">
        <v>825</v>
      </c>
      <c r="BM87" s="1">
        <v>825</v>
      </c>
      <c r="BN87" s="1">
        <v>817.89</v>
      </c>
      <c r="BO87" s="1">
        <v>1</v>
      </c>
      <c r="BP87" s="1">
        <v>0</v>
      </c>
      <c r="BQ87" s="1">
        <v>90</v>
      </c>
      <c r="BR87" s="1">
        <v>60003760</v>
      </c>
      <c r="BS87" s="1">
        <v>32767</v>
      </c>
      <c r="BT87" s="1">
        <v>5</v>
      </c>
      <c r="BV87" s="1">
        <v>2402726386</v>
      </c>
      <c r="BW87" s="1">
        <v>40</v>
      </c>
      <c r="BX87" s="1">
        <v>663</v>
      </c>
      <c r="BY87" s="1">
        <v>663</v>
      </c>
      <c r="BZ87" s="1">
        <v>2780</v>
      </c>
      <c r="CA87" s="1">
        <v>1</v>
      </c>
      <c r="CB87" s="1">
        <v>0</v>
      </c>
      <c r="CC87" s="1">
        <v>30</v>
      </c>
      <c r="CD87" s="1">
        <v>60003760</v>
      </c>
      <c r="CE87" s="1">
        <v>32767</v>
      </c>
      <c r="CF87" s="1">
        <v>13</v>
      </c>
      <c r="CH87" s="1">
        <v>2411432192</v>
      </c>
      <c r="CI87" s="1">
        <v>29668</v>
      </c>
      <c r="CJ87" s="1">
        <v>5</v>
      </c>
      <c r="CK87" s="1">
        <v>5</v>
      </c>
      <c r="CL87" s="1">
        <v>519999750</v>
      </c>
      <c r="CM87" s="1">
        <v>1</v>
      </c>
      <c r="CN87" s="1">
        <v>0</v>
      </c>
      <c r="CO87" s="1">
        <v>90</v>
      </c>
      <c r="CP87" s="1">
        <v>60003760</v>
      </c>
      <c r="CQ87" s="1">
        <v>32767</v>
      </c>
      <c r="CR87" s="1">
        <v>0</v>
      </c>
      <c r="CT87" s="1">
        <v>2336857452</v>
      </c>
      <c r="CU87" s="1">
        <v>16649</v>
      </c>
      <c r="CV87" s="1">
        <v>100000</v>
      </c>
      <c r="CW87" s="1">
        <v>100000</v>
      </c>
      <c r="CX87" s="1">
        <v>1100</v>
      </c>
      <c r="CY87" s="1">
        <v>1</v>
      </c>
      <c r="CZ87" s="1">
        <v>1</v>
      </c>
      <c r="DA87" s="1">
        <v>90</v>
      </c>
      <c r="DB87" s="1">
        <v>60003760</v>
      </c>
      <c r="DC87" s="1">
        <v>0</v>
      </c>
      <c r="DD87" s="1">
        <v>0</v>
      </c>
      <c r="DF87" s="1">
        <v>2410067123</v>
      </c>
      <c r="DG87" s="1">
        <v>17887</v>
      </c>
      <c r="DH87" s="1">
        <v>205000</v>
      </c>
      <c r="DI87" s="1">
        <v>205000</v>
      </c>
      <c r="DJ87" s="1">
        <v>1042</v>
      </c>
      <c r="DK87" s="1">
        <v>1</v>
      </c>
      <c r="DL87" s="1">
        <v>0</v>
      </c>
      <c r="DM87" s="1">
        <v>90</v>
      </c>
      <c r="DN87" s="1">
        <v>60003760</v>
      </c>
      <c r="DO87" s="1">
        <v>32767</v>
      </c>
      <c r="DP87" s="1">
        <v>0</v>
      </c>
      <c r="DR87" s="1">
        <v>2838551394</v>
      </c>
      <c r="DS87" s="1">
        <v>17888</v>
      </c>
      <c r="DT87" s="1">
        <v>2000000</v>
      </c>
      <c r="DU87" s="1">
        <v>2000000</v>
      </c>
      <c r="DV87" s="1">
        <v>365</v>
      </c>
      <c r="DW87" s="1">
        <v>1</v>
      </c>
      <c r="DX87" s="1">
        <v>0</v>
      </c>
      <c r="DY87" s="1">
        <v>90</v>
      </c>
      <c r="DZ87" s="1">
        <v>60003760</v>
      </c>
      <c r="EA87" s="1">
        <v>32767</v>
      </c>
      <c r="EB87" s="1">
        <v>8</v>
      </c>
      <c r="ED87" s="1">
        <v>2863408678</v>
      </c>
      <c r="EE87" s="1">
        <v>16273</v>
      </c>
      <c r="EF87" s="1">
        <v>12951</v>
      </c>
      <c r="EG87" s="1">
        <v>9951</v>
      </c>
      <c r="EH87" s="1">
        <v>400</v>
      </c>
      <c r="EI87" s="1">
        <v>1</v>
      </c>
      <c r="EJ87" s="1">
        <v>0</v>
      </c>
      <c r="EK87" s="1">
        <v>90</v>
      </c>
      <c r="EL87" s="1">
        <v>60012667</v>
      </c>
      <c r="EM87" s="1">
        <v>32767</v>
      </c>
      <c r="EN87" s="1">
        <v>0</v>
      </c>
      <c r="EP87" s="1">
        <v>2757805318</v>
      </c>
      <c r="EQ87" s="1">
        <v>17889</v>
      </c>
      <c r="ER87" s="1">
        <v>4000000</v>
      </c>
      <c r="ES87" s="1">
        <v>4000000</v>
      </c>
      <c r="ET87" s="1">
        <v>264</v>
      </c>
      <c r="EU87" s="1">
        <v>1</v>
      </c>
      <c r="EV87" s="1">
        <v>1</v>
      </c>
      <c r="EW87" s="1">
        <v>90</v>
      </c>
      <c r="EX87" s="1">
        <v>60003760</v>
      </c>
      <c r="EY87" s="1">
        <v>-1</v>
      </c>
      <c r="EZ87" s="1">
        <v>0</v>
      </c>
      <c r="FB87" s="1">
        <v>2840751067</v>
      </c>
      <c r="FC87" s="1">
        <v>30259</v>
      </c>
      <c r="FD87" s="1">
        <v>250</v>
      </c>
      <c r="FE87" s="1">
        <v>12</v>
      </c>
      <c r="FF87" s="1">
        <v>5208300.09</v>
      </c>
      <c r="FG87" s="1">
        <v>1</v>
      </c>
      <c r="FH87" s="1">
        <v>1</v>
      </c>
      <c r="FI87" s="1">
        <v>90</v>
      </c>
      <c r="FJ87" s="1">
        <v>60003760</v>
      </c>
      <c r="FK87" s="1">
        <v>-1</v>
      </c>
      <c r="FL87" s="1">
        <v>0</v>
      </c>
      <c r="FN87" s="1">
        <v>2875536431</v>
      </c>
      <c r="FO87" s="1">
        <v>25617</v>
      </c>
      <c r="FP87" s="1">
        <v>100</v>
      </c>
      <c r="FQ87" s="1">
        <v>56</v>
      </c>
      <c r="FR87" s="1">
        <v>4900000</v>
      </c>
      <c r="FS87" s="1">
        <v>1</v>
      </c>
      <c r="FT87" s="1">
        <v>1</v>
      </c>
      <c r="FU87" s="1">
        <v>90</v>
      </c>
      <c r="FV87" s="1">
        <v>60003760</v>
      </c>
      <c r="FW87" s="1">
        <v>-1</v>
      </c>
      <c r="FX87" s="1">
        <v>0</v>
      </c>
      <c r="FZ87" s="1">
        <v>2876027841</v>
      </c>
      <c r="GA87" s="1">
        <v>44</v>
      </c>
      <c r="GB87" s="1">
        <v>1010</v>
      </c>
      <c r="GC87" s="1">
        <v>1010</v>
      </c>
      <c r="GD87" s="1">
        <v>12700</v>
      </c>
      <c r="GE87" s="1">
        <v>1</v>
      </c>
      <c r="GF87" s="1">
        <v>0</v>
      </c>
      <c r="GG87" s="1">
        <v>3</v>
      </c>
      <c r="GH87" s="1">
        <v>60003073</v>
      </c>
      <c r="GI87" s="1">
        <v>32767</v>
      </c>
      <c r="GJ87" s="1">
        <v>4</v>
      </c>
      <c r="GL87" s="1">
        <v>2319006556</v>
      </c>
      <c r="GM87" s="1">
        <v>16681</v>
      </c>
      <c r="GN87" s="1">
        <v>10000</v>
      </c>
      <c r="GO87" s="1">
        <v>3318</v>
      </c>
      <c r="GP87" s="1">
        <v>5024.0200000000004</v>
      </c>
      <c r="GQ87" s="1">
        <v>1</v>
      </c>
      <c r="GR87" s="1">
        <v>1</v>
      </c>
      <c r="GS87" s="1">
        <v>90</v>
      </c>
      <c r="GT87" s="1">
        <v>60003760</v>
      </c>
      <c r="GU87" s="1">
        <v>40</v>
      </c>
      <c r="GV87" s="1">
        <v>0</v>
      </c>
      <c r="GX87" s="1">
        <v>2878973057</v>
      </c>
      <c r="GY87" s="1">
        <v>16683</v>
      </c>
      <c r="GZ87" s="1">
        <v>300</v>
      </c>
      <c r="HA87" s="1">
        <v>300</v>
      </c>
      <c r="HB87" s="1">
        <v>8384.4699999999993</v>
      </c>
      <c r="HC87" s="1">
        <v>1</v>
      </c>
      <c r="HD87" s="1">
        <v>1</v>
      </c>
      <c r="HE87" s="1">
        <v>90</v>
      </c>
      <c r="HF87" s="1">
        <v>60003760</v>
      </c>
      <c r="HG87" s="1">
        <v>-1</v>
      </c>
      <c r="HH87" s="1">
        <v>0</v>
      </c>
      <c r="HV87" s="1">
        <v>2878605702</v>
      </c>
      <c r="HW87" s="1">
        <v>16274</v>
      </c>
      <c r="HX87" s="1">
        <v>1000000</v>
      </c>
      <c r="HY87" s="1">
        <v>1000000</v>
      </c>
      <c r="HZ87" s="1">
        <v>369.79</v>
      </c>
      <c r="IA87" s="1">
        <v>1</v>
      </c>
      <c r="IB87" s="1">
        <v>0</v>
      </c>
      <c r="IC87" s="1">
        <v>90</v>
      </c>
      <c r="ID87" s="1">
        <v>60003760</v>
      </c>
      <c r="IE87" s="1">
        <v>32767</v>
      </c>
      <c r="IF87" s="1">
        <v>0</v>
      </c>
      <c r="IH87"/>
      <c r="II87"/>
      <c r="IJ87"/>
      <c r="IK87"/>
      <c r="IL87"/>
      <c r="IM87"/>
      <c r="IN87"/>
      <c r="IO87"/>
      <c r="IP87"/>
      <c r="IQ87"/>
      <c r="IR87"/>
      <c r="IT87" s="1">
        <v>2813895461</v>
      </c>
      <c r="IU87" s="1">
        <v>16679</v>
      </c>
      <c r="IV87" s="1">
        <v>50000</v>
      </c>
      <c r="IW87" s="1">
        <v>36211</v>
      </c>
      <c r="IX87" s="1">
        <v>1050.01</v>
      </c>
      <c r="IY87" s="1">
        <v>1</v>
      </c>
      <c r="IZ87" s="1">
        <v>1</v>
      </c>
      <c r="JA87" s="1">
        <v>90</v>
      </c>
      <c r="JB87" s="1">
        <v>60003760</v>
      </c>
      <c r="JC87" s="1">
        <v>32767</v>
      </c>
      <c r="JD87" s="1">
        <v>0</v>
      </c>
      <c r="JF87" s="1">
        <v>2854212017</v>
      </c>
      <c r="JG87" s="1">
        <v>16272</v>
      </c>
      <c r="JH87" s="1">
        <v>146168</v>
      </c>
      <c r="JI87" s="1">
        <v>146168</v>
      </c>
      <c r="JJ87" s="1">
        <v>80</v>
      </c>
      <c r="JK87" s="1">
        <v>1</v>
      </c>
      <c r="JL87" s="1">
        <v>0</v>
      </c>
      <c r="JM87" s="1">
        <v>90</v>
      </c>
      <c r="JN87" s="1">
        <v>60007591</v>
      </c>
      <c r="JO87" s="1">
        <v>32767</v>
      </c>
      <c r="JP87" s="1">
        <v>7</v>
      </c>
      <c r="KD87" s="1">
        <v>2832065763</v>
      </c>
      <c r="KE87" s="1">
        <v>25605</v>
      </c>
      <c r="KF87" s="1">
        <v>1000</v>
      </c>
      <c r="KG87" s="1">
        <v>1000</v>
      </c>
      <c r="KH87" s="1">
        <v>98000.33</v>
      </c>
      <c r="KI87" s="1">
        <v>1</v>
      </c>
      <c r="KJ87" s="1">
        <v>1</v>
      </c>
      <c r="KK87" s="1">
        <v>30</v>
      </c>
      <c r="KL87" s="1">
        <v>60003760</v>
      </c>
      <c r="KM87" s="1">
        <v>3</v>
      </c>
      <c r="KN87" s="1">
        <v>0</v>
      </c>
      <c r="KP87" s="1">
        <v>2820731423</v>
      </c>
      <c r="KQ87" s="1">
        <v>25624</v>
      </c>
      <c r="KR87" s="1">
        <v>55</v>
      </c>
      <c r="KS87" s="1">
        <v>55</v>
      </c>
      <c r="KT87" s="1">
        <v>17015015</v>
      </c>
      <c r="KU87" s="1">
        <v>1</v>
      </c>
      <c r="KV87" s="1">
        <v>1</v>
      </c>
      <c r="KW87" s="1">
        <v>90</v>
      </c>
      <c r="KX87" s="1">
        <v>60003760</v>
      </c>
      <c r="KY87" s="1">
        <v>-1</v>
      </c>
      <c r="KZ87" s="1">
        <v>0</v>
      </c>
      <c r="LB87" s="1">
        <v>2843268989</v>
      </c>
      <c r="LC87" s="1">
        <v>9832</v>
      </c>
      <c r="LD87" s="1">
        <v>3570</v>
      </c>
      <c r="LE87" s="1">
        <v>3570</v>
      </c>
      <c r="LF87" s="1">
        <v>9700.01</v>
      </c>
      <c r="LG87" s="1">
        <v>1</v>
      </c>
      <c r="LH87" s="1">
        <v>0</v>
      </c>
      <c r="LI87" s="1">
        <v>90</v>
      </c>
      <c r="LJ87" s="1">
        <v>60004054</v>
      </c>
      <c r="LK87" s="1">
        <v>32767</v>
      </c>
      <c r="LL87" s="1">
        <v>6</v>
      </c>
      <c r="ML87"/>
      <c r="MM87"/>
      <c r="MN87"/>
      <c r="MO87"/>
      <c r="MP87"/>
      <c r="MQ87"/>
      <c r="MR87"/>
      <c r="MS87"/>
      <c r="MT87"/>
      <c r="MU87"/>
      <c r="MV87"/>
      <c r="MX87" s="1">
        <v>2876250730</v>
      </c>
      <c r="MY87" s="1">
        <v>16672</v>
      </c>
      <c r="MZ87" s="1">
        <v>5657128</v>
      </c>
      <c r="NA87" s="1">
        <v>5657128</v>
      </c>
      <c r="NB87" s="1">
        <v>111.23</v>
      </c>
      <c r="NC87" s="1">
        <v>1</v>
      </c>
      <c r="ND87" s="1">
        <v>1</v>
      </c>
      <c r="NE87" s="1">
        <v>90</v>
      </c>
      <c r="NF87" s="1">
        <v>60003760</v>
      </c>
      <c r="NG87" s="1">
        <v>-1</v>
      </c>
      <c r="NH87" s="1">
        <v>0</v>
      </c>
      <c r="NJ87" s="1">
        <v>2878835561</v>
      </c>
      <c r="NK87" s="1">
        <v>16673</v>
      </c>
      <c r="NL87" s="1">
        <v>1821000</v>
      </c>
      <c r="NM87" s="1">
        <v>1643980</v>
      </c>
      <c r="NN87" s="1">
        <v>100.94</v>
      </c>
      <c r="NO87" s="1">
        <v>1</v>
      </c>
      <c r="NP87" s="1">
        <v>0</v>
      </c>
      <c r="NQ87" s="1">
        <v>90</v>
      </c>
      <c r="NR87" s="1">
        <v>60003760</v>
      </c>
      <c r="NS87" s="1">
        <v>32767</v>
      </c>
      <c r="NT87" s="1">
        <v>0</v>
      </c>
      <c r="NV87" s="1">
        <v>2837056638</v>
      </c>
      <c r="NW87" s="1">
        <v>3689</v>
      </c>
      <c r="NX87" s="1">
        <v>1925</v>
      </c>
      <c r="NY87" s="1">
        <v>1925</v>
      </c>
      <c r="NZ87" s="1">
        <v>11000</v>
      </c>
      <c r="OA87" s="1">
        <v>1</v>
      </c>
      <c r="OB87" s="1">
        <v>0</v>
      </c>
      <c r="OC87" s="1">
        <v>90</v>
      </c>
      <c r="OD87" s="1">
        <v>60001801</v>
      </c>
      <c r="OE87" s="1">
        <v>32767</v>
      </c>
      <c r="OF87" s="1">
        <v>10</v>
      </c>
      <c r="OH87" s="1">
        <v>2855950940</v>
      </c>
      <c r="OI87" s="1">
        <v>25598</v>
      </c>
      <c r="OJ87" s="1">
        <v>459</v>
      </c>
      <c r="OK87" s="1">
        <v>459</v>
      </c>
      <c r="OL87" s="1">
        <v>146997</v>
      </c>
      <c r="OM87" s="1">
        <v>1</v>
      </c>
      <c r="ON87" s="1">
        <v>0</v>
      </c>
      <c r="OO87" s="1">
        <v>90</v>
      </c>
      <c r="OP87" s="1">
        <v>60003760</v>
      </c>
      <c r="OQ87" s="1">
        <v>32767</v>
      </c>
      <c r="OR87" s="1">
        <v>0</v>
      </c>
      <c r="OT87" s="1">
        <v>2842202097</v>
      </c>
      <c r="OU87" s="1">
        <v>25600</v>
      </c>
      <c r="OV87" s="1">
        <v>2</v>
      </c>
      <c r="OW87" s="1">
        <v>2</v>
      </c>
      <c r="OX87" s="1">
        <v>30000</v>
      </c>
      <c r="OY87" s="1">
        <v>1</v>
      </c>
      <c r="OZ87" s="1">
        <v>0</v>
      </c>
      <c r="PA87" s="1">
        <v>30</v>
      </c>
      <c r="PB87" s="1">
        <v>60004444</v>
      </c>
      <c r="PC87" s="1">
        <v>32767</v>
      </c>
      <c r="PD87" s="1">
        <v>7</v>
      </c>
      <c r="PF87" s="1">
        <v>2878593896</v>
      </c>
      <c r="PG87" s="1">
        <v>16670</v>
      </c>
      <c r="PH87" s="1">
        <v>20570000</v>
      </c>
      <c r="PI87" s="1">
        <v>20570000</v>
      </c>
      <c r="PJ87" s="1">
        <v>115.44</v>
      </c>
      <c r="PK87" s="1">
        <v>1</v>
      </c>
      <c r="PL87" s="1">
        <v>0</v>
      </c>
      <c r="PM87" s="1">
        <v>90</v>
      </c>
      <c r="PN87" s="1">
        <v>60003760</v>
      </c>
      <c r="PO87" s="1">
        <v>32767</v>
      </c>
      <c r="PP87" s="1">
        <v>0</v>
      </c>
      <c r="QD87" s="1">
        <v>2862319012</v>
      </c>
      <c r="QE87" s="1">
        <v>9830</v>
      </c>
      <c r="QF87" s="1">
        <v>2000</v>
      </c>
      <c r="QG87" s="1">
        <v>2000</v>
      </c>
      <c r="QH87" s="1">
        <v>4463.01</v>
      </c>
      <c r="QI87" s="1">
        <v>1</v>
      </c>
      <c r="QJ87" s="1">
        <v>1</v>
      </c>
      <c r="QK87" s="1">
        <v>30</v>
      </c>
      <c r="QL87" s="1">
        <v>60004057</v>
      </c>
      <c r="QM87" s="1">
        <v>3</v>
      </c>
      <c r="QN87" s="1">
        <v>0</v>
      </c>
      <c r="QP87" s="1">
        <v>2875975557</v>
      </c>
      <c r="QQ87" s="1">
        <v>16671</v>
      </c>
      <c r="QR87" s="1">
        <v>5000000</v>
      </c>
      <c r="QS87" s="1">
        <v>5000000</v>
      </c>
      <c r="QT87" s="1">
        <v>92.3</v>
      </c>
      <c r="QU87" s="1">
        <v>1</v>
      </c>
      <c r="QV87" s="1">
        <v>1</v>
      </c>
      <c r="QW87" s="1">
        <v>90</v>
      </c>
      <c r="QX87" s="1">
        <v>60003760</v>
      </c>
      <c r="QY87" s="1">
        <v>-1</v>
      </c>
      <c r="QZ87" s="1">
        <v>0</v>
      </c>
      <c r="RB87" s="1">
        <v>2675092099</v>
      </c>
      <c r="RC87" s="1">
        <v>16682</v>
      </c>
      <c r="RD87" s="1">
        <v>10000</v>
      </c>
      <c r="RE87" s="1">
        <v>6175</v>
      </c>
      <c r="RF87" s="1">
        <v>2861.35</v>
      </c>
      <c r="RG87" s="1">
        <v>1</v>
      </c>
      <c r="RH87" s="1">
        <v>1</v>
      </c>
      <c r="RI87" s="1">
        <v>90</v>
      </c>
      <c r="RJ87" s="1">
        <v>60002356</v>
      </c>
      <c r="RK87" s="1">
        <v>2</v>
      </c>
      <c r="RL87" s="1">
        <v>0</v>
      </c>
      <c r="RN87" s="1">
        <v>2878538269</v>
      </c>
      <c r="RO87" s="1">
        <v>16678</v>
      </c>
      <c r="RP87" s="1">
        <v>15000000</v>
      </c>
      <c r="RQ87" s="1">
        <v>15000000</v>
      </c>
      <c r="RR87" s="1">
        <v>274.51</v>
      </c>
      <c r="RS87" s="1">
        <v>1</v>
      </c>
      <c r="RT87" s="1">
        <v>1</v>
      </c>
      <c r="RU87" s="1">
        <v>90</v>
      </c>
      <c r="RV87" s="1">
        <v>60003760</v>
      </c>
      <c r="RW87" s="1">
        <v>-1</v>
      </c>
      <c r="RX87" s="1">
        <v>0</v>
      </c>
      <c r="SX87" s="1">
        <v>2867873553</v>
      </c>
      <c r="SY87" s="1">
        <v>25595</v>
      </c>
      <c r="SZ87" s="1">
        <v>44</v>
      </c>
      <c r="TA87" s="1">
        <v>44</v>
      </c>
      <c r="TB87" s="1">
        <v>82990</v>
      </c>
      <c r="TC87" s="1">
        <v>1</v>
      </c>
      <c r="TD87" s="1">
        <v>0</v>
      </c>
      <c r="TE87" s="1">
        <v>90</v>
      </c>
      <c r="TF87" s="1">
        <v>60003760</v>
      </c>
      <c r="TG87" s="1">
        <v>32767</v>
      </c>
      <c r="TH87" s="1">
        <v>6</v>
      </c>
      <c r="TJ87" s="1">
        <v>2837996437</v>
      </c>
      <c r="TK87" s="1">
        <v>25606</v>
      </c>
      <c r="TL87" s="1">
        <v>4</v>
      </c>
      <c r="TM87" s="1">
        <v>4</v>
      </c>
      <c r="TN87" s="1">
        <v>28000</v>
      </c>
      <c r="TO87" s="1">
        <v>1</v>
      </c>
      <c r="TP87" s="1">
        <v>0</v>
      </c>
      <c r="TQ87" s="1">
        <v>90</v>
      </c>
      <c r="TR87" s="1">
        <v>60002362</v>
      </c>
      <c r="TS87" s="1">
        <v>32767</v>
      </c>
      <c r="TT87" s="1">
        <v>8</v>
      </c>
      <c r="TV87"/>
      <c r="TW87"/>
      <c r="TX87"/>
      <c r="TY87"/>
      <c r="TZ87"/>
      <c r="UA87"/>
      <c r="UB87"/>
      <c r="UC87"/>
      <c r="UD87"/>
      <c r="UE87"/>
      <c r="UF87"/>
      <c r="UT87"/>
      <c r="UU87"/>
      <c r="UV87"/>
      <c r="UW87"/>
      <c r="UX87"/>
      <c r="UY87"/>
      <c r="UZ87"/>
      <c r="VA87"/>
      <c r="VB87"/>
      <c r="VC87"/>
      <c r="VD87"/>
      <c r="VF87"/>
      <c r="VG87"/>
      <c r="VH87"/>
      <c r="VI87"/>
      <c r="VJ87"/>
      <c r="VK87"/>
      <c r="VL87"/>
      <c r="VM87"/>
      <c r="VN87"/>
      <c r="VO87"/>
      <c r="VP87"/>
    </row>
    <row r="88" spans="2:588" x14ac:dyDescent="0.25">
      <c r="B88" s="1">
        <v>2752448083</v>
      </c>
      <c r="C88" s="1">
        <v>34</v>
      </c>
      <c r="D88" s="1">
        <v>1672</v>
      </c>
      <c r="E88" s="1">
        <v>1672</v>
      </c>
      <c r="F88" s="1">
        <v>100</v>
      </c>
      <c r="G88" s="1">
        <v>1</v>
      </c>
      <c r="H88" s="1">
        <v>0</v>
      </c>
      <c r="I88" s="1">
        <v>90</v>
      </c>
      <c r="J88" s="1">
        <v>60003760</v>
      </c>
      <c r="K88" s="1">
        <v>32767</v>
      </c>
      <c r="L88" s="1">
        <v>0</v>
      </c>
      <c r="N88" s="1">
        <v>2851618045</v>
      </c>
      <c r="O88" s="1">
        <v>35</v>
      </c>
      <c r="P88" s="1">
        <v>60000000</v>
      </c>
      <c r="Q88" s="1">
        <v>60000000</v>
      </c>
      <c r="R88" s="1">
        <v>15.84</v>
      </c>
      <c r="S88" s="1">
        <v>1</v>
      </c>
      <c r="T88" s="1">
        <v>0</v>
      </c>
      <c r="U88" s="1">
        <v>90</v>
      </c>
      <c r="V88" s="1">
        <v>60003760</v>
      </c>
      <c r="W88" s="1">
        <v>32767</v>
      </c>
      <c r="X88" s="1">
        <v>0</v>
      </c>
      <c r="Z88" s="1">
        <v>2800938971</v>
      </c>
      <c r="AA88" s="1">
        <v>36</v>
      </c>
      <c r="AB88" s="1">
        <v>29220941</v>
      </c>
      <c r="AC88" s="1">
        <v>29220941</v>
      </c>
      <c r="AD88" s="16">
        <v>58.48</v>
      </c>
      <c r="AE88" s="1">
        <v>1</v>
      </c>
      <c r="AF88" s="1">
        <v>0</v>
      </c>
      <c r="AG88" s="1">
        <v>90</v>
      </c>
      <c r="AH88" s="1">
        <v>60003760</v>
      </c>
      <c r="AI88" s="1">
        <v>32767</v>
      </c>
      <c r="AJ88" s="1">
        <v>11</v>
      </c>
      <c r="AL88" s="1">
        <v>2748739952</v>
      </c>
      <c r="AM88" s="1">
        <v>37</v>
      </c>
      <c r="AN88" s="1">
        <v>14439460</v>
      </c>
      <c r="AO88" s="1">
        <v>14439460</v>
      </c>
      <c r="AP88" s="16">
        <v>168.54</v>
      </c>
      <c r="AQ88" s="1">
        <v>1</v>
      </c>
      <c r="AR88" s="1">
        <v>0</v>
      </c>
      <c r="AS88" s="1">
        <v>90</v>
      </c>
      <c r="AT88" s="1">
        <v>60003760</v>
      </c>
      <c r="AU88" s="1">
        <v>32767</v>
      </c>
      <c r="AV88" s="1">
        <v>9</v>
      </c>
      <c r="AX88" s="1">
        <v>2877119233</v>
      </c>
      <c r="AY88" s="1">
        <v>38</v>
      </c>
      <c r="AZ88" s="1">
        <v>21063</v>
      </c>
      <c r="BA88" s="1">
        <v>21063</v>
      </c>
      <c r="BB88" s="1">
        <v>808.8</v>
      </c>
      <c r="BC88" s="1">
        <v>1</v>
      </c>
      <c r="BD88" s="1">
        <v>0</v>
      </c>
      <c r="BE88" s="1">
        <v>3</v>
      </c>
      <c r="BF88" s="1">
        <v>60012667</v>
      </c>
      <c r="BG88" s="1">
        <v>32767</v>
      </c>
      <c r="BH88" s="1">
        <v>8</v>
      </c>
      <c r="BJ88" s="1">
        <v>2877467162</v>
      </c>
      <c r="BK88" s="1">
        <v>39</v>
      </c>
      <c r="BL88" s="1">
        <v>20000</v>
      </c>
      <c r="BM88" s="1">
        <v>20000</v>
      </c>
      <c r="BN88" s="1">
        <v>830</v>
      </c>
      <c r="BO88" s="1">
        <v>1</v>
      </c>
      <c r="BP88" s="1">
        <v>0</v>
      </c>
      <c r="BQ88" s="1">
        <v>90</v>
      </c>
      <c r="BR88" s="1">
        <v>60003760</v>
      </c>
      <c r="BS88" s="1">
        <v>32767</v>
      </c>
      <c r="BT88" s="1">
        <v>5</v>
      </c>
      <c r="BV88" s="1">
        <v>2410128267</v>
      </c>
      <c r="BW88" s="1">
        <v>40</v>
      </c>
      <c r="BX88" s="1">
        <v>18</v>
      </c>
      <c r="BY88" s="1">
        <v>18</v>
      </c>
      <c r="BZ88" s="1">
        <v>2780</v>
      </c>
      <c r="CA88" s="1">
        <v>1</v>
      </c>
      <c r="CB88" s="1">
        <v>0</v>
      </c>
      <c r="CC88" s="1">
        <v>90</v>
      </c>
      <c r="CD88" s="1">
        <v>60003760</v>
      </c>
      <c r="CE88" s="1">
        <v>32767</v>
      </c>
      <c r="CF88" s="1">
        <v>13</v>
      </c>
      <c r="CH88" s="1">
        <v>2411432287</v>
      </c>
      <c r="CI88" s="1">
        <v>29668</v>
      </c>
      <c r="CJ88" s="1">
        <v>7</v>
      </c>
      <c r="CK88" s="1">
        <v>7</v>
      </c>
      <c r="CL88" s="1">
        <v>529999999</v>
      </c>
      <c r="CM88" s="1">
        <v>1</v>
      </c>
      <c r="CN88" s="1">
        <v>0</v>
      </c>
      <c r="CO88" s="1">
        <v>90</v>
      </c>
      <c r="CP88" s="1">
        <v>60003760</v>
      </c>
      <c r="CQ88" s="1">
        <v>32767</v>
      </c>
      <c r="CR88" s="1">
        <v>0</v>
      </c>
      <c r="CT88" s="1">
        <v>2331402839</v>
      </c>
      <c r="CU88" s="1">
        <v>16649</v>
      </c>
      <c r="CV88" s="1">
        <v>100000</v>
      </c>
      <c r="CW88" s="1">
        <v>100000</v>
      </c>
      <c r="CX88" s="1">
        <v>0.01</v>
      </c>
      <c r="CY88" s="1">
        <v>1</v>
      </c>
      <c r="CZ88" s="1">
        <v>1</v>
      </c>
      <c r="DA88" s="1">
        <v>90</v>
      </c>
      <c r="DB88" s="1">
        <v>60003760</v>
      </c>
      <c r="DC88" s="1">
        <v>32767</v>
      </c>
      <c r="DD88" s="1">
        <v>0</v>
      </c>
      <c r="DF88" s="1">
        <v>2410013481</v>
      </c>
      <c r="DG88" s="1">
        <v>17887</v>
      </c>
      <c r="DH88" s="1">
        <v>418249</v>
      </c>
      <c r="DI88" s="1">
        <v>418249</v>
      </c>
      <c r="DJ88" s="1">
        <v>1019.88</v>
      </c>
      <c r="DK88" s="1">
        <v>1</v>
      </c>
      <c r="DL88" s="1">
        <v>0</v>
      </c>
      <c r="DM88" s="1">
        <v>90</v>
      </c>
      <c r="DN88" s="1">
        <v>60003760</v>
      </c>
      <c r="DO88" s="1">
        <v>32767</v>
      </c>
      <c r="DP88" s="1">
        <v>0</v>
      </c>
      <c r="DR88" s="1">
        <v>2834046607</v>
      </c>
      <c r="DS88" s="1">
        <v>17888</v>
      </c>
      <c r="DT88" s="1">
        <v>998384</v>
      </c>
      <c r="DU88" s="1">
        <v>998384</v>
      </c>
      <c r="DV88" s="1">
        <v>550</v>
      </c>
      <c r="DW88" s="1">
        <v>1</v>
      </c>
      <c r="DX88" s="1">
        <v>0</v>
      </c>
      <c r="DY88" s="1">
        <v>90</v>
      </c>
      <c r="DZ88" s="1">
        <v>60003760</v>
      </c>
      <c r="EA88" s="1">
        <v>32767</v>
      </c>
      <c r="EB88" s="1">
        <v>8</v>
      </c>
      <c r="ED88" s="1">
        <v>2854216671</v>
      </c>
      <c r="EE88" s="1">
        <v>16273</v>
      </c>
      <c r="EF88" s="1">
        <v>116803</v>
      </c>
      <c r="EG88" s="1">
        <v>116303</v>
      </c>
      <c r="EH88" s="1">
        <v>420</v>
      </c>
      <c r="EI88" s="1">
        <v>1</v>
      </c>
      <c r="EJ88" s="1">
        <v>0</v>
      </c>
      <c r="EK88" s="1">
        <v>90</v>
      </c>
      <c r="EL88" s="1">
        <v>60012667</v>
      </c>
      <c r="EM88" s="1">
        <v>32767</v>
      </c>
      <c r="EN88" s="1">
        <v>0</v>
      </c>
      <c r="EP88" s="1">
        <v>2851934528</v>
      </c>
      <c r="EQ88" s="1">
        <v>17889</v>
      </c>
      <c r="ER88" s="1">
        <v>5000000</v>
      </c>
      <c r="ES88" s="1">
        <v>184112</v>
      </c>
      <c r="ET88" s="1">
        <v>321.55</v>
      </c>
      <c r="EU88" s="1">
        <v>1</v>
      </c>
      <c r="EV88" s="1">
        <v>1</v>
      </c>
      <c r="EW88" s="1">
        <v>90</v>
      </c>
      <c r="EX88" s="1">
        <v>60003760</v>
      </c>
      <c r="EY88" s="1">
        <v>-1</v>
      </c>
      <c r="EZ88" s="1">
        <v>0</v>
      </c>
      <c r="FB88" s="1">
        <v>2839667937</v>
      </c>
      <c r="FC88" s="1">
        <v>30259</v>
      </c>
      <c r="FD88" s="1">
        <v>1000</v>
      </c>
      <c r="FE88" s="1">
        <v>1000</v>
      </c>
      <c r="FF88" s="1">
        <v>5000000.01</v>
      </c>
      <c r="FG88" s="1">
        <v>1</v>
      </c>
      <c r="FH88" s="1">
        <v>1</v>
      </c>
      <c r="FI88" s="1">
        <v>90</v>
      </c>
      <c r="FJ88" s="1">
        <v>60003760</v>
      </c>
      <c r="FK88" s="1">
        <v>-1</v>
      </c>
      <c r="FL88" s="1">
        <v>0</v>
      </c>
      <c r="FN88" s="1">
        <v>2875221184</v>
      </c>
      <c r="FO88" s="1">
        <v>25617</v>
      </c>
      <c r="FP88" s="1">
        <v>30</v>
      </c>
      <c r="FQ88" s="1">
        <v>30</v>
      </c>
      <c r="FR88" s="1">
        <v>4887000.3499999996</v>
      </c>
      <c r="FS88" s="1">
        <v>1</v>
      </c>
      <c r="FT88" s="1">
        <v>1</v>
      </c>
      <c r="FU88" s="1">
        <v>14</v>
      </c>
      <c r="FV88" s="1">
        <v>60003760</v>
      </c>
      <c r="FW88" s="1">
        <v>-1</v>
      </c>
      <c r="FX88" s="1">
        <v>0</v>
      </c>
      <c r="FZ88" s="1">
        <v>2862647492</v>
      </c>
      <c r="GA88" s="1">
        <v>44</v>
      </c>
      <c r="GB88" s="1">
        <v>3120</v>
      </c>
      <c r="GC88" s="1">
        <v>2955</v>
      </c>
      <c r="GD88" s="1">
        <v>13820.1</v>
      </c>
      <c r="GE88" s="1">
        <v>1</v>
      </c>
      <c r="GF88" s="1">
        <v>0</v>
      </c>
      <c r="GG88" s="1">
        <v>90</v>
      </c>
      <c r="GH88" s="1">
        <v>60001591</v>
      </c>
      <c r="GI88" s="1">
        <v>32767</v>
      </c>
      <c r="GJ88" s="1">
        <v>7</v>
      </c>
      <c r="GL88" s="1">
        <v>2307787137</v>
      </c>
      <c r="GM88" s="1">
        <v>16681</v>
      </c>
      <c r="GN88" s="1">
        <v>60000</v>
      </c>
      <c r="GO88" s="1">
        <v>52896</v>
      </c>
      <c r="GP88" s="1">
        <v>4781.09</v>
      </c>
      <c r="GQ88" s="1">
        <v>1</v>
      </c>
      <c r="GR88" s="1">
        <v>1</v>
      </c>
      <c r="GS88" s="1">
        <v>90</v>
      </c>
      <c r="GT88" s="1">
        <v>60003760</v>
      </c>
      <c r="GU88" s="1">
        <v>20</v>
      </c>
      <c r="GV88" s="1">
        <v>0</v>
      </c>
      <c r="GX88" s="1">
        <v>2878769047</v>
      </c>
      <c r="GY88" s="1">
        <v>16683</v>
      </c>
      <c r="GZ88" s="1">
        <v>33340</v>
      </c>
      <c r="HA88" s="1">
        <v>33340</v>
      </c>
      <c r="HB88" s="1">
        <v>8384.48</v>
      </c>
      <c r="HC88" s="1">
        <v>1</v>
      </c>
      <c r="HD88" s="1">
        <v>1</v>
      </c>
      <c r="HE88" s="1">
        <v>90</v>
      </c>
      <c r="HF88" s="1">
        <v>60003760</v>
      </c>
      <c r="HG88" s="1">
        <v>-1</v>
      </c>
      <c r="HH88" s="1">
        <v>0</v>
      </c>
      <c r="HV88" s="1">
        <v>2878901663</v>
      </c>
      <c r="HW88" s="1">
        <v>16274</v>
      </c>
      <c r="HX88" s="1">
        <v>2475600</v>
      </c>
      <c r="HY88" s="1">
        <v>2421600</v>
      </c>
      <c r="HZ88" s="1">
        <v>369.77</v>
      </c>
      <c r="IA88" s="1">
        <v>1</v>
      </c>
      <c r="IB88" s="1">
        <v>0</v>
      </c>
      <c r="IC88" s="1">
        <v>90</v>
      </c>
      <c r="ID88" s="1">
        <v>60003760</v>
      </c>
      <c r="IE88" s="1">
        <v>32767</v>
      </c>
      <c r="IF88" s="1">
        <v>0</v>
      </c>
      <c r="IT88" s="1">
        <v>2800717440</v>
      </c>
      <c r="IU88" s="1">
        <v>16679</v>
      </c>
      <c r="IV88" s="1">
        <v>200000</v>
      </c>
      <c r="IW88" s="1">
        <v>200000</v>
      </c>
      <c r="IX88" s="1">
        <v>1500</v>
      </c>
      <c r="IY88" s="1">
        <v>1</v>
      </c>
      <c r="IZ88" s="1">
        <v>1</v>
      </c>
      <c r="JA88" s="1">
        <v>90</v>
      </c>
      <c r="JB88" s="1">
        <v>60003760</v>
      </c>
      <c r="JC88" s="1">
        <v>-1</v>
      </c>
      <c r="JD88" s="1">
        <v>0</v>
      </c>
      <c r="JF88" s="1">
        <v>2779379932</v>
      </c>
      <c r="JG88" s="1">
        <v>16272</v>
      </c>
      <c r="JH88" s="1">
        <v>360685</v>
      </c>
      <c r="JI88" s="1">
        <v>356685</v>
      </c>
      <c r="JJ88" s="1">
        <v>290</v>
      </c>
      <c r="JK88" s="1">
        <v>1</v>
      </c>
      <c r="JL88" s="1">
        <v>0</v>
      </c>
      <c r="JM88" s="1">
        <v>90</v>
      </c>
      <c r="JN88" s="1">
        <v>60002242</v>
      </c>
      <c r="JO88" s="1">
        <v>32767</v>
      </c>
      <c r="JP88" s="1">
        <v>7</v>
      </c>
      <c r="KD88" s="1">
        <v>2830238912</v>
      </c>
      <c r="KE88" s="1">
        <v>25605</v>
      </c>
      <c r="KF88" s="1">
        <v>1000</v>
      </c>
      <c r="KG88" s="1">
        <v>1</v>
      </c>
      <c r="KH88" s="1">
        <v>98000.34</v>
      </c>
      <c r="KI88" s="1">
        <v>1</v>
      </c>
      <c r="KJ88" s="1">
        <v>1</v>
      </c>
      <c r="KK88" s="1">
        <v>30</v>
      </c>
      <c r="KL88" s="1">
        <v>60003760</v>
      </c>
      <c r="KM88" s="1">
        <v>3</v>
      </c>
      <c r="KN88" s="1">
        <v>0</v>
      </c>
      <c r="KP88" s="1">
        <v>2754734275</v>
      </c>
      <c r="KQ88" s="1">
        <v>25624</v>
      </c>
      <c r="KR88" s="1">
        <v>50</v>
      </c>
      <c r="KS88" s="1">
        <v>50</v>
      </c>
      <c r="KT88" s="1">
        <v>12499000.99</v>
      </c>
      <c r="KU88" s="1">
        <v>1</v>
      </c>
      <c r="KV88" s="1">
        <v>1</v>
      </c>
      <c r="KW88" s="1">
        <v>90</v>
      </c>
      <c r="KX88" s="1">
        <v>60003760</v>
      </c>
      <c r="KY88" s="1">
        <v>10</v>
      </c>
      <c r="KZ88" s="1">
        <v>0</v>
      </c>
      <c r="LB88" s="1">
        <v>2815354818</v>
      </c>
      <c r="LC88" s="1">
        <v>9832</v>
      </c>
      <c r="LD88" s="1">
        <v>1365</v>
      </c>
      <c r="LE88" s="1">
        <v>1365</v>
      </c>
      <c r="LF88" s="1">
        <v>10000</v>
      </c>
      <c r="LG88" s="1">
        <v>1</v>
      </c>
      <c r="LH88" s="1">
        <v>0</v>
      </c>
      <c r="LI88" s="1">
        <v>90</v>
      </c>
      <c r="LJ88" s="1">
        <v>60002743</v>
      </c>
      <c r="LK88" s="1">
        <v>32767</v>
      </c>
      <c r="LL88" s="1">
        <v>6</v>
      </c>
      <c r="ML88"/>
      <c r="MM88"/>
      <c r="MN88"/>
      <c r="MO88"/>
      <c r="MP88"/>
      <c r="MQ88"/>
      <c r="MR88"/>
      <c r="MS88"/>
      <c r="MT88"/>
      <c r="MU88"/>
      <c r="MV88"/>
      <c r="MX88" s="1">
        <v>2876936926</v>
      </c>
      <c r="MY88" s="1">
        <v>16672</v>
      </c>
      <c r="MZ88" s="1">
        <v>10000000</v>
      </c>
      <c r="NA88" s="1">
        <v>10000000</v>
      </c>
      <c r="NB88" s="1">
        <v>109.92</v>
      </c>
      <c r="NC88" s="1">
        <v>1</v>
      </c>
      <c r="ND88" s="1">
        <v>1</v>
      </c>
      <c r="NE88" s="1">
        <v>90</v>
      </c>
      <c r="NF88" s="1">
        <v>60003760</v>
      </c>
      <c r="NG88" s="1">
        <v>-1</v>
      </c>
      <c r="NH88" s="1">
        <v>0</v>
      </c>
      <c r="NJ88" s="1">
        <v>2879088725</v>
      </c>
      <c r="NK88" s="1">
        <v>16673</v>
      </c>
      <c r="NL88" s="1">
        <v>3940589</v>
      </c>
      <c r="NM88" s="1">
        <v>3940589</v>
      </c>
      <c r="NN88" s="1">
        <v>100.94</v>
      </c>
      <c r="NO88" s="1">
        <v>1</v>
      </c>
      <c r="NP88" s="1">
        <v>0</v>
      </c>
      <c r="NQ88" s="1">
        <v>90</v>
      </c>
      <c r="NR88" s="1">
        <v>60003760</v>
      </c>
      <c r="NS88" s="1">
        <v>32767</v>
      </c>
      <c r="NT88" s="1">
        <v>0</v>
      </c>
      <c r="NV88" s="1">
        <v>2874615260</v>
      </c>
      <c r="NW88" s="1">
        <v>3689</v>
      </c>
      <c r="NX88" s="1">
        <v>2025</v>
      </c>
      <c r="NY88" s="1">
        <v>2025</v>
      </c>
      <c r="NZ88" s="1">
        <v>10500</v>
      </c>
      <c r="OA88" s="1">
        <v>1</v>
      </c>
      <c r="OB88" s="1">
        <v>0</v>
      </c>
      <c r="OC88" s="1">
        <v>90</v>
      </c>
      <c r="OD88" s="1">
        <v>60004081</v>
      </c>
      <c r="OE88" s="1">
        <v>32767</v>
      </c>
      <c r="OF88" s="1">
        <v>10</v>
      </c>
      <c r="OH88" s="1">
        <v>2854333095</v>
      </c>
      <c r="OI88" s="1">
        <v>25598</v>
      </c>
      <c r="OJ88" s="1">
        <v>45000</v>
      </c>
      <c r="OK88" s="1">
        <v>36926</v>
      </c>
      <c r="OL88" s="1">
        <v>146999</v>
      </c>
      <c r="OM88" s="1">
        <v>1</v>
      </c>
      <c r="ON88" s="1">
        <v>0</v>
      </c>
      <c r="OO88" s="1">
        <v>90</v>
      </c>
      <c r="OP88" s="1">
        <v>60003760</v>
      </c>
      <c r="OQ88" s="1">
        <v>32767</v>
      </c>
      <c r="OR88" s="1">
        <v>0</v>
      </c>
      <c r="OT88" s="1">
        <v>2785456499</v>
      </c>
      <c r="OU88" s="1">
        <v>25600</v>
      </c>
      <c r="OV88" s="1">
        <v>258</v>
      </c>
      <c r="OW88" s="1">
        <v>258</v>
      </c>
      <c r="OX88" s="1">
        <v>32000</v>
      </c>
      <c r="OY88" s="1">
        <v>1</v>
      </c>
      <c r="OZ88" s="1">
        <v>0</v>
      </c>
      <c r="PA88" s="1">
        <v>90</v>
      </c>
      <c r="PB88" s="1">
        <v>60000523</v>
      </c>
      <c r="PC88" s="1">
        <v>32767</v>
      </c>
      <c r="PD88" s="1">
        <v>8</v>
      </c>
      <c r="PF88" s="1">
        <v>2878532910</v>
      </c>
      <c r="PG88" s="1">
        <v>16670</v>
      </c>
      <c r="PH88" s="1">
        <v>4000000</v>
      </c>
      <c r="PI88" s="1">
        <v>2366028</v>
      </c>
      <c r="PJ88" s="1">
        <v>115.43</v>
      </c>
      <c r="PK88" s="1">
        <v>1</v>
      </c>
      <c r="PL88" s="1">
        <v>0</v>
      </c>
      <c r="PM88" s="1">
        <v>90</v>
      </c>
      <c r="PN88" s="1">
        <v>60003760</v>
      </c>
      <c r="PO88" s="1">
        <v>32767</v>
      </c>
      <c r="PP88" s="1">
        <v>0</v>
      </c>
      <c r="QD88" s="1">
        <v>2746784532</v>
      </c>
      <c r="QE88" s="1">
        <v>9830</v>
      </c>
      <c r="QF88" s="1">
        <v>85000</v>
      </c>
      <c r="QG88" s="1">
        <v>31776</v>
      </c>
      <c r="QH88" s="1">
        <v>2589</v>
      </c>
      <c r="QI88" s="1">
        <v>1</v>
      </c>
      <c r="QJ88" s="1">
        <v>1</v>
      </c>
      <c r="QK88" s="1">
        <v>90</v>
      </c>
      <c r="QL88" s="1">
        <v>60004459</v>
      </c>
      <c r="QM88" s="1">
        <v>10</v>
      </c>
      <c r="QN88" s="1">
        <v>0</v>
      </c>
      <c r="QP88" s="1">
        <v>2877027918</v>
      </c>
      <c r="QQ88" s="1">
        <v>16671</v>
      </c>
      <c r="QR88" s="1">
        <v>30000000</v>
      </c>
      <c r="QS88" s="1">
        <v>19255155</v>
      </c>
      <c r="QT88" s="1">
        <v>99.21</v>
      </c>
      <c r="QU88" s="1">
        <v>1</v>
      </c>
      <c r="QV88" s="1">
        <v>1</v>
      </c>
      <c r="QW88" s="1">
        <v>90</v>
      </c>
      <c r="QX88" s="1">
        <v>60003760</v>
      </c>
      <c r="QY88" s="1">
        <v>-1</v>
      </c>
      <c r="QZ88" s="1">
        <v>0</v>
      </c>
      <c r="RB88" s="1">
        <v>2878374110</v>
      </c>
      <c r="RC88" s="1">
        <v>16682</v>
      </c>
      <c r="RD88" s="1">
        <v>10640</v>
      </c>
      <c r="RE88" s="1">
        <v>10528</v>
      </c>
      <c r="RF88" s="1">
        <v>3245.02</v>
      </c>
      <c r="RG88" s="1">
        <v>1</v>
      </c>
      <c r="RH88" s="1">
        <v>1</v>
      </c>
      <c r="RI88" s="1">
        <v>90</v>
      </c>
      <c r="RJ88" s="1">
        <v>60003760</v>
      </c>
      <c r="RK88" s="1">
        <v>-1</v>
      </c>
      <c r="RL88" s="1">
        <v>0</v>
      </c>
      <c r="RN88" s="1">
        <v>2878587896</v>
      </c>
      <c r="RO88" s="1">
        <v>16678</v>
      </c>
      <c r="RP88" s="1">
        <v>30510</v>
      </c>
      <c r="RQ88" s="1">
        <v>30510</v>
      </c>
      <c r="RR88" s="1">
        <v>275</v>
      </c>
      <c r="RS88" s="1">
        <v>1</v>
      </c>
      <c r="RT88" s="1">
        <v>1</v>
      </c>
      <c r="RU88" s="1">
        <v>90</v>
      </c>
      <c r="RV88" s="1">
        <v>60003760</v>
      </c>
      <c r="RW88" s="1">
        <v>-1</v>
      </c>
      <c r="RX88" s="1">
        <v>0</v>
      </c>
      <c r="SX88" s="1">
        <v>2867900262</v>
      </c>
      <c r="SY88" s="1">
        <v>25595</v>
      </c>
      <c r="SZ88" s="1">
        <v>145</v>
      </c>
      <c r="TA88" s="1">
        <v>145</v>
      </c>
      <c r="TB88" s="1">
        <v>82989.98</v>
      </c>
      <c r="TC88" s="1">
        <v>1</v>
      </c>
      <c r="TD88" s="1">
        <v>0</v>
      </c>
      <c r="TE88" s="1">
        <v>14</v>
      </c>
      <c r="TF88" s="1">
        <v>60003760</v>
      </c>
      <c r="TG88" s="1">
        <v>32767</v>
      </c>
      <c r="TH88" s="1">
        <v>6</v>
      </c>
      <c r="TJ88" s="1">
        <v>2872068591</v>
      </c>
      <c r="TK88" s="1">
        <v>25606</v>
      </c>
      <c r="TL88" s="1">
        <v>72</v>
      </c>
      <c r="TM88" s="1">
        <v>72</v>
      </c>
      <c r="TN88" s="1">
        <v>24000</v>
      </c>
      <c r="TO88" s="1">
        <v>1</v>
      </c>
      <c r="TP88" s="1">
        <v>0</v>
      </c>
      <c r="TQ88" s="1">
        <v>90</v>
      </c>
      <c r="TR88" s="1">
        <v>60001786</v>
      </c>
      <c r="TS88" s="1">
        <v>32767</v>
      </c>
      <c r="TT88" s="1">
        <v>8</v>
      </c>
      <c r="TV88"/>
      <c r="TW88"/>
      <c r="TX88"/>
      <c r="TY88"/>
      <c r="TZ88"/>
      <c r="UA88"/>
      <c r="UB88"/>
      <c r="UC88"/>
      <c r="UD88"/>
      <c r="UE88"/>
      <c r="UF88"/>
      <c r="UT88"/>
      <c r="UU88"/>
      <c r="UV88"/>
      <c r="UW88"/>
      <c r="UX88"/>
      <c r="UY88"/>
      <c r="UZ88"/>
      <c r="VA88"/>
      <c r="VB88"/>
      <c r="VC88"/>
      <c r="VD88"/>
      <c r="VF88"/>
      <c r="VG88"/>
      <c r="VH88"/>
      <c r="VI88"/>
      <c r="VJ88"/>
      <c r="VK88"/>
      <c r="VL88"/>
      <c r="VM88"/>
      <c r="VN88"/>
      <c r="VO88"/>
      <c r="VP88"/>
    </row>
    <row r="89" spans="2:588" x14ac:dyDescent="0.25">
      <c r="B89" s="1">
        <v>2751865907</v>
      </c>
      <c r="C89" s="1">
        <v>34</v>
      </c>
      <c r="D89" s="1">
        <v>341613669</v>
      </c>
      <c r="E89" s="1">
        <v>341613669</v>
      </c>
      <c r="F89" s="1">
        <v>6.25</v>
      </c>
      <c r="G89" s="1">
        <v>1</v>
      </c>
      <c r="H89" s="1">
        <v>0</v>
      </c>
      <c r="I89" s="1">
        <v>90</v>
      </c>
      <c r="J89" s="1">
        <v>60003760</v>
      </c>
      <c r="K89" s="1">
        <v>32767</v>
      </c>
      <c r="L89" s="1">
        <v>0</v>
      </c>
      <c r="N89" s="1">
        <v>2851250923</v>
      </c>
      <c r="O89" s="1">
        <v>35</v>
      </c>
      <c r="P89" s="1">
        <v>25000000</v>
      </c>
      <c r="Q89" s="1">
        <v>25000000</v>
      </c>
      <c r="R89" s="1">
        <v>15.65</v>
      </c>
      <c r="S89" s="1">
        <v>1</v>
      </c>
      <c r="T89" s="1">
        <v>0</v>
      </c>
      <c r="U89" s="1">
        <v>90</v>
      </c>
      <c r="V89" s="1">
        <v>60003760</v>
      </c>
      <c r="W89" s="1">
        <v>32767</v>
      </c>
      <c r="X89" s="1">
        <v>0</v>
      </c>
      <c r="Z89" s="1">
        <v>2783142846</v>
      </c>
      <c r="AA89" s="1">
        <v>36</v>
      </c>
      <c r="AB89" s="1">
        <v>57753</v>
      </c>
      <c r="AC89" s="1">
        <v>57753</v>
      </c>
      <c r="AD89" s="16">
        <v>60.64</v>
      </c>
      <c r="AE89" s="1">
        <v>1</v>
      </c>
      <c r="AF89" s="1">
        <v>0</v>
      </c>
      <c r="AG89" s="1">
        <v>90</v>
      </c>
      <c r="AH89" s="1">
        <v>60003760</v>
      </c>
      <c r="AI89" s="1">
        <v>32767</v>
      </c>
      <c r="AJ89" s="1">
        <v>11</v>
      </c>
      <c r="AL89" s="1">
        <v>2748754804</v>
      </c>
      <c r="AM89" s="1">
        <v>37</v>
      </c>
      <c r="AN89" s="1">
        <v>343900</v>
      </c>
      <c r="AO89" s="1">
        <v>343900</v>
      </c>
      <c r="AP89" s="16">
        <v>172.8</v>
      </c>
      <c r="AQ89" s="1">
        <v>1</v>
      </c>
      <c r="AR89" s="1">
        <v>0</v>
      </c>
      <c r="AS89" s="1">
        <v>90</v>
      </c>
      <c r="AT89" s="1">
        <v>60003760</v>
      </c>
      <c r="AU89" s="1">
        <v>32767</v>
      </c>
      <c r="AV89" s="1">
        <v>9</v>
      </c>
      <c r="AX89" s="1">
        <v>2877506256</v>
      </c>
      <c r="AY89" s="1">
        <v>38</v>
      </c>
      <c r="AZ89" s="1">
        <v>113814</v>
      </c>
      <c r="BA89" s="1">
        <v>113814</v>
      </c>
      <c r="BB89" s="1">
        <v>840</v>
      </c>
      <c r="BC89" s="1">
        <v>1</v>
      </c>
      <c r="BD89" s="1">
        <v>0</v>
      </c>
      <c r="BE89" s="1">
        <v>90</v>
      </c>
      <c r="BF89" s="1">
        <v>60012667</v>
      </c>
      <c r="BG89" s="1">
        <v>32767</v>
      </c>
      <c r="BH89" s="1">
        <v>8</v>
      </c>
      <c r="BJ89" s="1">
        <v>2877003797</v>
      </c>
      <c r="BK89" s="1">
        <v>39</v>
      </c>
      <c r="BL89" s="1">
        <v>20000</v>
      </c>
      <c r="BM89" s="1">
        <v>20000</v>
      </c>
      <c r="BN89" s="1">
        <v>822.78</v>
      </c>
      <c r="BO89" s="1">
        <v>1</v>
      </c>
      <c r="BP89" s="1">
        <v>0</v>
      </c>
      <c r="BQ89" s="1">
        <v>7</v>
      </c>
      <c r="BR89" s="1">
        <v>60003760</v>
      </c>
      <c r="BS89" s="1">
        <v>32767</v>
      </c>
      <c r="BT89" s="1">
        <v>5</v>
      </c>
      <c r="BV89" s="1">
        <v>2406697896</v>
      </c>
      <c r="BW89" s="1">
        <v>40</v>
      </c>
      <c r="BX89" s="1">
        <v>4</v>
      </c>
      <c r="BY89" s="1">
        <v>4</v>
      </c>
      <c r="BZ89" s="1">
        <v>2700</v>
      </c>
      <c r="CA89" s="1">
        <v>1</v>
      </c>
      <c r="CB89" s="1">
        <v>0</v>
      </c>
      <c r="CC89" s="1">
        <v>14</v>
      </c>
      <c r="CD89" s="1">
        <v>60003760</v>
      </c>
      <c r="CE89" s="1">
        <v>32767</v>
      </c>
      <c r="CF89" s="1">
        <v>13</v>
      </c>
      <c r="CH89" s="1">
        <v>2411432368</v>
      </c>
      <c r="CI89" s="1">
        <v>29668</v>
      </c>
      <c r="CJ89" s="1">
        <v>7</v>
      </c>
      <c r="CK89" s="1">
        <v>7</v>
      </c>
      <c r="CL89" s="1">
        <v>539999999</v>
      </c>
      <c r="CM89" s="1">
        <v>1</v>
      </c>
      <c r="CN89" s="1">
        <v>0</v>
      </c>
      <c r="CO89" s="1">
        <v>90</v>
      </c>
      <c r="CP89" s="1">
        <v>60003760</v>
      </c>
      <c r="CQ89" s="1">
        <v>32767</v>
      </c>
      <c r="CR89" s="1">
        <v>0</v>
      </c>
      <c r="CT89" s="1">
        <v>2069412926</v>
      </c>
      <c r="CU89" s="1">
        <v>16649</v>
      </c>
      <c r="CV89" s="1">
        <v>1</v>
      </c>
      <c r="CW89" s="1">
        <v>1</v>
      </c>
      <c r="CX89" s="1">
        <v>5.0599999999999996</v>
      </c>
      <c r="CY89" s="1">
        <v>1</v>
      </c>
      <c r="CZ89" s="1">
        <v>1</v>
      </c>
      <c r="DA89" s="1">
        <v>90</v>
      </c>
      <c r="DB89" s="1">
        <v>60003760</v>
      </c>
      <c r="DC89" s="1">
        <v>-1</v>
      </c>
      <c r="DD89" s="1">
        <v>0</v>
      </c>
      <c r="DF89" s="1">
        <v>2383745640</v>
      </c>
      <c r="DG89" s="1">
        <v>17887</v>
      </c>
      <c r="DH89" s="1">
        <v>32862</v>
      </c>
      <c r="DI89" s="1">
        <v>20262</v>
      </c>
      <c r="DJ89" s="1">
        <v>1999</v>
      </c>
      <c r="DK89" s="1">
        <v>1</v>
      </c>
      <c r="DL89" s="1">
        <v>0</v>
      </c>
      <c r="DM89" s="1">
        <v>90</v>
      </c>
      <c r="DN89" s="1">
        <v>60001648</v>
      </c>
      <c r="DO89" s="1">
        <v>32767</v>
      </c>
      <c r="DP89" s="1">
        <v>6</v>
      </c>
      <c r="DR89" s="1">
        <v>2832088798</v>
      </c>
      <c r="DS89" s="1">
        <v>17888</v>
      </c>
      <c r="DT89" s="1">
        <v>525600</v>
      </c>
      <c r="DU89" s="1">
        <v>525600</v>
      </c>
      <c r="DV89" s="1">
        <v>375.04</v>
      </c>
      <c r="DW89" s="1">
        <v>1</v>
      </c>
      <c r="DX89" s="1">
        <v>0</v>
      </c>
      <c r="DY89" s="1">
        <v>90</v>
      </c>
      <c r="DZ89" s="1">
        <v>60003760</v>
      </c>
      <c r="EA89" s="1">
        <v>32767</v>
      </c>
      <c r="EB89" s="1">
        <v>8</v>
      </c>
      <c r="ED89" s="1">
        <v>2874678309</v>
      </c>
      <c r="EE89" s="1">
        <v>16273</v>
      </c>
      <c r="EF89" s="1">
        <v>29725</v>
      </c>
      <c r="EG89" s="1">
        <v>29375</v>
      </c>
      <c r="EH89" s="1">
        <v>380</v>
      </c>
      <c r="EI89" s="1">
        <v>1</v>
      </c>
      <c r="EJ89" s="1">
        <v>0</v>
      </c>
      <c r="EK89" s="1">
        <v>30</v>
      </c>
      <c r="EL89" s="1">
        <v>60002359</v>
      </c>
      <c r="EM89" s="1">
        <v>32767</v>
      </c>
      <c r="EN89" s="1">
        <v>0</v>
      </c>
      <c r="EP89" s="1">
        <v>2850805009</v>
      </c>
      <c r="EQ89" s="1">
        <v>17889</v>
      </c>
      <c r="ER89" s="1">
        <v>100000</v>
      </c>
      <c r="ES89" s="1">
        <v>100000</v>
      </c>
      <c r="ET89" s="1">
        <v>283.13</v>
      </c>
      <c r="EU89" s="1">
        <v>1</v>
      </c>
      <c r="EV89" s="1">
        <v>1</v>
      </c>
      <c r="EW89" s="1">
        <v>90</v>
      </c>
      <c r="EX89" s="1">
        <v>60003760</v>
      </c>
      <c r="EY89" s="1">
        <v>-1</v>
      </c>
      <c r="EZ89" s="1">
        <v>0</v>
      </c>
      <c r="FB89" s="1">
        <v>2846273721</v>
      </c>
      <c r="FC89" s="1">
        <v>30259</v>
      </c>
      <c r="FD89" s="1">
        <v>20000</v>
      </c>
      <c r="FE89" s="1">
        <v>20000</v>
      </c>
      <c r="FF89" s="1">
        <v>1</v>
      </c>
      <c r="FG89" s="1">
        <v>1</v>
      </c>
      <c r="FH89" s="1">
        <v>1</v>
      </c>
      <c r="FI89" s="1">
        <v>90</v>
      </c>
      <c r="FJ89" s="1">
        <v>60003760</v>
      </c>
      <c r="FK89" s="1">
        <v>40</v>
      </c>
      <c r="FL89" s="1">
        <v>0</v>
      </c>
      <c r="FN89" s="1">
        <v>2877633228</v>
      </c>
      <c r="FO89" s="1">
        <v>25617</v>
      </c>
      <c r="FP89" s="1">
        <v>200</v>
      </c>
      <c r="FQ89" s="1">
        <v>200</v>
      </c>
      <c r="FR89" s="1">
        <v>4651000.12</v>
      </c>
      <c r="FS89" s="1">
        <v>1</v>
      </c>
      <c r="FT89" s="1">
        <v>1</v>
      </c>
      <c r="FU89" s="1">
        <v>1</v>
      </c>
      <c r="FV89" s="1">
        <v>60003760</v>
      </c>
      <c r="FW89" s="1">
        <v>-1</v>
      </c>
      <c r="FX89" s="1">
        <v>0</v>
      </c>
      <c r="FZ89" s="1">
        <v>2847371144</v>
      </c>
      <c r="GA89" s="1">
        <v>44</v>
      </c>
      <c r="GB89" s="1">
        <v>1145</v>
      </c>
      <c r="GC89" s="1">
        <v>1125</v>
      </c>
      <c r="GD89" s="1">
        <v>13703</v>
      </c>
      <c r="GE89" s="1">
        <v>1</v>
      </c>
      <c r="GF89" s="1">
        <v>0</v>
      </c>
      <c r="GG89" s="1">
        <v>90</v>
      </c>
      <c r="GH89" s="1">
        <v>60001798</v>
      </c>
      <c r="GI89" s="1">
        <v>32767</v>
      </c>
      <c r="GJ89" s="1">
        <v>9</v>
      </c>
      <c r="GL89" s="1">
        <v>2336848773</v>
      </c>
      <c r="GM89" s="1">
        <v>16681</v>
      </c>
      <c r="GN89" s="1">
        <v>1000000</v>
      </c>
      <c r="GO89" s="1">
        <v>1000000</v>
      </c>
      <c r="GP89" s="1">
        <v>110</v>
      </c>
      <c r="GQ89" s="1">
        <v>1000</v>
      </c>
      <c r="GR89" s="1">
        <v>1</v>
      </c>
      <c r="GS89" s="1">
        <v>90</v>
      </c>
      <c r="GT89" s="1">
        <v>60003760</v>
      </c>
      <c r="GU89" s="1">
        <v>32767</v>
      </c>
      <c r="GV89" s="1">
        <v>0</v>
      </c>
      <c r="GX89" s="1">
        <v>2878967521</v>
      </c>
      <c r="GY89" s="1">
        <v>16683</v>
      </c>
      <c r="GZ89" s="1">
        <v>25000</v>
      </c>
      <c r="HA89" s="1">
        <v>25000</v>
      </c>
      <c r="HB89" s="1">
        <v>8384.49</v>
      </c>
      <c r="HC89" s="1">
        <v>1</v>
      </c>
      <c r="HD89" s="1">
        <v>1</v>
      </c>
      <c r="HE89" s="1">
        <v>90</v>
      </c>
      <c r="HF89" s="1">
        <v>60003760</v>
      </c>
      <c r="HG89" s="1">
        <v>-1</v>
      </c>
      <c r="HH89" s="1">
        <v>0</v>
      </c>
      <c r="HV89" s="1">
        <v>2878936557</v>
      </c>
      <c r="HW89" s="1">
        <v>16274</v>
      </c>
      <c r="HX89" s="1">
        <v>500000</v>
      </c>
      <c r="HY89" s="1">
        <v>500000</v>
      </c>
      <c r="HZ89" s="1">
        <v>449</v>
      </c>
      <c r="IA89" s="1">
        <v>1</v>
      </c>
      <c r="IB89" s="1">
        <v>0</v>
      </c>
      <c r="IC89" s="1">
        <v>90</v>
      </c>
      <c r="ID89" s="1">
        <v>60003043</v>
      </c>
      <c r="IE89" s="1">
        <v>32767</v>
      </c>
      <c r="IF89" s="1">
        <v>0</v>
      </c>
      <c r="IT89" s="1">
        <v>2792725691</v>
      </c>
      <c r="IU89" s="1">
        <v>16679</v>
      </c>
      <c r="IV89" s="1">
        <v>650100</v>
      </c>
      <c r="IW89" s="1">
        <v>650100</v>
      </c>
      <c r="IX89" s="1">
        <v>0.01</v>
      </c>
      <c r="IY89" s="1">
        <v>1</v>
      </c>
      <c r="IZ89" s="1">
        <v>1</v>
      </c>
      <c r="JA89" s="1">
        <v>90</v>
      </c>
      <c r="JB89" s="1">
        <v>60003760</v>
      </c>
      <c r="JC89" s="1">
        <v>-1</v>
      </c>
      <c r="JD89" s="1">
        <v>0</v>
      </c>
      <c r="JF89" s="1">
        <v>2733696747</v>
      </c>
      <c r="JG89" s="1">
        <v>16272</v>
      </c>
      <c r="JH89" s="1">
        <v>74453</v>
      </c>
      <c r="JI89" s="1">
        <v>64453</v>
      </c>
      <c r="JJ89" s="1">
        <v>80</v>
      </c>
      <c r="JK89" s="1">
        <v>1</v>
      </c>
      <c r="JL89" s="1">
        <v>0</v>
      </c>
      <c r="JM89" s="1">
        <v>90</v>
      </c>
      <c r="JN89" s="1">
        <v>60002239</v>
      </c>
      <c r="JO89" s="1">
        <v>32767</v>
      </c>
      <c r="JP89" s="1">
        <v>6</v>
      </c>
      <c r="KD89" s="1">
        <v>2841730184</v>
      </c>
      <c r="KE89" s="1">
        <v>25605</v>
      </c>
      <c r="KF89" s="1">
        <v>10000</v>
      </c>
      <c r="KG89" s="1">
        <v>258</v>
      </c>
      <c r="KH89" s="1">
        <v>102488.01</v>
      </c>
      <c r="KI89" s="1">
        <v>1</v>
      </c>
      <c r="KJ89" s="1">
        <v>1</v>
      </c>
      <c r="KK89" s="1">
        <v>90</v>
      </c>
      <c r="KL89" s="1">
        <v>60003760</v>
      </c>
      <c r="KM89" s="1">
        <v>5</v>
      </c>
      <c r="KN89" s="1">
        <v>0</v>
      </c>
      <c r="KP89" s="1">
        <v>2754733627</v>
      </c>
      <c r="KQ89" s="1">
        <v>25624</v>
      </c>
      <c r="KR89" s="1">
        <v>50</v>
      </c>
      <c r="KS89" s="1">
        <v>50</v>
      </c>
      <c r="KT89" s="1">
        <v>12910000.49</v>
      </c>
      <c r="KU89" s="1">
        <v>1</v>
      </c>
      <c r="KV89" s="1">
        <v>1</v>
      </c>
      <c r="KW89" s="1">
        <v>90</v>
      </c>
      <c r="KX89" s="1">
        <v>60003760</v>
      </c>
      <c r="KY89" s="1">
        <v>20</v>
      </c>
      <c r="KZ89" s="1">
        <v>0</v>
      </c>
      <c r="LB89" s="1">
        <v>2769338770</v>
      </c>
      <c r="LC89" s="1">
        <v>9832</v>
      </c>
      <c r="LD89" s="1">
        <v>14250</v>
      </c>
      <c r="LE89" s="1">
        <v>6250</v>
      </c>
      <c r="LF89" s="1">
        <v>10000</v>
      </c>
      <c r="LG89" s="1">
        <v>1</v>
      </c>
      <c r="LH89" s="1">
        <v>0</v>
      </c>
      <c r="LI89" s="1">
        <v>90</v>
      </c>
      <c r="LJ89" s="1">
        <v>60002743</v>
      </c>
      <c r="LK89" s="1">
        <v>32767</v>
      </c>
      <c r="LL89" s="1">
        <v>6</v>
      </c>
      <c r="ML89"/>
      <c r="MM89"/>
      <c r="MN89"/>
      <c r="MO89"/>
      <c r="MP89"/>
      <c r="MQ89"/>
      <c r="MR89"/>
      <c r="MS89"/>
      <c r="MT89"/>
      <c r="MU89"/>
      <c r="MV89"/>
      <c r="MX89" s="1">
        <v>2700759403</v>
      </c>
      <c r="MY89" s="1">
        <v>16672</v>
      </c>
      <c r="MZ89" s="1">
        <v>1000000</v>
      </c>
      <c r="NA89" s="1">
        <v>708439</v>
      </c>
      <c r="NB89" s="1">
        <v>12.01</v>
      </c>
      <c r="NC89" s="1">
        <v>1</v>
      </c>
      <c r="ND89" s="1">
        <v>1</v>
      </c>
      <c r="NE89" s="1">
        <v>90</v>
      </c>
      <c r="NF89" s="1">
        <v>60003724</v>
      </c>
      <c r="NG89" s="1">
        <v>10</v>
      </c>
      <c r="NH89" s="1">
        <v>0</v>
      </c>
      <c r="NJ89" s="1">
        <v>2879122686</v>
      </c>
      <c r="NK89" s="1">
        <v>16673</v>
      </c>
      <c r="NL89" s="1">
        <v>4238411</v>
      </c>
      <c r="NM89" s="1">
        <v>4238411</v>
      </c>
      <c r="NN89" s="1">
        <v>100.94</v>
      </c>
      <c r="NO89" s="1">
        <v>1</v>
      </c>
      <c r="NP89" s="1">
        <v>0</v>
      </c>
      <c r="NQ89" s="1">
        <v>90</v>
      </c>
      <c r="NR89" s="1">
        <v>60003760</v>
      </c>
      <c r="NS89" s="1">
        <v>32767</v>
      </c>
      <c r="NT89" s="1">
        <v>0</v>
      </c>
      <c r="NV89" s="1">
        <v>2842417870</v>
      </c>
      <c r="NW89" s="1">
        <v>3689</v>
      </c>
      <c r="NX89" s="1">
        <v>100</v>
      </c>
      <c r="NY89" s="1">
        <v>100</v>
      </c>
      <c r="NZ89" s="1">
        <v>11000</v>
      </c>
      <c r="OA89" s="1">
        <v>1</v>
      </c>
      <c r="OB89" s="1">
        <v>0</v>
      </c>
      <c r="OC89" s="1">
        <v>90</v>
      </c>
      <c r="OD89" s="1">
        <v>60003043</v>
      </c>
      <c r="OE89" s="1">
        <v>32767</v>
      </c>
      <c r="OF89" s="1">
        <v>10</v>
      </c>
      <c r="OH89" s="1">
        <v>2854226068</v>
      </c>
      <c r="OI89" s="1">
        <v>25598</v>
      </c>
      <c r="OJ89" s="1">
        <v>65</v>
      </c>
      <c r="OK89" s="1">
        <v>65</v>
      </c>
      <c r="OL89" s="1">
        <v>147296</v>
      </c>
      <c r="OM89" s="1">
        <v>1</v>
      </c>
      <c r="ON89" s="1">
        <v>0</v>
      </c>
      <c r="OO89" s="1">
        <v>30</v>
      </c>
      <c r="OP89" s="1">
        <v>60003760</v>
      </c>
      <c r="OQ89" s="1">
        <v>32767</v>
      </c>
      <c r="OR89" s="1">
        <v>0</v>
      </c>
      <c r="OT89" s="1">
        <v>2753296415</v>
      </c>
      <c r="OU89" s="1">
        <v>25600</v>
      </c>
      <c r="OV89" s="1">
        <v>1028</v>
      </c>
      <c r="OW89" s="1">
        <v>1028</v>
      </c>
      <c r="OX89" s="1">
        <v>100000</v>
      </c>
      <c r="OY89" s="1">
        <v>1</v>
      </c>
      <c r="OZ89" s="1">
        <v>0</v>
      </c>
      <c r="PA89" s="1">
        <v>90</v>
      </c>
      <c r="PB89" s="1">
        <v>60000526</v>
      </c>
      <c r="PC89" s="1">
        <v>32767</v>
      </c>
      <c r="PD89" s="1">
        <v>8</v>
      </c>
      <c r="PF89" s="1">
        <v>2878658002</v>
      </c>
      <c r="PG89" s="1">
        <v>16670</v>
      </c>
      <c r="PH89" s="1">
        <v>5000000</v>
      </c>
      <c r="PI89" s="1">
        <v>5000000</v>
      </c>
      <c r="PJ89" s="1">
        <v>115</v>
      </c>
      <c r="PK89" s="1">
        <v>1</v>
      </c>
      <c r="PL89" s="1">
        <v>0</v>
      </c>
      <c r="PM89" s="1">
        <v>90</v>
      </c>
      <c r="PN89" s="1">
        <v>60003760</v>
      </c>
      <c r="PO89" s="1">
        <v>32767</v>
      </c>
      <c r="PP89" s="1">
        <v>0</v>
      </c>
      <c r="QD89" s="1">
        <v>2773531005</v>
      </c>
      <c r="QE89" s="1">
        <v>9830</v>
      </c>
      <c r="QF89" s="1">
        <v>10000</v>
      </c>
      <c r="QG89" s="1">
        <v>10000</v>
      </c>
      <c r="QH89" s="1">
        <v>4450</v>
      </c>
      <c r="QI89" s="1">
        <v>1</v>
      </c>
      <c r="QJ89" s="1">
        <v>1</v>
      </c>
      <c r="QK89" s="1">
        <v>90</v>
      </c>
      <c r="QL89" s="1">
        <v>60002356</v>
      </c>
      <c r="QM89" s="1">
        <v>-1</v>
      </c>
      <c r="QN89" s="1">
        <v>0</v>
      </c>
      <c r="QP89" s="1">
        <v>2702502502</v>
      </c>
      <c r="QQ89" s="1">
        <v>16671</v>
      </c>
      <c r="QR89" s="1">
        <v>1000000</v>
      </c>
      <c r="QS89" s="1">
        <v>833511</v>
      </c>
      <c r="QT89" s="1">
        <v>60.1</v>
      </c>
      <c r="QU89" s="1">
        <v>500</v>
      </c>
      <c r="QV89" s="1">
        <v>1</v>
      </c>
      <c r="QW89" s="1">
        <v>90</v>
      </c>
      <c r="QX89" s="1">
        <v>60003754</v>
      </c>
      <c r="QY89" s="1">
        <v>32767</v>
      </c>
      <c r="QZ89" s="1">
        <v>0</v>
      </c>
      <c r="RB89" s="1">
        <v>2878471170</v>
      </c>
      <c r="RC89" s="1">
        <v>16682</v>
      </c>
      <c r="RD89" s="1">
        <v>6000</v>
      </c>
      <c r="RE89" s="1">
        <v>5987</v>
      </c>
      <c r="RF89" s="1">
        <v>3245.03</v>
      </c>
      <c r="RG89" s="1">
        <v>1</v>
      </c>
      <c r="RH89" s="1">
        <v>1</v>
      </c>
      <c r="RI89" s="1">
        <v>30</v>
      </c>
      <c r="RJ89" s="1">
        <v>60003760</v>
      </c>
      <c r="RK89" s="1">
        <v>-1</v>
      </c>
      <c r="RL89" s="1">
        <v>0</v>
      </c>
      <c r="RN89" s="1">
        <v>2878600194</v>
      </c>
      <c r="RO89" s="1">
        <v>16678</v>
      </c>
      <c r="RP89" s="1">
        <v>165000</v>
      </c>
      <c r="RQ89" s="1">
        <v>165000</v>
      </c>
      <c r="RR89" s="1">
        <v>275.01</v>
      </c>
      <c r="RS89" s="1">
        <v>1</v>
      </c>
      <c r="RT89" s="1">
        <v>1</v>
      </c>
      <c r="RU89" s="1">
        <v>90</v>
      </c>
      <c r="RV89" s="1">
        <v>60003760</v>
      </c>
      <c r="RW89" s="1">
        <v>-1</v>
      </c>
      <c r="RX89" s="1">
        <v>0</v>
      </c>
      <c r="SX89" s="1">
        <v>2867907195</v>
      </c>
      <c r="SY89" s="1">
        <v>25595</v>
      </c>
      <c r="SZ89" s="1">
        <v>881</v>
      </c>
      <c r="TA89" s="1">
        <v>399</v>
      </c>
      <c r="TB89" s="1">
        <v>82989</v>
      </c>
      <c r="TC89" s="1">
        <v>1</v>
      </c>
      <c r="TD89" s="1">
        <v>0</v>
      </c>
      <c r="TE89" s="1">
        <v>90</v>
      </c>
      <c r="TF89" s="1">
        <v>60003760</v>
      </c>
      <c r="TG89" s="1">
        <v>32767</v>
      </c>
      <c r="TH89" s="1">
        <v>6</v>
      </c>
      <c r="TJ89" s="1">
        <v>2840921760</v>
      </c>
      <c r="TK89" s="1">
        <v>25606</v>
      </c>
      <c r="TL89" s="1">
        <v>9</v>
      </c>
      <c r="TM89" s="1">
        <v>9</v>
      </c>
      <c r="TN89" s="1">
        <v>29000</v>
      </c>
      <c r="TO89" s="1">
        <v>1</v>
      </c>
      <c r="TP89" s="1">
        <v>0</v>
      </c>
      <c r="TQ89" s="1">
        <v>30</v>
      </c>
      <c r="TR89" s="1">
        <v>60015027</v>
      </c>
      <c r="TS89" s="1">
        <v>32767</v>
      </c>
      <c r="TT89" s="1">
        <v>4</v>
      </c>
      <c r="TV89"/>
      <c r="TW89"/>
      <c r="TX89"/>
      <c r="TY89"/>
      <c r="TZ89"/>
      <c r="UA89"/>
      <c r="UB89"/>
      <c r="UC89"/>
      <c r="UD89"/>
      <c r="UE89"/>
      <c r="UF89"/>
      <c r="UT89"/>
      <c r="UU89"/>
      <c r="UV89"/>
      <c r="UW89"/>
      <c r="UX89"/>
      <c r="UY89"/>
      <c r="UZ89"/>
      <c r="VA89"/>
      <c r="VB89"/>
      <c r="VC89"/>
      <c r="VD89"/>
      <c r="VF89"/>
      <c r="VG89"/>
      <c r="VH89"/>
      <c r="VI89"/>
      <c r="VJ89"/>
      <c r="VK89"/>
      <c r="VL89"/>
      <c r="VM89"/>
      <c r="VN89"/>
      <c r="VO89"/>
      <c r="VP89"/>
    </row>
    <row r="90" spans="2:588" x14ac:dyDescent="0.25">
      <c r="B90" s="1">
        <v>2753483173</v>
      </c>
      <c r="C90" s="1">
        <v>34</v>
      </c>
      <c r="D90" s="1">
        <v>2000000</v>
      </c>
      <c r="E90" s="1">
        <v>2000000</v>
      </c>
      <c r="F90" s="1">
        <v>6.7</v>
      </c>
      <c r="G90" s="1">
        <v>1</v>
      </c>
      <c r="H90" s="1">
        <v>0</v>
      </c>
      <c r="I90" s="1">
        <v>90</v>
      </c>
      <c r="J90" s="1">
        <v>60003760</v>
      </c>
      <c r="K90" s="1">
        <v>32767</v>
      </c>
      <c r="L90" s="1">
        <v>0</v>
      </c>
      <c r="N90" s="1">
        <v>2850161818</v>
      </c>
      <c r="O90" s="1">
        <v>35</v>
      </c>
      <c r="P90" s="1">
        <v>26239</v>
      </c>
      <c r="Q90" s="1">
        <v>26239</v>
      </c>
      <c r="R90" s="1">
        <v>16</v>
      </c>
      <c r="S90" s="1">
        <v>1</v>
      </c>
      <c r="T90" s="1">
        <v>0</v>
      </c>
      <c r="U90" s="1">
        <v>90</v>
      </c>
      <c r="V90" s="1">
        <v>60003760</v>
      </c>
      <c r="W90" s="1">
        <v>32767</v>
      </c>
      <c r="X90" s="1">
        <v>0</v>
      </c>
      <c r="Z90" s="1">
        <v>2797034809</v>
      </c>
      <c r="AA90" s="1">
        <v>36</v>
      </c>
      <c r="AB90" s="1">
        <v>39317201</v>
      </c>
      <c r="AC90" s="1">
        <v>39317201</v>
      </c>
      <c r="AD90" s="16">
        <v>58.47</v>
      </c>
      <c r="AE90" s="1">
        <v>1</v>
      </c>
      <c r="AF90" s="1">
        <v>0</v>
      </c>
      <c r="AG90" s="1">
        <v>90</v>
      </c>
      <c r="AH90" s="1">
        <v>60003760</v>
      </c>
      <c r="AI90" s="1">
        <v>32767</v>
      </c>
      <c r="AJ90" s="1">
        <v>11</v>
      </c>
      <c r="AL90" s="1">
        <v>2749602515</v>
      </c>
      <c r="AM90" s="1">
        <v>37</v>
      </c>
      <c r="AN90" s="1">
        <v>5359</v>
      </c>
      <c r="AO90" s="1">
        <v>5359</v>
      </c>
      <c r="AP90" s="16">
        <v>165.99</v>
      </c>
      <c r="AQ90" s="1">
        <v>1</v>
      </c>
      <c r="AR90" s="1">
        <v>0</v>
      </c>
      <c r="AS90" s="1">
        <v>90</v>
      </c>
      <c r="AT90" s="1">
        <v>60003760</v>
      </c>
      <c r="AU90" s="1">
        <v>32767</v>
      </c>
      <c r="AV90" s="1">
        <v>9</v>
      </c>
      <c r="AX90" s="1">
        <v>2878223605</v>
      </c>
      <c r="AY90" s="1">
        <v>38</v>
      </c>
      <c r="AZ90" s="1">
        <v>19474</v>
      </c>
      <c r="BA90" s="1">
        <v>19474</v>
      </c>
      <c r="BB90" s="1">
        <v>820</v>
      </c>
      <c r="BC90" s="1">
        <v>1</v>
      </c>
      <c r="BD90" s="1">
        <v>0</v>
      </c>
      <c r="BE90" s="1">
        <v>90</v>
      </c>
      <c r="BF90" s="1">
        <v>60004444</v>
      </c>
      <c r="BG90" s="1">
        <v>32767</v>
      </c>
      <c r="BH90" s="1">
        <v>9</v>
      </c>
      <c r="BJ90" s="1">
        <v>2751278544</v>
      </c>
      <c r="BK90" s="1">
        <v>39</v>
      </c>
      <c r="BL90" s="1">
        <v>5000</v>
      </c>
      <c r="BM90" s="1">
        <v>3470</v>
      </c>
      <c r="BN90" s="1">
        <v>5000</v>
      </c>
      <c r="BO90" s="1">
        <v>1</v>
      </c>
      <c r="BP90" s="1">
        <v>0</v>
      </c>
      <c r="BQ90" s="1">
        <v>90</v>
      </c>
      <c r="BR90" s="1">
        <v>60003754</v>
      </c>
      <c r="BS90" s="1">
        <v>32767</v>
      </c>
      <c r="BT90" s="1">
        <v>4</v>
      </c>
      <c r="BV90" s="1">
        <v>2406761138</v>
      </c>
      <c r="BW90" s="1">
        <v>40</v>
      </c>
      <c r="BX90" s="1">
        <v>1000000</v>
      </c>
      <c r="BY90" s="1">
        <v>1000000</v>
      </c>
      <c r="BZ90" s="1">
        <v>2748.94</v>
      </c>
      <c r="CA90" s="1">
        <v>1</v>
      </c>
      <c r="CB90" s="1">
        <v>0</v>
      </c>
      <c r="CC90" s="1">
        <v>90</v>
      </c>
      <c r="CD90" s="1">
        <v>60003760</v>
      </c>
      <c r="CE90" s="1">
        <v>32767</v>
      </c>
      <c r="CF90" s="1">
        <v>13</v>
      </c>
      <c r="CH90" s="1">
        <v>2411432434</v>
      </c>
      <c r="CI90" s="1">
        <v>29668</v>
      </c>
      <c r="CJ90" s="1">
        <v>7</v>
      </c>
      <c r="CK90" s="1">
        <v>7</v>
      </c>
      <c r="CL90" s="1">
        <v>549999999</v>
      </c>
      <c r="CM90" s="1">
        <v>1</v>
      </c>
      <c r="CN90" s="1">
        <v>0</v>
      </c>
      <c r="CO90" s="1">
        <v>90</v>
      </c>
      <c r="CP90" s="1">
        <v>60003760</v>
      </c>
      <c r="CQ90" s="1">
        <v>32767</v>
      </c>
      <c r="CR90" s="1">
        <v>0</v>
      </c>
      <c r="CT90" s="1">
        <v>2359435761</v>
      </c>
      <c r="CU90" s="1">
        <v>16649</v>
      </c>
      <c r="CV90" s="1">
        <v>20000</v>
      </c>
      <c r="CW90" s="1">
        <v>20000</v>
      </c>
      <c r="CX90" s="1">
        <v>10099</v>
      </c>
      <c r="CY90" s="1">
        <v>1</v>
      </c>
      <c r="CZ90" s="1">
        <v>1</v>
      </c>
      <c r="DA90" s="1">
        <v>90</v>
      </c>
      <c r="DB90" s="1">
        <v>60003760</v>
      </c>
      <c r="DC90" s="1">
        <v>32767</v>
      </c>
      <c r="DD90" s="1">
        <v>0</v>
      </c>
      <c r="DF90" s="1">
        <v>2373664363</v>
      </c>
      <c r="DG90" s="1">
        <v>17887</v>
      </c>
      <c r="DH90" s="1">
        <v>106000</v>
      </c>
      <c r="DI90" s="1">
        <v>74800</v>
      </c>
      <c r="DJ90" s="1">
        <v>3200</v>
      </c>
      <c r="DK90" s="1">
        <v>1</v>
      </c>
      <c r="DL90" s="1">
        <v>0</v>
      </c>
      <c r="DM90" s="1">
        <v>90</v>
      </c>
      <c r="DN90" s="1">
        <v>60003040</v>
      </c>
      <c r="DO90" s="1">
        <v>32767</v>
      </c>
      <c r="DP90" s="1">
        <v>5</v>
      </c>
      <c r="DR90" s="1">
        <v>2832016885</v>
      </c>
      <c r="DS90" s="1">
        <v>17888</v>
      </c>
      <c r="DT90" s="1">
        <v>470000</v>
      </c>
      <c r="DU90" s="1">
        <v>470000</v>
      </c>
      <c r="DV90" s="1">
        <v>357.48</v>
      </c>
      <c r="DW90" s="1">
        <v>1</v>
      </c>
      <c r="DX90" s="1">
        <v>0</v>
      </c>
      <c r="DY90" s="1">
        <v>90</v>
      </c>
      <c r="DZ90" s="1">
        <v>60003760</v>
      </c>
      <c r="EA90" s="1">
        <v>32767</v>
      </c>
      <c r="EB90" s="1">
        <v>8</v>
      </c>
      <c r="ED90" s="1">
        <v>2873331627</v>
      </c>
      <c r="EE90" s="1">
        <v>16273</v>
      </c>
      <c r="EF90" s="1">
        <v>12421</v>
      </c>
      <c r="EG90" s="1">
        <v>12196</v>
      </c>
      <c r="EH90" s="1">
        <v>399</v>
      </c>
      <c r="EI90" s="1">
        <v>1</v>
      </c>
      <c r="EJ90" s="1">
        <v>0</v>
      </c>
      <c r="EK90" s="1">
        <v>7</v>
      </c>
      <c r="EL90" s="1">
        <v>60012667</v>
      </c>
      <c r="EM90" s="1">
        <v>32767</v>
      </c>
      <c r="EN90" s="1">
        <v>0</v>
      </c>
      <c r="EP90" s="1">
        <v>2851287156</v>
      </c>
      <c r="EQ90" s="1">
        <v>17889</v>
      </c>
      <c r="ER90" s="1">
        <v>300000</v>
      </c>
      <c r="ES90" s="1">
        <v>300000</v>
      </c>
      <c r="ET90" s="1">
        <v>307.68</v>
      </c>
      <c r="EU90" s="1">
        <v>1</v>
      </c>
      <c r="EV90" s="1">
        <v>1</v>
      </c>
      <c r="EW90" s="1">
        <v>90</v>
      </c>
      <c r="EX90" s="1">
        <v>60003760</v>
      </c>
      <c r="EY90" s="1">
        <v>-1</v>
      </c>
      <c r="EZ90" s="1">
        <v>0</v>
      </c>
      <c r="FB90" s="1">
        <v>2849372071</v>
      </c>
      <c r="FC90" s="1">
        <v>30259</v>
      </c>
      <c r="FD90" s="1">
        <v>1000</v>
      </c>
      <c r="FE90" s="1">
        <v>860</v>
      </c>
      <c r="FF90" s="1">
        <v>5271000.0199999996</v>
      </c>
      <c r="FG90" s="1">
        <v>1</v>
      </c>
      <c r="FH90" s="1">
        <v>1</v>
      </c>
      <c r="FI90" s="1">
        <v>90</v>
      </c>
      <c r="FJ90" s="1">
        <v>60003760</v>
      </c>
      <c r="FK90" s="1">
        <v>-1</v>
      </c>
      <c r="FL90" s="1">
        <v>0</v>
      </c>
      <c r="FN90" s="1">
        <v>2876191389</v>
      </c>
      <c r="FO90" s="1">
        <v>25617</v>
      </c>
      <c r="FP90" s="1">
        <v>160</v>
      </c>
      <c r="FQ90" s="1">
        <v>88</v>
      </c>
      <c r="FR90" s="1">
        <v>4900017.3099999996</v>
      </c>
      <c r="FS90" s="1">
        <v>1</v>
      </c>
      <c r="FT90" s="1">
        <v>1</v>
      </c>
      <c r="FU90" s="1">
        <v>90</v>
      </c>
      <c r="FV90" s="1">
        <v>60003760</v>
      </c>
      <c r="FW90" s="1">
        <v>-1</v>
      </c>
      <c r="FX90" s="1">
        <v>0</v>
      </c>
      <c r="FZ90" s="1">
        <v>2873828051</v>
      </c>
      <c r="GA90" s="1">
        <v>44</v>
      </c>
      <c r="GB90" s="1">
        <v>45</v>
      </c>
      <c r="GC90" s="1">
        <v>45</v>
      </c>
      <c r="GD90" s="1">
        <v>12000</v>
      </c>
      <c r="GE90" s="1">
        <v>1</v>
      </c>
      <c r="GF90" s="1">
        <v>0</v>
      </c>
      <c r="GG90" s="1">
        <v>3</v>
      </c>
      <c r="GH90" s="1">
        <v>60001795</v>
      </c>
      <c r="GI90" s="1">
        <v>32767</v>
      </c>
      <c r="GJ90" s="1">
        <v>10</v>
      </c>
      <c r="GL90" s="1">
        <v>1703801496</v>
      </c>
      <c r="GM90" s="1">
        <v>16681</v>
      </c>
      <c r="GN90" s="1">
        <v>2103000</v>
      </c>
      <c r="GO90" s="1">
        <v>2103000</v>
      </c>
      <c r="GP90" s="1">
        <v>3001.01</v>
      </c>
      <c r="GQ90" s="1">
        <v>1</v>
      </c>
      <c r="GR90" s="1">
        <v>1</v>
      </c>
      <c r="GS90" s="1">
        <v>90</v>
      </c>
      <c r="GT90" s="1">
        <v>60003760</v>
      </c>
      <c r="GU90" s="1">
        <v>0</v>
      </c>
      <c r="GV90" s="1">
        <v>0</v>
      </c>
      <c r="GX90" s="1">
        <v>2878192106</v>
      </c>
      <c r="GY90" s="1">
        <v>16683</v>
      </c>
      <c r="GZ90" s="1">
        <v>1000</v>
      </c>
      <c r="HA90" s="1">
        <v>1000</v>
      </c>
      <c r="HB90" s="1">
        <v>8384.5</v>
      </c>
      <c r="HC90" s="1">
        <v>1</v>
      </c>
      <c r="HD90" s="1">
        <v>1</v>
      </c>
      <c r="HE90" s="1">
        <v>90</v>
      </c>
      <c r="HF90" s="1">
        <v>60003760</v>
      </c>
      <c r="HG90" s="1">
        <v>-1</v>
      </c>
      <c r="HH90" s="1">
        <v>0</v>
      </c>
      <c r="HV90" s="1">
        <v>2878994364</v>
      </c>
      <c r="HW90" s="1">
        <v>16274</v>
      </c>
      <c r="HX90" s="1">
        <v>184673</v>
      </c>
      <c r="HY90" s="1">
        <v>144673</v>
      </c>
      <c r="HZ90" s="1">
        <v>369.75</v>
      </c>
      <c r="IA90" s="1">
        <v>1</v>
      </c>
      <c r="IB90" s="1">
        <v>0</v>
      </c>
      <c r="IC90" s="1">
        <v>30</v>
      </c>
      <c r="ID90" s="1">
        <v>60003760</v>
      </c>
      <c r="IE90" s="1">
        <v>32767</v>
      </c>
      <c r="IF90" s="1">
        <v>0</v>
      </c>
      <c r="IT90" s="1">
        <v>2835181015</v>
      </c>
      <c r="IU90" s="1">
        <v>16679</v>
      </c>
      <c r="IV90" s="1">
        <v>1000000</v>
      </c>
      <c r="IW90" s="1">
        <v>574384</v>
      </c>
      <c r="IX90" s="1">
        <v>1651.03</v>
      </c>
      <c r="IY90" s="1">
        <v>1</v>
      </c>
      <c r="IZ90" s="1">
        <v>1</v>
      </c>
      <c r="JA90" s="1">
        <v>90</v>
      </c>
      <c r="JB90" s="1">
        <v>60003760</v>
      </c>
      <c r="JC90" s="1">
        <v>0</v>
      </c>
      <c r="JD90" s="1">
        <v>0</v>
      </c>
      <c r="JF90" s="1">
        <v>2805369241</v>
      </c>
      <c r="JG90" s="1">
        <v>16272</v>
      </c>
      <c r="JH90" s="1">
        <v>21080</v>
      </c>
      <c r="JI90" s="1">
        <v>21080</v>
      </c>
      <c r="JJ90" s="1">
        <v>177.77</v>
      </c>
      <c r="JK90" s="1">
        <v>1</v>
      </c>
      <c r="JL90" s="1">
        <v>0</v>
      </c>
      <c r="JM90" s="1">
        <v>90</v>
      </c>
      <c r="JN90" s="1">
        <v>60001798</v>
      </c>
      <c r="JO90" s="1">
        <v>32767</v>
      </c>
      <c r="JP90" s="1">
        <v>7</v>
      </c>
      <c r="KD90" s="1">
        <v>2852667059</v>
      </c>
      <c r="KE90" s="1">
        <v>25605</v>
      </c>
      <c r="KF90" s="1">
        <v>5000</v>
      </c>
      <c r="KG90" s="1">
        <v>4586</v>
      </c>
      <c r="KH90" s="1">
        <v>107250</v>
      </c>
      <c r="KI90" s="1">
        <v>1</v>
      </c>
      <c r="KJ90" s="1">
        <v>1</v>
      </c>
      <c r="KK90" s="1">
        <v>90</v>
      </c>
      <c r="KL90" s="1">
        <v>60003760</v>
      </c>
      <c r="KM90" s="1">
        <v>-1</v>
      </c>
      <c r="KN90" s="1">
        <v>0</v>
      </c>
      <c r="KP90" s="1">
        <v>2856436466</v>
      </c>
      <c r="KQ90" s="1">
        <v>25624</v>
      </c>
      <c r="KR90" s="1">
        <v>20</v>
      </c>
      <c r="KS90" s="1">
        <v>16</v>
      </c>
      <c r="KT90" s="1">
        <v>13250000.140000001</v>
      </c>
      <c r="KU90" s="1">
        <v>1</v>
      </c>
      <c r="KV90" s="1">
        <v>1</v>
      </c>
      <c r="KW90" s="1">
        <v>90</v>
      </c>
      <c r="KX90" s="1">
        <v>60003760</v>
      </c>
      <c r="KY90" s="1">
        <v>32767</v>
      </c>
      <c r="KZ90" s="1">
        <v>0</v>
      </c>
      <c r="LB90" s="1">
        <v>2864218099</v>
      </c>
      <c r="LC90" s="1">
        <v>9832</v>
      </c>
      <c r="LD90" s="1">
        <v>5210</v>
      </c>
      <c r="LE90" s="1">
        <v>5210</v>
      </c>
      <c r="LF90" s="1">
        <v>10000</v>
      </c>
      <c r="LG90" s="1">
        <v>1</v>
      </c>
      <c r="LH90" s="1">
        <v>0</v>
      </c>
      <c r="LI90" s="1">
        <v>90</v>
      </c>
      <c r="LJ90" s="1">
        <v>60002743</v>
      </c>
      <c r="LK90" s="1">
        <v>32767</v>
      </c>
      <c r="LL90" s="1">
        <v>6</v>
      </c>
      <c r="ML90"/>
      <c r="MM90"/>
      <c r="MN90"/>
      <c r="MO90"/>
      <c r="MP90"/>
      <c r="MQ90"/>
      <c r="MR90"/>
      <c r="MS90"/>
      <c r="MT90"/>
      <c r="MU90"/>
      <c r="MV90"/>
      <c r="MX90" s="1">
        <v>2875778385</v>
      </c>
      <c r="MY90" s="1">
        <v>16672</v>
      </c>
      <c r="MZ90" s="1">
        <v>5000000</v>
      </c>
      <c r="NA90" s="1">
        <v>5000000</v>
      </c>
      <c r="NB90" s="1">
        <v>111.61</v>
      </c>
      <c r="NC90" s="1">
        <v>1</v>
      </c>
      <c r="ND90" s="1">
        <v>1</v>
      </c>
      <c r="NE90" s="1">
        <v>90</v>
      </c>
      <c r="NF90" s="1">
        <v>60003760</v>
      </c>
      <c r="NG90" s="1">
        <v>-1</v>
      </c>
      <c r="NH90" s="1">
        <v>0</v>
      </c>
      <c r="NJ90" s="1">
        <v>2878455573</v>
      </c>
      <c r="NK90" s="1">
        <v>16673</v>
      </c>
      <c r="NL90" s="1">
        <v>2000000</v>
      </c>
      <c r="NM90" s="1">
        <v>2000000</v>
      </c>
      <c r="NN90" s="1">
        <v>100.93</v>
      </c>
      <c r="NO90" s="1">
        <v>1</v>
      </c>
      <c r="NP90" s="1">
        <v>0</v>
      </c>
      <c r="NQ90" s="1">
        <v>90</v>
      </c>
      <c r="NR90" s="1">
        <v>60003760</v>
      </c>
      <c r="NS90" s="1">
        <v>32767</v>
      </c>
      <c r="NT90" s="1">
        <v>0</v>
      </c>
      <c r="NV90" s="1">
        <v>2857342530</v>
      </c>
      <c r="NW90" s="1">
        <v>3689</v>
      </c>
      <c r="NX90" s="1">
        <v>1465</v>
      </c>
      <c r="NY90" s="1">
        <v>485</v>
      </c>
      <c r="NZ90" s="1">
        <v>12000</v>
      </c>
      <c r="OA90" s="1">
        <v>1</v>
      </c>
      <c r="OB90" s="1">
        <v>0</v>
      </c>
      <c r="OC90" s="1">
        <v>90</v>
      </c>
      <c r="OD90" s="1">
        <v>60002425</v>
      </c>
      <c r="OE90" s="1">
        <v>32767</v>
      </c>
      <c r="OF90" s="1">
        <v>6</v>
      </c>
      <c r="OH90" s="1">
        <v>2863419525</v>
      </c>
      <c r="OI90" s="1">
        <v>25598</v>
      </c>
      <c r="OJ90" s="1">
        <v>12049</v>
      </c>
      <c r="OK90" s="1">
        <v>2924</v>
      </c>
      <c r="OL90" s="1">
        <v>141489.95000000001</v>
      </c>
      <c r="OM90" s="1">
        <v>1</v>
      </c>
      <c r="ON90" s="1">
        <v>0</v>
      </c>
      <c r="OO90" s="1">
        <v>90</v>
      </c>
      <c r="OP90" s="1">
        <v>60003760</v>
      </c>
      <c r="OQ90" s="1">
        <v>32767</v>
      </c>
      <c r="OR90" s="1">
        <v>0</v>
      </c>
      <c r="OT90" s="1">
        <v>2814439652</v>
      </c>
      <c r="OU90" s="1">
        <v>25600</v>
      </c>
      <c r="OV90" s="1">
        <v>1212</v>
      </c>
      <c r="OW90" s="1">
        <v>1212</v>
      </c>
      <c r="OX90" s="1">
        <v>35398.97</v>
      </c>
      <c r="OY90" s="1">
        <v>1</v>
      </c>
      <c r="OZ90" s="1">
        <v>0</v>
      </c>
      <c r="PA90" s="1">
        <v>90</v>
      </c>
      <c r="PB90" s="1">
        <v>60010822</v>
      </c>
      <c r="PC90" s="1">
        <v>32767</v>
      </c>
      <c r="PD90" s="1">
        <v>11</v>
      </c>
      <c r="PF90" s="1">
        <v>2874565843</v>
      </c>
      <c r="PG90" s="1">
        <v>16670</v>
      </c>
      <c r="PH90" s="1">
        <v>10290000</v>
      </c>
      <c r="PI90" s="1">
        <v>3087260</v>
      </c>
      <c r="PJ90" s="1">
        <v>114.99</v>
      </c>
      <c r="PK90" s="1">
        <v>1</v>
      </c>
      <c r="PL90" s="1">
        <v>0</v>
      </c>
      <c r="PM90" s="1">
        <v>90</v>
      </c>
      <c r="PN90" s="1">
        <v>60003760</v>
      </c>
      <c r="PO90" s="1">
        <v>32767</v>
      </c>
      <c r="PP90" s="1">
        <v>7</v>
      </c>
      <c r="QD90" s="1">
        <v>2684726645</v>
      </c>
      <c r="QE90" s="1">
        <v>9830</v>
      </c>
      <c r="QF90" s="1">
        <v>50000</v>
      </c>
      <c r="QG90" s="1">
        <v>42475</v>
      </c>
      <c r="QH90" s="1">
        <v>3000</v>
      </c>
      <c r="QI90" s="1">
        <v>500</v>
      </c>
      <c r="QJ90" s="1">
        <v>1</v>
      </c>
      <c r="QK90" s="1">
        <v>90</v>
      </c>
      <c r="QL90" s="1">
        <v>60000967</v>
      </c>
      <c r="QM90" s="1">
        <v>32767</v>
      </c>
      <c r="QN90" s="1">
        <v>0</v>
      </c>
      <c r="QP90" s="1">
        <v>2680113093</v>
      </c>
      <c r="QQ90" s="1">
        <v>16671</v>
      </c>
      <c r="QR90" s="1">
        <v>5000000</v>
      </c>
      <c r="QS90" s="1">
        <v>4964217</v>
      </c>
      <c r="QT90" s="1">
        <v>65.17</v>
      </c>
      <c r="QU90" s="1">
        <v>1</v>
      </c>
      <c r="QV90" s="1">
        <v>1</v>
      </c>
      <c r="QW90" s="1">
        <v>90</v>
      </c>
      <c r="QX90" s="1">
        <v>60004459</v>
      </c>
      <c r="QY90" s="1">
        <v>10</v>
      </c>
      <c r="QZ90" s="1">
        <v>0</v>
      </c>
      <c r="RB90" s="1">
        <v>2878599383</v>
      </c>
      <c r="RC90" s="1">
        <v>16682</v>
      </c>
      <c r="RD90" s="1">
        <v>7000</v>
      </c>
      <c r="RE90" s="1">
        <v>7000</v>
      </c>
      <c r="RF90" s="1">
        <v>3246.1</v>
      </c>
      <c r="RG90" s="1">
        <v>1</v>
      </c>
      <c r="RH90" s="1">
        <v>1</v>
      </c>
      <c r="RI90" s="1">
        <v>90</v>
      </c>
      <c r="RJ90" s="1">
        <v>60003760</v>
      </c>
      <c r="RK90" s="1">
        <v>-1</v>
      </c>
      <c r="RL90" s="1">
        <v>0</v>
      </c>
      <c r="RN90" s="1">
        <v>2878207570</v>
      </c>
      <c r="RO90" s="1">
        <v>16678</v>
      </c>
      <c r="RP90" s="1">
        <v>2259387</v>
      </c>
      <c r="RQ90" s="1">
        <v>2259387</v>
      </c>
      <c r="RR90" s="1">
        <v>275.02</v>
      </c>
      <c r="RS90" s="1">
        <v>1</v>
      </c>
      <c r="RT90" s="1">
        <v>1</v>
      </c>
      <c r="RU90" s="1">
        <v>90</v>
      </c>
      <c r="RV90" s="1">
        <v>60003760</v>
      </c>
      <c r="RW90" s="1">
        <v>-1</v>
      </c>
      <c r="RX90" s="1">
        <v>0</v>
      </c>
      <c r="SX90" s="1">
        <v>2867801438</v>
      </c>
      <c r="SY90" s="1">
        <v>25595</v>
      </c>
      <c r="SZ90" s="1">
        <v>177</v>
      </c>
      <c r="TA90" s="1">
        <v>177</v>
      </c>
      <c r="TB90" s="1">
        <v>82989.990000000005</v>
      </c>
      <c r="TC90" s="1">
        <v>1</v>
      </c>
      <c r="TD90" s="1">
        <v>0</v>
      </c>
      <c r="TE90" s="1">
        <v>90</v>
      </c>
      <c r="TF90" s="1">
        <v>60003760</v>
      </c>
      <c r="TG90" s="1">
        <v>32767</v>
      </c>
      <c r="TH90" s="1">
        <v>6</v>
      </c>
      <c r="TJ90" s="1">
        <v>2878346119</v>
      </c>
      <c r="TK90" s="1">
        <v>25606</v>
      </c>
      <c r="TL90" s="1">
        <v>622</v>
      </c>
      <c r="TM90" s="1">
        <v>622</v>
      </c>
      <c r="TN90" s="1">
        <v>23885.97</v>
      </c>
      <c r="TO90" s="1">
        <v>1</v>
      </c>
      <c r="TP90" s="1">
        <v>0</v>
      </c>
      <c r="TQ90" s="1">
        <v>90</v>
      </c>
      <c r="TR90" s="1">
        <v>60003760</v>
      </c>
      <c r="TS90" s="1">
        <v>32767</v>
      </c>
      <c r="TT90" s="1">
        <v>0</v>
      </c>
      <c r="TV90"/>
      <c r="TW90"/>
      <c r="TX90"/>
      <c r="TY90"/>
      <c r="TZ90"/>
      <c r="UA90"/>
      <c r="UB90"/>
      <c r="UC90"/>
      <c r="UD90"/>
      <c r="UE90"/>
      <c r="UF90"/>
      <c r="UT90"/>
      <c r="UU90"/>
      <c r="UV90"/>
      <c r="UW90"/>
      <c r="UX90"/>
      <c r="UY90"/>
      <c r="UZ90"/>
      <c r="VA90"/>
      <c r="VB90"/>
      <c r="VC90"/>
      <c r="VD90"/>
      <c r="VF90"/>
      <c r="VG90"/>
      <c r="VH90"/>
      <c r="VI90"/>
      <c r="VJ90"/>
      <c r="VK90"/>
      <c r="VL90"/>
      <c r="VM90"/>
      <c r="VN90"/>
      <c r="VO90"/>
      <c r="VP90"/>
    </row>
    <row r="91" spans="2:588" x14ac:dyDescent="0.25">
      <c r="B91" s="1">
        <v>2753284831</v>
      </c>
      <c r="C91" s="1">
        <v>34</v>
      </c>
      <c r="D91" s="1">
        <v>402657</v>
      </c>
      <c r="E91" s="1">
        <v>402657</v>
      </c>
      <c r="F91" s="1">
        <v>7</v>
      </c>
      <c r="G91" s="1">
        <v>1</v>
      </c>
      <c r="H91" s="1">
        <v>0</v>
      </c>
      <c r="I91" s="1">
        <v>90</v>
      </c>
      <c r="J91" s="1">
        <v>60003760</v>
      </c>
      <c r="K91" s="1">
        <v>32767</v>
      </c>
      <c r="L91" s="1">
        <v>0</v>
      </c>
      <c r="N91" s="1">
        <v>2850613486</v>
      </c>
      <c r="O91" s="1">
        <v>35</v>
      </c>
      <c r="P91" s="1">
        <v>57935</v>
      </c>
      <c r="Q91" s="1">
        <v>57935</v>
      </c>
      <c r="R91" s="1">
        <v>15832</v>
      </c>
      <c r="S91" s="1">
        <v>1</v>
      </c>
      <c r="T91" s="1">
        <v>0</v>
      </c>
      <c r="U91" s="1">
        <v>30</v>
      </c>
      <c r="V91" s="1">
        <v>60003760</v>
      </c>
      <c r="W91" s="1">
        <v>32767</v>
      </c>
      <c r="X91" s="1">
        <v>0</v>
      </c>
      <c r="Z91" s="1">
        <v>2836216866</v>
      </c>
      <c r="AA91" s="1">
        <v>36</v>
      </c>
      <c r="AB91" s="1">
        <v>763358</v>
      </c>
      <c r="AC91" s="1">
        <v>763358</v>
      </c>
      <c r="AD91" s="16">
        <v>150</v>
      </c>
      <c r="AE91" s="1">
        <v>1</v>
      </c>
      <c r="AF91" s="1">
        <v>0</v>
      </c>
      <c r="AG91" s="1">
        <v>90</v>
      </c>
      <c r="AH91" s="1">
        <v>60003760</v>
      </c>
      <c r="AI91" s="1">
        <v>32767</v>
      </c>
      <c r="AJ91" s="1">
        <v>11</v>
      </c>
      <c r="AL91" s="1">
        <v>2749271151</v>
      </c>
      <c r="AM91" s="1">
        <v>37</v>
      </c>
      <c r="AN91" s="1">
        <v>190953</v>
      </c>
      <c r="AO91" s="1">
        <v>190953</v>
      </c>
      <c r="AP91" s="16">
        <v>175</v>
      </c>
      <c r="AQ91" s="1">
        <v>1</v>
      </c>
      <c r="AR91" s="1">
        <v>0</v>
      </c>
      <c r="AS91" s="1">
        <v>90</v>
      </c>
      <c r="AT91" s="1">
        <v>60003760</v>
      </c>
      <c r="AU91" s="1">
        <v>32767</v>
      </c>
      <c r="AV91" s="1">
        <v>9</v>
      </c>
      <c r="AX91" s="1">
        <v>2875597146</v>
      </c>
      <c r="AY91" s="1">
        <v>38</v>
      </c>
      <c r="AZ91" s="1">
        <v>5137</v>
      </c>
      <c r="BA91" s="1">
        <v>137</v>
      </c>
      <c r="BB91" s="1">
        <v>825</v>
      </c>
      <c r="BC91" s="1">
        <v>1</v>
      </c>
      <c r="BD91" s="1">
        <v>0</v>
      </c>
      <c r="BE91" s="1">
        <v>14</v>
      </c>
      <c r="BF91" s="1">
        <v>60000529</v>
      </c>
      <c r="BG91" s="1">
        <v>32767</v>
      </c>
      <c r="BH91" s="1">
        <v>10</v>
      </c>
      <c r="BJ91" s="1">
        <v>2869208540</v>
      </c>
      <c r="BK91" s="1">
        <v>39</v>
      </c>
      <c r="BL91" s="1">
        <v>50078</v>
      </c>
      <c r="BM91" s="1">
        <v>4778</v>
      </c>
      <c r="BN91" s="1">
        <v>900</v>
      </c>
      <c r="BO91" s="1">
        <v>1</v>
      </c>
      <c r="BP91" s="1">
        <v>0</v>
      </c>
      <c r="BQ91" s="1">
        <v>90</v>
      </c>
      <c r="BR91" s="1">
        <v>60002743</v>
      </c>
      <c r="BS91" s="1">
        <v>32767</v>
      </c>
      <c r="BT91" s="1">
        <v>6</v>
      </c>
      <c r="BV91" s="1">
        <v>2407163724</v>
      </c>
      <c r="BW91" s="1">
        <v>40</v>
      </c>
      <c r="BX91" s="1">
        <v>99700</v>
      </c>
      <c r="BY91" s="1">
        <v>47010</v>
      </c>
      <c r="BZ91" s="1">
        <v>2668.79</v>
      </c>
      <c r="CA91" s="1">
        <v>1</v>
      </c>
      <c r="CB91" s="1">
        <v>0</v>
      </c>
      <c r="CC91" s="1">
        <v>90</v>
      </c>
      <c r="CD91" s="1">
        <v>60003760</v>
      </c>
      <c r="CE91" s="1">
        <v>32767</v>
      </c>
      <c r="CF91" s="1">
        <v>13</v>
      </c>
      <c r="CH91" s="1">
        <v>2404667014</v>
      </c>
      <c r="CI91" s="1">
        <v>29668</v>
      </c>
      <c r="CJ91" s="1">
        <v>1</v>
      </c>
      <c r="CK91" s="1">
        <v>1</v>
      </c>
      <c r="CL91" s="1">
        <v>500000000</v>
      </c>
      <c r="CM91" s="1">
        <v>1</v>
      </c>
      <c r="CN91" s="1">
        <v>0</v>
      </c>
      <c r="CO91" s="1">
        <v>90</v>
      </c>
      <c r="CP91" s="1">
        <v>60003760</v>
      </c>
      <c r="CQ91" s="1">
        <v>32767</v>
      </c>
      <c r="CR91" s="1">
        <v>0</v>
      </c>
      <c r="CT91" s="1">
        <v>2411802012</v>
      </c>
      <c r="CU91" s="1">
        <v>16649</v>
      </c>
      <c r="CV91" s="1">
        <v>25000</v>
      </c>
      <c r="CW91" s="1">
        <v>25000</v>
      </c>
      <c r="CX91" s="1">
        <v>95901.1</v>
      </c>
      <c r="CY91" s="1">
        <v>1</v>
      </c>
      <c r="CZ91" s="1">
        <v>1</v>
      </c>
      <c r="DA91" s="1">
        <v>30</v>
      </c>
      <c r="DB91" s="1">
        <v>60003760</v>
      </c>
      <c r="DC91" s="1">
        <v>-1</v>
      </c>
      <c r="DD91" s="1">
        <v>0</v>
      </c>
      <c r="DF91" s="1">
        <v>2380933212</v>
      </c>
      <c r="DG91" s="1">
        <v>17887</v>
      </c>
      <c r="DH91" s="1">
        <v>5526</v>
      </c>
      <c r="DI91" s="1">
        <v>526</v>
      </c>
      <c r="DJ91" s="1">
        <v>1500</v>
      </c>
      <c r="DK91" s="1">
        <v>1</v>
      </c>
      <c r="DL91" s="1">
        <v>0</v>
      </c>
      <c r="DM91" s="1">
        <v>90</v>
      </c>
      <c r="DN91" s="1">
        <v>60004075</v>
      </c>
      <c r="DO91" s="1">
        <v>32767</v>
      </c>
      <c r="DP91" s="1">
        <v>8</v>
      </c>
      <c r="DR91" s="1">
        <v>2832017066</v>
      </c>
      <c r="DS91" s="1">
        <v>17888</v>
      </c>
      <c r="DT91" s="1">
        <v>1000000</v>
      </c>
      <c r="DU91" s="1">
        <v>1000000</v>
      </c>
      <c r="DV91" s="1">
        <v>357.49</v>
      </c>
      <c r="DW91" s="1">
        <v>1</v>
      </c>
      <c r="DX91" s="1">
        <v>0</v>
      </c>
      <c r="DY91" s="1">
        <v>90</v>
      </c>
      <c r="DZ91" s="1">
        <v>60003760</v>
      </c>
      <c r="EA91" s="1">
        <v>32767</v>
      </c>
      <c r="EB91" s="1">
        <v>8</v>
      </c>
      <c r="ED91" s="1">
        <v>2874205219</v>
      </c>
      <c r="EE91" s="1">
        <v>16273</v>
      </c>
      <c r="EF91" s="1">
        <v>520</v>
      </c>
      <c r="EG91" s="1">
        <v>520</v>
      </c>
      <c r="EH91" s="1">
        <v>383</v>
      </c>
      <c r="EI91" s="1">
        <v>1</v>
      </c>
      <c r="EJ91" s="1">
        <v>0</v>
      </c>
      <c r="EK91" s="1">
        <v>7</v>
      </c>
      <c r="EL91" s="1">
        <v>60000535</v>
      </c>
      <c r="EM91" s="1">
        <v>32767</v>
      </c>
      <c r="EN91" s="1">
        <v>0</v>
      </c>
      <c r="EP91" s="1">
        <v>2850535075</v>
      </c>
      <c r="EQ91" s="1">
        <v>17889</v>
      </c>
      <c r="ER91" s="1">
        <v>2000000</v>
      </c>
      <c r="ES91" s="1">
        <v>2000000</v>
      </c>
      <c r="ET91" s="1">
        <v>318.38</v>
      </c>
      <c r="EU91" s="1">
        <v>1</v>
      </c>
      <c r="EV91" s="1">
        <v>1</v>
      </c>
      <c r="EW91" s="1">
        <v>90</v>
      </c>
      <c r="EX91" s="1">
        <v>60003760</v>
      </c>
      <c r="EY91" s="1">
        <v>-1</v>
      </c>
      <c r="EZ91" s="1">
        <v>0</v>
      </c>
      <c r="FB91" s="1">
        <v>2855105279</v>
      </c>
      <c r="FC91" s="1">
        <v>30259</v>
      </c>
      <c r="FD91" s="1">
        <v>960</v>
      </c>
      <c r="FE91" s="1">
        <v>960</v>
      </c>
      <c r="FF91" s="1">
        <v>5580000</v>
      </c>
      <c r="FG91" s="1">
        <v>1</v>
      </c>
      <c r="FH91" s="1">
        <v>1</v>
      </c>
      <c r="FI91" s="1">
        <v>90</v>
      </c>
      <c r="FJ91" s="1">
        <v>60003760</v>
      </c>
      <c r="FK91" s="1">
        <v>-1</v>
      </c>
      <c r="FL91" s="1">
        <v>0</v>
      </c>
      <c r="FN91" s="1">
        <v>2051067747</v>
      </c>
      <c r="FO91" s="1">
        <v>25617</v>
      </c>
      <c r="FP91" s="1">
        <v>150</v>
      </c>
      <c r="FQ91" s="1">
        <v>150</v>
      </c>
      <c r="FR91" s="1">
        <v>63002.080000000002</v>
      </c>
      <c r="FS91" s="1">
        <v>1</v>
      </c>
      <c r="FT91" s="1">
        <v>1</v>
      </c>
      <c r="FU91" s="1">
        <v>90</v>
      </c>
      <c r="FV91" s="1">
        <v>60000682</v>
      </c>
      <c r="FW91" s="1">
        <v>10</v>
      </c>
      <c r="FX91" s="1">
        <v>0</v>
      </c>
      <c r="FZ91" s="1">
        <v>2803442136</v>
      </c>
      <c r="GA91" s="1">
        <v>44</v>
      </c>
      <c r="GB91" s="1">
        <v>510</v>
      </c>
      <c r="GC91" s="1">
        <v>460</v>
      </c>
      <c r="GD91" s="1">
        <v>15000</v>
      </c>
      <c r="GE91" s="1">
        <v>1</v>
      </c>
      <c r="GF91" s="1">
        <v>0</v>
      </c>
      <c r="GG91" s="1">
        <v>90</v>
      </c>
      <c r="GH91" s="1">
        <v>60012310</v>
      </c>
      <c r="GI91" s="1">
        <v>32767</v>
      </c>
      <c r="GJ91" s="1">
        <v>11</v>
      </c>
      <c r="GL91" s="1">
        <v>2290488000</v>
      </c>
      <c r="GM91" s="1">
        <v>16681</v>
      </c>
      <c r="GN91" s="1">
        <v>30000</v>
      </c>
      <c r="GO91" s="1">
        <v>30000</v>
      </c>
      <c r="GP91" s="1">
        <v>5300.01</v>
      </c>
      <c r="GQ91" s="1">
        <v>1</v>
      </c>
      <c r="GR91" s="1">
        <v>1</v>
      </c>
      <c r="GS91" s="1">
        <v>90</v>
      </c>
      <c r="GT91" s="1">
        <v>60003760</v>
      </c>
      <c r="GU91" s="1">
        <v>-1</v>
      </c>
      <c r="GV91" s="1">
        <v>0</v>
      </c>
      <c r="GX91" s="1">
        <v>2879122273</v>
      </c>
      <c r="GY91" s="1">
        <v>16683</v>
      </c>
      <c r="GZ91" s="1">
        <v>23430</v>
      </c>
      <c r="HA91" s="1">
        <v>23430</v>
      </c>
      <c r="HB91" s="1">
        <v>8384.5</v>
      </c>
      <c r="HC91" s="1">
        <v>1</v>
      </c>
      <c r="HD91" s="1">
        <v>1</v>
      </c>
      <c r="HE91" s="1">
        <v>90</v>
      </c>
      <c r="HF91" s="1">
        <v>60003760</v>
      </c>
      <c r="HG91" s="1">
        <v>-1</v>
      </c>
      <c r="HH91" s="1">
        <v>0</v>
      </c>
      <c r="HV91" s="1">
        <v>2868964917</v>
      </c>
      <c r="HW91" s="1">
        <v>16274</v>
      </c>
      <c r="HX91" s="1">
        <v>500001</v>
      </c>
      <c r="HY91" s="1">
        <v>425001</v>
      </c>
      <c r="HZ91" s="1">
        <v>538.99</v>
      </c>
      <c r="IA91" s="1">
        <v>1</v>
      </c>
      <c r="IB91" s="1">
        <v>0</v>
      </c>
      <c r="IC91" s="1">
        <v>90</v>
      </c>
      <c r="ID91" s="1">
        <v>60004081</v>
      </c>
      <c r="IE91" s="1">
        <v>32767</v>
      </c>
      <c r="IF91" s="1">
        <v>8</v>
      </c>
      <c r="IT91" s="1">
        <v>2845306496</v>
      </c>
      <c r="IU91" s="1">
        <v>16679</v>
      </c>
      <c r="IV91" s="1">
        <v>500000</v>
      </c>
      <c r="IW91" s="1">
        <v>500000</v>
      </c>
      <c r="IX91" s="1">
        <v>899.99</v>
      </c>
      <c r="IY91" s="1">
        <v>1</v>
      </c>
      <c r="IZ91" s="1">
        <v>1</v>
      </c>
      <c r="JA91" s="1">
        <v>90</v>
      </c>
      <c r="JB91" s="1">
        <v>60003760</v>
      </c>
      <c r="JC91" s="1">
        <v>20</v>
      </c>
      <c r="JD91" s="1">
        <v>0</v>
      </c>
      <c r="JF91" s="1">
        <v>2805368999</v>
      </c>
      <c r="JG91" s="1">
        <v>16272</v>
      </c>
      <c r="JH91" s="1">
        <v>3439</v>
      </c>
      <c r="JI91" s="1">
        <v>3439</v>
      </c>
      <c r="JJ91" s="1">
        <v>117.77</v>
      </c>
      <c r="JK91" s="1">
        <v>1</v>
      </c>
      <c r="JL91" s="1">
        <v>0</v>
      </c>
      <c r="JM91" s="1">
        <v>90</v>
      </c>
      <c r="JN91" s="1">
        <v>60001795</v>
      </c>
      <c r="JO91" s="1">
        <v>32767</v>
      </c>
      <c r="JP91" s="1">
        <v>8</v>
      </c>
      <c r="KD91" s="1">
        <v>2852724138</v>
      </c>
      <c r="KE91" s="1">
        <v>25605</v>
      </c>
      <c r="KF91" s="1">
        <v>5000</v>
      </c>
      <c r="KG91" s="1">
        <v>4906</v>
      </c>
      <c r="KH91" s="1">
        <v>107500</v>
      </c>
      <c r="KI91" s="1">
        <v>1</v>
      </c>
      <c r="KJ91" s="1">
        <v>1</v>
      </c>
      <c r="KK91" s="1">
        <v>90</v>
      </c>
      <c r="KL91" s="1">
        <v>60003760</v>
      </c>
      <c r="KM91" s="1">
        <v>-1</v>
      </c>
      <c r="KN91" s="1">
        <v>0</v>
      </c>
      <c r="KP91" s="1">
        <v>2639130883</v>
      </c>
      <c r="KQ91" s="1">
        <v>25624</v>
      </c>
      <c r="KR91" s="1">
        <v>20</v>
      </c>
      <c r="KS91" s="1">
        <v>12</v>
      </c>
      <c r="KT91" s="1">
        <v>12910000</v>
      </c>
      <c r="KU91" s="1">
        <v>1</v>
      </c>
      <c r="KV91" s="1">
        <v>1</v>
      </c>
      <c r="KW91" s="1">
        <v>90</v>
      </c>
      <c r="KX91" s="1">
        <v>60003760</v>
      </c>
      <c r="KY91" s="1">
        <v>32767</v>
      </c>
      <c r="KZ91" s="1">
        <v>0</v>
      </c>
      <c r="LB91" s="1">
        <v>2760038008</v>
      </c>
      <c r="LC91" s="1">
        <v>9832</v>
      </c>
      <c r="LD91" s="1">
        <v>480</v>
      </c>
      <c r="LE91" s="1">
        <v>284</v>
      </c>
      <c r="LF91" s="1">
        <v>10300</v>
      </c>
      <c r="LG91" s="1">
        <v>1</v>
      </c>
      <c r="LH91" s="1">
        <v>0</v>
      </c>
      <c r="LI91" s="1">
        <v>90</v>
      </c>
      <c r="LJ91" s="1">
        <v>60003676</v>
      </c>
      <c r="LK91" s="1">
        <v>32767</v>
      </c>
      <c r="LL91" s="1">
        <v>7</v>
      </c>
      <c r="ML91"/>
      <c r="MM91"/>
      <c r="MN91"/>
      <c r="MO91"/>
      <c r="MP91"/>
      <c r="MQ91"/>
      <c r="MR91"/>
      <c r="MS91"/>
      <c r="MT91"/>
      <c r="MU91"/>
      <c r="MV91"/>
      <c r="MX91" s="1">
        <v>2878718469</v>
      </c>
      <c r="MY91" s="1">
        <v>16672</v>
      </c>
      <c r="MZ91" s="1">
        <v>3000000</v>
      </c>
      <c r="NA91" s="1">
        <v>3000000</v>
      </c>
      <c r="NB91" s="1">
        <v>119.3</v>
      </c>
      <c r="NC91" s="1">
        <v>1</v>
      </c>
      <c r="ND91" s="1">
        <v>1</v>
      </c>
      <c r="NE91" s="1">
        <v>90</v>
      </c>
      <c r="NF91" s="1">
        <v>60003760</v>
      </c>
      <c r="NG91" s="1">
        <v>-1</v>
      </c>
      <c r="NH91" s="1">
        <v>0</v>
      </c>
      <c r="NJ91" s="1">
        <v>2878560068</v>
      </c>
      <c r="NK91" s="1">
        <v>16673</v>
      </c>
      <c r="NL91" s="1">
        <v>3390000</v>
      </c>
      <c r="NM91" s="1">
        <v>2788000</v>
      </c>
      <c r="NN91" s="1">
        <v>100.92</v>
      </c>
      <c r="NO91" s="1">
        <v>1</v>
      </c>
      <c r="NP91" s="1">
        <v>0</v>
      </c>
      <c r="NQ91" s="1">
        <v>90</v>
      </c>
      <c r="NR91" s="1">
        <v>60003760</v>
      </c>
      <c r="NS91" s="1">
        <v>32767</v>
      </c>
      <c r="NT91" s="1">
        <v>0</v>
      </c>
      <c r="NV91" s="1">
        <v>2869145728</v>
      </c>
      <c r="NW91" s="1">
        <v>3689</v>
      </c>
      <c r="NX91" s="1">
        <v>935</v>
      </c>
      <c r="NY91" s="1">
        <v>935</v>
      </c>
      <c r="NZ91" s="1">
        <v>10200</v>
      </c>
      <c r="OA91" s="1">
        <v>1</v>
      </c>
      <c r="OB91" s="1">
        <v>0</v>
      </c>
      <c r="OC91" s="1">
        <v>90</v>
      </c>
      <c r="OD91" s="1">
        <v>60002425</v>
      </c>
      <c r="OE91" s="1">
        <v>32767</v>
      </c>
      <c r="OF91" s="1">
        <v>6</v>
      </c>
      <c r="OH91" s="1">
        <v>2862871139</v>
      </c>
      <c r="OI91" s="1">
        <v>25598</v>
      </c>
      <c r="OJ91" s="1">
        <v>26</v>
      </c>
      <c r="OK91" s="1">
        <v>26</v>
      </c>
      <c r="OL91" s="1">
        <v>141499</v>
      </c>
      <c r="OM91" s="1">
        <v>1</v>
      </c>
      <c r="ON91" s="1">
        <v>0</v>
      </c>
      <c r="OO91" s="1">
        <v>14</v>
      </c>
      <c r="OP91" s="1">
        <v>60003760</v>
      </c>
      <c r="OQ91" s="1">
        <v>32767</v>
      </c>
      <c r="OR91" s="1">
        <v>0</v>
      </c>
      <c r="OT91" s="1">
        <v>2807204886</v>
      </c>
      <c r="OU91" s="1">
        <v>25600</v>
      </c>
      <c r="OV91" s="1">
        <v>16</v>
      </c>
      <c r="OW91" s="1">
        <v>16</v>
      </c>
      <c r="OX91" s="1">
        <v>30000</v>
      </c>
      <c r="OY91" s="1">
        <v>1</v>
      </c>
      <c r="OZ91" s="1">
        <v>0</v>
      </c>
      <c r="PA91" s="1">
        <v>90</v>
      </c>
      <c r="PB91" s="1">
        <v>60004465</v>
      </c>
      <c r="PC91" s="1">
        <v>32767</v>
      </c>
      <c r="PD91" s="1">
        <v>11</v>
      </c>
      <c r="PF91" s="1">
        <v>2876568427</v>
      </c>
      <c r="PG91" s="1">
        <v>16670</v>
      </c>
      <c r="PH91" s="1">
        <v>11000000</v>
      </c>
      <c r="PI91" s="1">
        <v>11000000</v>
      </c>
      <c r="PJ91" s="1">
        <v>120.48</v>
      </c>
      <c r="PK91" s="1">
        <v>1</v>
      </c>
      <c r="PL91" s="1">
        <v>0</v>
      </c>
      <c r="PM91" s="1">
        <v>30</v>
      </c>
      <c r="PN91" s="1">
        <v>60003760</v>
      </c>
      <c r="PO91" s="1">
        <v>32767</v>
      </c>
      <c r="PP91" s="1">
        <v>7</v>
      </c>
      <c r="QD91" s="1">
        <v>2846429585</v>
      </c>
      <c r="QE91" s="1">
        <v>9830</v>
      </c>
      <c r="QF91" s="1">
        <v>53469</v>
      </c>
      <c r="QG91" s="1">
        <v>36095</v>
      </c>
      <c r="QH91" s="1">
        <v>6508.99</v>
      </c>
      <c r="QI91" s="1">
        <v>1</v>
      </c>
      <c r="QJ91" s="1">
        <v>1</v>
      </c>
      <c r="QK91" s="1">
        <v>90</v>
      </c>
      <c r="QL91" s="1">
        <v>60003760</v>
      </c>
      <c r="QM91" s="1">
        <v>-1</v>
      </c>
      <c r="QN91" s="1">
        <v>0</v>
      </c>
      <c r="QP91" s="1">
        <v>1632523003</v>
      </c>
      <c r="QQ91" s="1">
        <v>16671</v>
      </c>
      <c r="QR91" s="1">
        <v>100000</v>
      </c>
      <c r="QS91" s="1">
        <v>73865</v>
      </c>
      <c r="QT91" s="1">
        <v>22.08</v>
      </c>
      <c r="QU91" s="1">
        <v>1</v>
      </c>
      <c r="QV91" s="1">
        <v>1</v>
      </c>
      <c r="QW91" s="1">
        <v>90</v>
      </c>
      <c r="QX91" s="1">
        <v>60001783</v>
      </c>
      <c r="QY91" s="1">
        <v>10</v>
      </c>
      <c r="QZ91" s="1">
        <v>0</v>
      </c>
      <c r="RB91" s="1">
        <v>2878585558</v>
      </c>
      <c r="RC91" s="1">
        <v>16682</v>
      </c>
      <c r="RD91" s="1">
        <v>180</v>
      </c>
      <c r="RE91" s="1">
        <v>180</v>
      </c>
      <c r="RF91" s="1">
        <v>3247</v>
      </c>
      <c r="RG91" s="1">
        <v>1</v>
      </c>
      <c r="RH91" s="1">
        <v>1</v>
      </c>
      <c r="RI91" s="1">
        <v>30</v>
      </c>
      <c r="RJ91" s="1">
        <v>60003760</v>
      </c>
      <c r="RK91" s="1">
        <v>-1</v>
      </c>
      <c r="RL91" s="1">
        <v>0</v>
      </c>
      <c r="RN91" s="1">
        <v>2878617893</v>
      </c>
      <c r="RO91" s="1">
        <v>16678</v>
      </c>
      <c r="RP91" s="1">
        <v>5000000</v>
      </c>
      <c r="RQ91" s="1">
        <v>4309424</v>
      </c>
      <c r="RR91" s="1">
        <v>275.04000000000002</v>
      </c>
      <c r="RS91" s="1">
        <v>1</v>
      </c>
      <c r="RT91" s="1">
        <v>1</v>
      </c>
      <c r="RU91" s="1">
        <v>90</v>
      </c>
      <c r="RV91" s="1">
        <v>60003760</v>
      </c>
      <c r="RW91" s="1">
        <v>-1</v>
      </c>
      <c r="RX91" s="1">
        <v>0</v>
      </c>
      <c r="SX91" s="1">
        <v>2867835910</v>
      </c>
      <c r="SY91" s="1">
        <v>25595</v>
      </c>
      <c r="SZ91" s="1">
        <v>10000</v>
      </c>
      <c r="TA91" s="1">
        <v>10000</v>
      </c>
      <c r="TB91" s="1">
        <v>82999</v>
      </c>
      <c r="TC91" s="1">
        <v>1</v>
      </c>
      <c r="TD91" s="1">
        <v>0</v>
      </c>
      <c r="TE91" s="1">
        <v>90</v>
      </c>
      <c r="TF91" s="1">
        <v>60003760</v>
      </c>
      <c r="TG91" s="1">
        <v>32767</v>
      </c>
      <c r="TH91" s="1">
        <v>6</v>
      </c>
      <c r="TJ91" s="1">
        <v>2878350924</v>
      </c>
      <c r="TK91" s="1">
        <v>25606</v>
      </c>
      <c r="TL91" s="1">
        <v>58</v>
      </c>
      <c r="TM91" s="1">
        <v>58</v>
      </c>
      <c r="TN91" s="1">
        <v>23885.96</v>
      </c>
      <c r="TO91" s="1">
        <v>1</v>
      </c>
      <c r="TP91" s="1">
        <v>0</v>
      </c>
      <c r="TQ91" s="1">
        <v>3</v>
      </c>
      <c r="TR91" s="1">
        <v>60003760</v>
      </c>
      <c r="TS91" s="1">
        <v>32767</v>
      </c>
      <c r="TT91" s="1">
        <v>0</v>
      </c>
      <c r="TV91"/>
      <c r="TW91"/>
      <c r="TX91"/>
      <c r="TY91"/>
      <c r="TZ91"/>
      <c r="UA91"/>
      <c r="UB91"/>
      <c r="UC91"/>
      <c r="UD91"/>
      <c r="UE91"/>
      <c r="UF91"/>
      <c r="UT91"/>
      <c r="UU91"/>
      <c r="UV91"/>
      <c r="UW91"/>
      <c r="UX91"/>
      <c r="UY91"/>
      <c r="UZ91"/>
      <c r="VA91"/>
      <c r="VB91"/>
      <c r="VC91"/>
      <c r="VD91"/>
      <c r="VF91"/>
      <c r="VG91"/>
      <c r="VH91"/>
      <c r="VI91"/>
      <c r="VJ91"/>
      <c r="VK91"/>
      <c r="VL91"/>
      <c r="VM91"/>
      <c r="VN91"/>
      <c r="VO91"/>
      <c r="VP91"/>
    </row>
    <row r="92" spans="2:588" x14ac:dyDescent="0.25">
      <c r="B92" s="1">
        <v>2753343525</v>
      </c>
      <c r="C92" s="1">
        <v>34</v>
      </c>
      <c r="D92" s="1">
        <v>174037702</v>
      </c>
      <c r="E92" s="1">
        <v>174037702</v>
      </c>
      <c r="F92" s="1">
        <v>6.29</v>
      </c>
      <c r="G92" s="1">
        <v>1</v>
      </c>
      <c r="H92" s="1">
        <v>0</v>
      </c>
      <c r="I92" s="1">
        <v>90</v>
      </c>
      <c r="J92" s="1">
        <v>60003760</v>
      </c>
      <c r="K92" s="1">
        <v>32767</v>
      </c>
      <c r="L92" s="1">
        <v>0</v>
      </c>
      <c r="N92" s="1">
        <v>2850402148</v>
      </c>
      <c r="O92" s="1">
        <v>35</v>
      </c>
      <c r="P92" s="1">
        <v>15375741</v>
      </c>
      <c r="Q92" s="1">
        <v>15375741</v>
      </c>
      <c r="R92" s="1">
        <v>15.48</v>
      </c>
      <c r="S92" s="1">
        <v>1</v>
      </c>
      <c r="T92" s="1">
        <v>0</v>
      </c>
      <c r="U92" s="1">
        <v>90</v>
      </c>
      <c r="V92" s="1">
        <v>60003760</v>
      </c>
      <c r="W92" s="1">
        <v>32767</v>
      </c>
      <c r="X92" s="1">
        <v>0</v>
      </c>
      <c r="Z92" s="1">
        <v>2836018616</v>
      </c>
      <c r="AA92" s="1">
        <v>36</v>
      </c>
      <c r="AB92" s="1">
        <v>267658</v>
      </c>
      <c r="AC92" s="1">
        <v>267658</v>
      </c>
      <c r="AD92" s="16">
        <v>52.44</v>
      </c>
      <c r="AE92" s="1">
        <v>1</v>
      </c>
      <c r="AF92" s="1">
        <v>0</v>
      </c>
      <c r="AG92" s="1">
        <v>90</v>
      </c>
      <c r="AH92" s="1">
        <v>60003760</v>
      </c>
      <c r="AI92" s="1">
        <v>32767</v>
      </c>
      <c r="AJ92" s="1">
        <v>11</v>
      </c>
      <c r="AL92" s="1">
        <v>2743505365</v>
      </c>
      <c r="AM92" s="1">
        <v>37</v>
      </c>
      <c r="AN92" s="1">
        <v>32709988</v>
      </c>
      <c r="AO92" s="1">
        <v>28366238</v>
      </c>
      <c r="AP92" s="16">
        <v>174.99</v>
      </c>
      <c r="AQ92" s="1">
        <v>1</v>
      </c>
      <c r="AR92" s="1">
        <v>0</v>
      </c>
      <c r="AS92" s="1">
        <v>90</v>
      </c>
      <c r="AT92" s="1">
        <v>60003760</v>
      </c>
      <c r="AU92" s="1">
        <v>32767</v>
      </c>
      <c r="AV92" s="1">
        <v>9</v>
      </c>
      <c r="AX92" s="1">
        <v>2875795370</v>
      </c>
      <c r="AY92" s="1">
        <v>38</v>
      </c>
      <c r="AZ92" s="1">
        <v>6726</v>
      </c>
      <c r="BA92" s="1">
        <v>6726</v>
      </c>
      <c r="BB92" s="1">
        <v>830</v>
      </c>
      <c r="BC92" s="1">
        <v>1</v>
      </c>
      <c r="BD92" s="1">
        <v>0</v>
      </c>
      <c r="BE92" s="1">
        <v>30</v>
      </c>
      <c r="BF92" s="1">
        <v>60000529</v>
      </c>
      <c r="BG92" s="1">
        <v>32767</v>
      </c>
      <c r="BH92" s="1">
        <v>10</v>
      </c>
      <c r="BJ92" s="1">
        <v>2875658951</v>
      </c>
      <c r="BK92" s="1">
        <v>39</v>
      </c>
      <c r="BL92" s="1">
        <v>50000</v>
      </c>
      <c r="BM92" s="1">
        <v>50000</v>
      </c>
      <c r="BN92" s="1">
        <v>900</v>
      </c>
      <c r="BO92" s="1">
        <v>1</v>
      </c>
      <c r="BP92" s="1">
        <v>0</v>
      </c>
      <c r="BQ92" s="1">
        <v>90</v>
      </c>
      <c r="BR92" s="1">
        <v>60002743</v>
      </c>
      <c r="BS92" s="1">
        <v>32767</v>
      </c>
      <c r="BT92" s="1">
        <v>6</v>
      </c>
      <c r="BV92" s="1">
        <v>2407190832</v>
      </c>
      <c r="BW92" s="1">
        <v>40</v>
      </c>
      <c r="BX92" s="1">
        <v>400000</v>
      </c>
      <c r="BY92" s="1">
        <v>398500</v>
      </c>
      <c r="BZ92" s="1">
        <v>2668.61</v>
      </c>
      <c r="CA92" s="1">
        <v>1</v>
      </c>
      <c r="CB92" s="1">
        <v>0</v>
      </c>
      <c r="CC92" s="1">
        <v>90</v>
      </c>
      <c r="CD92" s="1">
        <v>60003760</v>
      </c>
      <c r="CE92" s="1">
        <v>32767</v>
      </c>
      <c r="CF92" s="1">
        <v>13</v>
      </c>
      <c r="CH92" s="1">
        <v>2404695366</v>
      </c>
      <c r="CI92" s="1">
        <v>29668</v>
      </c>
      <c r="CJ92" s="1">
        <v>1</v>
      </c>
      <c r="CK92" s="1">
        <v>1</v>
      </c>
      <c r="CL92" s="1">
        <v>500000000</v>
      </c>
      <c r="CM92" s="1">
        <v>1</v>
      </c>
      <c r="CN92" s="1">
        <v>0</v>
      </c>
      <c r="CO92" s="1">
        <v>90</v>
      </c>
      <c r="CP92" s="1">
        <v>60003760</v>
      </c>
      <c r="CQ92" s="1">
        <v>32767</v>
      </c>
      <c r="CR92" s="1">
        <v>0</v>
      </c>
      <c r="CT92" s="1">
        <v>2411889252</v>
      </c>
      <c r="CU92" s="1">
        <v>16649</v>
      </c>
      <c r="CV92" s="1">
        <v>100800</v>
      </c>
      <c r="CW92" s="1">
        <v>100800</v>
      </c>
      <c r="CX92" s="1">
        <v>95125.87</v>
      </c>
      <c r="CY92" s="1">
        <v>1</v>
      </c>
      <c r="CZ92" s="1">
        <v>1</v>
      </c>
      <c r="DA92" s="1">
        <v>90</v>
      </c>
      <c r="DB92" s="1">
        <v>60003760</v>
      </c>
      <c r="DC92" s="1">
        <v>-1</v>
      </c>
      <c r="DD92" s="1">
        <v>0</v>
      </c>
      <c r="DF92" s="1">
        <v>2364143285</v>
      </c>
      <c r="DG92" s="1">
        <v>17887</v>
      </c>
      <c r="DH92" s="1">
        <v>500000</v>
      </c>
      <c r="DI92" s="1">
        <v>217199</v>
      </c>
      <c r="DJ92" s="1">
        <v>1890</v>
      </c>
      <c r="DK92" s="1">
        <v>1</v>
      </c>
      <c r="DL92" s="1">
        <v>0</v>
      </c>
      <c r="DM92" s="1">
        <v>30</v>
      </c>
      <c r="DN92" s="1">
        <v>60010192</v>
      </c>
      <c r="DO92" s="1">
        <v>32767</v>
      </c>
      <c r="DP92" s="1">
        <v>9</v>
      </c>
      <c r="DR92" s="1">
        <v>2830310499</v>
      </c>
      <c r="DS92" s="1">
        <v>17888</v>
      </c>
      <c r="DT92" s="1">
        <v>107425</v>
      </c>
      <c r="DU92" s="1">
        <v>107425</v>
      </c>
      <c r="DV92" s="1">
        <v>364.65</v>
      </c>
      <c r="DW92" s="1">
        <v>1</v>
      </c>
      <c r="DX92" s="1">
        <v>0</v>
      </c>
      <c r="DY92" s="1">
        <v>90</v>
      </c>
      <c r="DZ92" s="1">
        <v>60003760</v>
      </c>
      <c r="EA92" s="1">
        <v>32767</v>
      </c>
      <c r="EB92" s="1">
        <v>8</v>
      </c>
      <c r="ED92" s="1">
        <v>2870099429</v>
      </c>
      <c r="EE92" s="1">
        <v>16273</v>
      </c>
      <c r="EF92" s="1">
        <v>14786</v>
      </c>
      <c r="EG92" s="1">
        <v>14186</v>
      </c>
      <c r="EH92" s="1">
        <v>369</v>
      </c>
      <c r="EI92" s="1">
        <v>1</v>
      </c>
      <c r="EJ92" s="1">
        <v>0</v>
      </c>
      <c r="EK92" s="1">
        <v>90</v>
      </c>
      <c r="EL92" s="1">
        <v>60003193</v>
      </c>
      <c r="EM92" s="1">
        <v>32767</v>
      </c>
      <c r="EN92" s="1">
        <v>1</v>
      </c>
      <c r="EP92" s="1">
        <v>2850506606</v>
      </c>
      <c r="EQ92" s="1">
        <v>17889</v>
      </c>
      <c r="ER92" s="1">
        <v>1000000</v>
      </c>
      <c r="ES92" s="1">
        <v>1000000</v>
      </c>
      <c r="ET92" s="1">
        <v>307.74</v>
      </c>
      <c r="EU92" s="1">
        <v>1</v>
      </c>
      <c r="EV92" s="1">
        <v>1</v>
      </c>
      <c r="EW92" s="1">
        <v>90</v>
      </c>
      <c r="EX92" s="1">
        <v>60003760</v>
      </c>
      <c r="EY92" s="1">
        <v>-1</v>
      </c>
      <c r="EZ92" s="1">
        <v>0</v>
      </c>
      <c r="FB92" s="1">
        <v>2861414952</v>
      </c>
      <c r="FC92" s="1">
        <v>30259</v>
      </c>
      <c r="FD92" s="1">
        <v>100</v>
      </c>
      <c r="FE92" s="1">
        <v>78</v>
      </c>
      <c r="FF92" s="1">
        <v>4629002</v>
      </c>
      <c r="FG92" s="1">
        <v>1</v>
      </c>
      <c r="FH92" s="1">
        <v>1</v>
      </c>
      <c r="FI92" s="1">
        <v>90</v>
      </c>
      <c r="FJ92" s="1">
        <v>60003760</v>
      </c>
      <c r="FK92" s="1">
        <v>32767</v>
      </c>
      <c r="FL92" s="1">
        <v>0</v>
      </c>
      <c r="FN92" s="1">
        <v>2798702863</v>
      </c>
      <c r="FO92" s="1">
        <v>25617</v>
      </c>
      <c r="FP92" s="1">
        <v>100</v>
      </c>
      <c r="FQ92" s="1">
        <v>60</v>
      </c>
      <c r="FR92" s="1">
        <v>4022120.13</v>
      </c>
      <c r="FS92" s="1">
        <v>3</v>
      </c>
      <c r="FT92" s="1">
        <v>1</v>
      </c>
      <c r="FU92" s="1">
        <v>90</v>
      </c>
      <c r="FV92" s="1">
        <v>60012667</v>
      </c>
      <c r="FW92" s="1">
        <v>3</v>
      </c>
      <c r="FX92" s="1">
        <v>0</v>
      </c>
      <c r="FZ92" s="1">
        <v>2878355368</v>
      </c>
      <c r="GA92" s="1">
        <v>44</v>
      </c>
      <c r="GB92" s="1">
        <v>109382</v>
      </c>
      <c r="GC92" s="1">
        <v>109382</v>
      </c>
      <c r="GD92" s="1">
        <v>12997.06</v>
      </c>
      <c r="GE92" s="1">
        <v>1</v>
      </c>
      <c r="GF92" s="1">
        <v>0</v>
      </c>
      <c r="GG92" s="1">
        <v>90</v>
      </c>
      <c r="GH92" s="1">
        <v>60003760</v>
      </c>
      <c r="GI92" s="1">
        <v>32767</v>
      </c>
      <c r="GJ92" s="1">
        <v>4</v>
      </c>
      <c r="GL92" s="1">
        <v>2292014105</v>
      </c>
      <c r="GM92" s="1">
        <v>16681</v>
      </c>
      <c r="GN92" s="1">
        <v>90000</v>
      </c>
      <c r="GO92" s="1">
        <v>90000</v>
      </c>
      <c r="GP92" s="1">
        <v>4908.03</v>
      </c>
      <c r="GQ92" s="1">
        <v>1</v>
      </c>
      <c r="GR92" s="1">
        <v>1</v>
      </c>
      <c r="GS92" s="1">
        <v>90</v>
      </c>
      <c r="GT92" s="1">
        <v>60003760</v>
      </c>
      <c r="GU92" s="1">
        <v>-1</v>
      </c>
      <c r="GV92" s="1">
        <v>0</v>
      </c>
      <c r="GX92"/>
      <c r="GY92"/>
      <c r="GZ92"/>
      <c r="HA92"/>
      <c r="HB92"/>
      <c r="HC92"/>
      <c r="HD92"/>
      <c r="HE92"/>
      <c r="HF92"/>
      <c r="HG92"/>
      <c r="HH92"/>
      <c r="HV92" s="1">
        <v>2848947034</v>
      </c>
      <c r="HW92" s="1">
        <v>16274</v>
      </c>
      <c r="HX92" s="1">
        <v>600000</v>
      </c>
      <c r="HY92" s="1">
        <v>165000</v>
      </c>
      <c r="HZ92" s="1">
        <v>538.98</v>
      </c>
      <c r="IA92" s="1">
        <v>1</v>
      </c>
      <c r="IB92" s="1">
        <v>0</v>
      </c>
      <c r="IC92" s="1">
        <v>90</v>
      </c>
      <c r="ID92" s="1">
        <v>60004081</v>
      </c>
      <c r="IE92" s="1">
        <v>32767</v>
      </c>
      <c r="IF92" s="1">
        <v>8</v>
      </c>
      <c r="IT92" s="1">
        <v>2845307628</v>
      </c>
      <c r="IU92" s="1">
        <v>16679</v>
      </c>
      <c r="IV92" s="1">
        <v>300000</v>
      </c>
      <c r="IW92" s="1">
        <v>295021</v>
      </c>
      <c r="IX92" s="1">
        <v>1069.99</v>
      </c>
      <c r="IY92" s="1">
        <v>1</v>
      </c>
      <c r="IZ92" s="1">
        <v>1</v>
      </c>
      <c r="JA92" s="1">
        <v>90</v>
      </c>
      <c r="JB92" s="1">
        <v>60003760</v>
      </c>
      <c r="JC92" s="1">
        <v>10</v>
      </c>
      <c r="JD92" s="1">
        <v>0</v>
      </c>
      <c r="JF92" s="1">
        <v>2854214809</v>
      </c>
      <c r="JG92" s="1">
        <v>16272</v>
      </c>
      <c r="JH92" s="1">
        <v>241025</v>
      </c>
      <c r="JI92" s="1">
        <v>1025</v>
      </c>
      <c r="JJ92" s="1">
        <v>80</v>
      </c>
      <c r="JK92" s="1">
        <v>1</v>
      </c>
      <c r="JL92" s="1">
        <v>0</v>
      </c>
      <c r="JM92" s="1">
        <v>90</v>
      </c>
      <c r="JN92" s="1">
        <v>60012310</v>
      </c>
      <c r="JO92" s="1">
        <v>32767</v>
      </c>
      <c r="JP92" s="1">
        <v>9</v>
      </c>
      <c r="KD92" s="1">
        <v>2852321290</v>
      </c>
      <c r="KE92" s="1">
        <v>25605</v>
      </c>
      <c r="KF92" s="1">
        <v>10000</v>
      </c>
      <c r="KG92" s="1">
        <v>7631</v>
      </c>
      <c r="KH92" s="1">
        <v>107000</v>
      </c>
      <c r="KI92" s="1">
        <v>1</v>
      </c>
      <c r="KJ92" s="1">
        <v>1</v>
      </c>
      <c r="KK92" s="1">
        <v>90</v>
      </c>
      <c r="KL92" s="1">
        <v>60003760</v>
      </c>
      <c r="KM92" s="1">
        <v>-1</v>
      </c>
      <c r="KN92" s="1">
        <v>0</v>
      </c>
      <c r="KP92" s="1">
        <v>2720943752</v>
      </c>
      <c r="KQ92" s="1">
        <v>25624</v>
      </c>
      <c r="KR92" s="1">
        <v>30</v>
      </c>
      <c r="KS92" s="1">
        <v>7</v>
      </c>
      <c r="KT92" s="1">
        <v>12962010</v>
      </c>
      <c r="KU92" s="1">
        <v>1</v>
      </c>
      <c r="KV92" s="1">
        <v>1</v>
      </c>
      <c r="KW92" s="1">
        <v>90</v>
      </c>
      <c r="KX92" s="1">
        <v>60003760</v>
      </c>
      <c r="KY92" s="1">
        <v>32767</v>
      </c>
      <c r="KZ92" s="1">
        <v>0</v>
      </c>
      <c r="LB92" s="1">
        <v>2719747003</v>
      </c>
      <c r="LC92" s="1">
        <v>9832</v>
      </c>
      <c r="LD92" s="1">
        <v>2526</v>
      </c>
      <c r="LE92" s="1">
        <v>2525</v>
      </c>
      <c r="LF92" s="1">
        <v>10500</v>
      </c>
      <c r="LG92" s="1">
        <v>1</v>
      </c>
      <c r="LH92" s="1">
        <v>0</v>
      </c>
      <c r="LI92" s="1">
        <v>90</v>
      </c>
      <c r="LJ92" s="1">
        <v>60003934</v>
      </c>
      <c r="LK92" s="1">
        <v>32767</v>
      </c>
      <c r="LL92" s="1">
        <v>3</v>
      </c>
      <c r="ML92"/>
      <c r="MM92"/>
      <c r="MN92"/>
      <c r="MO92"/>
      <c r="MP92"/>
      <c r="MQ92"/>
      <c r="MR92"/>
      <c r="MS92"/>
      <c r="MT92"/>
      <c r="MU92"/>
      <c r="MV92"/>
      <c r="MX92" s="1">
        <v>2878731554</v>
      </c>
      <c r="MY92" s="1">
        <v>16672</v>
      </c>
      <c r="MZ92" s="1">
        <v>10000000</v>
      </c>
      <c r="NA92" s="1">
        <v>6040000</v>
      </c>
      <c r="NB92" s="1">
        <v>119.32</v>
      </c>
      <c r="NC92" s="1">
        <v>1</v>
      </c>
      <c r="ND92" s="1">
        <v>1</v>
      </c>
      <c r="NE92" s="1">
        <v>90</v>
      </c>
      <c r="NF92" s="1">
        <v>60003760</v>
      </c>
      <c r="NG92" s="1">
        <v>-1</v>
      </c>
      <c r="NH92" s="1">
        <v>0</v>
      </c>
      <c r="NJ92" s="1">
        <v>2761998375</v>
      </c>
      <c r="NK92" s="1">
        <v>16673</v>
      </c>
      <c r="NL92" s="1">
        <v>1000000</v>
      </c>
      <c r="NM92" s="1">
        <v>1000000</v>
      </c>
      <c r="NN92" s="1">
        <v>16</v>
      </c>
      <c r="NO92" s="1">
        <v>1</v>
      </c>
      <c r="NP92" s="1">
        <v>1</v>
      </c>
      <c r="NQ92" s="1">
        <v>90</v>
      </c>
      <c r="NR92" s="1">
        <v>60003760</v>
      </c>
      <c r="NS92" s="1">
        <v>32767</v>
      </c>
      <c r="NT92" s="1">
        <v>0</v>
      </c>
      <c r="NV92" s="1">
        <v>2873547141</v>
      </c>
      <c r="NW92" s="1">
        <v>3689</v>
      </c>
      <c r="NX92" s="1">
        <v>7539</v>
      </c>
      <c r="NY92" s="1">
        <v>630</v>
      </c>
      <c r="NZ92" s="1">
        <v>9510.0300000000007</v>
      </c>
      <c r="OA92" s="1">
        <v>1</v>
      </c>
      <c r="OB92" s="1">
        <v>0</v>
      </c>
      <c r="OC92" s="1">
        <v>90</v>
      </c>
      <c r="OD92" s="1">
        <v>60001873</v>
      </c>
      <c r="OE92" s="1">
        <v>32767</v>
      </c>
      <c r="OF92" s="1">
        <v>6</v>
      </c>
      <c r="OH92" s="1">
        <v>2859394472</v>
      </c>
      <c r="OI92" s="1">
        <v>25598</v>
      </c>
      <c r="OJ92" s="1">
        <v>4666</v>
      </c>
      <c r="OK92" s="1">
        <v>4666</v>
      </c>
      <c r="OL92" s="1">
        <v>142649.13</v>
      </c>
      <c r="OM92" s="1">
        <v>1</v>
      </c>
      <c r="ON92" s="1">
        <v>0</v>
      </c>
      <c r="OO92" s="1">
        <v>90</v>
      </c>
      <c r="OP92" s="1">
        <v>60003760</v>
      </c>
      <c r="OQ92" s="1">
        <v>32767</v>
      </c>
      <c r="OR92" s="1">
        <v>0</v>
      </c>
      <c r="OT92" s="1">
        <v>2819494816</v>
      </c>
      <c r="OU92" s="1">
        <v>25600</v>
      </c>
      <c r="OV92" s="1">
        <v>189</v>
      </c>
      <c r="OW92" s="1">
        <v>69</v>
      </c>
      <c r="OX92" s="1">
        <v>31400</v>
      </c>
      <c r="OY92" s="1">
        <v>1</v>
      </c>
      <c r="OZ92" s="1">
        <v>0</v>
      </c>
      <c r="PA92" s="1">
        <v>90</v>
      </c>
      <c r="PB92" s="1">
        <v>60015027</v>
      </c>
      <c r="PC92" s="1">
        <v>32767</v>
      </c>
      <c r="PD92" s="1">
        <v>4</v>
      </c>
      <c r="PF92" s="1">
        <v>2878972252</v>
      </c>
      <c r="PG92" s="1">
        <v>16670</v>
      </c>
      <c r="PH92" s="1">
        <v>6720000</v>
      </c>
      <c r="PI92" s="1">
        <v>6717340</v>
      </c>
      <c r="PJ92" s="1">
        <v>114.95</v>
      </c>
      <c r="PK92" s="1">
        <v>1</v>
      </c>
      <c r="PL92" s="1">
        <v>0</v>
      </c>
      <c r="PM92" s="1">
        <v>90</v>
      </c>
      <c r="PN92" s="1">
        <v>60003760</v>
      </c>
      <c r="PO92" s="1">
        <v>32767</v>
      </c>
      <c r="PP92" s="1">
        <v>0</v>
      </c>
      <c r="QD92" s="1">
        <v>2879038902</v>
      </c>
      <c r="QE92" s="1">
        <v>9830</v>
      </c>
      <c r="QF92" s="1">
        <v>10000</v>
      </c>
      <c r="QG92" s="1">
        <v>8840</v>
      </c>
      <c r="QH92" s="1">
        <v>7118.03</v>
      </c>
      <c r="QI92" s="1">
        <v>1</v>
      </c>
      <c r="QJ92" s="1">
        <v>1</v>
      </c>
      <c r="QK92" s="1">
        <v>7</v>
      </c>
      <c r="QL92" s="1">
        <v>60003760</v>
      </c>
      <c r="QM92" s="1">
        <v>-1</v>
      </c>
      <c r="QN92" s="1">
        <v>0</v>
      </c>
      <c r="QP92" s="1">
        <v>2878372143</v>
      </c>
      <c r="QQ92" s="1">
        <v>16671</v>
      </c>
      <c r="QR92" s="1">
        <v>8424714</v>
      </c>
      <c r="QS92" s="1">
        <v>4004714</v>
      </c>
      <c r="QT92" s="1">
        <v>99.27</v>
      </c>
      <c r="QU92" s="1">
        <v>1</v>
      </c>
      <c r="QV92" s="1">
        <v>1</v>
      </c>
      <c r="QW92" s="1">
        <v>90</v>
      </c>
      <c r="QX92" s="1">
        <v>60003760</v>
      </c>
      <c r="QY92" s="1">
        <v>-1</v>
      </c>
      <c r="QZ92" s="1">
        <v>0</v>
      </c>
      <c r="RB92" s="1">
        <v>2878615901</v>
      </c>
      <c r="RC92" s="1">
        <v>16682</v>
      </c>
      <c r="RD92" s="1">
        <v>90000</v>
      </c>
      <c r="RE92" s="1">
        <v>90000</v>
      </c>
      <c r="RF92" s="1">
        <v>3245.1</v>
      </c>
      <c r="RG92" s="1">
        <v>1</v>
      </c>
      <c r="RH92" s="1">
        <v>1</v>
      </c>
      <c r="RI92" s="1">
        <v>90</v>
      </c>
      <c r="RJ92" s="1">
        <v>60003760</v>
      </c>
      <c r="RK92" s="1">
        <v>-1</v>
      </c>
      <c r="RL92" s="1">
        <v>0</v>
      </c>
      <c r="RN92" s="1">
        <v>2878717153</v>
      </c>
      <c r="RO92" s="1">
        <v>16678</v>
      </c>
      <c r="RP92" s="1">
        <v>4000000</v>
      </c>
      <c r="RQ92" s="1">
        <v>4000000</v>
      </c>
      <c r="RR92" s="1">
        <v>275.06</v>
      </c>
      <c r="RS92" s="1">
        <v>1</v>
      </c>
      <c r="RT92" s="1">
        <v>1</v>
      </c>
      <c r="RU92" s="1">
        <v>90</v>
      </c>
      <c r="RV92" s="1">
        <v>60003760</v>
      </c>
      <c r="RW92" s="1">
        <v>-1</v>
      </c>
      <c r="RX92" s="1">
        <v>0</v>
      </c>
      <c r="SX92" s="1">
        <v>2868410521</v>
      </c>
      <c r="SY92" s="1">
        <v>25595</v>
      </c>
      <c r="SZ92" s="1">
        <v>4</v>
      </c>
      <c r="TA92" s="1">
        <v>4</v>
      </c>
      <c r="TB92" s="1">
        <v>82004.009999999995</v>
      </c>
      <c r="TC92" s="1">
        <v>1</v>
      </c>
      <c r="TD92" s="1">
        <v>0</v>
      </c>
      <c r="TE92" s="1">
        <v>14</v>
      </c>
      <c r="TF92" s="1">
        <v>60003760</v>
      </c>
      <c r="TG92" s="1">
        <v>32767</v>
      </c>
      <c r="TH92" s="1">
        <v>6</v>
      </c>
      <c r="TJ92" s="1">
        <v>2878409148</v>
      </c>
      <c r="TK92" s="1">
        <v>25606</v>
      </c>
      <c r="TL92" s="1">
        <v>4</v>
      </c>
      <c r="TM92" s="1">
        <v>4</v>
      </c>
      <c r="TN92" s="1">
        <v>22222</v>
      </c>
      <c r="TO92" s="1">
        <v>1</v>
      </c>
      <c r="TP92" s="1">
        <v>0</v>
      </c>
      <c r="TQ92" s="1">
        <v>1</v>
      </c>
      <c r="TR92" s="1">
        <v>60003760</v>
      </c>
      <c r="TS92" s="1">
        <v>32767</v>
      </c>
      <c r="TT92" s="1">
        <v>0</v>
      </c>
      <c r="TV92"/>
      <c r="TW92"/>
      <c r="TX92"/>
      <c r="TY92"/>
      <c r="TZ92"/>
      <c r="UA92"/>
      <c r="UB92"/>
      <c r="UC92"/>
      <c r="UD92"/>
      <c r="UE92"/>
      <c r="UF92"/>
      <c r="UT92"/>
      <c r="UU92"/>
      <c r="UV92"/>
      <c r="UW92"/>
      <c r="UX92"/>
      <c r="UY92"/>
      <c r="UZ92"/>
      <c r="VA92"/>
      <c r="VB92"/>
      <c r="VC92"/>
      <c r="VD92"/>
      <c r="VF92"/>
      <c r="VG92"/>
      <c r="VH92"/>
      <c r="VI92"/>
      <c r="VJ92"/>
      <c r="VK92"/>
      <c r="VL92"/>
      <c r="VM92"/>
      <c r="VN92"/>
      <c r="VO92"/>
      <c r="VP92"/>
    </row>
    <row r="93" spans="2:588" x14ac:dyDescent="0.25">
      <c r="B93" s="1">
        <v>2761707306</v>
      </c>
      <c r="C93" s="1">
        <v>34</v>
      </c>
      <c r="D93" s="1">
        <v>1</v>
      </c>
      <c r="E93" s="1">
        <v>1</v>
      </c>
      <c r="F93" s="1">
        <v>50</v>
      </c>
      <c r="G93" s="1">
        <v>1</v>
      </c>
      <c r="H93" s="1">
        <v>0</v>
      </c>
      <c r="I93" s="1">
        <v>90</v>
      </c>
      <c r="J93" s="1">
        <v>60003760</v>
      </c>
      <c r="K93" s="1">
        <v>32767</v>
      </c>
      <c r="L93" s="1">
        <v>0</v>
      </c>
      <c r="N93" s="1">
        <v>2848871736</v>
      </c>
      <c r="O93" s="1">
        <v>35</v>
      </c>
      <c r="P93" s="1">
        <v>29517904</v>
      </c>
      <c r="Q93" s="1">
        <v>29517904</v>
      </c>
      <c r="R93" s="1">
        <v>15.5</v>
      </c>
      <c r="S93" s="1">
        <v>1</v>
      </c>
      <c r="T93" s="1">
        <v>0</v>
      </c>
      <c r="U93" s="1">
        <v>90</v>
      </c>
      <c r="V93" s="1">
        <v>60003760</v>
      </c>
      <c r="W93" s="1">
        <v>32767</v>
      </c>
      <c r="X93" s="1">
        <v>0</v>
      </c>
      <c r="Z93" s="1">
        <v>2836736884</v>
      </c>
      <c r="AA93" s="1">
        <v>36</v>
      </c>
      <c r="AB93" s="1">
        <v>1443267</v>
      </c>
      <c r="AC93" s="1">
        <v>1443267</v>
      </c>
      <c r="AD93" s="16">
        <v>58</v>
      </c>
      <c r="AE93" s="1">
        <v>1</v>
      </c>
      <c r="AF93" s="1">
        <v>0</v>
      </c>
      <c r="AG93" s="1">
        <v>30</v>
      </c>
      <c r="AH93" s="1">
        <v>60003760</v>
      </c>
      <c r="AI93" s="1">
        <v>32767</v>
      </c>
      <c r="AJ93" s="1">
        <v>11</v>
      </c>
      <c r="AL93" s="1">
        <v>2741903585</v>
      </c>
      <c r="AM93" s="1">
        <v>37</v>
      </c>
      <c r="AN93" s="1">
        <v>4291100</v>
      </c>
      <c r="AO93" s="1">
        <v>1631247</v>
      </c>
      <c r="AP93" s="16">
        <v>184.13</v>
      </c>
      <c r="AQ93" s="1">
        <v>1</v>
      </c>
      <c r="AR93" s="1">
        <v>0</v>
      </c>
      <c r="AS93" s="1">
        <v>90</v>
      </c>
      <c r="AT93" s="1">
        <v>60003760</v>
      </c>
      <c r="AU93" s="1">
        <v>32767</v>
      </c>
      <c r="AV93" s="1">
        <v>9</v>
      </c>
      <c r="AX93" s="1">
        <v>2817602461</v>
      </c>
      <c r="AY93" s="1">
        <v>38</v>
      </c>
      <c r="AZ93" s="1">
        <v>31615</v>
      </c>
      <c r="BA93" s="1">
        <v>14713</v>
      </c>
      <c r="BB93" s="1">
        <v>1477.15</v>
      </c>
      <c r="BC93" s="1">
        <v>1</v>
      </c>
      <c r="BD93" s="1">
        <v>0</v>
      </c>
      <c r="BE93" s="1">
        <v>90</v>
      </c>
      <c r="BF93" s="1">
        <v>60004474</v>
      </c>
      <c r="BG93" s="1">
        <v>32767</v>
      </c>
      <c r="BH93" s="1">
        <v>11</v>
      </c>
      <c r="BJ93" s="1">
        <v>2858072634</v>
      </c>
      <c r="BK93" s="1">
        <v>39</v>
      </c>
      <c r="BL93" s="1">
        <v>22223631</v>
      </c>
      <c r="BM93" s="1">
        <v>22203375</v>
      </c>
      <c r="BN93" s="1">
        <v>900</v>
      </c>
      <c r="BO93" s="1">
        <v>1</v>
      </c>
      <c r="BP93" s="1">
        <v>0</v>
      </c>
      <c r="BQ93" s="1">
        <v>90</v>
      </c>
      <c r="BR93" s="1">
        <v>60004222</v>
      </c>
      <c r="BS93" s="1">
        <v>32767</v>
      </c>
      <c r="BT93" s="1">
        <v>5</v>
      </c>
      <c r="BV93" s="1">
        <v>2408359826</v>
      </c>
      <c r="BW93" s="1">
        <v>40</v>
      </c>
      <c r="BX93" s="1">
        <v>136981</v>
      </c>
      <c r="BY93" s="1">
        <v>103806</v>
      </c>
      <c r="BZ93" s="1">
        <v>2668.04</v>
      </c>
      <c r="CA93" s="1">
        <v>1</v>
      </c>
      <c r="CB93" s="1">
        <v>0</v>
      </c>
      <c r="CC93" s="1">
        <v>90</v>
      </c>
      <c r="CD93" s="1">
        <v>60003466</v>
      </c>
      <c r="CE93" s="1">
        <v>32767</v>
      </c>
      <c r="CF93" s="1">
        <v>13</v>
      </c>
      <c r="CH93" s="1">
        <v>2404927862</v>
      </c>
      <c r="CI93" s="1">
        <v>29668</v>
      </c>
      <c r="CJ93" s="1">
        <v>1</v>
      </c>
      <c r="CK93" s="1">
        <v>1</v>
      </c>
      <c r="CL93" s="1">
        <v>501000000</v>
      </c>
      <c r="CM93" s="1">
        <v>1</v>
      </c>
      <c r="CN93" s="1">
        <v>0</v>
      </c>
      <c r="CO93" s="1">
        <v>90</v>
      </c>
      <c r="CP93" s="1">
        <v>60003760</v>
      </c>
      <c r="CQ93" s="1">
        <v>32767</v>
      </c>
      <c r="CR93" s="1">
        <v>0</v>
      </c>
      <c r="CT93" s="1">
        <v>2411869512</v>
      </c>
      <c r="CU93" s="1">
        <v>16649</v>
      </c>
      <c r="CV93" s="1">
        <v>36000</v>
      </c>
      <c r="CW93" s="1">
        <v>36000</v>
      </c>
      <c r="CX93" s="1">
        <v>95511.05</v>
      </c>
      <c r="CY93" s="1">
        <v>1</v>
      </c>
      <c r="CZ93" s="1">
        <v>1</v>
      </c>
      <c r="DA93" s="1">
        <v>90</v>
      </c>
      <c r="DB93" s="1">
        <v>60003760</v>
      </c>
      <c r="DC93" s="1">
        <v>-1</v>
      </c>
      <c r="DD93" s="1">
        <v>0</v>
      </c>
      <c r="DF93" s="1">
        <v>2384255898</v>
      </c>
      <c r="DG93" s="1">
        <v>17887</v>
      </c>
      <c r="DH93" s="1">
        <v>250000</v>
      </c>
      <c r="DI93" s="1">
        <v>44891</v>
      </c>
      <c r="DJ93" s="1">
        <v>1896</v>
      </c>
      <c r="DK93" s="1">
        <v>1</v>
      </c>
      <c r="DL93" s="1">
        <v>0</v>
      </c>
      <c r="DM93" s="1">
        <v>90</v>
      </c>
      <c r="DN93" s="1">
        <v>60010192</v>
      </c>
      <c r="DO93" s="1">
        <v>32767</v>
      </c>
      <c r="DP93" s="1">
        <v>9</v>
      </c>
      <c r="DR93" s="1">
        <v>2830863333</v>
      </c>
      <c r="DS93" s="1">
        <v>17888</v>
      </c>
      <c r="DT93" s="1">
        <v>6000000</v>
      </c>
      <c r="DU93" s="1">
        <v>6000000</v>
      </c>
      <c r="DV93" s="1">
        <v>448.1</v>
      </c>
      <c r="DW93" s="1">
        <v>1</v>
      </c>
      <c r="DX93" s="1">
        <v>0</v>
      </c>
      <c r="DY93" s="1">
        <v>90</v>
      </c>
      <c r="DZ93" s="1">
        <v>60003760</v>
      </c>
      <c r="EA93" s="1">
        <v>32767</v>
      </c>
      <c r="EB93" s="1">
        <v>8</v>
      </c>
      <c r="ED93" s="1">
        <v>2854220000</v>
      </c>
      <c r="EE93" s="1">
        <v>16273</v>
      </c>
      <c r="EF93" s="1">
        <v>18247</v>
      </c>
      <c r="EG93" s="1">
        <v>18247</v>
      </c>
      <c r="EH93" s="1">
        <v>420</v>
      </c>
      <c r="EI93" s="1">
        <v>1</v>
      </c>
      <c r="EJ93" s="1">
        <v>0</v>
      </c>
      <c r="EK93" s="1">
        <v>90</v>
      </c>
      <c r="EL93" s="1">
        <v>60000526</v>
      </c>
      <c r="EM93" s="1">
        <v>32767</v>
      </c>
      <c r="EN93" s="1">
        <v>2</v>
      </c>
      <c r="EP93" s="1">
        <v>2850294723</v>
      </c>
      <c r="EQ93" s="1">
        <v>17889</v>
      </c>
      <c r="ER93" s="1">
        <v>300000</v>
      </c>
      <c r="ES93" s="1">
        <v>300000</v>
      </c>
      <c r="ET93" s="1">
        <v>280.02</v>
      </c>
      <c r="EU93" s="1">
        <v>1</v>
      </c>
      <c r="EV93" s="1">
        <v>1</v>
      </c>
      <c r="EW93" s="1">
        <v>90</v>
      </c>
      <c r="EX93" s="1">
        <v>60003760</v>
      </c>
      <c r="EY93" s="1">
        <v>-1</v>
      </c>
      <c r="EZ93" s="1">
        <v>0</v>
      </c>
      <c r="FB93" s="1">
        <v>2861227543</v>
      </c>
      <c r="FC93" s="1">
        <v>30259</v>
      </c>
      <c r="FD93" s="1">
        <v>50</v>
      </c>
      <c r="FE93" s="1">
        <v>47</v>
      </c>
      <c r="FF93" s="1">
        <v>4629000</v>
      </c>
      <c r="FG93" s="1">
        <v>1</v>
      </c>
      <c r="FH93" s="1">
        <v>1</v>
      </c>
      <c r="FI93" s="1">
        <v>90</v>
      </c>
      <c r="FJ93" s="1">
        <v>60003760</v>
      </c>
      <c r="FK93" s="1">
        <v>32767</v>
      </c>
      <c r="FL93" s="1">
        <v>0</v>
      </c>
      <c r="FN93" s="1">
        <v>2844717261</v>
      </c>
      <c r="FO93" s="1">
        <v>25617</v>
      </c>
      <c r="FP93" s="1">
        <v>100</v>
      </c>
      <c r="FQ93" s="1">
        <v>100</v>
      </c>
      <c r="FR93" s="1">
        <v>4000000</v>
      </c>
      <c r="FS93" s="1">
        <v>1</v>
      </c>
      <c r="FT93" s="1">
        <v>1</v>
      </c>
      <c r="FU93" s="1">
        <v>90</v>
      </c>
      <c r="FV93" s="1">
        <v>60013291</v>
      </c>
      <c r="FW93" s="1">
        <v>-1</v>
      </c>
      <c r="FX93" s="1">
        <v>0</v>
      </c>
      <c r="FZ93" s="1">
        <v>2878580612</v>
      </c>
      <c r="GA93" s="1">
        <v>44</v>
      </c>
      <c r="GB93" s="1">
        <v>63949</v>
      </c>
      <c r="GC93" s="1">
        <v>48656</v>
      </c>
      <c r="GD93" s="1">
        <v>12664.99</v>
      </c>
      <c r="GE93" s="1">
        <v>1</v>
      </c>
      <c r="GF93" s="1">
        <v>0</v>
      </c>
      <c r="GG93" s="1">
        <v>90</v>
      </c>
      <c r="GH93" s="1">
        <v>60003760</v>
      </c>
      <c r="GI93" s="1">
        <v>32767</v>
      </c>
      <c r="GJ93" s="1">
        <v>0</v>
      </c>
      <c r="GL93" s="1">
        <v>2233371247</v>
      </c>
      <c r="GM93" s="1">
        <v>16681</v>
      </c>
      <c r="GN93" s="1">
        <v>240000</v>
      </c>
      <c r="GO93" s="1">
        <v>240000</v>
      </c>
      <c r="GP93" s="1">
        <v>5000.01</v>
      </c>
      <c r="GQ93" s="1">
        <v>1</v>
      </c>
      <c r="GR93" s="1">
        <v>1</v>
      </c>
      <c r="GS93" s="1">
        <v>90</v>
      </c>
      <c r="GT93" s="1">
        <v>60003760</v>
      </c>
      <c r="GU93" s="1">
        <v>-1</v>
      </c>
      <c r="GV93" s="1">
        <v>0</v>
      </c>
      <c r="GX93"/>
      <c r="GY93"/>
      <c r="GZ93"/>
      <c r="HA93"/>
      <c r="HB93"/>
      <c r="HC93"/>
      <c r="HD93"/>
      <c r="HE93"/>
      <c r="HF93"/>
      <c r="HG93"/>
      <c r="HH93"/>
      <c r="HV93" s="1">
        <v>2879060070</v>
      </c>
      <c r="HW93" s="1">
        <v>16274</v>
      </c>
      <c r="HX93" s="1">
        <v>1191300</v>
      </c>
      <c r="HY93" s="1">
        <v>821300</v>
      </c>
      <c r="HZ93" s="1">
        <v>369.74</v>
      </c>
      <c r="IA93" s="1">
        <v>1</v>
      </c>
      <c r="IB93" s="1">
        <v>0</v>
      </c>
      <c r="IC93" s="1">
        <v>90</v>
      </c>
      <c r="ID93" s="1">
        <v>60003760</v>
      </c>
      <c r="IE93" s="1">
        <v>32767</v>
      </c>
      <c r="IF93" s="1">
        <v>0</v>
      </c>
      <c r="IT93" s="1">
        <v>2858402421</v>
      </c>
      <c r="IU93" s="1">
        <v>16679</v>
      </c>
      <c r="IV93" s="1">
        <v>200000</v>
      </c>
      <c r="IW93" s="1">
        <v>200000</v>
      </c>
      <c r="IX93" s="1">
        <v>1650</v>
      </c>
      <c r="IY93" s="1">
        <v>1</v>
      </c>
      <c r="IZ93" s="1">
        <v>1</v>
      </c>
      <c r="JA93" s="1">
        <v>30</v>
      </c>
      <c r="JB93" s="1">
        <v>60003760</v>
      </c>
      <c r="JC93" s="1">
        <v>-1</v>
      </c>
      <c r="JD93" s="1">
        <v>0</v>
      </c>
      <c r="JF93" s="1">
        <v>2854215160</v>
      </c>
      <c r="JG93" s="1">
        <v>16272</v>
      </c>
      <c r="JH93" s="1">
        <v>1409406</v>
      </c>
      <c r="JI93" s="1">
        <v>1308406</v>
      </c>
      <c r="JJ93" s="1">
        <v>80</v>
      </c>
      <c r="JK93" s="1">
        <v>1</v>
      </c>
      <c r="JL93" s="1">
        <v>0</v>
      </c>
      <c r="JM93" s="1">
        <v>90</v>
      </c>
      <c r="JN93" s="1">
        <v>60012319</v>
      </c>
      <c r="JO93" s="1">
        <v>32767</v>
      </c>
      <c r="JP93" s="1">
        <v>9</v>
      </c>
      <c r="KD93" s="1">
        <v>2851284138</v>
      </c>
      <c r="KE93" s="1">
        <v>25605</v>
      </c>
      <c r="KF93" s="1">
        <v>10000</v>
      </c>
      <c r="KG93" s="1">
        <v>7687</v>
      </c>
      <c r="KH93" s="1">
        <v>106605.47</v>
      </c>
      <c r="KI93" s="1">
        <v>1</v>
      </c>
      <c r="KJ93" s="1">
        <v>1</v>
      </c>
      <c r="KK93" s="1">
        <v>90</v>
      </c>
      <c r="KL93" s="1">
        <v>60003760</v>
      </c>
      <c r="KM93" s="1">
        <v>-1</v>
      </c>
      <c r="KN93" s="1">
        <v>0</v>
      </c>
      <c r="KP93" s="1">
        <v>2720277298</v>
      </c>
      <c r="KQ93" s="1">
        <v>25624</v>
      </c>
      <c r="KR93" s="1">
        <v>100</v>
      </c>
      <c r="KS93" s="1">
        <v>81</v>
      </c>
      <c r="KT93" s="1">
        <v>13200000.060000001</v>
      </c>
      <c r="KU93" s="1">
        <v>1</v>
      </c>
      <c r="KV93" s="1">
        <v>1</v>
      </c>
      <c r="KW93" s="1">
        <v>90</v>
      </c>
      <c r="KX93" s="1">
        <v>60003760</v>
      </c>
      <c r="KY93" s="1">
        <v>10</v>
      </c>
      <c r="KZ93" s="1">
        <v>0</v>
      </c>
      <c r="LB93" s="1">
        <v>2877093888</v>
      </c>
      <c r="LC93" s="1">
        <v>9832</v>
      </c>
      <c r="LD93" s="1">
        <v>705</v>
      </c>
      <c r="LE93" s="1">
        <v>705</v>
      </c>
      <c r="LF93" s="1">
        <v>9300</v>
      </c>
      <c r="LG93" s="1">
        <v>1</v>
      </c>
      <c r="LH93" s="1">
        <v>0</v>
      </c>
      <c r="LI93" s="1">
        <v>90</v>
      </c>
      <c r="LJ93" s="1">
        <v>60003934</v>
      </c>
      <c r="LK93" s="1">
        <v>32767</v>
      </c>
      <c r="LL93" s="1">
        <v>3</v>
      </c>
      <c r="ML93"/>
      <c r="MM93"/>
      <c r="MN93"/>
      <c r="MO93"/>
      <c r="MP93"/>
      <c r="MQ93"/>
      <c r="MR93"/>
      <c r="MS93"/>
      <c r="MT93"/>
      <c r="MU93"/>
      <c r="MV93"/>
      <c r="MX93" s="1">
        <v>2876204333</v>
      </c>
      <c r="MY93" s="1">
        <v>16672</v>
      </c>
      <c r="MZ93" s="1">
        <v>7000000</v>
      </c>
      <c r="NA93" s="1">
        <v>7000000</v>
      </c>
      <c r="NB93" s="1">
        <v>111.62</v>
      </c>
      <c r="NC93" s="1">
        <v>1</v>
      </c>
      <c r="ND93" s="1">
        <v>1</v>
      </c>
      <c r="NE93" s="1">
        <v>90</v>
      </c>
      <c r="NF93" s="1">
        <v>60003760</v>
      </c>
      <c r="NG93" s="1">
        <v>-1</v>
      </c>
      <c r="NH93" s="1">
        <v>0</v>
      </c>
      <c r="NJ93" s="1">
        <v>2831574114</v>
      </c>
      <c r="NK93" s="1">
        <v>16673</v>
      </c>
      <c r="NL93" s="1">
        <v>100000000</v>
      </c>
      <c r="NM93" s="1">
        <v>41518687</v>
      </c>
      <c r="NN93" s="1">
        <v>90.19</v>
      </c>
      <c r="NO93" s="1">
        <v>1</v>
      </c>
      <c r="NP93" s="1">
        <v>1</v>
      </c>
      <c r="NQ93" s="1">
        <v>90</v>
      </c>
      <c r="NR93" s="1">
        <v>60003760</v>
      </c>
      <c r="NS93" s="1">
        <v>-1</v>
      </c>
      <c r="NT93" s="1">
        <v>0</v>
      </c>
      <c r="NV93" s="1">
        <v>2854522130</v>
      </c>
      <c r="NW93" s="1">
        <v>3689</v>
      </c>
      <c r="NX93" s="1">
        <v>1515</v>
      </c>
      <c r="NY93" s="1">
        <v>1515</v>
      </c>
      <c r="NZ93" s="1">
        <v>12200</v>
      </c>
      <c r="OA93" s="1">
        <v>1</v>
      </c>
      <c r="OB93" s="1">
        <v>0</v>
      </c>
      <c r="OC93" s="1">
        <v>90</v>
      </c>
      <c r="OD93" s="1">
        <v>60004435</v>
      </c>
      <c r="OE93" s="1">
        <v>32767</v>
      </c>
      <c r="OF93" s="1">
        <v>7</v>
      </c>
      <c r="OH93" s="1">
        <v>2859579682</v>
      </c>
      <c r="OI93" s="1">
        <v>25598</v>
      </c>
      <c r="OJ93" s="1">
        <v>71</v>
      </c>
      <c r="OK93" s="1">
        <v>71</v>
      </c>
      <c r="OL93" s="1">
        <v>142299.92000000001</v>
      </c>
      <c r="OM93" s="1">
        <v>1</v>
      </c>
      <c r="ON93" s="1">
        <v>0</v>
      </c>
      <c r="OO93" s="1">
        <v>30</v>
      </c>
      <c r="OP93" s="1">
        <v>60003760</v>
      </c>
      <c r="OQ93" s="1">
        <v>32767</v>
      </c>
      <c r="OR93" s="1">
        <v>0</v>
      </c>
      <c r="OT93" s="1">
        <v>2835035731</v>
      </c>
      <c r="OU93" s="1">
        <v>25600</v>
      </c>
      <c r="OV93" s="1">
        <v>88</v>
      </c>
      <c r="OW93" s="1">
        <v>49</v>
      </c>
      <c r="OX93" s="1">
        <v>31001</v>
      </c>
      <c r="OY93" s="1">
        <v>1</v>
      </c>
      <c r="OZ93" s="1">
        <v>0</v>
      </c>
      <c r="PA93" s="1">
        <v>90</v>
      </c>
      <c r="PB93" s="1">
        <v>60015027</v>
      </c>
      <c r="PC93" s="1">
        <v>32767</v>
      </c>
      <c r="PD93" s="1">
        <v>4</v>
      </c>
      <c r="PF93" s="1">
        <v>2878967272</v>
      </c>
      <c r="PG93" s="1">
        <v>16670</v>
      </c>
      <c r="PH93" s="1">
        <v>7650000</v>
      </c>
      <c r="PI93" s="1">
        <v>7650000</v>
      </c>
      <c r="PJ93" s="1">
        <v>114.93</v>
      </c>
      <c r="PK93" s="1">
        <v>1</v>
      </c>
      <c r="PL93" s="1">
        <v>0</v>
      </c>
      <c r="PM93" s="1">
        <v>90</v>
      </c>
      <c r="PN93" s="1">
        <v>60003760</v>
      </c>
      <c r="PO93" s="1">
        <v>32767</v>
      </c>
      <c r="PP93" s="1">
        <v>0</v>
      </c>
      <c r="QD93"/>
      <c r="QE93"/>
      <c r="QF93"/>
      <c r="QG93"/>
      <c r="QH93"/>
      <c r="QI93"/>
      <c r="QJ93"/>
      <c r="QK93"/>
      <c r="QL93"/>
      <c r="QM93"/>
      <c r="QN93"/>
      <c r="QP93" s="1">
        <v>2878539251</v>
      </c>
      <c r="QQ93" s="1">
        <v>16671</v>
      </c>
      <c r="QR93" s="1">
        <v>10000000</v>
      </c>
      <c r="QS93" s="1">
        <v>10000000</v>
      </c>
      <c r="QT93" s="1">
        <v>99.28</v>
      </c>
      <c r="QU93" s="1">
        <v>1</v>
      </c>
      <c r="QV93" s="1">
        <v>1</v>
      </c>
      <c r="QW93" s="1">
        <v>90</v>
      </c>
      <c r="QX93" s="1">
        <v>60003760</v>
      </c>
      <c r="QY93" s="1">
        <v>-1</v>
      </c>
      <c r="QZ93" s="1">
        <v>0</v>
      </c>
      <c r="RB93" s="1">
        <v>2878714751</v>
      </c>
      <c r="RC93" s="1">
        <v>16682</v>
      </c>
      <c r="RD93" s="1">
        <v>150000</v>
      </c>
      <c r="RE93" s="1">
        <v>150000</v>
      </c>
      <c r="RF93" s="1">
        <v>3247.09</v>
      </c>
      <c r="RG93" s="1">
        <v>1</v>
      </c>
      <c r="RH93" s="1">
        <v>1</v>
      </c>
      <c r="RI93" s="1">
        <v>90</v>
      </c>
      <c r="RJ93" s="1">
        <v>60003760</v>
      </c>
      <c r="RK93" s="1">
        <v>-1</v>
      </c>
      <c r="RL93" s="1">
        <v>0</v>
      </c>
      <c r="RN93" s="1">
        <v>2878765534</v>
      </c>
      <c r="RO93" s="1">
        <v>16678</v>
      </c>
      <c r="RP93" s="1">
        <v>750000</v>
      </c>
      <c r="RQ93" s="1">
        <v>750000</v>
      </c>
      <c r="RR93" s="1">
        <v>275.08</v>
      </c>
      <c r="RS93" s="1">
        <v>1</v>
      </c>
      <c r="RT93" s="1">
        <v>1</v>
      </c>
      <c r="RU93" s="1">
        <v>30</v>
      </c>
      <c r="RV93" s="1">
        <v>60003760</v>
      </c>
      <c r="RW93" s="1">
        <v>-1</v>
      </c>
      <c r="RX93" s="1">
        <v>0</v>
      </c>
      <c r="SX93" s="1">
        <v>2868436016</v>
      </c>
      <c r="SY93" s="1">
        <v>25595</v>
      </c>
      <c r="SZ93" s="1">
        <v>85</v>
      </c>
      <c r="TA93" s="1">
        <v>85</v>
      </c>
      <c r="TB93" s="1">
        <v>82004</v>
      </c>
      <c r="TC93" s="1">
        <v>1</v>
      </c>
      <c r="TD93" s="1">
        <v>0</v>
      </c>
      <c r="TE93" s="1">
        <v>7</v>
      </c>
      <c r="TF93" s="1">
        <v>60003760</v>
      </c>
      <c r="TG93" s="1">
        <v>32767</v>
      </c>
      <c r="TH93" s="1">
        <v>6</v>
      </c>
      <c r="TJ93" s="1">
        <v>2878422269</v>
      </c>
      <c r="TK93" s="1">
        <v>25606</v>
      </c>
      <c r="TL93" s="1">
        <v>272</v>
      </c>
      <c r="TM93" s="1">
        <v>272</v>
      </c>
      <c r="TN93" s="1">
        <v>23884</v>
      </c>
      <c r="TO93" s="1">
        <v>1</v>
      </c>
      <c r="TP93" s="1">
        <v>0</v>
      </c>
      <c r="TQ93" s="1">
        <v>30</v>
      </c>
      <c r="TR93" s="1">
        <v>60003760</v>
      </c>
      <c r="TS93" s="1">
        <v>32767</v>
      </c>
      <c r="TT93" s="1">
        <v>0</v>
      </c>
      <c r="TV93"/>
      <c r="TW93"/>
      <c r="TX93"/>
      <c r="TY93"/>
      <c r="TZ93"/>
      <c r="UA93"/>
      <c r="UB93"/>
      <c r="UC93"/>
      <c r="UD93"/>
      <c r="UE93"/>
      <c r="UF93"/>
      <c r="UT93"/>
      <c r="UU93"/>
      <c r="UV93"/>
      <c r="UW93"/>
      <c r="UX93"/>
      <c r="UY93"/>
      <c r="UZ93"/>
      <c r="VA93"/>
      <c r="VB93"/>
      <c r="VC93"/>
      <c r="VD93"/>
      <c r="VF93"/>
      <c r="VG93"/>
      <c r="VH93"/>
      <c r="VI93"/>
      <c r="VJ93"/>
      <c r="VK93"/>
      <c r="VL93"/>
      <c r="VM93"/>
      <c r="VN93"/>
      <c r="VO93"/>
      <c r="VP93"/>
    </row>
    <row r="94" spans="2:588" x14ac:dyDescent="0.25">
      <c r="B94" s="1">
        <v>2760105481</v>
      </c>
      <c r="C94" s="1">
        <v>34</v>
      </c>
      <c r="D94" s="1">
        <v>48417621</v>
      </c>
      <c r="E94" s="1">
        <v>48417621</v>
      </c>
      <c r="F94" s="1">
        <v>6.01</v>
      </c>
      <c r="G94" s="1">
        <v>1</v>
      </c>
      <c r="H94" s="1">
        <v>0</v>
      </c>
      <c r="I94" s="1">
        <v>90</v>
      </c>
      <c r="J94" s="1">
        <v>60003760</v>
      </c>
      <c r="K94" s="1">
        <v>32767</v>
      </c>
      <c r="L94" s="1">
        <v>0</v>
      </c>
      <c r="N94" s="1">
        <v>2849485619</v>
      </c>
      <c r="O94" s="1">
        <v>35</v>
      </c>
      <c r="P94" s="1">
        <v>13968813</v>
      </c>
      <c r="Q94" s="1">
        <v>13968813</v>
      </c>
      <c r="R94" s="1">
        <v>18.28</v>
      </c>
      <c r="S94" s="1">
        <v>1</v>
      </c>
      <c r="T94" s="1">
        <v>0</v>
      </c>
      <c r="U94" s="1">
        <v>90</v>
      </c>
      <c r="V94" s="1">
        <v>60003760</v>
      </c>
      <c r="W94" s="1">
        <v>32767</v>
      </c>
      <c r="X94" s="1">
        <v>0</v>
      </c>
      <c r="Z94" s="1">
        <v>2837232845</v>
      </c>
      <c r="AA94" s="1">
        <v>36</v>
      </c>
      <c r="AB94" s="1">
        <v>32635857</v>
      </c>
      <c r="AC94" s="1">
        <v>32635857</v>
      </c>
      <c r="AD94" s="16">
        <v>52.85</v>
      </c>
      <c r="AE94" s="1">
        <v>1</v>
      </c>
      <c r="AF94" s="1">
        <v>0</v>
      </c>
      <c r="AG94" s="1">
        <v>90</v>
      </c>
      <c r="AH94" s="1">
        <v>60003760</v>
      </c>
      <c r="AI94" s="1">
        <v>32767</v>
      </c>
      <c r="AJ94" s="1">
        <v>11</v>
      </c>
      <c r="AL94" s="1">
        <v>2745012036</v>
      </c>
      <c r="AM94" s="1">
        <v>37</v>
      </c>
      <c r="AN94" s="1">
        <v>12507429</v>
      </c>
      <c r="AO94" s="1">
        <v>12507429</v>
      </c>
      <c r="AP94" s="16">
        <v>181.44</v>
      </c>
      <c r="AQ94" s="1">
        <v>1</v>
      </c>
      <c r="AR94" s="1">
        <v>0</v>
      </c>
      <c r="AS94" s="1">
        <v>90</v>
      </c>
      <c r="AT94" s="1">
        <v>60003760</v>
      </c>
      <c r="AU94" s="1">
        <v>32767</v>
      </c>
      <c r="AV94" s="1">
        <v>9</v>
      </c>
      <c r="AX94" s="1">
        <v>2830609837</v>
      </c>
      <c r="AY94" s="1">
        <v>38</v>
      </c>
      <c r="AZ94" s="1">
        <v>104000</v>
      </c>
      <c r="BA94" s="1">
        <v>36269</v>
      </c>
      <c r="BB94" s="1">
        <v>850</v>
      </c>
      <c r="BC94" s="1">
        <v>1</v>
      </c>
      <c r="BD94" s="1">
        <v>0</v>
      </c>
      <c r="BE94" s="1">
        <v>90</v>
      </c>
      <c r="BF94" s="1">
        <v>60010816</v>
      </c>
      <c r="BG94" s="1">
        <v>32767</v>
      </c>
      <c r="BH94" s="1">
        <v>14</v>
      </c>
      <c r="BJ94" s="1">
        <v>2864502835</v>
      </c>
      <c r="BK94" s="1">
        <v>39</v>
      </c>
      <c r="BL94" s="1">
        <v>638277</v>
      </c>
      <c r="BM94" s="1">
        <v>521758</v>
      </c>
      <c r="BN94" s="1">
        <v>815</v>
      </c>
      <c r="BO94" s="1">
        <v>1</v>
      </c>
      <c r="BP94" s="1">
        <v>0</v>
      </c>
      <c r="BQ94" s="1">
        <v>90</v>
      </c>
      <c r="BR94" s="1">
        <v>60004213</v>
      </c>
      <c r="BS94" s="1">
        <v>32767</v>
      </c>
      <c r="BT94" s="1">
        <v>5</v>
      </c>
      <c r="BV94" s="1">
        <v>2383020161</v>
      </c>
      <c r="BW94" s="1">
        <v>40</v>
      </c>
      <c r="BX94" s="1">
        <v>33082</v>
      </c>
      <c r="BY94" s="1">
        <v>33082</v>
      </c>
      <c r="BZ94" s="1">
        <v>3050.02</v>
      </c>
      <c r="CA94" s="1">
        <v>1</v>
      </c>
      <c r="CB94" s="1">
        <v>0</v>
      </c>
      <c r="CC94" s="1">
        <v>90</v>
      </c>
      <c r="CD94" s="1">
        <v>60014935</v>
      </c>
      <c r="CE94" s="1">
        <v>32767</v>
      </c>
      <c r="CF94" s="1">
        <v>12</v>
      </c>
      <c r="CH94" s="1">
        <v>2404184727</v>
      </c>
      <c r="CI94" s="1">
        <v>29668</v>
      </c>
      <c r="CJ94" s="1">
        <v>10</v>
      </c>
      <c r="CK94" s="1">
        <v>10</v>
      </c>
      <c r="CL94" s="1">
        <v>500000000</v>
      </c>
      <c r="CM94" s="1">
        <v>1</v>
      </c>
      <c r="CN94" s="1">
        <v>0</v>
      </c>
      <c r="CO94" s="1">
        <v>90</v>
      </c>
      <c r="CP94" s="1">
        <v>60003760</v>
      </c>
      <c r="CQ94" s="1">
        <v>32767</v>
      </c>
      <c r="CR94" s="1">
        <v>0</v>
      </c>
      <c r="CT94" s="1">
        <v>2411869069</v>
      </c>
      <c r="CU94" s="1">
        <v>16649</v>
      </c>
      <c r="CV94" s="1">
        <v>35000</v>
      </c>
      <c r="CW94" s="1">
        <v>35000</v>
      </c>
      <c r="CX94" s="1">
        <v>95511.02</v>
      </c>
      <c r="CY94" s="1">
        <v>1</v>
      </c>
      <c r="CZ94" s="1">
        <v>1</v>
      </c>
      <c r="DA94" s="1">
        <v>90</v>
      </c>
      <c r="DB94" s="1">
        <v>60003760</v>
      </c>
      <c r="DC94" s="1">
        <v>-1</v>
      </c>
      <c r="DD94" s="1">
        <v>0</v>
      </c>
      <c r="DF94" s="1">
        <v>2414571418</v>
      </c>
      <c r="DG94" s="1">
        <v>17887</v>
      </c>
      <c r="DH94" s="1">
        <v>400000</v>
      </c>
      <c r="DI94" s="1">
        <v>364000</v>
      </c>
      <c r="DJ94" s="1">
        <v>1650</v>
      </c>
      <c r="DK94" s="1">
        <v>1</v>
      </c>
      <c r="DL94" s="1">
        <v>0</v>
      </c>
      <c r="DM94" s="1">
        <v>30</v>
      </c>
      <c r="DN94" s="1">
        <v>60001804</v>
      </c>
      <c r="DO94" s="1">
        <v>32767</v>
      </c>
      <c r="DP94" s="1">
        <v>10</v>
      </c>
      <c r="DR94" s="1">
        <v>2850612017</v>
      </c>
      <c r="DS94" s="1">
        <v>17888</v>
      </c>
      <c r="DT94" s="1">
        <v>69361</v>
      </c>
      <c r="DU94" s="1">
        <v>69361</v>
      </c>
      <c r="DV94" s="1">
        <v>398</v>
      </c>
      <c r="DW94" s="1">
        <v>1</v>
      </c>
      <c r="DX94" s="1">
        <v>0</v>
      </c>
      <c r="DY94" s="1">
        <v>30</v>
      </c>
      <c r="DZ94" s="1">
        <v>60003760</v>
      </c>
      <c r="EA94" s="1">
        <v>32767</v>
      </c>
      <c r="EB94" s="1">
        <v>8</v>
      </c>
      <c r="ED94" s="1">
        <v>2854220189</v>
      </c>
      <c r="EE94" s="1">
        <v>16273</v>
      </c>
      <c r="EF94" s="1">
        <v>1432</v>
      </c>
      <c r="EG94" s="1">
        <v>1432</v>
      </c>
      <c r="EH94" s="1">
        <v>420</v>
      </c>
      <c r="EI94" s="1">
        <v>1</v>
      </c>
      <c r="EJ94" s="1">
        <v>0</v>
      </c>
      <c r="EK94" s="1">
        <v>90</v>
      </c>
      <c r="EL94" s="1">
        <v>60001786</v>
      </c>
      <c r="EM94" s="1">
        <v>32767</v>
      </c>
      <c r="EN94" s="1">
        <v>2</v>
      </c>
      <c r="EP94" s="1">
        <v>2850426947</v>
      </c>
      <c r="EQ94" s="1">
        <v>17889</v>
      </c>
      <c r="ER94" s="1">
        <v>5000000</v>
      </c>
      <c r="ES94" s="1">
        <v>4568575</v>
      </c>
      <c r="ET94" s="1">
        <v>266.02</v>
      </c>
      <c r="EU94" s="1">
        <v>1</v>
      </c>
      <c r="EV94" s="1">
        <v>1</v>
      </c>
      <c r="EW94" s="1">
        <v>90</v>
      </c>
      <c r="EX94" s="1">
        <v>60003760</v>
      </c>
      <c r="EY94" s="1">
        <v>-1</v>
      </c>
      <c r="EZ94" s="1">
        <v>0</v>
      </c>
      <c r="FB94" s="1">
        <v>2732931352</v>
      </c>
      <c r="FC94" s="1">
        <v>30259</v>
      </c>
      <c r="FD94" s="1">
        <v>1000</v>
      </c>
      <c r="FE94" s="1">
        <v>989</v>
      </c>
      <c r="FF94" s="1">
        <v>553141.03</v>
      </c>
      <c r="FG94" s="1">
        <v>1</v>
      </c>
      <c r="FH94" s="1">
        <v>1</v>
      </c>
      <c r="FI94" s="1">
        <v>90</v>
      </c>
      <c r="FJ94" s="1">
        <v>60003760</v>
      </c>
      <c r="FK94" s="1">
        <v>32767</v>
      </c>
      <c r="FL94" s="1">
        <v>0</v>
      </c>
      <c r="FN94" s="1">
        <v>2878152525</v>
      </c>
      <c r="FO94" s="1">
        <v>25617</v>
      </c>
      <c r="FP94" s="1">
        <v>50</v>
      </c>
      <c r="FQ94" s="1">
        <v>46</v>
      </c>
      <c r="FR94" s="1">
        <v>4908001.12</v>
      </c>
      <c r="FS94" s="1">
        <v>1</v>
      </c>
      <c r="FT94" s="1">
        <v>1</v>
      </c>
      <c r="FU94" s="1">
        <v>90</v>
      </c>
      <c r="FV94" s="1">
        <v>60003760</v>
      </c>
      <c r="FW94" s="1">
        <v>-1</v>
      </c>
      <c r="FX94" s="1">
        <v>0</v>
      </c>
      <c r="FZ94" s="1">
        <v>2878666346</v>
      </c>
      <c r="GA94" s="1">
        <v>44</v>
      </c>
      <c r="GB94" s="1">
        <v>73309</v>
      </c>
      <c r="GC94" s="1">
        <v>73309</v>
      </c>
      <c r="GD94" s="1">
        <v>12723.21</v>
      </c>
      <c r="GE94" s="1">
        <v>1</v>
      </c>
      <c r="GF94" s="1">
        <v>0</v>
      </c>
      <c r="GG94" s="1">
        <v>90</v>
      </c>
      <c r="GH94" s="1">
        <v>60003760</v>
      </c>
      <c r="GI94" s="1">
        <v>32767</v>
      </c>
      <c r="GJ94" s="1">
        <v>0</v>
      </c>
      <c r="GL94" s="1">
        <v>2231347393</v>
      </c>
      <c r="GM94" s="1">
        <v>16681</v>
      </c>
      <c r="GN94" s="1">
        <v>120000</v>
      </c>
      <c r="GO94" s="1">
        <v>46371</v>
      </c>
      <c r="GP94" s="1">
        <v>5024.01</v>
      </c>
      <c r="GQ94" s="1">
        <v>1</v>
      </c>
      <c r="GR94" s="1">
        <v>1</v>
      </c>
      <c r="GS94" s="1">
        <v>90</v>
      </c>
      <c r="GT94" s="1">
        <v>60003760</v>
      </c>
      <c r="GU94" s="1">
        <v>32767</v>
      </c>
      <c r="GV94" s="1">
        <v>0</v>
      </c>
      <c r="GX94"/>
      <c r="GY94"/>
      <c r="GZ94"/>
      <c r="HA94"/>
      <c r="HB94"/>
      <c r="HC94"/>
      <c r="HD94"/>
      <c r="HE94"/>
      <c r="HF94"/>
      <c r="HG94"/>
      <c r="HH94"/>
      <c r="HV94" s="1">
        <v>2879071518</v>
      </c>
      <c r="HW94" s="1">
        <v>16274</v>
      </c>
      <c r="HX94" s="1">
        <v>503565</v>
      </c>
      <c r="HY94" s="1">
        <v>503565</v>
      </c>
      <c r="HZ94" s="1">
        <v>369.82</v>
      </c>
      <c r="IA94" s="1">
        <v>1</v>
      </c>
      <c r="IB94" s="1">
        <v>0</v>
      </c>
      <c r="IC94" s="1">
        <v>90</v>
      </c>
      <c r="ID94" s="1">
        <v>60003760</v>
      </c>
      <c r="IE94" s="1">
        <v>32767</v>
      </c>
      <c r="IF94" s="1">
        <v>0</v>
      </c>
      <c r="IT94" s="1">
        <v>2863494087</v>
      </c>
      <c r="IU94" s="1">
        <v>16679</v>
      </c>
      <c r="IV94" s="1">
        <v>2800000</v>
      </c>
      <c r="IW94" s="1">
        <v>2800000</v>
      </c>
      <c r="IX94" s="1">
        <v>1628.67</v>
      </c>
      <c r="IY94" s="1">
        <v>1</v>
      </c>
      <c r="IZ94" s="1">
        <v>1</v>
      </c>
      <c r="JA94" s="1">
        <v>90</v>
      </c>
      <c r="JB94" s="1">
        <v>60003760</v>
      </c>
      <c r="JC94" s="1">
        <v>-1</v>
      </c>
      <c r="JD94" s="1">
        <v>0</v>
      </c>
      <c r="JF94" s="1">
        <v>2854215320</v>
      </c>
      <c r="JG94" s="1">
        <v>16272</v>
      </c>
      <c r="JH94" s="1">
        <v>191838</v>
      </c>
      <c r="JI94" s="1">
        <v>191838</v>
      </c>
      <c r="JJ94" s="1">
        <v>80</v>
      </c>
      <c r="JK94" s="1">
        <v>1</v>
      </c>
      <c r="JL94" s="1">
        <v>0</v>
      </c>
      <c r="JM94" s="1">
        <v>90</v>
      </c>
      <c r="JN94" s="1">
        <v>60013048</v>
      </c>
      <c r="JO94" s="1">
        <v>32767</v>
      </c>
      <c r="JP94" s="1">
        <v>9</v>
      </c>
      <c r="KD94" s="1">
        <v>2850434586</v>
      </c>
      <c r="KE94" s="1">
        <v>25605</v>
      </c>
      <c r="KF94" s="1">
        <v>25000</v>
      </c>
      <c r="KG94" s="1">
        <v>25000</v>
      </c>
      <c r="KH94" s="1">
        <v>106400</v>
      </c>
      <c r="KI94" s="1">
        <v>1</v>
      </c>
      <c r="KJ94" s="1">
        <v>1</v>
      </c>
      <c r="KK94" s="1">
        <v>90</v>
      </c>
      <c r="KL94" s="1">
        <v>60003760</v>
      </c>
      <c r="KM94" s="1">
        <v>-1</v>
      </c>
      <c r="KN94" s="1">
        <v>0</v>
      </c>
      <c r="KP94" s="1">
        <v>2699642457</v>
      </c>
      <c r="KQ94" s="1">
        <v>25624</v>
      </c>
      <c r="KR94" s="1">
        <v>20</v>
      </c>
      <c r="KS94" s="1">
        <v>15</v>
      </c>
      <c r="KT94" s="1">
        <v>14602800</v>
      </c>
      <c r="KU94" s="1">
        <v>1</v>
      </c>
      <c r="KV94" s="1">
        <v>1</v>
      </c>
      <c r="KW94" s="1">
        <v>90</v>
      </c>
      <c r="KX94" s="1">
        <v>60003760</v>
      </c>
      <c r="KY94" s="1">
        <v>-1</v>
      </c>
      <c r="KZ94" s="1">
        <v>0</v>
      </c>
      <c r="LB94" s="1">
        <v>2869896068</v>
      </c>
      <c r="LC94" s="1">
        <v>9832</v>
      </c>
      <c r="LD94" s="1">
        <v>3466</v>
      </c>
      <c r="LE94" s="1">
        <v>3466</v>
      </c>
      <c r="LF94" s="1">
        <v>10000</v>
      </c>
      <c r="LG94" s="1">
        <v>1</v>
      </c>
      <c r="LH94" s="1">
        <v>0</v>
      </c>
      <c r="LI94" s="1">
        <v>30</v>
      </c>
      <c r="LJ94" s="1">
        <v>60002431</v>
      </c>
      <c r="LK94" s="1">
        <v>32767</v>
      </c>
      <c r="LL94" s="1">
        <v>2</v>
      </c>
      <c r="ML94"/>
      <c r="MM94"/>
      <c r="MN94"/>
      <c r="MO94"/>
      <c r="MP94"/>
      <c r="MQ94"/>
      <c r="MR94"/>
      <c r="MS94"/>
      <c r="MT94"/>
      <c r="MU94"/>
      <c r="MV94"/>
      <c r="MX94" s="1">
        <v>2878275703</v>
      </c>
      <c r="MY94" s="1">
        <v>16672</v>
      </c>
      <c r="MZ94" s="1">
        <v>29609000</v>
      </c>
      <c r="NA94" s="1">
        <v>12558700</v>
      </c>
      <c r="NB94" s="1">
        <v>119.35</v>
      </c>
      <c r="NC94" s="1">
        <v>1</v>
      </c>
      <c r="ND94" s="1">
        <v>1</v>
      </c>
      <c r="NE94" s="1">
        <v>90</v>
      </c>
      <c r="NF94" s="1">
        <v>60003760</v>
      </c>
      <c r="NG94" s="1">
        <v>-1</v>
      </c>
      <c r="NH94" s="1">
        <v>0</v>
      </c>
      <c r="NJ94" s="1">
        <v>2857492405</v>
      </c>
      <c r="NK94" s="1">
        <v>16673</v>
      </c>
      <c r="NL94" s="1">
        <v>10000000</v>
      </c>
      <c r="NM94" s="1">
        <v>10000000</v>
      </c>
      <c r="NN94" s="1">
        <v>90.12</v>
      </c>
      <c r="NO94" s="1">
        <v>1</v>
      </c>
      <c r="NP94" s="1">
        <v>1</v>
      </c>
      <c r="NQ94" s="1">
        <v>90</v>
      </c>
      <c r="NR94" s="1">
        <v>60003760</v>
      </c>
      <c r="NS94" s="1">
        <v>-1</v>
      </c>
      <c r="NT94" s="1">
        <v>0</v>
      </c>
      <c r="NV94" s="1">
        <v>2877788550</v>
      </c>
      <c r="NW94" s="1">
        <v>3689</v>
      </c>
      <c r="NX94" s="1">
        <v>60</v>
      </c>
      <c r="NY94" s="1">
        <v>60</v>
      </c>
      <c r="NZ94" s="1">
        <v>9500.01</v>
      </c>
      <c r="OA94" s="1">
        <v>1</v>
      </c>
      <c r="OB94" s="1">
        <v>0</v>
      </c>
      <c r="OC94" s="1">
        <v>90</v>
      </c>
      <c r="OD94" s="1">
        <v>60004435</v>
      </c>
      <c r="OE94" s="1">
        <v>32767</v>
      </c>
      <c r="OF94" s="1">
        <v>7</v>
      </c>
      <c r="OH94" s="1">
        <v>2859599077</v>
      </c>
      <c r="OI94" s="1">
        <v>25598</v>
      </c>
      <c r="OJ94" s="1">
        <v>55</v>
      </c>
      <c r="OK94" s="1">
        <v>55</v>
      </c>
      <c r="OL94" s="1">
        <v>14229988</v>
      </c>
      <c r="OM94" s="1">
        <v>1</v>
      </c>
      <c r="ON94" s="1">
        <v>0</v>
      </c>
      <c r="OO94" s="1">
        <v>30</v>
      </c>
      <c r="OP94" s="1">
        <v>60003760</v>
      </c>
      <c r="OQ94" s="1">
        <v>32767</v>
      </c>
      <c r="OR94" s="1">
        <v>0</v>
      </c>
      <c r="OT94" s="1">
        <v>2855803472</v>
      </c>
      <c r="OU94" s="1">
        <v>25600</v>
      </c>
      <c r="OV94" s="1">
        <v>14</v>
      </c>
      <c r="OW94" s="1">
        <v>14</v>
      </c>
      <c r="OX94" s="1">
        <v>30000</v>
      </c>
      <c r="OY94" s="1">
        <v>1</v>
      </c>
      <c r="OZ94" s="1">
        <v>0</v>
      </c>
      <c r="PA94" s="1">
        <v>30</v>
      </c>
      <c r="PB94" s="1">
        <v>60015027</v>
      </c>
      <c r="PC94" s="1">
        <v>32767</v>
      </c>
      <c r="PD94" s="1">
        <v>4</v>
      </c>
      <c r="PF94" s="1">
        <v>2879031464</v>
      </c>
      <c r="PG94" s="1">
        <v>16670</v>
      </c>
      <c r="PH94" s="1">
        <v>5000000</v>
      </c>
      <c r="PI94" s="1">
        <v>5000000</v>
      </c>
      <c r="PJ94" s="1">
        <v>114.9</v>
      </c>
      <c r="PK94" s="1">
        <v>1</v>
      </c>
      <c r="PL94" s="1">
        <v>0</v>
      </c>
      <c r="PM94" s="1">
        <v>90</v>
      </c>
      <c r="PN94" s="1">
        <v>60003760</v>
      </c>
      <c r="PO94" s="1">
        <v>32767</v>
      </c>
      <c r="PP94" s="1">
        <v>0</v>
      </c>
      <c r="QD94"/>
      <c r="QE94"/>
      <c r="QF94"/>
      <c r="QG94"/>
      <c r="QH94"/>
      <c r="QI94"/>
      <c r="QJ94"/>
      <c r="QK94"/>
      <c r="QL94"/>
      <c r="QM94"/>
      <c r="QN94"/>
      <c r="QP94" s="1">
        <v>2878207173</v>
      </c>
      <c r="QQ94" s="1">
        <v>16671</v>
      </c>
      <c r="QR94" s="1">
        <v>8991062</v>
      </c>
      <c r="QS94" s="1">
        <v>5861062</v>
      </c>
      <c r="QT94" s="1">
        <v>99.34</v>
      </c>
      <c r="QU94" s="1">
        <v>1</v>
      </c>
      <c r="QV94" s="1">
        <v>1</v>
      </c>
      <c r="QW94" s="1">
        <v>90</v>
      </c>
      <c r="QX94" s="1">
        <v>60003760</v>
      </c>
      <c r="QY94" s="1">
        <v>-1</v>
      </c>
      <c r="QZ94" s="1">
        <v>0</v>
      </c>
      <c r="RB94" s="1">
        <v>2878733422</v>
      </c>
      <c r="RC94" s="1">
        <v>16682</v>
      </c>
      <c r="RD94" s="1">
        <v>1134</v>
      </c>
      <c r="RE94" s="1">
        <v>1112</v>
      </c>
      <c r="RF94" s="1">
        <v>3300</v>
      </c>
      <c r="RG94" s="1">
        <v>1</v>
      </c>
      <c r="RH94" s="1">
        <v>1</v>
      </c>
      <c r="RI94" s="1">
        <v>90</v>
      </c>
      <c r="RJ94" s="1">
        <v>60003760</v>
      </c>
      <c r="RK94" s="1">
        <v>-1</v>
      </c>
      <c r="RL94" s="1">
        <v>0</v>
      </c>
      <c r="RN94" s="1">
        <v>2878695197</v>
      </c>
      <c r="RO94" s="1">
        <v>16678</v>
      </c>
      <c r="RP94" s="1">
        <v>400000</v>
      </c>
      <c r="RQ94" s="1">
        <v>400000</v>
      </c>
      <c r="RR94" s="1">
        <v>275.12</v>
      </c>
      <c r="RS94" s="1">
        <v>1</v>
      </c>
      <c r="RT94" s="1">
        <v>1</v>
      </c>
      <c r="RU94" s="1">
        <v>90</v>
      </c>
      <c r="RV94" s="1">
        <v>60003760</v>
      </c>
      <c r="RW94" s="1">
        <v>-1</v>
      </c>
      <c r="RX94" s="1">
        <v>0</v>
      </c>
      <c r="SX94" s="1">
        <v>2868372364</v>
      </c>
      <c r="SY94" s="1">
        <v>25595</v>
      </c>
      <c r="SZ94" s="1">
        <v>9</v>
      </c>
      <c r="TA94" s="1">
        <v>9</v>
      </c>
      <c r="TB94" s="1">
        <v>82900.070000000007</v>
      </c>
      <c r="TC94" s="1">
        <v>1</v>
      </c>
      <c r="TD94" s="1">
        <v>0</v>
      </c>
      <c r="TE94" s="1">
        <v>30</v>
      </c>
      <c r="TF94" s="1">
        <v>60003466</v>
      </c>
      <c r="TG94" s="1">
        <v>32767</v>
      </c>
      <c r="TH94" s="1">
        <v>6</v>
      </c>
      <c r="TJ94" s="1">
        <v>2878335886</v>
      </c>
      <c r="TK94" s="1">
        <v>25606</v>
      </c>
      <c r="TL94" s="1">
        <v>690</v>
      </c>
      <c r="TM94" s="1">
        <v>178</v>
      </c>
      <c r="TN94" s="1">
        <v>23883.99</v>
      </c>
      <c r="TO94" s="1">
        <v>1</v>
      </c>
      <c r="TP94" s="1">
        <v>0</v>
      </c>
      <c r="TQ94" s="1">
        <v>90</v>
      </c>
      <c r="TR94" s="1">
        <v>60003760</v>
      </c>
      <c r="TS94" s="1">
        <v>32767</v>
      </c>
      <c r="TT94" s="1">
        <v>0</v>
      </c>
      <c r="TV94"/>
      <c r="TW94"/>
      <c r="TX94"/>
      <c r="TY94"/>
      <c r="TZ94"/>
      <c r="UA94"/>
      <c r="UB94"/>
      <c r="UC94"/>
      <c r="UD94"/>
      <c r="UE94"/>
      <c r="UF94"/>
      <c r="UT94"/>
      <c r="UU94"/>
      <c r="UV94"/>
      <c r="UW94"/>
      <c r="UX94"/>
      <c r="UY94"/>
      <c r="UZ94"/>
      <c r="VA94"/>
      <c r="VB94"/>
      <c r="VC94"/>
      <c r="VD94"/>
      <c r="VF94"/>
      <c r="VG94"/>
      <c r="VH94"/>
      <c r="VI94"/>
      <c r="VJ94"/>
      <c r="VK94"/>
      <c r="VL94"/>
      <c r="VM94"/>
      <c r="VN94"/>
      <c r="VO94"/>
      <c r="VP94"/>
    </row>
    <row r="95" spans="2:588" x14ac:dyDescent="0.25">
      <c r="B95" s="1">
        <v>2764551237</v>
      </c>
      <c r="C95" s="1">
        <v>34</v>
      </c>
      <c r="D95" s="1">
        <v>1700000000</v>
      </c>
      <c r="E95" s="1">
        <v>1700000000</v>
      </c>
      <c r="F95" s="1">
        <v>5.85</v>
      </c>
      <c r="G95" s="1">
        <v>1</v>
      </c>
      <c r="H95" s="1">
        <v>0</v>
      </c>
      <c r="I95" s="1">
        <v>90</v>
      </c>
      <c r="J95" s="1">
        <v>60003760</v>
      </c>
      <c r="K95" s="1">
        <v>32767</v>
      </c>
      <c r="L95" s="1">
        <v>0</v>
      </c>
      <c r="N95" s="1">
        <v>2849793598</v>
      </c>
      <c r="O95" s="1">
        <v>35</v>
      </c>
      <c r="P95" s="1">
        <v>7385571</v>
      </c>
      <c r="Q95" s="1">
        <v>7385571</v>
      </c>
      <c r="R95" s="1">
        <v>16</v>
      </c>
      <c r="S95" s="1">
        <v>1</v>
      </c>
      <c r="T95" s="1">
        <v>0</v>
      </c>
      <c r="U95" s="1">
        <v>30</v>
      </c>
      <c r="V95" s="1">
        <v>60003760</v>
      </c>
      <c r="W95" s="1">
        <v>32767</v>
      </c>
      <c r="X95" s="1">
        <v>0</v>
      </c>
      <c r="Z95" s="1">
        <v>2837474978</v>
      </c>
      <c r="AA95" s="1">
        <v>36</v>
      </c>
      <c r="AB95" s="1">
        <v>6208</v>
      </c>
      <c r="AC95" s="1">
        <v>6208</v>
      </c>
      <c r="AD95" s="16">
        <v>100</v>
      </c>
      <c r="AE95" s="1">
        <v>1</v>
      </c>
      <c r="AF95" s="1">
        <v>0</v>
      </c>
      <c r="AG95" s="1">
        <v>90</v>
      </c>
      <c r="AH95" s="1">
        <v>60003760</v>
      </c>
      <c r="AI95" s="1">
        <v>32767</v>
      </c>
      <c r="AJ95" s="1">
        <v>11</v>
      </c>
      <c r="AL95" s="1">
        <v>2745181474</v>
      </c>
      <c r="AM95" s="1">
        <v>37</v>
      </c>
      <c r="AN95" s="1">
        <v>1702400</v>
      </c>
      <c r="AO95" s="1">
        <v>92601</v>
      </c>
      <c r="AP95" s="16">
        <v>179</v>
      </c>
      <c r="AQ95" s="1">
        <v>1</v>
      </c>
      <c r="AR95" s="1">
        <v>0</v>
      </c>
      <c r="AS95" s="1">
        <v>90</v>
      </c>
      <c r="AT95" s="1">
        <v>60003760</v>
      </c>
      <c r="AU95" s="1">
        <v>32767</v>
      </c>
      <c r="AV95" s="1">
        <v>9</v>
      </c>
      <c r="AX95" s="1">
        <v>2753379199</v>
      </c>
      <c r="AY95" s="1">
        <v>38</v>
      </c>
      <c r="AZ95" s="1">
        <v>178190</v>
      </c>
      <c r="BA95" s="1">
        <v>156250</v>
      </c>
      <c r="BB95" s="1">
        <v>981</v>
      </c>
      <c r="BC95" s="1">
        <v>1</v>
      </c>
      <c r="BD95" s="1">
        <v>0</v>
      </c>
      <c r="BE95" s="1">
        <v>90</v>
      </c>
      <c r="BF95" s="1">
        <v>60013042</v>
      </c>
      <c r="BG95" s="1">
        <v>32767</v>
      </c>
      <c r="BH95" s="1">
        <v>15</v>
      </c>
      <c r="BJ95" s="1">
        <v>2875968210</v>
      </c>
      <c r="BK95" s="1">
        <v>39</v>
      </c>
      <c r="BL95" s="1">
        <v>2582</v>
      </c>
      <c r="BM95" s="1">
        <v>276</v>
      </c>
      <c r="BN95" s="1">
        <v>900</v>
      </c>
      <c r="BO95" s="1">
        <v>1</v>
      </c>
      <c r="BP95" s="1">
        <v>0</v>
      </c>
      <c r="BQ95" s="1">
        <v>90</v>
      </c>
      <c r="BR95" s="1">
        <v>60004075</v>
      </c>
      <c r="BS95" s="1">
        <v>32767</v>
      </c>
      <c r="BT95" s="1">
        <v>8</v>
      </c>
      <c r="BV95" s="1">
        <v>2410843976</v>
      </c>
      <c r="BW95" s="1">
        <v>40</v>
      </c>
      <c r="BX95" s="1">
        <v>20000</v>
      </c>
      <c r="BY95" s="1">
        <v>20000</v>
      </c>
      <c r="BZ95" s="1">
        <v>2910.05</v>
      </c>
      <c r="CA95" s="1">
        <v>1</v>
      </c>
      <c r="CB95" s="1">
        <v>0</v>
      </c>
      <c r="CC95" s="1">
        <v>90</v>
      </c>
      <c r="CD95" s="1">
        <v>60014935</v>
      </c>
      <c r="CE95" s="1">
        <v>32767</v>
      </c>
      <c r="CF95" s="1">
        <v>12</v>
      </c>
      <c r="CH95" s="1">
        <v>2404139061</v>
      </c>
      <c r="CI95" s="1">
        <v>29668</v>
      </c>
      <c r="CJ95" s="1">
        <v>1</v>
      </c>
      <c r="CK95" s="1">
        <v>1</v>
      </c>
      <c r="CL95" s="1">
        <v>500000000</v>
      </c>
      <c r="CM95" s="1">
        <v>1</v>
      </c>
      <c r="CN95" s="1">
        <v>0</v>
      </c>
      <c r="CO95" s="1">
        <v>14</v>
      </c>
      <c r="CP95" s="1">
        <v>60003760</v>
      </c>
      <c r="CQ95" s="1">
        <v>32767</v>
      </c>
      <c r="CR95" s="1">
        <v>0</v>
      </c>
      <c r="CT95" s="1">
        <v>2411213717</v>
      </c>
      <c r="CU95" s="1">
        <v>16649</v>
      </c>
      <c r="CV95" s="1">
        <v>10000</v>
      </c>
      <c r="CW95" s="1">
        <v>10000</v>
      </c>
      <c r="CX95" s="1">
        <v>95007.07</v>
      </c>
      <c r="CY95" s="1">
        <v>1</v>
      </c>
      <c r="CZ95" s="1">
        <v>1</v>
      </c>
      <c r="DA95" s="1">
        <v>30</v>
      </c>
      <c r="DB95" s="1">
        <v>60003760</v>
      </c>
      <c r="DC95" s="1">
        <v>-1</v>
      </c>
      <c r="DD95" s="1">
        <v>0</v>
      </c>
      <c r="DF95" s="1">
        <v>2388953752</v>
      </c>
      <c r="DG95" s="1">
        <v>17887</v>
      </c>
      <c r="DH95" s="1">
        <v>618349</v>
      </c>
      <c r="DI95" s="1">
        <v>168248</v>
      </c>
      <c r="DJ95" s="1">
        <v>1300</v>
      </c>
      <c r="DK95" s="1">
        <v>1</v>
      </c>
      <c r="DL95" s="1">
        <v>0</v>
      </c>
      <c r="DM95" s="1">
        <v>30</v>
      </c>
      <c r="DN95" s="1">
        <v>60004078</v>
      </c>
      <c r="DO95" s="1">
        <v>32767</v>
      </c>
      <c r="DP95" s="1">
        <v>10</v>
      </c>
      <c r="DR95" s="1">
        <v>2858331559</v>
      </c>
      <c r="DS95" s="1">
        <v>17888</v>
      </c>
      <c r="DT95" s="1">
        <v>1000000</v>
      </c>
      <c r="DU95" s="1">
        <v>1000000</v>
      </c>
      <c r="DV95" s="1">
        <v>419.99</v>
      </c>
      <c r="DW95" s="1">
        <v>1</v>
      </c>
      <c r="DX95" s="1">
        <v>0</v>
      </c>
      <c r="DY95" s="1">
        <v>90</v>
      </c>
      <c r="DZ95" s="1">
        <v>60003760</v>
      </c>
      <c r="EA95" s="1">
        <v>32767</v>
      </c>
      <c r="EB95" s="1">
        <v>8</v>
      </c>
      <c r="ED95" s="1">
        <v>2823950201</v>
      </c>
      <c r="EE95" s="1">
        <v>16273</v>
      </c>
      <c r="EF95" s="1">
        <v>107409</v>
      </c>
      <c r="EG95" s="1">
        <v>62758</v>
      </c>
      <c r="EH95" s="1">
        <v>500</v>
      </c>
      <c r="EI95" s="1">
        <v>1</v>
      </c>
      <c r="EJ95" s="1">
        <v>0</v>
      </c>
      <c r="EK95" s="1">
        <v>90</v>
      </c>
      <c r="EL95" s="1">
        <v>60002236</v>
      </c>
      <c r="EM95" s="1">
        <v>32767</v>
      </c>
      <c r="EN95" s="1">
        <v>7</v>
      </c>
      <c r="EP95" s="1">
        <v>2861862185</v>
      </c>
      <c r="EQ95" s="1">
        <v>17889</v>
      </c>
      <c r="ER95" s="1">
        <v>4000000</v>
      </c>
      <c r="ES95" s="1">
        <v>577247</v>
      </c>
      <c r="ET95" s="1">
        <v>357.12</v>
      </c>
      <c r="EU95" s="1">
        <v>1</v>
      </c>
      <c r="EV95" s="1">
        <v>1</v>
      </c>
      <c r="EW95" s="1">
        <v>90</v>
      </c>
      <c r="EX95" s="1">
        <v>60003760</v>
      </c>
      <c r="EY95" s="1">
        <v>-1</v>
      </c>
      <c r="EZ95" s="1">
        <v>0</v>
      </c>
      <c r="FB95" s="1">
        <v>2750818884</v>
      </c>
      <c r="FC95" s="1">
        <v>30259</v>
      </c>
      <c r="FD95" s="1">
        <v>1000</v>
      </c>
      <c r="FE95" s="1">
        <v>630</v>
      </c>
      <c r="FF95" s="1">
        <v>4508000.05</v>
      </c>
      <c r="FG95" s="1">
        <v>1</v>
      </c>
      <c r="FH95" s="1">
        <v>1</v>
      </c>
      <c r="FI95" s="1">
        <v>90</v>
      </c>
      <c r="FJ95" s="1">
        <v>60003760</v>
      </c>
      <c r="FK95" s="1">
        <v>32767</v>
      </c>
      <c r="FL95" s="1">
        <v>0</v>
      </c>
      <c r="FN95" s="1">
        <v>2877547153</v>
      </c>
      <c r="FO95" s="1">
        <v>25617</v>
      </c>
      <c r="FP95" s="1">
        <v>72</v>
      </c>
      <c r="FQ95" s="1">
        <v>72</v>
      </c>
      <c r="FR95" s="1">
        <v>4910070.05</v>
      </c>
      <c r="FS95" s="1">
        <v>1</v>
      </c>
      <c r="FT95" s="1">
        <v>1</v>
      </c>
      <c r="FU95" s="1">
        <v>90</v>
      </c>
      <c r="FV95" s="1">
        <v>60003760</v>
      </c>
      <c r="FW95" s="1">
        <v>-1</v>
      </c>
      <c r="FX95" s="1">
        <v>0</v>
      </c>
      <c r="FZ95" s="1">
        <v>2878822974</v>
      </c>
      <c r="GA95" s="1">
        <v>44</v>
      </c>
      <c r="GB95" s="1">
        <v>25020</v>
      </c>
      <c r="GC95" s="1">
        <v>25020</v>
      </c>
      <c r="GD95" s="1">
        <v>13500</v>
      </c>
      <c r="GE95" s="1">
        <v>1</v>
      </c>
      <c r="GF95" s="1">
        <v>0</v>
      </c>
      <c r="GG95" s="1">
        <v>90</v>
      </c>
      <c r="GH95" s="1">
        <v>60003760</v>
      </c>
      <c r="GI95" s="1">
        <v>32767</v>
      </c>
      <c r="GJ95" s="1">
        <v>0</v>
      </c>
      <c r="GL95" s="1">
        <v>2411574196</v>
      </c>
      <c r="GM95" s="1">
        <v>16681</v>
      </c>
      <c r="GN95" s="1">
        <v>1000000</v>
      </c>
      <c r="GO95" s="1">
        <v>997068</v>
      </c>
      <c r="GP95" s="1">
        <v>5959.09</v>
      </c>
      <c r="GQ95" s="1">
        <v>1</v>
      </c>
      <c r="GR95" s="1">
        <v>1</v>
      </c>
      <c r="GS95" s="1">
        <v>90</v>
      </c>
      <c r="GT95" s="1">
        <v>60003760</v>
      </c>
      <c r="GU95" s="1">
        <v>-1</v>
      </c>
      <c r="GV95" s="1">
        <v>0</v>
      </c>
      <c r="GX95"/>
      <c r="GY95"/>
      <c r="GZ95"/>
      <c r="HA95"/>
      <c r="HB95"/>
      <c r="HC95"/>
      <c r="HD95"/>
      <c r="HE95"/>
      <c r="HF95"/>
      <c r="HG95"/>
      <c r="HH95"/>
      <c r="HV95" s="1">
        <v>2820220508</v>
      </c>
      <c r="HW95" s="1">
        <v>16274</v>
      </c>
      <c r="HX95" s="1">
        <v>10000000</v>
      </c>
      <c r="HY95" s="1">
        <v>10000000</v>
      </c>
      <c r="HZ95" s="1">
        <v>3.44</v>
      </c>
      <c r="IA95" s="1">
        <v>1</v>
      </c>
      <c r="IB95" s="1">
        <v>1</v>
      </c>
      <c r="IC95" s="1">
        <v>90</v>
      </c>
      <c r="ID95" s="1">
        <v>60003760</v>
      </c>
      <c r="IE95" s="1">
        <v>0</v>
      </c>
      <c r="IF95" s="1">
        <v>0</v>
      </c>
      <c r="IT95" s="1">
        <v>2697088135</v>
      </c>
      <c r="IU95" s="1">
        <v>16679</v>
      </c>
      <c r="IV95" s="1">
        <v>20000</v>
      </c>
      <c r="IW95" s="1">
        <v>20000</v>
      </c>
      <c r="IX95" s="1">
        <v>409</v>
      </c>
      <c r="IY95" s="1">
        <v>1</v>
      </c>
      <c r="IZ95" s="1">
        <v>1</v>
      </c>
      <c r="JA95" s="1">
        <v>90</v>
      </c>
      <c r="JB95" s="1">
        <v>60003760</v>
      </c>
      <c r="JC95" s="1">
        <v>10</v>
      </c>
      <c r="JD95" s="1">
        <v>0</v>
      </c>
      <c r="JF95" s="1">
        <v>2877894307</v>
      </c>
      <c r="JG95" s="1">
        <v>16272</v>
      </c>
      <c r="JH95" s="1">
        <v>799740</v>
      </c>
      <c r="JI95" s="1">
        <v>567438</v>
      </c>
      <c r="JJ95" s="1">
        <v>74.83</v>
      </c>
      <c r="JK95" s="1">
        <v>1</v>
      </c>
      <c r="JL95" s="1">
        <v>0</v>
      </c>
      <c r="JM95" s="1">
        <v>30</v>
      </c>
      <c r="JN95" s="1">
        <v>60003760</v>
      </c>
      <c r="JO95" s="1">
        <v>32767</v>
      </c>
      <c r="JP95" s="1">
        <v>6</v>
      </c>
      <c r="KD95" s="1">
        <v>2849096354</v>
      </c>
      <c r="KE95" s="1">
        <v>25605</v>
      </c>
      <c r="KF95" s="1">
        <v>10000</v>
      </c>
      <c r="KG95" s="1">
        <v>7369</v>
      </c>
      <c r="KH95" s="1">
        <v>106500</v>
      </c>
      <c r="KI95" s="1">
        <v>1</v>
      </c>
      <c r="KJ95" s="1">
        <v>1</v>
      </c>
      <c r="KK95" s="1">
        <v>90</v>
      </c>
      <c r="KL95" s="1">
        <v>60003760</v>
      </c>
      <c r="KM95" s="1">
        <v>-1</v>
      </c>
      <c r="KN95" s="1">
        <v>0</v>
      </c>
      <c r="KP95" s="1">
        <v>2867940995</v>
      </c>
      <c r="KQ95" s="1">
        <v>25624</v>
      </c>
      <c r="KR95" s="1">
        <v>150</v>
      </c>
      <c r="KS95" s="1">
        <v>48</v>
      </c>
      <c r="KT95" s="1">
        <v>17750009</v>
      </c>
      <c r="KU95" s="1">
        <v>1</v>
      </c>
      <c r="KV95" s="1">
        <v>1</v>
      </c>
      <c r="KW95" s="1">
        <v>90</v>
      </c>
      <c r="KX95" s="1">
        <v>60003760</v>
      </c>
      <c r="KY95" s="1">
        <v>-1</v>
      </c>
      <c r="KZ95" s="1">
        <v>0</v>
      </c>
      <c r="LB95" s="1">
        <v>2779697537</v>
      </c>
      <c r="LC95" s="1">
        <v>9832</v>
      </c>
      <c r="LD95" s="1">
        <v>7989</v>
      </c>
      <c r="LE95" s="1">
        <v>6224</v>
      </c>
      <c r="LF95" s="1">
        <v>10000</v>
      </c>
      <c r="LG95" s="1">
        <v>1</v>
      </c>
      <c r="LH95" s="1">
        <v>0</v>
      </c>
      <c r="LI95" s="1">
        <v>90</v>
      </c>
      <c r="LJ95" s="1">
        <v>60010192</v>
      </c>
      <c r="LK95" s="1">
        <v>32767</v>
      </c>
      <c r="LL95" s="1">
        <v>9</v>
      </c>
      <c r="ML95"/>
      <c r="MM95"/>
      <c r="MN95"/>
      <c r="MO95"/>
      <c r="MP95"/>
      <c r="MQ95"/>
      <c r="MR95"/>
      <c r="MS95"/>
      <c r="MT95"/>
      <c r="MU95"/>
      <c r="MV95"/>
      <c r="MX95" s="1">
        <v>2384950779</v>
      </c>
      <c r="MY95" s="1">
        <v>16672</v>
      </c>
      <c r="MZ95" s="1">
        <v>10000000</v>
      </c>
      <c r="NA95" s="1">
        <v>10000000</v>
      </c>
      <c r="NB95" s="1">
        <v>71.27</v>
      </c>
      <c r="NC95" s="1">
        <v>100000</v>
      </c>
      <c r="ND95" s="1">
        <v>1</v>
      </c>
      <c r="NE95" s="1">
        <v>90</v>
      </c>
      <c r="NF95" s="1">
        <v>60002281</v>
      </c>
      <c r="NG95" s="1">
        <v>32767</v>
      </c>
      <c r="NH95" s="1">
        <v>0</v>
      </c>
      <c r="NJ95" s="1">
        <v>2854917823</v>
      </c>
      <c r="NK95" s="1">
        <v>16673</v>
      </c>
      <c r="NL95" s="1">
        <v>10000000</v>
      </c>
      <c r="NM95" s="1">
        <v>10000000</v>
      </c>
      <c r="NN95" s="1">
        <v>89</v>
      </c>
      <c r="NO95" s="1">
        <v>1</v>
      </c>
      <c r="NP95" s="1">
        <v>1</v>
      </c>
      <c r="NQ95" s="1">
        <v>90</v>
      </c>
      <c r="NR95" s="1">
        <v>60003760</v>
      </c>
      <c r="NS95" s="1">
        <v>-1</v>
      </c>
      <c r="NT95" s="1">
        <v>0</v>
      </c>
      <c r="NV95" s="1">
        <v>2866666704</v>
      </c>
      <c r="NW95" s="1">
        <v>3689</v>
      </c>
      <c r="NX95" s="1">
        <v>20000</v>
      </c>
      <c r="NY95" s="1">
        <v>5000</v>
      </c>
      <c r="NZ95" s="1">
        <v>12000</v>
      </c>
      <c r="OA95" s="1">
        <v>1</v>
      </c>
      <c r="OB95" s="1">
        <v>0</v>
      </c>
      <c r="OC95" s="1">
        <v>90</v>
      </c>
      <c r="OD95" s="1">
        <v>60004459</v>
      </c>
      <c r="OE95" s="1">
        <v>32767</v>
      </c>
      <c r="OF95" s="1">
        <v>6</v>
      </c>
      <c r="OH95" s="1">
        <v>2859537189</v>
      </c>
      <c r="OI95" s="1">
        <v>25598</v>
      </c>
      <c r="OJ95" s="1">
        <v>280</v>
      </c>
      <c r="OK95" s="1">
        <v>280</v>
      </c>
      <c r="OL95" s="1">
        <v>142300</v>
      </c>
      <c r="OM95" s="1">
        <v>1</v>
      </c>
      <c r="ON95" s="1">
        <v>0</v>
      </c>
      <c r="OO95" s="1">
        <v>90</v>
      </c>
      <c r="OP95" s="1">
        <v>60003760</v>
      </c>
      <c r="OQ95" s="1">
        <v>32767</v>
      </c>
      <c r="OR95" s="1">
        <v>0</v>
      </c>
      <c r="OT95" s="1">
        <v>2878355660</v>
      </c>
      <c r="OU95" s="1">
        <v>25600</v>
      </c>
      <c r="OV95" s="1">
        <v>176</v>
      </c>
      <c r="OW95" s="1">
        <v>176</v>
      </c>
      <c r="OX95" s="1">
        <v>30889</v>
      </c>
      <c r="OY95" s="1">
        <v>1</v>
      </c>
      <c r="OZ95" s="1">
        <v>0</v>
      </c>
      <c r="PA95" s="1">
        <v>90</v>
      </c>
      <c r="PB95" s="1">
        <v>60003760</v>
      </c>
      <c r="PC95" s="1">
        <v>32767</v>
      </c>
      <c r="PD95" s="1">
        <v>0</v>
      </c>
      <c r="PF95" s="1">
        <v>2879031610</v>
      </c>
      <c r="PG95" s="1">
        <v>16670</v>
      </c>
      <c r="PH95" s="1">
        <v>4600000</v>
      </c>
      <c r="PI95" s="1">
        <v>4600000</v>
      </c>
      <c r="PJ95" s="1">
        <v>114.89</v>
      </c>
      <c r="PK95" s="1">
        <v>1</v>
      </c>
      <c r="PL95" s="1">
        <v>0</v>
      </c>
      <c r="PM95" s="1">
        <v>90</v>
      </c>
      <c r="PN95" s="1">
        <v>60003760</v>
      </c>
      <c r="PO95" s="1">
        <v>32767</v>
      </c>
      <c r="PP95" s="1">
        <v>0</v>
      </c>
      <c r="QD95"/>
      <c r="QE95"/>
      <c r="QF95"/>
      <c r="QG95"/>
      <c r="QH95"/>
      <c r="QI95"/>
      <c r="QJ95"/>
      <c r="QK95"/>
      <c r="QL95"/>
      <c r="QM95"/>
      <c r="QN95"/>
      <c r="QP95" s="1">
        <v>2878275355</v>
      </c>
      <c r="QQ95" s="1">
        <v>16671</v>
      </c>
      <c r="QR95" s="1">
        <v>26999000</v>
      </c>
      <c r="QS95" s="1">
        <v>11756641</v>
      </c>
      <c r="QT95" s="1">
        <v>99.36</v>
      </c>
      <c r="QU95" s="1">
        <v>1</v>
      </c>
      <c r="QV95" s="1">
        <v>1</v>
      </c>
      <c r="QW95" s="1">
        <v>90</v>
      </c>
      <c r="QX95" s="1">
        <v>60003760</v>
      </c>
      <c r="QY95" s="1">
        <v>-1</v>
      </c>
      <c r="QZ95" s="1">
        <v>0</v>
      </c>
      <c r="RB95" s="1">
        <v>2878679713</v>
      </c>
      <c r="RC95" s="1">
        <v>16682</v>
      </c>
      <c r="RD95" s="1">
        <v>20000</v>
      </c>
      <c r="RE95" s="1">
        <v>9524</v>
      </c>
      <c r="RF95" s="1">
        <v>3300.01</v>
      </c>
      <c r="RG95" s="1">
        <v>1</v>
      </c>
      <c r="RH95" s="1">
        <v>1</v>
      </c>
      <c r="RI95" s="1">
        <v>90</v>
      </c>
      <c r="RJ95" s="1">
        <v>60003760</v>
      </c>
      <c r="RK95" s="1">
        <v>-1</v>
      </c>
      <c r="RL95" s="1">
        <v>0</v>
      </c>
      <c r="RN95" s="1">
        <v>2765710913</v>
      </c>
      <c r="RO95" s="1">
        <v>16678</v>
      </c>
      <c r="RP95" s="1">
        <v>50000000</v>
      </c>
      <c r="RQ95" s="1">
        <v>9340883</v>
      </c>
      <c r="RR95" s="1">
        <v>271.04000000000002</v>
      </c>
      <c r="RS95" s="1">
        <v>1</v>
      </c>
      <c r="RT95" s="1">
        <v>1</v>
      </c>
      <c r="RU95" s="1">
        <v>90</v>
      </c>
      <c r="RV95" s="1">
        <v>60003760</v>
      </c>
      <c r="RW95" s="1">
        <v>-1</v>
      </c>
      <c r="RX95" s="1">
        <v>0</v>
      </c>
      <c r="SX95" s="1">
        <v>2868594253</v>
      </c>
      <c r="SY95" s="1">
        <v>25595</v>
      </c>
      <c r="SZ95" s="1">
        <v>85</v>
      </c>
      <c r="TA95" s="1">
        <v>85</v>
      </c>
      <c r="TB95" s="1">
        <v>82003.98</v>
      </c>
      <c r="TC95" s="1">
        <v>1</v>
      </c>
      <c r="TD95" s="1">
        <v>0</v>
      </c>
      <c r="TE95" s="1">
        <v>90</v>
      </c>
      <c r="TF95" s="1">
        <v>60003760</v>
      </c>
      <c r="TG95" s="1">
        <v>32767</v>
      </c>
      <c r="TH95" s="1">
        <v>6</v>
      </c>
      <c r="TJ95" s="1">
        <v>2878499126</v>
      </c>
      <c r="TK95" s="1">
        <v>25606</v>
      </c>
      <c r="TL95" s="1">
        <v>20</v>
      </c>
      <c r="TM95" s="1">
        <v>20</v>
      </c>
      <c r="TN95" s="1">
        <v>23502.01</v>
      </c>
      <c r="TO95" s="1">
        <v>1</v>
      </c>
      <c r="TP95" s="1">
        <v>0</v>
      </c>
      <c r="TQ95" s="1">
        <v>7</v>
      </c>
      <c r="TR95" s="1">
        <v>60003760</v>
      </c>
      <c r="TS95" s="1">
        <v>32767</v>
      </c>
      <c r="TT95" s="1">
        <v>0</v>
      </c>
      <c r="TV95"/>
      <c r="TW95"/>
      <c r="TX95"/>
      <c r="TY95"/>
      <c r="TZ95"/>
      <c r="UA95"/>
      <c r="UB95"/>
      <c r="UC95"/>
      <c r="UD95"/>
      <c r="UE95"/>
      <c r="UF95"/>
      <c r="UT95"/>
      <c r="UU95"/>
      <c r="UV95"/>
      <c r="UW95"/>
      <c r="UX95"/>
      <c r="UY95"/>
      <c r="UZ95"/>
      <c r="VA95"/>
      <c r="VB95"/>
      <c r="VC95"/>
      <c r="VD95"/>
      <c r="VF95"/>
      <c r="VG95"/>
      <c r="VH95"/>
      <c r="VI95"/>
      <c r="VJ95"/>
      <c r="VK95"/>
      <c r="VL95"/>
      <c r="VM95"/>
      <c r="VN95"/>
      <c r="VO95"/>
      <c r="VP95"/>
    </row>
    <row r="96" spans="2:588" x14ac:dyDescent="0.25">
      <c r="B96" s="1">
        <v>2763066417</v>
      </c>
      <c r="C96" s="1">
        <v>34</v>
      </c>
      <c r="D96" s="1">
        <v>3446391</v>
      </c>
      <c r="E96" s="1">
        <v>3446391</v>
      </c>
      <c r="F96" s="1">
        <v>7</v>
      </c>
      <c r="G96" s="1">
        <v>1</v>
      </c>
      <c r="H96" s="1">
        <v>0</v>
      </c>
      <c r="I96" s="1">
        <v>90</v>
      </c>
      <c r="J96" s="1">
        <v>60003760</v>
      </c>
      <c r="K96" s="1">
        <v>32767</v>
      </c>
      <c r="L96" s="1">
        <v>0</v>
      </c>
      <c r="N96" s="1">
        <v>2847158816</v>
      </c>
      <c r="O96" s="1">
        <v>35</v>
      </c>
      <c r="P96" s="1">
        <v>25760881</v>
      </c>
      <c r="Q96" s="1">
        <v>25760881</v>
      </c>
      <c r="R96" s="1">
        <v>15.54</v>
      </c>
      <c r="S96" s="1">
        <v>1</v>
      </c>
      <c r="T96" s="1">
        <v>0</v>
      </c>
      <c r="U96" s="1">
        <v>30</v>
      </c>
      <c r="V96" s="1">
        <v>60003760</v>
      </c>
      <c r="W96" s="1">
        <v>32767</v>
      </c>
      <c r="X96" s="1">
        <v>0</v>
      </c>
      <c r="Z96" s="1">
        <v>2837684789</v>
      </c>
      <c r="AA96" s="1">
        <v>36</v>
      </c>
      <c r="AB96" s="1">
        <v>775944</v>
      </c>
      <c r="AC96" s="1">
        <v>775944</v>
      </c>
      <c r="AD96" s="16">
        <v>52.1</v>
      </c>
      <c r="AE96" s="1">
        <v>1</v>
      </c>
      <c r="AF96" s="1">
        <v>0</v>
      </c>
      <c r="AG96" s="1">
        <v>30</v>
      </c>
      <c r="AH96" s="1">
        <v>60003760</v>
      </c>
      <c r="AI96" s="1">
        <v>32767</v>
      </c>
      <c r="AJ96" s="1">
        <v>11</v>
      </c>
      <c r="AL96" s="1">
        <v>2867571534</v>
      </c>
      <c r="AM96" s="1">
        <v>37</v>
      </c>
      <c r="AN96" s="1">
        <v>191020</v>
      </c>
      <c r="AO96" s="1">
        <v>191020</v>
      </c>
      <c r="AP96" s="16">
        <v>225</v>
      </c>
      <c r="AQ96" s="1">
        <v>1</v>
      </c>
      <c r="AR96" s="1">
        <v>0</v>
      </c>
      <c r="AS96" s="1">
        <v>90</v>
      </c>
      <c r="AT96" s="1">
        <v>60004423</v>
      </c>
      <c r="AU96" s="1">
        <v>32767</v>
      </c>
      <c r="AV96" s="1">
        <v>9</v>
      </c>
      <c r="AX96" s="1">
        <v>2878224087</v>
      </c>
      <c r="AY96" s="1">
        <v>38</v>
      </c>
      <c r="AZ96" s="1">
        <v>84030</v>
      </c>
      <c r="BA96" s="1">
        <v>84030</v>
      </c>
      <c r="BB96" s="1">
        <v>820</v>
      </c>
      <c r="BC96" s="1">
        <v>1</v>
      </c>
      <c r="BD96" s="1">
        <v>0</v>
      </c>
      <c r="BE96" s="1">
        <v>90</v>
      </c>
      <c r="BF96" s="1">
        <v>60012310</v>
      </c>
      <c r="BG96" s="1">
        <v>32767</v>
      </c>
      <c r="BH96" s="1">
        <v>15</v>
      </c>
      <c r="BJ96" s="1">
        <v>2863670681</v>
      </c>
      <c r="BK96" s="1">
        <v>39</v>
      </c>
      <c r="BL96" s="1">
        <v>60198</v>
      </c>
      <c r="BM96" s="1">
        <v>55655</v>
      </c>
      <c r="BN96" s="1">
        <v>821.4</v>
      </c>
      <c r="BO96" s="1">
        <v>1</v>
      </c>
      <c r="BP96" s="1">
        <v>0</v>
      </c>
      <c r="BQ96" s="1">
        <v>90</v>
      </c>
      <c r="BR96" s="1">
        <v>60004081</v>
      </c>
      <c r="BS96" s="1">
        <v>32767</v>
      </c>
      <c r="BT96" s="1">
        <v>10</v>
      </c>
      <c r="BV96" s="1">
        <v>2403849657</v>
      </c>
      <c r="BW96" s="1">
        <v>40</v>
      </c>
      <c r="BX96" s="1">
        <v>16</v>
      </c>
      <c r="BY96" s="1">
        <v>14</v>
      </c>
      <c r="BZ96" s="1">
        <v>2730.1</v>
      </c>
      <c r="CA96" s="1">
        <v>1</v>
      </c>
      <c r="CB96" s="1">
        <v>0</v>
      </c>
      <c r="CC96" s="1">
        <v>90</v>
      </c>
      <c r="CD96" s="1">
        <v>60002734</v>
      </c>
      <c r="CE96" s="1">
        <v>32767</v>
      </c>
      <c r="CF96" s="1">
        <v>8</v>
      </c>
      <c r="CH96" s="1">
        <v>2405368350</v>
      </c>
      <c r="CI96" s="1">
        <v>29668</v>
      </c>
      <c r="CJ96" s="1">
        <v>2</v>
      </c>
      <c r="CK96" s="1">
        <v>2</v>
      </c>
      <c r="CL96" s="1">
        <v>500000000</v>
      </c>
      <c r="CM96" s="1">
        <v>1</v>
      </c>
      <c r="CN96" s="1">
        <v>0</v>
      </c>
      <c r="CO96" s="1">
        <v>90</v>
      </c>
      <c r="CP96" s="1">
        <v>60003760</v>
      </c>
      <c r="CQ96" s="1">
        <v>32767</v>
      </c>
      <c r="CR96" s="1">
        <v>0</v>
      </c>
      <c r="CT96" s="1">
        <v>2411246580</v>
      </c>
      <c r="CU96" s="1">
        <v>16649</v>
      </c>
      <c r="CV96" s="1">
        <v>10000</v>
      </c>
      <c r="CW96" s="1">
        <v>10000</v>
      </c>
      <c r="CX96" s="1">
        <v>95201.86</v>
      </c>
      <c r="CY96" s="1">
        <v>1</v>
      </c>
      <c r="CZ96" s="1">
        <v>1</v>
      </c>
      <c r="DA96" s="1">
        <v>30</v>
      </c>
      <c r="DB96" s="1">
        <v>60003760</v>
      </c>
      <c r="DC96" s="1">
        <v>-1</v>
      </c>
      <c r="DD96" s="1">
        <v>0</v>
      </c>
      <c r="DF96" s="1">
        <v>2381990328</v>
      </c>
      <c r="DG96" s="1">
        <v>17887</v>
      </c>
      <c r="DH96" s="1">
        <v>82000</v>
      </c>
      <c r="DI96" s="1">
        <v>3662</v>
      </c>
      <c r="DJ96" s="1">
        <v>1880</v>
      </c>
      <c r="DK96" s="1">
        <v>1</v>
      </c>
      <c r="DL96" s="1">
        <v>0</v>
      </c>
      <c r="DM96" s="1">
        <v>90</v>
      </c>
      <c r="DN96" s="1">
        <v>60004078</v>
      </c>
      <c r="DO96" s="1">
        <v>32767</v>
      </c>
      <c r="DP96" s="1">
        <v>10</v>
      </c>
      <c r="DR96" s="1">
        <v>2854161311</v>
      </c>
      <c r="DS96" s="1">
        <v>17888</v>
      </c>
      <c r="DT96" s="1">
        <v>585000</v>
      </c>
      <c r="DU96" s="1">
        <v>585000</v>
      </c>
      <c r="DV96" s="1">
        <v>369</v>
      </c>
      <c r="DW96" s="1">
        <v>1</v>
      </c>
      <c r="DX96" s="1">
        <v>0</v>
      </c>
      <c r="DY96" s="1">
        <v>90</v>
      </c>
      <c r="DZ96" s="1">
        <v>60003760</v>
      </c>
      <c r="EA96" s="1">
        <v>32767</v>
      </c>
      <c r="EB96" s="1">
        <v>8</v>
      </c>
      <c r="ED96" s="1">
        <v>2833005949</v>
      </c>
      <c r="EE96" s="1">
        <v>16273</v>
      </c>
      <c r="EF96" s="1">
        <v>221636</v>
      </c>
      <c r="EG96" s="1">
        <v>201636</v>
      </c>
      <c r="EH96" s="1">
        <v>587.5</v>
      </c>
      <c r="EI96" s="1">
        <v>1</v>
      </c>
      <c r="EJ96" s="1">
        <v>0</v>
      </c>
      <c r="EK96" s="1">
        <v>90</v>
      </c>
      <c r="EL96" s="1">
        <v>60007588</v>
      </c>
      <c r="EM96" s="1">
        <v>32767</v>
      </c>
      <c r="EN96" s="1">
        <v>7</v>
      </c>
      <c r="EP96" s="1">
        <v>2861837877</v>
      </c>
      <c r="EQ96" s="1">
        <v>17889</v>
      </c>
      <c r="ER96" s="1">
        <v>3200000</v>
      </c>
      <c r="ES96" s="1">
        <v>3200000</v>
      </c>
      <c r="ET96" s="1">
        <v>347.99</v>
      </c>
      <c r="EU96" s="1">
        <v>1</v>
      </c>
      <c r="EV96" s="1">
        <v>1</v>
      </c>
      <c r="EW96" s="1">
        <v>90</v>
      </c>
      <c r="EX96" s="1">
        <v>60003760</v>
      </c>
      <c r="EY96" s="1">
        <v>-1</v>
      </c>
      <c r="EZ96" s="1">
        <v>0</v>
      </c>
      <c r="FB96" s="1">
        <v>2868107667</v>
      </c>
      <c r="FC96" s="1">
        <v>30259</v>
      </c>
      <c r="FD96" s="1">
        <v>100</v>
      </c>
      <c r="FE96" s="1">
        <v>92</v>
      </c>
      <c r="FF96" s="1">
        <v>5589503.9800000004</v>
      </c>
      <c r="FG96" s="1">
        <v>1</v>
      </c>
      <c r="FH96" s="1">
        <v>1</v>
      </c>
      <c r="FI96" s="1">
        <v>90</v>
      </c>
      <c r="FJ96" s="1">
        <v>60003760</v>
      </c>
      <c r="FK96" s="1">
        <v>-1</v>
      </c>
      <c r="FL96" s="1">
        <v>0</v>
      </c>
      <c r="FN96" s="1">
        <v>2877693238</v>
      </c>
      <c r="FO96" s="1">
        <v>25617</v>
      </c>
      <c r="FP96" s="1">
        <v>52</v>
      </c>
      <c r="FQ96" s="1">
        <v>28</v>
      </c>
      <c r="FR96" s="1">
        <v>4911006</v>
      </c>
      <c r="FS96" s="1">
        <v>1</v>
      </c>
      <c r="FT96" s="1">
        <v>1</v>
      </c>
      <c r="FU96" s="1">
        <v>30</v>
      </c>
      <c r="FV96" s="1">
        <v>60003760</v>
      </c>
      <c r="FW96" s="1">
        <v>-1</v>
      </c>
      <c r="FX96" s="1">
        <v>0</v>
      </c>
      <c r="FZ96" s="1">
        <v>2878930702</v>
      </c>
      <c r="GA96" s="1">
        <v>44</v>
      </c>
      <c r="GB96" s="1">
        <v>2020</v>
      </c>
      <c r="GC96" s="1">
        <v>2020</v>
      </c>
      <c r="GD96" s="1">
        <v>12855.61</v>
      </c>
      <c r="GE96" s="1">
        <v>1</v>
      </c>
      <c r="GF96" s="1">
        <v>0</v>
      </c>
      <c r="GG96" s="1">
        <v>30</v>
      </c>
      <c r="GH96" s="1">
        <v>60003760</v>
      </c>
      <c r="GI96" s="1">
        <v>32767</v>
      </c>
      <c r="GJ96" s="1">
        <v>0</v>
      </c>
      <c r="GL96" s="1">
        <v>2404751525</v>
      </c>
      <c r="GM96" s="1">
        <v>16681</v>
      </c>
      <c r="GN96" s="1">
        <v>632124</v>
      </c>
      <c r="GO96" s="1">
        <v>632124</v>
      </c>
      <c r="GP96" s="1">
        <v>5822.04</v>
      </c>
      <c r="GQ96" s="1">
        <v>1</v>
      </c>
      <c r="GR96" s="1">
        <v>1</v>
      </c>
      <c r="GS96" s="1">
        <v>90</v>
      </c>
      <c r="GT96" s="1">
        <v>60003760</v>
      </c>
      <c r="GU96" s="1">
        <v>-1</v>
      </c>
      <c r="GV96" s="1">
        <v>0</v>
      </c>
      <c r="GX96"/>
      <c r="GY96"/>
      <c r="GZ96"/>
      <c r="HA96"/>
      <c r="HB96"/>
      <c r="HC96"/>
      <c r="HD96"/>
      <c r="HE96"/>
      <c r="HF96"/>
      <c r="HG96"/>
      <c r="HH96"/>
      <c r="HV96" s="1">
        <v>2822277060</v>
      </c>
      <c r="HW96" s="1">
        <v>16274</v>
      </c>
      <c r="HX96" s="1">
        <v>350000</v>
      </c>
      <c r="HY96" s="1">
        <v>208064</v>
      </c>
      <c r="HZ96" s="1">
        <v>290.16000000000003</v>
      </c>
      <c r="IA96" s="1">
        <v>1</v>
      </c>
      <c r="IB96" s="1">
        <v>1</v>
      </c>
      <c r="IC96" s="1">
        <v>90</v>
      </c>
      <c r="ID96" s="1">
        <v>60003760</v>
      </c>
      <c r="IE96" s="1">
        <v>32767</v>
      </c>
      <c r="IF96" s="1">
        <v>0</v>
      </c>
      <c r="IT96" s="1">
        <v>2868010789</v>
      </c>
      <c r="IU96" s="1">
        <v>16679</v>
      </c>
      <c r="IV96" s="1">
        <v>300000</v>
      </c>
      <c r="IW96" s="1">
        <v>116801</v>
      </c>
      <c r="IX96" s="1">
        <v>1690</v>
      </c>
      <c r="IY96" s="1">
        <v>1</v>
      </c>
      <c r="IZ96" s="1">
        <v>1</v>
      </c>
      <c r="JA96" s="1">
        <v>30</v>
      </c>
      <c r="JB96" s="1">
        <v>60003760</v>
      </c>
      <c r="JC96" s="1">
        <v>-1</v>
      </c>
      <c r="JD96" s="1">
        <v>0</v>
      </c>
      <c r="JF96" s="1">
        <v>2877941150</v>
      </c>
      <c r="JG96" s="1">
        <v>16272</v>
      </c>
      <c r="JH96" s="1">
        <v>324778</v>
      </c>
      <c r="JI96" s="1">
        <v>324778</v>
      </c>
      <c r="JJ96" s="1">
        <v>74.83</v>
      </c>
      <c r="JK96" s="1">
        <v>1</v>
      </c>
      <c r="JL96" s="1">
        <v>0</v>
      </c>
      <c r="JM96" s="1">
        <v>30</v>
      </c>
      <c r="JN96" s="1">
        <v>60003760</v>
      </c>
      <c r="JO96" s="1">
        <v>32767</v>
      </c>
      <c r="JP96" s="1">
        <v>6</v>
      </c>
      <c r="KD96" s="1">
        <v>2849832240</v>
      </c>
      <c r="KE96" s="1">
        <v>25605</v>
      </c>
      <c r="KF96" s="1">
        <v>1000</v>
      </c>
      <c r="KG96" s="1">
        <v>1000</v>
      </c>
      <c r="KH96" s="1">
        <v>86000.4</v>
      </c>
      <c r="KI96" s="1">
        <v>1</v>
      </c>
      <c r="KJ96" s="1">
        <v>1</v>
      </c>
      <c r="KK96" s="1">
        <v>90</v>
      </c>
      <c r="KL96" s="1">
        <v>60003760</v>
      </c>
      <c r="KM96" s="1">
        <v>10</v>
      </c>
      <c r="KN96" s="1">
        <v>0</v>
      </c>
      <c r="KP96" s="1">
        <v>2868685446</v>
      </c>
      <c r="KQ96" s="1">
        <v>25624</v>
      </c>
      <c r="KR96" s="1">
        <v>48</v>
      </c>
      <c r="KS96" s="1">
        <v>48</v>
      </c>
      <c r="KT96" s="1">
        <v>14703002</v>
      </c>
      <c r="KU96" s="1">
        <v>1</v>
      </c>
      <c r="KV96" s="1">
        <v>1</v>
      </c>
      <c r="KW96" s="1">
        <v>90</v>
      </c>
      <c r="KX96" s="1">
        <v>60003760</v>
      </c>
      <c r="KY96" s="1">
        <v>-1</v>
      </c>
      <c r="KZ96" s="1">
        <v>0</v>
      </c>
      <c r="LB96" s="1">
        <v>2751958279</v>
      </c>
      <c r="LC96" s="1">
        <v>9832</v>
      </c>
      <c r="LD96" s="1">
        <v>7325</v>
      </c>
      <c r="LE96" s="1">
        <v>7325</v>
      </c>
      <c r="LF96" s="1">
        <v>10000</v>
      </c>
      <c r="LG96" s="1">
        <v>1</v>
      </c>
      <c r="LH96" s="1">
        <v>0</v>
      </c>
      <c r="LI96" s="1">
        <v>90</v>
      </c>
      <c r="LJ96" s="1">
        <v>60004081</v>
      </c>
      <c r="LK96" s="1">
        <v>32767</v>
      </c>
      <c r="LL96" s="1">
        <v>10</v>
      </c>
      <c r="ML96"/>
      <c r="MM96"/>
      <c r="MN96"/>
      <c r="MO96"/>
      <c r="MP96"/>
      <c r="MQ96"/>
      <c r="MR96"/>
      <c r="MS96"/>
      <c r="MT96"/>
      <c r="MU96"/>
      <c r="MV96"/>
      <c r="MX96" s="1">
        <v>2387846275</v>
      </c>
      <c r="MY96" s="1">
        <v>16672</v>
      </c>
      <c r="MZ96" s="1">
        <v>20000</v>
      </c>
      <c r="NA96" s="1">
        <v>20000</v>
      </c>
      <c r="NB96" s="1">
        <v>87.57</v>
      </c>
      <c r="NC96" s="1">
        <v>1</v>
      </c>
      <c r="ND96" s="1">
        <v>1</v>
      </c>
      <c r="NE96" s="1">
        <v>90</v>
      </c>
      <c r="NF96" s="1">
        <v>60003760</v>
      </c>
      <c r="NG96" s="1">
        <v>-1</v>
      </c>
      <c r="NH96" s="1">
        <v>0</v>
      </c>
      <c r="NJ96" s="1">
        <v>2863490979</v>
      </c>
      <c r="NK96" s="1">
        <v>16673</v>
      </c>
      <c r="NL96" s="1">
        <v>30000000</v>
      </c>
      <c r="NM96" s="1">
        <v>11854929</v>
      </c>
      <c r="NN96" s="1">
        <v>93.04</v>
      </c>
      <c r="NO96" s="1">
        <v>1</v>
      </c>
      <c r="NP96" s="1">
        <v>1</v>
      </c>
      <c r="NQ96" s="1">
        <v>90</v>
      </c>
      <c r="NR96" s="1">
        <v>60003760</v>
      </c>
      <c r="NS96" s="1">
        <v>-1</v>
      </c>
      <c r="NT96" s="1">
        <v>0</v>
      </c>
      <c r="NV96" s="1">
        <v>2870096741</v>
      </c>
      <c r="NW96" s="1">
        <v>3689</v>
      </c>
      <c r="NX96" s="1">
        <v>2936</v>
      </c>
      <c r="NY96" s="1">
        <v>436</v>
      </c>
      <c r="NZ96" s="1">
        <v>10220</v>
      </c>
      <c r="OA96" s="1">
        <v>1</v>
      </c>
      <c r="OB96" s="1">
        <v>0</v>
      </c>
      <c r="OC96" s="1">
        <v>90</v>
      </c>
      <c r="OD96" s="1">
        <v>60003193</v>
      </c>
      <c r="OE96" s="1">
        <v>32767</v>
      </c>
      <c r="OF96" s="1">
        <v>7</v>
      </c>
      <c r="OH96" s="1">
        <v>2859764230</v>
      </c>
      <c r="OI96" s="1">
        <v>25598</v>
      </c>
      <c r="OJ96" s="1">
        <v>45</v>
      </c>
      <c r="OK96" s="1">
        <v>45</v>
      </c>
      <c r="OL96" s="1">
        <v>145000</v>
      </c>
      <c r="OM96" s="1">
        <v>1</v>
      </c>
      <c r="ON96" s="1">
        <v>0</v>
      </c>
      <c r="OO96" s="1">
        <v>90</v>
      </c>
      <c r="OP96" s="1">
        <v>60003760</v>
      </c>
      <c r="OQ96" s="1">
        <v>32767</v>
      </c>
      <c r="OR96" s="1">
        <v>0</v>
      </c>
      <c r="OT96" s="1">
        <v>2878372613</v>
      </c>
      <c r="OU96" s="1">
        <v>25600</v>
      </c>
      <c r="OV96" s="1">
        <v>38</v>
      </c>
      <c r="OW96" s="1">
        <v>38</v>
      </c>
      <c r="OX96" s="1">
        <v>29841.7</v>
      </c>
      <c r="OY96" s="1">
        <v>1</v>
      </c>
      <c r="OZ96" s="1">
        <v>0</v>
      </c>
      <c r="PA96" s="1">
        <v>3</v>
      </c>
      <c r="PB96" s="1">
        <v>60003760</v>
      </c>
      <c r="PC96" s="1">
        <v>32767</v>
      </c>
      <c r="PD96" s="1">
        <v>0</v>
      </c>
      <c r="PF96" s="1">
        <v>2879085795</v>
      </c>
      <c r="PG96" s="1">
        <v>16670</v>
      </c>
      <c r="PH96" s="1">
        <v>680192</v>
      </c>
      <c r="PI96" s="1">
        <v>680192</v>
      </c>
      <c r="PJ96" s="1">
        <v>114.87</v>
      </c>
      <c r="PK96" s="1">
        <v>1</v>
      </c>
      <c r="PL96" s="1">
        <v>0</v>
      </c>
      <c r="PM96" s="1">
        <v>7</v>
      </c>
      <c r="PN96" s="1">
        <v>60003760</v>
      </c>
      <c r="PO96" s="1">
        <v>32767</v>
      </c>
      <c r="PP96" s="1">
        <v>0</v>
      </c>
      <c r="QD96"/>
      <c r="QE96"/>
      <c r="QF96"/>
      <c r="QG96"/>
      <c r="QH96"/>
      <c r="QI96"/>
      <c r="QJ96"/>
      <c r="QK96"/>
      <c r="QL96"/>
      <c r="QM96"/>
      <c r="QN96"/>
      <c r="RB96" s="1">
        <v>2878968801</v>
      </c>
      <c r="RC96" s="1">
        <v>16682</v>
      </c>
      <c r="RD96" s="1">
        <v>50000</v>
      </c>
      <c r="RE96" s="1">
        <v>50000</v>
      </c>
      <c r="RF96" s="1">
        <v>3247.1</v>
      </c>
      <c r="RG96" s="1">
        <v>1</v>
      </c>
      <c r="RH96" s="1">
        <v>1</v>
      </c>
      <c r="RI96" s="1">
        <v>90</v>
      </c>
      <c r="RJ96" s="1">
        <v>60003760</v>
      </c>
      <c r="RK96" s="1">
        <v>-1</v>
      </c>
      <c r="RL96" s="1">
        <v>0</v>
      </c>
      <c r="RN96" s="1">
        <v>2878274960</v>
      </c>
      <c r="RO96" s="1">
        <v>16678</v>
      </c>
      <c r="RP96" s="1">
        <v>22050000</v>
      </c>
      <c r="RQ96" s="1">
        <v>4904609</v>
      </c>
      <c r="RR96" s="1">
        <v>275.14</v>
      </c>
      <c r="RS96" s="1">
        <v>1</v>
      </c>
      <c r="RT96" s="1">
        <v>1</v>
      </c>
      <c r="RU96" s="1">
        <v>90</v>
      </c>
      <c r="RV96" s="1">
        <v>60003760</v>
      </c>
      <c r="RW96" s="1">
        <v>-1</v>
      </c>
      <c r="RX96" s="1">
        <v>0</v>
      </c>
      <c r="SX96" s="1">
        <v>2869378444</v>
      </c>
      <c r="SY96" s="1">
        <v>25595</v>
      </c>
      <c r="SZ96" s="1">
        <v>4</v>
      </c>
      <c r="TA96" s="1">
        <v>4</v>
      </c>
      <c r="TB96" s="1">
        <v>84000</v>
      </c>
      <c r="TC96" s="1">
        <v>1</v>
      </c>
      <c r="TD96" s="1">
        <v>0</v>
      </c>
      <c r="TE96" s="1">
        <v>30</v>
      </c>
      <c r="TF96" s="1">
        <v>60003760</v>
      </c>
      <c r="TG96" s="1">
        <v>32767</v>
      </c>
      <c r="TH96" s="1">
        <v>6</v>
      </c>
      <c r="TJ96" s="1">
        <v>2878511544</v>
      </c>
      <c r="TK96" s="1">
        <v>25606</v>
      </c>
      <c r="TL96" s="1">
        <v>2</v>
      </c>
      <c r="TM96" s="1">
        <v>2</v>
      </c>
      <c r="TN96" s="1">
        <v>22221.98</v>
      </c>
      <c r="TO96" s="1">
        <v>1</v>
      </c>
      <c r="TP96" s="1">
        <v>0</v>
      </c>
      <c r="TQ96" s="1">
        <v>90</v>
      </c>
      <c r="TR96" s="1">
        <v>60003760</v>
      </c>
      <c r="TS96" s="1">
        <v>32767</v>
      </c>
      <c r="TT96" s="1">
        <v>0</v>
      </c>
      <c r="TV96"/>
      <c r="TW96"/>
      <c r="TX96"/>
      <c r="TY96"/>
      <c r="TZ96"/>
      <c r="UA96"/>
      <c r="UB96"/>
      <c r="UC96"/>
      <c r="UD96"/>
      <c r="UE96"/>
      <c r="UF96"/>
      <c r="UT96"/>
      <c r="UU96"/>
      <c r="UV96"/>
      <c r="UW96"/>
      <c r="UX96"/>
      <c r="UY96"/>
      <c r="UZ96"/>
      <c r="VA96"/>
      <c r="VB96"/>
      <c r="VC96"/>
      <c r="VD96"/>
      <c r="VF96"/>
      <c r="VG96"/>
      <c r="VH96"/>
      <c r="VI96"/>
      <c r="VJ96"/>
      <c r="VK96"/>
      <c r="VL96"/>
      <c r="VM96"/>
      <c r="VN96"/>
      <c r="VO96"/>
      <c r="VP96"/>
    </row>
    <row r="97" spans="2:588" x14ac:dyDescent="0.25">
      <c r="B97" s="1">
        <v>2763228358</v>
      </c>
      <c r="C97" s="1">
        <v>34</v>
      </c>
      <c r="D97" s="1">
        <v>34773</v>
      </c>
      <c r="E97" s="1">
        <v>34773</v>
      </c>
      <c r="F97" s="1">
        <v>6.5</v>
      </c>
      <c r="G97" s="1">
        <v>1</v>
      </c>
      <c r="H97" s="1">
        <v>0</v>
      </c>
      <c r="I97" s="1">
        <v>90</v>
      </c>
      <c r="J97" s="1">
        <v>60003760</v>
      </c>
      <c r="K97" s="1">
        <v>32767</v>
      </c>
      <c r="L97" s="1">
        <v>0</v>
      </c>
      <c r="N97" s="1">
        <v>2847301831</v>
      </c>
      <c r="O97" s="1">
        <v>35</v>
      </c>
      <c r="P97" s="1">
        <v>806532</v>
      </c>
      <c r="Q97" s="1">
        <v>806532</v>
      </c>
      <c r="R97" s="1">
        <v>15.8</v>
      </c>
      <c r="S97" s="1">
        <v>1</v>
      </c>
      <c r="T97" s="1">
        <v>0</v>
      </c>
      <c r="U97" s="1">
        <v>90</v>
      </c>
      <c r="V97" s="1">
        <v>60003760</v>
      </c>
      <c r="W97" s="1">
        <v>32767</v>
      </c>
      <c r="X97" s="1">
        <v>0</v>
      </c>
      <c r="Z97" s="1">
        <v>2837648806</v>
      </c>
      <c r="AA97" s="1">
        <v>36</v>
      </c>
      <c r="AB97" s="1">
        <v>1536172</v>
      </c>
      <c r="AC97" s="1">
        <v>1536172</v>
      </c>
      <c r="AD97" s="16">
        <v>54</v>
      </c>
      <c r="AE97" s="1">
        <v>1</v>
      </c>
      <c r="AF97" s="1">
        <v>0</v>
      </c>
      <c r="AG97" s="1">
        <v>30</v>
      </c>
      <c r="AH97" s="1">
        <v>60003760</v>
      </c>
      <c r="AI97" s="1">
        <v>32767</v>
      </c>
      <c r="AJ97" s="1">
        <v>11</v>
      </c>
      <c r="AL97" s="1">
        <v>2870975517</v>
      </c>
      <c r="AM97" s="1">
        <v>37</v>
      </c>
      <c r="AN97" s="1">
        <v>2427940</v>
      </c>
      <c r="AO97" s="1">
        <v>2427940</v>
      </c>
      <c r="AP97" s="16">
        <v>151.77000000000001</v>
      </c>
      <c r="AQ97" s="1">
        <v>1</v>
      </c>
      <c r="AR97" s="1">
        <v>0</v>
      </c>
      <c r="AS97" s="1">
        <v>90</v>
      </c>
      <c r="AT97" s="1">
        <v>60003760</v>
      </c>
      <c r="AU97" s="1">
        <v>32767</v>
      </c>
      <c r="AV97" s="1">
        <v>9</v>
      </c>
      <c r="AX97" s="1">
        <v>2792884142</v>
      </c>
      <c r="AY97" s="1">
        <v>38</v>
      </c>
      <c r="AZ97" s="1">
        <v>4296</v>
      </c>
      <c r="BA97" s="1">
        <v>2890</v>
      </c>
      <c r="BB97" s="1">
        <v>2500</v>
      </c>
      <c r="BC97" s="1">
        <v>1</v>
      </c>
      <c r="BD97" s="1">
        <v>0</v>
      </c>
      <c r="BE97" s="1">
        <v>90</v>
      </c>
      <c r="BF97" s="1">
        <v>60015027</v>
      </c>
      <c r="BG97" s="1">
        <v>32767</v>
      </c>
      <c r="BH97" s="1">
        <v>3</v>
      </c>
      <c r="BJ97" s="1">
        <v>2817604925</v>
      </c>
      <c r="BK97" s="1">
        <v>39</v>
      </c>
      <c r="BL97" s="1">
        <v>109837</v>
      </c>
      <c r="BM97" s="1">
        <v>81220</v>
      </c>
      <c r="BN97" s="1">
        <v>1418.36</v>
      </c>
      <c r="BO97" s="1">
        <v>1</v>
      </c>
      <c r="BP97" s="1">
        <v>0</v>
      </c>
      <c r="BQ97" s="1">
        <v>90</v>
      </c>
      <c r="BR97" s="1">
        <v>60004474</v>
      </c>
      <c r="BS97" s="1">
        <v>32767</v>
      </c>
      <c r="BT97" s="1">
        <v>11</v>
      </c>
      <c r="BV97" s="1">
        <v>2398771466</v>
      </c>
      <c r="BW97" s="1">
        <v>40</v>
      </c>
      <c r="BX97" s="1">
        <v>388</v>
      </c>
      <c r="BY97" s="1">
        <v>138</v>
      </c>
      <c r="BZ97" s="1">
        <v>3100</v>
      </c>
      <c r="CA97" s="1">
        <v>1</v>
      </c>
      <c r="CB97" s="1">
        <v>0</v>
      </c>
      <c r="CC97" s="1">
        <v>30</v>
      </c>
      <c r="CD97" s="1">
        <v>60004054</v>
      </c>
      <c r="CE97" s="1">
        <v>32767</v>
      </c>
      <c r="CF97" s="1">
        <v>8</v>
      </c>
      <c r="CH97" s="1">
        <v>2400980186</v>
      </c>
      <c r="CI97" s="1">
        <v>29668</v>
      </c>
      <c r="CJ97" s="1">
        <v>8</v>
      </c>
      <c r="CK97" s="1">
        <v>8</v>
      </c>
      <c r="CL97" s="1">
        <v>499900001</v>
      </c>
      <c r="CM97" s="1">
        <v>1</v>
      </c>
      <c r="CN97" s="1">
        <v>0</v>
      </c>
      <c r="CO97" s="1">
        <v>90</v>
      </c>
      <c r="CP97" s="1">
        <v>60003760</v>
      </c>
      <c r="CQ97" s="1">
        <v>32767</v>
      </c>
      <c r="CR97" s="1">
        <v>0</v>
      </c>
      <c r="CT97" s="1">
        <v>2411160692</v>
      </c>
      <c r="CU97" s="1">
        <v>16649</v>
      </c>
      <c r="CV97" s="1">
        <v>25000</v>
      </c>
      <c r="CW97" s="1">
        <v>25000</v>
      </c>
      <c r="CX97" s="1">
        <v>98002.05</v>
      </c>
      <c r="CY97" s="1">
        <v>1</v>
      </c>
      <c r="CZ97" s="1">
        <v>1</v>
      </c>
      <c r="DA97" s="1">
        <v>90</v>
      </c>
      <c r="DB97" s="1">
        <v>60003760</v>
      </c>
      <c r="DC97" s="1">
        <v>-1</v>
      </c>
      <c r="DD97" s="1">
        <v>0</v>
      </c>
      <c r="DF97" s="1">
        <v>2382142397</v>
      </c>
      <c r="DG97" s="1">
        <v>17887</v>
      </c>
      <c r="DH97" s="1">
        <v>6327</v>
      </c>
      <c r="DI97" s="1">
        <v>6327</v>
      </c>
      <c r="DJ97" s="1">
        <v>1880</v>
      </c>
      <c r="DK97" s="1">
        <v>1</v>
      </c>
      <c r="DL97" s="1">
        <v>0</v>
      </c>
      <c r="DM97" s="1">
        <v>90</v>
      </c>
      <c r="DN97" s="1">
        <v>60004078</v>
      </c>
      <c r="DO97" s="1">
        <v>32767</v>
      </c>
      <c r="DP97" s="1">
        <v>10</v>
      </c>
      <c r="DR97" s="1">
        <v>2863426242</v>
      </c>
      <c r="DS97" s="1">
        <v>17888</v>
      </c>
      <c r="DT97" s="1">
        <v>1473224</v>
      </c>
      <c r="DU97" s="1">
        <v>443224</v>
      </c>
      <c r="DV97" s="1">
        <v>349.94</v>
      </c>
      <c r="DW97" s="1">
        <v>1</v>
      </c>
      <c r="DX97" s="1">
        <v>0</v>
      </c>
      <c r="DY97" s="1">
        <v>90</v>
      </c>
      <c r="DZ97" s="1">
        <v>60003760</v>
      </c>
      <c r="EA97" s="1">
        <v>32767</v>
      </c>
      <c r="EB97" s="1">
        <v>8</v>
      </c>
      <c r="ED97" s="1">
        <v>2833007258</v>
      </c>
      <c r="EE97" s="1">
        <v>16273</v>
      </c>
      <c r="EF97" s="1">
        <v>200022</v>
      </c>
      <c r="EG97" s="1">
        <v>199672</v>
      </c>
      <c r="EH97" s="1">
        <v>592.6</v>
      </c>
      <c r="EI97" s="1">
        <v>1</v>
      </c>
      <c r="EJ97" s="1">
        <v>0</v>
      </c>
      <c r="EK97" s="1">
        <v>90</v>
      </c>
      <c r="EL97" s="1">
        <v>60000304</v>
      </c>
      <c r="EM97" s="1">
        <v>32767</v>
      </c>
      <c r="EN97" s="1">
        <v>7</v>
      </c>
      <c r="EP97" s="1">
        <v>2643222710</v>
      </c>
      <c r="EQ97" s="1">
        <v>17889</v>
      </c>
      <c r="ER97" s="1">
        <v>4000000</v>
      </c>
      <c r="ES97" s="1">
        <v>3999206</v>
      </c>
      <c r="ET97" s="1">
        <v>171.17</v>
      </c>
      <c r="EU97" s="1">
        <v>10</v>
      </c>
      <c r="EV97" s="1">
        <v>1</v>
      </c>
      <c r="EW97" s="1">
        <v>90</v>
      </c>
      <c r="EX97" s="1">
        <v>60003760</v>
      </c>
      <c r="EY97" s="1">
        <v>20</v>
      </c>
      <c r="EZ97" s="1">
        <v>0</v>
      </c>
      <c r="FB97" s="1">
        <v>2868101966</v>
      </c>
      <c r="FC97" s="1">
        <v>30259</v>
      </c>
      <c r="FD97" s="1">
        <v>200</v>
      </c>
      <c r="FE97" s="1">
        <v>181</v>
      </c>
      <c r="FF97" s="1">
        <v>5509001.3899999997</v>
      </c>
      <c r="FG97" s="1">
        <v>1</v>
      </c>
      <c r="FH97" s="1">
        <v>1</v>
      </c>
      <c r="FI97" s="1">
        <v>14</v>
      </c>
      <c r="FJ97" s="1">
        <v>60003760</v>
      </c>
      <c r="FK97" s="1">
        <v>-1</v>
      </c>
      <c r="FL97" s="1">
        <v>0</v>
      </c>
      <c r="FN97" s="1">
        <v>2878234006</v>
      </c>
      <c r="FO97" s="1">
        <v>25617</v>
      </c>
      <c r="FP97" s="1">
        <v>500</v>
      </c>
      <c r="FQ97" s="1">
        <v>489</v>
      </c>
      <c r="FR97" s="1">
        <v>4912001</v>
      </c>
      <c r="FS97" s="1">
        <v>1</v>
      </c>
      <c r="FT97" s="1">
        <v>1</v>
      </c>
      <c r="FU97" s="1">
        <v>90</v>
      </c>
      <c r="FV97" s="1">
        <v>60003760</v>
      </c>
      <c r="FW97" s="1">
        <v>-1</v>
      </c>
      <c r="FX97" s="1">
        <v>0</v>
      </c>
      <c r="FZ97" s="1">
        <v>2879026213</v>
      </c>
      <c r="GA97" s="1">
        <v>44</v>
      </c>
      <c r="GB97" s="1">
        <v>185</v>
      </c>
      <c r="GC97" s="1">
        <v>185</v>
      </c>
      <c r="GD97" s="1">
        <v>12500</v>
      </c>
      <c r="GE97" s="1">
        <v>1</v>
      </c>
      <c r="GF97" s="1">
        <v>0</v>
      </c>
      <c r="GG97" s="1">
        <v>1</v>
      </c>
      <c r="GH97" s="1">
        <v>60003469</v>
      </c>
      <c r="GI97" s="1">
        <v>32767</v>
      </c>
      <c r="GJ97" s="1">
        <v>0</v>
      </c>
      <c r="GL97" s="1">
        <v>2404421920</v>
      </c>
      <c r="GM97" s="1">
        <v>16681</v>
      </c>
      <c r="GN97" s="1">
        <v>20000</v>
      </c>
      <c r="GO97" s="1">
        <v>20000</v>
      </c>
      <c r="GP97" s="1">
        <v>5850</v>
      </c>
      <c r="GQ97" s="1">
        <v>1</v>
      </c>
      <c r="GR97" s="1">
        <v>1</v>
      </c>
      <c r="GS97" s="1">
        <v>30</v>
      </c>
      <c r="GT97" s="1">
        <v>60003760</v>
      </c>
      <c r="GU97" s="1">
        <v>0</v>
      </c>
      <c r="GV97" s="1">
        <v>0</v>
      </c>
      <c r="GX97"/>
      <c r="GY97"/>
      <c r="GZ97"/>
      <c r="HA97"/>
      <c r="HB97"/>
      <c r="HC97"/>
      <c r="HD97"/>
      <c r="HE97"/>
      <c r="HF97"/>
      <c r="HG97"/>
      <c r="HH97"/>
      <c r="HV97" s="1">
        <v>2825477827</v>
      </c>
      <c r="HW97" s="1">
        <v>16274</v>
      </c>
      <c r="HX97" s="1">
        <v>10000000</v>
      </c>
      <c r="HY97" s="1">
        <v>10000000</v>
      </c>
      <c r="HZ97" s="1">
        <v>319.86</v>
      </c>
      <c r="IA97" s="1">
        <v>1</v>
      </c>
      <c r="IB97" s="1">
        <v>1</v>
      </c>
      <c r="IC97" s="1">
        <v>90</v>
      </c>
      <c r="ID97" s="1">
        <v>60003760</v>
      </c>
      <c r="IE97" s="1">
        <v>-1</v>
      </c>
      <c r="IF97" s="1">
        <v>0</v>
      </c>
      <c r="IT97" s="1">
        <v>2868766508</v>
      </c>
      <c r="IU97" s="1">
        <v>16679</v>
      </c>
      <c r="IV97" s="1">
        <v>50000</v>
      </c>
      <c r="IW97" s="1">
        <v>50000</v>
      </c>
      <c r="IX97" s="1">
        <v>1681.38</v>
      </c>
      <c r="IY97" s="1">
        <v>1</v>
      </c>
      <c r="IZ97" s="1">
        <v>1</v>
      </c>
      <c r="JA97" s="1">
        <v>90</v>
      </c>
      <c r="JB97" s="1">
        <v>60003760</v>
      </c>
      <c r="JC97" s="1">
        <v>-1</v>
      </c>
      <c r="JD97" s="1">
        <v>0</v>
      </c>
      <c r="JF97" s="1">
        <v>2878577252</v>
      </c>
      <c r="JG97" s="1">
        <v>16272</v>
      </c>
      <c r="JH97" s="1">
        <v>448760</v>
      </c>
      <c r="JI97" s="1">
        <v>448760</v>
      </c>
      <c r="JJ97" s="1">
        <v>74.83</v>
      </c>
      <c r="JK97" s="1">
        <v>1</v>
      </c>
      <c r="JL97" s="1">
        <v>0</v>
      </c>
      <c r="JM97" s="1">
        <v>30</v>
      </c>
      <c r="JN97" s="1">
        <v>60003760</v>
      </c>
      <c r="JO97" s="1">
        <v>32767</v>
      </c>
      <c r="JP97" s="1">
        <v>0</v>
      </c>
      <c r="KD97" s="1">
        <v>2858930056</v>
      </c>
      <c r="KE97" s="1">
        <v>25605</v>
      </c>
      <c r="KF97" s="1">
        <v>5000</v>
      </c>
      <c r="KG97" s="1">
        <v>5000</v>
      </c>
      <c r="KH97" s="1">
        <v>105255.21</v>
      </c>
      <c r="KI97" s="1">
        <v>1</v>
      </c>
      <c r="KJ97" s="1">
        <v>1</v>
      </c>
      <c r="KK97" s="1">
        <v>90</v>
      </c>
      <c r="KL97" s="1">
        <v>60003760</v>
      </c>
      <c r="KM97" s="1">
        <v>-1</v>
      </c>
      <c r="KN97" s="1">
        <v>0</v>
      </c>
      <c r="KP97" s="1">
        <v>2868760044</v>
      </c>
      <c r="KQ97" s="1">
        <v>25624</v>
      </c>
      <c r="KR97" s="1">
        <v>30</v>
      </c>
      <c r="KS97" s="1">
        <v>30</v>
      </c>
      <c r="KT97" s="1">
        <v>17122140</v>
      </c>
      <c r="KU97" s="1">
        <v>1</v>
      </c>
      <c r="KV97" s="1">
        <v>1</v>
      </c>
      <c r="KW97" s="1">
        <v>90</v>
      </c>
      <c r="KX97" s="1">
        <v>60003760</v>
      </c>
      <c r="KY97" s="1">
        <v>-1</v>
      </c>
      <c r="KZ97" s="1">
        <v>0</v>
      </c>
      <c r="LB97" s="1">
        <v>2849011748</v>
      </c>
      <c r="LC97" s="1">
        <v>9832</v>
      </c>
      <c r="LD97" s="1">
        <v>1614</v>
      </c>
      <c r="LE97" s="1">
        <v>1614</v>
      </c>
      <c r="LF97" s="1">
        <v>10000</v>
      </c>
      <c r="LG97" s="1">
        <v>1</v>
      </c>
      <c r="LH97" s="1">
        <v>0</v>
      </c>
      <c r="LI97" s="1">
        <v>30</v>
      </c>
      <c r="LJ97" s="1">
        <v>60000925</v>
      </c>
      <c r="LK97" s="1">
        <v>32767</v>
      </c>
      <c r="LL97" s="1">
        <v>10</v>
      </c>
      <c r="ML97"/>
      <c r="MM97"/>
      <c r="MN97"/>
      <c r="MO97"/>
      <c r="MP97"/>
      <c r="MQ97"/>
      <c r="MR97"/>
      <c r="MS97"/>
      <c r="MT97"/>
      <c r="MU97"/>
      <c r="MV97"/>
      <c r="MX97"/>
      <c r="MY97"/>
      <c r="MZ97"/>
      <c r="NA97"/>
      <c r="NB97"/>
      <c r="NC97"/>
      <c r="ND97"/>
      <c r="NE97"/>
      <c r="NF97"/>
      <c r="NG97"/>
      <c r="NH97"/>
      <c r="NJ97" s="1">
        <v>2387682700</v>
      </c>
      <c r="NK97" s="1">
        <v>16673</v>
      </c>
      <c r="NL97" s="1">
        <v>15000000</v>
      </c>
      <c r="NM97" s="1">
        <v>15000000</v>
      </c>
      <c r="NN97" s="1">
        <v>80</v>
      </c>
      <c r="NO97" s="1">
        <v>1</v>
      </c>
      <c r="NP97" s="1">
        <v>1</v>
      </c>
      <c r="NQ97" s="1">
        <v>90</v>
      </c>
      <c r="NR97" s="1">
        <v>60003760</v>
      </c>
      <c r="NS97" s="1">
        <v>-1</v>
      </c>
      <c r="NT97" s="1">
        <v>0</v>
      </c>
      <c r="NV97" s="1">
        <v>2837780318</v>
      </c>
      <c r="NW97" s="1">
        <v>3689</v>
      </c>
      <c r="NX97" s="1">
        <v>2540</v>
      </c>
      <c r="NY97" s="1">
        <v>2540</v>
      </c>
      <c r="NZ97" s="1">
        <v>11000</v>
      </c>
      <c r="OA97" s="1">
        <v>1</v>
      </c>
      <c r="OB97" s="1">
        <v>0</v>
      </c>
      <c r="OC97" s="1">
        <v>90</v>
      </c>
      <c r="OD97" s="1">
        <v>60010822</v>
      </c>
      <c r="OE97" s="1">
        <v>32767</v>
      </c>
      <c r="OF97" s="1">
        <v>11</v>
      </c>
      <c r="OH97" s="1">
        <v>2860145287</v>
      </c>
      <c r="OI97" s="1">
        <v>25598</v>
      </c>
      <c r="OJ97" s="1">
        <v>208</v>
      </c>
      <c r="OK97" s="1">
        <v>208</v>
      </c>
      <c r="OL97" s="1">
        <v>167000</v>
      </c>
      <c r="OM97" s="1">
        <v>1</v>
      </c>
      <c r="ON97" s="1">
        <v>0</v>
      </c>
      <c r="OO97" s="1">
        <v>30</v>
      </c>
      <c r="OP97" s="1">
        <v>60003760</v>
      </c>
      <c r="OQ97" s="1">
        <v>32767</v>
      </c>
      <c r="OR97" s="1">
        <v>0</v>
      </c>
      <c r="OT97" s="1">
        <v>2878374843</v>
      </c>
      <c r="OU97" s="1">
        <v>25600</v>
      </c>
      <c r="OV97" s="1">
        <v>15</v>
      </c>
      <c r="OW97" s="1">
        <v>15</v>
      </c>
      <c r="OX97" s="1">
        <v>27000</v>
      </c>
      <c r="OY97" s="1">
        <v>1</v>
      </c>
      <c r="OZ97" s="1">
        <v>0</v>
      </c>
      <c r="PA97" s="1">
        <v>1</v>
      </c>
      <c r="PB97" s="1">
        <v>60002434</v>
      </c>
      <c r="PC97" s="1">
        <v>32767</v>
      </c>
      <c r="PD97" s="1">
        <v>3</v>
      </c>
      <c r="PF97" s="1">
        <v>2878559841</v>
      </c>
      <c r="PG97" s="1">
        <v>16670</v>
      </c>
      <c r="PH97" s="1">
        <v>3380000</v>
      </c>
      <c r="PI97" s="1">
        <v>3250300</v>
      </c>
      <c r="PJ97" s="1">
        <v>114.85</v>
      </c>
      <c r="PK97" s="1">
        <v>1</v>
      </c>
      <c r="PL97" s="1">
        <v>0</v>
      </c>
      <c r="PM97" s="1">
        <v>90</v>
      </c>
      <c r="PN97" s="1">
        <v>60003760</v>
      </c>
      <c r="PO97" s="1">
        <v>32767</v>
      </c>
      <c r="PP97" s="1">
        <v>0</v>
      </c>
      <c r="QD97"/>
      <c r="QE97"/>
      <c r="QF97"/>
      <c r="QG97"/>
      <c r="QH97"/>
      <c r="QI97"/>
      <c r="QJ97"/>
      <c r="QK97"/>
      <c r="QL97"/>
      <c r="QM97"/>
      <c r="QN97"/>
      <c r="RB97" s="1">
        <v>2879124715</v>
      </c>
      <c r="RC97" s="1">
        <v>16682</v>
      </c>
      <c r="RD97" s="1">
        <v>45528</v>
      </c>
      <c r="RE97" s="1">
        <v>45528</v>
      </c>
      <c r="RF97" s="1">
        <v>3247.11</v>
      </c>
      <c r="RG97" s="1">
        <v>1</v>
      </c>
      <c r="RH97" s="1">
        <v>1</v>
      </c>
      <c r="RI97" s="1">
        <v>90</v>
      </c>
      <c r="RJ97" s="1">
        <v>60003760</v>
      </c>
      <c r="RK97" s="1">
        <v>-1</v>
      </c>
      <c r="RL97" s="1">
        <v>0</v>
      </c>
      <c r="RN97" s="1">
        <v>2878969815</v>
      </c>
      <c r="RO97" s="1">
        <v>16678</v>
      </c>
      <c r="RP97" s="1">
        <v>500000</v>
      </c>
      <c r="RQ97" s="1">
        <v>499778</v>
      </c>
      <c r="RR97" s="1">
        <v>275.14999999999998</v>
      </c>
      <c r="RS97" s="1">
        <v>1</v>
      </c>
      <c r="RT97" s="1">
        <v>1</v>
      </c>
      <c r="RU97" s="1">
        <v>90</v>
      </c>
      <c r="RV97" s="1">
        <v>60003760</v>
      </c>
      <c r="RW97" s="1">
        <v>-1</v>
      </c>
      <c r="RX97" s="1">
        <v>0</v>
      </c>
      <c r="SX97" s="1">
        <v>2869149482</v>
      </c>
      <c r="SY97" s="1">
        <v>25595</v>
      </c>
      <c r="SZ97" s="1">
        <v>1941</v>
      </c>
      <c r="TA97" s="1">
        <v>1941</v>
      </c>
      <c r="TB97" s="1">
        <v>81749.990000000005</v>
      </c>
      <c r="TC97" s="1">
        <v>1</v>
      </c>
      <c r="TD97" s="1">
        <v>0</v>
      </c>
      <c r="TE97" s="1">
        <v>90</v>
      </c>
      <c r="TF97" s="1">
        <v>60003760</v>
      </c>
      <c r="TG97" s="1">
        <v>32767</v>
      </c>
      <c r="TH97" s="1">
        <v>6</v>
      </c>
      <c r="TJ97" s="1">
        <v>2878537210</v>
      </c>
      <c r="TK97" s="1">
        <v>25606</v>
      </c>
      <c r="TL97" s="1">
        <v>1004</v>
      </c>
      <c r="TM97" s="1">
        <v>1004</v>
      </c>
      <c r="TN97" s="1">
        <v>22220</v>
      </c>
      <c r="TO97" s="1">
        <v>1</v>
      </c>
      <c r="TP97" s="1">
        <v>0</v>
      </c>
      <c r="TQ97" s="1">
        <v>30</v>
      </c>
      <c r="TR97" s="1">
        <v>60003760</v>
      </c>
      <c r="TS97" s="1">
        <v>32767</v>
      </c>
      <c r="TT97" s="1">
        <v>0</v>
      </c>
      <c r="TV97"/>
      <c r="TW97"/>
      <c r="TX97"/>
      <c r="TY97"/>
      <c r="TZ97"/>
      <c r="UA97"/>
      <c r="UB97"/>
      <c r="UC97"/>
      <c r="UD97"/>
      <c r="UE97"/>
      <c r="UF97"/>
      <c r="UT97"/>
      <c r="UU97"/>
      <c r="UV97"/>
      <c r="UW97"/>
      <c r="UX97"/>
      <c r="UY97"/>
      <c r="UZ97"/>
      <c r="VA97"/>
      <c r="VB97"/>
      <c r="VC97"/>
      <c r="VD97"/>
      <c r="VF97"/>
      <c r="VG97"/>
      <c r="VH97"/>
      <c r="VI97"/>
      <c r="VJ97"/>
      <c r="VK97"/>
      <c r="VL97"/>
      <c r="VM97"/>
      <c r="VN97"/>
      <c r="VO97"/>
      <c r="VP97"/>
    </row>
    <row r="98" spans="2:588" x14ac:dyDescent="0.25">
      <c r="B98" s="1">
        <v>2767085641</v>
      </c>
      <c r="C98" s="1">
        <v>34</v>
      </c>
      <c r="D98" s="1">
        <v>90000000</v>
      </c>
      <c r="E98" s="1">
        <v>90000000</v>
      </c>
      <c r="F98" s="1">
        <v>6.23</v>
      </c>
      <c r="G98" s="1">
        <v>1</v>
      </c>
      <c r="H98" s="1">
        <v>0</v>
      </c>
      <c r="I98" s="1">
        <v>90</v>
      </c>
      <c r="J98" s="1">
        <v>60003760</v>
      </c>
      <c r="K98" s="1">
        <v>32767</v>
      </c>
      <c r="L98" s="1">
        <v>0</v>
      </c>
      <c r="N98" s="1">
        <v>2847642895</v>
      </c>
      <c r="O98" s="1">
        <v>35</v>
      </c>
      <c r="P98" s="1">
        <v>9701825</v>
      </c>
      <c r="Q98" s="1">
        <v>9701825</v>
      </c>
      <c r="R98" s="1">
        <v>15.66</v>
      </c>
      <c r="S98" s="1">
        <v>1</v>
      </c>
      <c r="T98" s="1">
        <v>0</v>
      </c>
      <c r="U98" s="1">
        <v>30</v>
      </c>
      <c r="V98" s="1">
        <v>60003760</v>
      </c>
      <c r="W98" s="1">
        <v>32767</v>
      </c>
      <c r="X98" s="1">
        <v>0</v>
      </c>
      <c r="Z98" s="1">
        <v>2833538516</v>
      </c>
      <c r="AA98" s="1">
        <v>36</v>
      </c>
      <c r="AB98" s="1">
        <v>161379</v>
      </c>
      <c r="AC98" s="1">
        <v>161379</v>
      </c>
      <c r="AD98" s="16">
        <v>53.17</v>
      </c>
      <c r="AE98" s="1">
        <v>1</v>
      </c>
      <c r="AF98" s="1">
        <v>0</v>
      </c>
      <c r="AG98" s="1">
        <v>90</v>
      </c>
      <c r="AH98" s="1">
        <v>60003760</v>
      </c>
      <c r="AI98" s="1">
        <v>32767</v>
      </c>
      <c r="AJ98" s="1">
        <v>11</v>
      </c>
      <c r="AL98" s="1">
        <v>2872125440</v>
      </c>
      <c r="AM98" s="1">
        <v>37</v>
      </c>
      <c r="AN98" s="1">
        <v>7159639</v>
      </c>
      <c r="AO98" s="1">
        <v>7159639</v>
      </c>
      <c r="AP98" s="16">
        <v>151.74</v>
      </c>
      <c r="AQ98" s="1">
        <v>1</v>
      </c>
      <c r="AR98" s="1">
        <v>0</v>
      </c>
      <c r="AS98" s="1">
        <v>90</v>
      </c>
      <c r="AT98" s="1">
        <v>60003760</v>
      </c>
      <c r="AU98" s="1">
        <v>32767</v>
      </c>
      <c r="AV98" s="1">
        <v>9</v>
      </c>
      <c r="AX98" s="1">
        <v>2878004037</v>
      </c>
      <c r="AY98" s="1">
        <v>38</v>
      </c>
      <c r="AZ98" s="1">
        <v>3333</v>
      </c>
      <c r="BA98" s="1">
        <v>561</v>
      </c>
      <c r="BB98" s="1">
        <v>799.99</v>
      </c>
      <c r="BC98" s="1">
        <v>1</v>
      </c>
      <c r="BD98" s="1">
        <v>0</v>
      </c>
      <c r="BE98" s="1">
        <v>14</v>
      </c>
      <c r="BF98" s="1">
        <v>60015027</v>
      </c>
      <c r="BG98" s="1">
        <v>32767</v>
      </c>
      <c r="BH98" s="1">
        <v>3</v>
      </c>
      <c r="BJ98" s="1">
        <v>2833003707</v>
      </c>
      <c r="BK98" s="1">
        <v>39</v>
      </c>
      <c r="BL98" s="1">
        <v>786959</v>
      </c>
      <c r="BM98" s="1">
        <v>645769</v>
      </c>
      <c r="BN98" s="1">
        <v>899.99</v>
      </c>
      <c r="BO98" s="1">
        <v>1</v>
      </c>
      <c r="BP98" s="1">
        <v>0</v>
      </c>
      <c r="BQ98" s="1">
        <v>90</v>
      </c>
      <c r="BR98" s="1">
        <v>60004474</v>
      </c>
      <c r="BS98" s="1">
        <v>32767</v>
      </c>
      <c r="BT98" s="1">
        <v>11</v>
      </c>
      <c r="BV98" s="1">
        <v>2405383444</v>
      </c>
      <c r="BW98" s="1">
        <v>40</v>
      </c>
      <c r="BX98" s="1">
        <v>389</v>
      </c>
      <c r="BY98" s="1">
        <v>239</v>
      </c>
      <c r="BZ98" s="1">
        <v>2700</v>
      </c>
      <c r="CA98" s="1">
        <v>1</v>
      </c>
      <c r="CB98" s="1">
        <v>0</v>
      </c>
      <c r="CC98" s="1">
        <v>30</v>
      </c>
      <c r="CD98" s="1">
        <v>60004054</v>
      </c>
      <c r="CE98" s="1">
        <v>32767</v>
      </c>
      <c r="CF98" s="1">
        <v>8</v>
      </c>
      <c r="CH98" s="1">
        <v>2403211844</v>
      </c>
      <c r="CI98" s="1">
        <v>29668</v>
      </c>
      <c r="CJ98" s="1">
        <v>5</v>
      </c>
      <c r="CK98" s="1">
        <v>5</v>
      </c>
      <c r="CL98" s="1">
        <v>650000000</v>
      </c>
      <c r="CM98" s="1">
        <v>1</v>
      </c>
      <c r="CN98" s="1">
        <v>0</v>
      </c>
      <c r="CO98" s="1">
        <v>90</v>
      </c>
      <c r="CP98" s="1">
        <v>60003760</v>
      </c>
      <c r="CQ98" s="1">
        <v>32767</v>
      </c>
      <c r="CR98" s="1">
        <v>0</v>
      </c>
      <c r="CT98" s="1">
        <v>2411087852</v>
      </c>
      <c r="CU98" s="1">
        <v>16649</v>
      </c>
      <c r="CV98" s="1">
        <v>20000</v>
      </c>
      <c r="CW98" s="1">
        <v>20000</v>
      </c>
      <c r="CX98" s="1">
        <v>98006.14</v>
      </c>
      <c r="CY98" s="1">
        <v>1</v>
      </c>
      <c r="CZ98" s="1">
        <v>1</v>
      </c>
      <c r="DA98" s="1">
        <v>90</v>
      </c>
      <c r="DB98" s="1">
        <v>60003760</v>
      </c>
      <c r="DC98" s="1">
        <v>-1</v>
      </c>
      <c r="DD98" s="1">
        <v>0</v>
      </c>
      <c r="DF98" s="1">
        <v>2376698451</v>
      </c>
      <c r="DG98" s="1">
        <v>17887</v>
      </c>
      <c r="DH98" s="1">
        <v>109822</v>
      </c>
      <c r="DI98" s="1">
        <v>33726</v>
      </c>
      <c r="DJ98" s="1">
        <v>6000.69</v>
      </c>
      <c r="DK98" s="1">
        <v>1</v>
      </c>
      <c r="DL98" s="1">
        <v>0</v>
      </c>
      <c r="DM98" s="1">
        <v>90</v>
      </c>
      <c r="DN98" s="1">
        <v>60003043</v>
      </c>
      <c r="DO98" s="1">
        <v>32767</v>
      </c>
      <c r="DP98" s="1">
        <v>10</v>
      </c>
      <c r="DR98" s="1">
        <v>2863378898</v>
      </c>
      <c r="DS98" s="1">
        <v>17888</v>
      </c>
      <c r="DT98" s="1">
        <v>3285300</v>
      </c>
      <c r="DU98" s="1">
        <v>3218634</v>
      </c>
      <c r="DV98" s="1">
        <v>350.48</v>
      </c>
      <c r="DW98" s="1">
        <v>1</v>
      </c>
      <c r="DX98" s="1">
        <v>0</v>
      </c>
      <c r="DY98" s="1">
        <v>90</v>
      </c>
      <c r="DZ98" s="1">
        <v>60003760</v>
      </c>
      <c r="EA98" s="1">
        <v>32767</v>
      </c>
      <c r="EB98" s="1">
        <v>8</v>
      </c>
      <c r="ED98" s="1">
        <v>2833007569</v>
      </c>
      <c r="EE98" s="1">
        <v>16273</v>
      </c>
      <c r="EF98" s="1">
        <v>192770</v>
      </c>
      <c r="EG98" s="1">
        <v>192770</v>
      </c>
      <c r="EH98" s="1">
        <v>600</v>
      </c>
      <c r="EI98" s="1">
        <v>1</v>
      </c>
      <c r="EJ98" s="1">
        <v>0</v>
      </c>
      <c r="EK98" s="1">
        <v>90</v>
      </c>
      <c r="EL98" s="1">
        <v>60000301</v>
      </c>
      <c r="EM98" s="1">
        <v>32767</v>
      </c>
      <c r="EN98" s="1">
        <v>7</v>
      </c>
      <c r="EP98" s="1">
        <v>2643222953</v>
      </c>
      <c r="EQ98" s="1">
        <v>17889</v>
      </c>
      <c r="ER98" s="1">
        <v>3000000</v>
      </c>
      <c r="ES98" s="1">
        <v>2985466</v>
      </c>
      <c r="ET98" s="1">
        <v>231.87</v>
      </c>
      <c r="EU98" s="1">
        <v>1</v>
      </c>
      <c r="EV98" s="1">
        <v>1</v>
      </c>
      <c r="EW98" s="1">
        <v>90</v>
      </c>
      <c r="EX98" s="1">
        <v>60003760</v>
      </c>
      <c r="EY98" s="1">
        <v>10</v>
      </c>
      <c r="EZ98" s="1">
        <v>0</v>
      </c>
      <c r="FB98" s="1">
        <v>2867992171</v>
      </c>
      <c r="FC98" s="1">
        <v>30259</v>
      </c>
      <c r="FD98" s="1">
        <v>200</v>
      </c>
      <c r="FE98" s="1">
        <v>173</v>
      </c>
      <c r="FF98" s="1">
        <v>5509001.0099999998</v>
      </c>
      <c r="FG98" s="1">
        <v>1</v>
      </c>
      <c r="FH98" s="1">
        <v>1</v>
      </c>
      <c r="FI98" s="1">
        <v>14</v>
      </c>
      <c r="FJ98" s="1">
        <v>60003760</v>
      </c>
      <c r="FK98" s="1">
        <v>-1</v>
      </c>
      <c r="FL98" s="1">
        <v>0</v>
      </c>
      <c r="FN98" s="1">
        <v>2873477807</v>
      </c>
      <c r="FO98" s="1">
        <v>25617</v>
      </c>
      <c r="FP98" s="1">
        <v>500</v>
      </c>
      <c r="FQ98" s="1">
        <v>373</v>
      </c>
      <c r="FR98" s="1">
        <v>4912001.0199999996</v>
      </c>
      <c r="FS98" s="1">
        <v>1</v>
      </c>
      <c r="FT98" s="1">
        <v>1</v>
      </c>
      <c r="FU98" s="1">
        <v>90</v>
      </c>
      <c r="FV98" s="1">
        <v>60003760</v>
      </c>
      <c r="FW98" s="1">
        <v>-1</v>
      </c>
      <c r="FX98" s="1">
        <v>0</v>
      </c>
      <c r="FZ98" s="1">
        <v>2757112078</v>
      </c>
      <c r="GA98" s="1">
        <v>44</v>
      </c>
      <c r="GB98" s="1">
        <v>10000</v>
      </c>
      <c r="GC98" s="1">
        <v>10000</v>
      </c>
      <c r="GD98" s="1">
        <v>9503</v>
      </c>
      <c r="GE98" s="1">
        <v>1</v>
      </c>
      <c r="GF98" s="1">
        <v>1</v>
      </c>
      <c r="GG98" s="1">
        <v>90</v>
      </c>
      <c r="GH98" s="1">
        <v>60003760</v>
      </c>
      <c r="GI98" s="1">
        <v>-1</v>
      </c>
      <c r="GJ98" s="1">
        <v>0</v>
      </c>
      <c r="GL98" s="1">
        <v>2405507638</v>
      </c>
      <c r="GM98" s="1">
        <v>16681</v>
      </c>
      <c r="GN98" s="1">
        <v>56500</v>
      </c>
      <c r="GO98" s="1">
        <v>56500</v>
      </c>
      <c r="GP98" s="1">
        <v>5875</v>
      </c>
      <c r="GQ98" s="1">
        <v>1</v>
      </c>
      <c r="GR98" s="1">
        <v>1</v>
      </c>
      <c r="GS98" s="1">
        <v>90</v>
      </c>
      <c r="GT98" s="1">
        <v>60003760</v>
      </c>
      <c r="GU98" s="1">
        <v>-1</v>
      </c>
      <c r="GV98" s="1">
        <v>0</v>
      </c>
      <c r="GX98"/>
      <c r="GY98"/>
      <c r="GZ98"/>
      <c r="HA98"/>
      <c r="HB98"/>
      <c r="HC98"/>
      <c r="HD98"/>
      <c r="HE98"/>
      <c r="HF98"/>
      <c r="HG98"/>
      <c r="HH98"/>
      <c r="HV98" s="1">
        <v>2759021145</v>
      </c>
      <c r="HW98" s="1">
        <v>16274</v>
      </c>
      <c r="HX98" s="1">
        <v>20000000</v>
      </c>
      <c r="HY98" s="1">
        <v>20000000</v>
      </c>
      <c r="HZ98" s="1">
        <v>319.88</v>
      </c>
      <c r="IA98" s="1">
        <v>1</v>
      </c>
      <c r="IB98" s="1">
        <v>1</v>
      </c>
      <c r="IC98" s="1">
        <v>90</v>
      </c>
      <c r="ID98" s="1">
        <v>60003760</v>
      </c>
      <c r="IE98" s="1">
        <v>-1</v>
      </c>
      <c r="IF98" s="1">
        <v>0</v>
      </c>
      <c r="IT98" s="1">
        <v>2868898806</v>
      </c>
      <c r="IU98" s="1">
        <v>16679</v>
      </c>
      <c r="IV98" s="1">
        <v>100000</v>
      </c>
      <c r="IW98" s="1">
        <v>100000</v>
      </c>
      <c r="IX98" s="1">
        <v>1681.45</v>
      </c>
      <c r="IY98" s="1">
        <v>1</v>
      </c>
      <c r="IZ98" s="1">
        <v>1</v>
      </c>
      <c r="JA98" s="1">
        <v>90</v>
      </c>
      <c r="JB98" s="1">
        <v>60003760</v>
      </c>
      <c r="JC98" s="1">
        <v>-1</v>
      </c>
      <c r="JD98" s="1">
        <v>0</v>
      </c>
      <c r="JF98" s="1">
        <v>2878659949</v>
      </c>
      <c r="JG98" s="1">
        <v>16272</v>
      </c>
      <c r="JH98" s="1">
        <v>89856</v>
      </c>
      <c r="JI98" s="1">
        <v>89856</v>
      </c>
      <c r="JJ98" s="1">
        <v>75</v>
      </c>
      <c r="JK98" s="1">
        <v>1</v>
      </c>
      <c r="JL98" s="1">
        <v>0</v>
      </c>
      <c r="JM98" s="1">
        <v>90</v>
      </c>
      <c r="JN98" s="1">
        <v>60003760</v>
      </c>
      <c r="JO98" s="1">
        <v>32767</v>
      </c>
      <c r="JP98" s="1">
        <v>0</v>
      </c>
      <c r="KD98" s="1">
        <v>2605591574</v>
      </c>
      <c r="KE98" s="1">
        <v>25605</v>
      </c>
      <c r="KF98" s="1">
        <v>50000</v>
      </c>
      <c r="KG98" s="1">
        <v>47355</v>
      </c>
      <c r="KH98" s="1">
        <v>71001.05</v>
      </c>
      <c r="KI98" s="1">
        <v>1</v>
      </c>
      <c r="KJ98" s="1">
        <v>1</v>
      </c>
      <c r="KK98" s="1">
        <v>90</v>
      </c>
      <c r="KL98" s="1">
        <v>60003760</v>
      </c>
      <c r="KM98" s="1">
        <v>-1</v>
      </c>
      <c r="KN98" s="1">
        <v>0</v>
      </c>
      <c r="KP98" s="1">
        <v>2868524077</v>
      </c>
      <c r="KQ98" s="1">
        <v>25624</v>
      </c>
      <c r="KR98" s="1">
        <v>30</v>
      </c>
      <c r="KS98" s="1">
        <v>30</v>
      </c>
      <c r="KT98" s="1">
        <v>14700000.029999999</v>
      </c>
      <c r="KU98" s="1">
        <v>1</v>
      </c>
      <c r="KV98" s="1">
        <v>1</v>
      </c>
      <c r="KW98" s="1">
        <v>90</v>
      </c>
      <c r="KX98" s="1">
        <v>60003760</v>
      </c>
      <c r="KY98" s="1">
        <v>-1</v>
      </c>
      <c r="KZ98" s="1">
        <v>0</v>
      </c>
      <c r="LB98" s="1">
        <v>2837060850</v>
      </c>
      <c r="LC98" s="1">
        <v>9832</v>
      </c>
      <c r="LD98" s="1">
        <v>1075</v>
      </c>
      <c r="LE98" s="1">
        <v>869</v>
      </c>
      <c r="LF98" s="1">
        <v>9200</v>
      </c>
      <c r="LG98" s="1">
        <v>1</v>
      </c>
      <c r="LH98" s="1">
        <v>0</v>
      </c>
      <c r="LI98" s="1">
        <v>90</v>
      </c>
      <c r="LJ98" s="1">
        <v>60001801</v>
      </c>
      <c r="LK98" s="1">
        <v>32767</v>
      </c>
      <c r="LL98" s="1">
        <v>10</v>
      </c>
      <c r="ML98"/>
      <c r="MM98"/>
      <c r="MN98"/>
      <c r="MO98"/>
      <c r="MP98"/>
      <c r="MQ98"/>
      <c r="MR98"/>
      <c r="MS98"/>
      <c r="MT98"/>
      <c r="MU98"/>
      <c r="MV98"/>
      <c r="MX98"/>
      <c r="MY98"/>
      <c r="MZ98"/>
      <c r="NA98"/>
      <c r="NB98"/>
      <c r="NC98"/>
      <c r="ND98"/>
      <c r="NE98"/>
      <c r="NF98"/>
      <c r="NG98"/>
      <c r="NH98"/>
      <c r="NJ98" s="1">
        <v>2643216656</v>
      </c>
      <c r="NK98" s="1">
        <v>16673</v>
      </c>
      <c r="NL98" s="1">
        <v>10000000</v>
      </c>
      <c r="NM98" s="1">
        <v>8612018</v>
      </c>
      <c r="NN98" s="1">
        <v>86.07</v>
      </c>
      <c r="NO98" s="1">
        <v>1</v>
      </c>
      <c r="NP98" s="1">
        <v>1</v>
      </c>
      <c r="NQ98" s="1">
        <v>90</v>
      </c>
      <c r="NR98" s="1">
        <v>60003760</v>
      </c>
      <c r="NS98" s="1">
        <v>10</v>
      </c>
      <c r="NT98" s="1">
        <v>0</v>
      </c>
      <c r="NV98" s="1">
        <v>2847370360</v>
      </c>
      <c r="NW98" s="1">
        <v>3689</v>
      </c>
      <c r="NX98" s="1">
        <v>1615</v>
      </c>
      <c r="NY98" s="1">
        <v>1615</v>
      </c>
      <c r="NZ98" s="1">
        <v>10500</v>
      </c>
      <c r="OA98" s="1">
        <v>1</v>
      </c>
      <c r="OB98" s="1">
        <v>0</v>
      </c>
      <c r="OC98" s="1">
        <v>90</v>
      </c>
      <c r="OD98" s="1">
        <v>60001798</v>
      </c>
      <c r="OE98" s="1">
        <v>32767</v>
      </c>
      <c r="OF98" s="1">
        <v>13</v>
      </c>
      <c r="OH98" s="1">
        <v>2702025619</v>
      </c>
      <c r="OI98" s="1">
        <v>25598</v>
      </c>
      <c r="OJ98" s="1">
        <v>2000</v>
      </c>
      <c r="OK98" s="1">
        <v>2000</v>
      </c>
      <c r="OL98" s="1">
        <v>197999.99</v>
      </c>
      <c r="OM98" s="1">
        <v>1</v>
      </c>
      <c r="ON98" s="1">
        <v>0</v>
      </c>
      <c r="OO98" s="1">
        <v>90</v>
      </c>
      <c r="OP98" s="1">
        <v>60003760</v>
      </c>
      <c r="OQ98" s="1">
        <v>32767</v>
      </c>
      <c r="OR98" s="1">
        <v>0</v>
      </c>
      <c r="OT98" s="1">
        <v>2878481198</v>
      </c>
      <c r="OU98" s="1">
        <v>25600</v>
      </c>
      <c r="OV98" s="1">
        <v>21</v>
      </c>
      <c r="OW98" s="1">
        <v>21</v>
      </c>
      <c r="OX98" s="1">
        <v>28400</v>
      </c>
      <c r="OY98" s="1">
        <v>1</v>
      </c>
      <c r="OZ98" s="1">
        <v>0</v>
      </c>
      <c r="PA98" s="1">
        <v>1</v>
      </c>
      <c r="PB98" s="1">
        <v>60015027</v>
      </c>
      <c r="PC98" s="1">
        <v>32767</v>
      </c>
      <c r="PD98" s="1">
        <v>4</v>
      </c>
      <c r="PF98" s="1">
        <v>2877299446</v>
      </c>
      <c r="PG98" s="1">
        <v>16670</v>
      </c>
      <c r="PH98" s="1">
        <v>30443870</v>
      </c>
      <c r="PI98" s="1">
        <v>5863994</v>
      </c>
      <c r="PJ98" s="1">
        <v>114.84</v>
      </c>
      <c r="PK98" s="1">
        <v>1</v>
      </c>
      <c r="PL98" s="1">
        <v>0</v>
      </c>
      <c r="PM98" s="1">
        <v>90</v>
      </c>
      <c r="PN98" s="1">
        <v>60003760</v>
      </c>
      <c r="PO98" s="1">
        <v>32767</v>
      </c>
      <c r="PP98" s="1">
        <v>7</v>
      </c>
      <c r="QD98"/>
      <c r="QE98"/>
      <c r="QF98"/>
      <c r="QG98"/>
      <c r="QH98"/>
      <c r="QI98"/>
      <c r="QJ98"/>
      <c r="QK98"/>
      <c r="QL98"/>
      <c r="QM98"/>
      <c r="QN98"/>
      <c r="RB98"/>
      <c r="RC98"/>
      <c r="RD98"/>
      <c r="RE98"/>
      <c r="RF98"/>
      <c r="RG98"/>
      <c r="RH98"/>
      <c r="RI98"/>
      <c r="RJ98"/>
      <c r="RK98"/>
      <c r="RL98"/>
      <c r="RN98" s="1">
        <v>2879125173</v>
      </c>
      <c r="RO98" s="1">
        <v>16678</v>
      </c>
      <c r="RP98" s="1">
        <v>2457840</v>
      </c>
      <c r="RQ98" s="1">
        <v>2457840</v>
      </c>
      <c r="RR98" s="1">
        <v>275.13</v>
      </c>
      <c r="RS98" s="1">
        <v>1</v>
      </c>
      <c r="RT98" s="1">
        <v>1</v>
      </c>
      <c r="RU98" s="1">
        <v>90</v>
      </c>
      <c r="RV98" s="1">
        <v>60003760</v>
      </c>
      <c r="RW98" s="1">
        <v>-1</v>
      </c>
      <c r="RX98" s="1">
        <v>0</v>
      </c>
      <c r="SX98" s="1">
        <v>2869120659</v>
      </c>
      <c r="SY98" s="1">
        <v>25595</v>
      </c>
      <c r="SZ98" s="1">
        <v>727</v>
      </c>
      <c r="TA98" s="1">
        <v>727</v>
      </c>
      <c r="TB98" s="1">
        <v>81750</v>
      </c>
      <c r="TC98" s="1">
        <v>1</v>
      </c>
      <c r="TD98" s="1">
        <v>0</v>
      </c>
      <c r="TE98" s="1">
        <v>90</v>
      </c>
      <c r="TF98" s="1">
        <v>60003760</v>
      </c>
      <c r="TG98" s="1">
        <v>32767</v>
      </c>
      <c r="TH98" s="1">
        <v>6</v>
      </c>
      <c r="TJ98" s="1">
        <v>2878540493</v>
      </c>
      <c r="TK98" s="1">
        <v>25606</v>
      </c>
      <c r="TL98" s="1">
        <v>245</v>
      </c>
      <c r="TM98" s="1">
        <v>245</v>
      </c>
      <c r="TN98" s="1">
        <v>22220</v>
      </c>
      <c r="TO98" s="1">
        <v>1</v>
      </c>
      <c r="TP98" s="1">
        <v>0</v>
      </c>
      <c r="TQ98" s="1">
        <v>90</v>
      </c>
      <c r="TR98" s="1">
        <v>60003760</v>
      </c>
      <c r="TS98" s="1">
        <v>32767</v>
      </c>
      <c r="TT98" s="1">
        <v>0</v>
      </c>
      <c r="TV98"/>
      <c r="TW98"/>
      <c r="TX98"/>
      <c r="TY98"/>
      <c r="TZ98"/>
      <c r="UA98"/>
      <c r="UB98"/>
      <c r="UC98"/>
      <c r="UD98"/>
      <c r="UE98"/>
      <c r="UF98"/>
      <c r="UT98"/>
      <c r="UU98"/>
      <c r="UV98"/>
      <c r="UW98"/>
      <c r="UX98"/>
      <c r="UY98"/>
      <c r="UZ98"/>
      <c r="VA98"/>
      <c r="VB98"/>
      <c r="VC98"/>
      <c r="VD98"/>
      <c r="VF98"/>
      <c r="VG98"/>
      <c r="VH98"/>
      <c r="VI98"/>
      <c r="VJ98"/>
      <c r="VK98"/>
      <c r="VL98"/>
      <c r="VM98"/>
      <c r="VN98"/>
      <c r="VO98"/>
      <c r="VP98"/>
    </row>
    <row r="99" spans="2:588" x14ac:dyDescent="0.25">
      <c r="B99" s="1">
        <v>2767405132</v>
      </c>
      <c r="C99" s="1">
        <v>34</v>
      </c>
      <c r="D99" s="1">
        <v>2121014757</v>
      </c>
      <c r="E99" s="1">
        <v>2121014757</v>
      </c>
      <c r="F99" s="1">
        <v>6.18</v>
      </c>
      <c r="G99" s="1">
        <v>1</v>
      </c>
      <c r="H99" s="1">
        <v>0</v>
      </c>
      <c r="I99" s="1">
        <v>90</v>
      </c>
      <c r="J99" s="1">
        <v>60003760</v>
      </c>
      <c r="K99" s="1">
        <v>32767</v>
      </c>
      <c r="L99" s="1">
        <v>0</v>
      </c>
      <c r="N99" s="1">
        <v>2847565100</v>
      </c>
      <c r="O99" s="1">
        <v>35</v>
      </c>
      <c r="P99" s="1">
        <v>7277367</v>
      </c>
      <c r="Q99" s="1">
        <v>7277367</v>
      </c>
      <c r="R99" s="1">
        <v>15.61</v>
      </c>
      <c r="S99" s="1">
        <v>1</v>
      </c>
      <c r="T99" s="1">
        <v>0</v>
      </c>
      <c r="U99" s="1">
        <v>90</v>
      </c>
      <c r="V99" s="1">
        <v>60003760</v>
      </c>
      <c r="W99" s="1">
        <v>32767</v>
      </c>
      <c r="X99" s="1">
        <v>0</v>
      </c>
      <c r="Z99" s="1">
        <v>2833929369</v>
      </c>
      <c r="AA99" s="1">
        <v>36</v>
      </c>
      <c r="AB99" s="1">
        <v>10671022</v>
      </c>
      <c r="AC99" s="1">
        <v>10671022</v>
      </c>
      <c r="AD99" s="16">
        <v>54.99</v>
      </c>
      <c r="AE99" s="1">
        <v>1</v>
      </c>
      <c r="AF99" s="1">
        <v>0</v>
      </c>
      <c r="AG99" s="1">
        <v>90</v>
      </c>
      <c r="AH99" s="1">
        <v>60003760</v>
      </c>
      <c r="AI99" s="1">
        <v>32767</v>
      </c>
      <c r="AJ99" s="1">
        <v>11</v>
      </c>
      <c r="AL99" s="1">
        <v>2873709793</v>
      </c>
      <c r="AM99" s="1">
        <v>37</v>
      </c>
      <c r="AN99" s="1">
        <v>496386</v>
      </c>
      <c r="AO99" s="1">
        <v>481857</v>
      </c>
      <c r="AP99" s="16">
        <v>148.77000000000001</v>
      </c>
      <c r="AQ99" s="1">
        <v>1</v>
      </c>
      <c r="AR99" s="1">
        <v>0</v>
      </c>
      <c r="AS99" s="1">
        <v>90</v>
      </c>
      <c r="AT99" s="1">
        <v>60003760</v>
      </c>
      <c r="AU99" s="1">
        <v>32767</v>
      </c>
      <c r="AV99" s="1">
        <v>9</v>
      </c>
      <c r="AX99" s="1">
        <v>2877202686</v>
      </c>
      <c r="AY99" s="1">
        <v>38</v>
      </c>
      <c r="AZ99" s="1">
        <v>8423</v>
      </c>
      <c r="BA99" s="1">
        <v>8402</v>
      </c>
      <c r="BB99" s="1">
        <v>1000</v>
      </c>
      <c r="BC99" s="1">
        <v>1</v>
      </c>
      <c r="BD99" s="1">
        <v>0</v>
      </c>
      <c r="BE99" s="1">
        <v>7</v>
      </c>
      <c r="BF99" s="1">
        <v>60015027</v>
      </c>
      <c r="BG99" s="1">
        <v>32767</v>
      </c>
      <c r="BH99" s="1">
        <v>3</v>
      </c>
      <c r="BJ99" s="1">
        <v>2830606415</v>
      </c>
      <c r="BK99" s="1">
        <v>39</v>
      </c>
      <c r="BL99" s="1">
        <v>100000</v>
      </c>
      <c r="BM99" s="1">
        <v>92000</v>
      </c>
      <c r="BN99" s="1">
        <v>1000</v>
      </c>
      <c r="BO99" s="1">
        <v>1</v>
      </c>
      <c r="BP99" s="1">
        <v>0</v>
      </c>
      <c r="BQ99" s="1">
        <v>90</v>
      </c>
      <c r="BR99" s="1">
        <v>60010816</v>
      </c>
      <c r="BS99" s="1">
        <v>32767</v>
      </c>
      <c r="BT99" s="1">
        <v>14</v>
      </c>
      <c r="BV99" s="1">
        <v>2404396215</v>
      </c>
      <c r="BW99" s="1">
        <v>40</v>
      </c>
      <c r="BX99" s="1">
        <v>723</v>
      </c>
      <c r="BY99" s="1">
        <v>723</v>
      </c>
      <c r="BZ99" s="1">
        <v>3000</v>
      </c>
      <c r="CA99" s="1">
        <v>1</v>
      </c>
      <c r="CB99" s="1">
        <v>0</v>
      </c>
      <c r="CC99" s="1">
        <v>30</v>
      </c>
      <c r="CD99" s="1">
        <v>60004054</v>
      </c>
      <c r="CE99" s="1">
        <v>32767</v>
      </c>
      <c r="CF99" s="1">
        <v>8</v>
      </c>
      <c r="CH99" s="1">
        <v>2403625692</v>
      </c>
      <c r="CI99" s="1">
        <v>29668</v>
      </c>
      <c r="CJ99" s="1">
        <v>1</v>
      </c>
      <c r="CK99" s="1">
        <v>1</v>
      </c>
      <c r="CL99" s="1">
        <v>500000000</v>
      </c>
      <c r="CM99" s="1">
        <v>1</v>
      </c>
      <c r="CN99" s="1">
        <v>0</v>
      </c>
      <c r="CO99" s="1">
        <v>30</v>
      </c>
      <c r="CP99" s="1">
        <v>60003760</v>
      </c>
      <c r="CQ99" s="1">
        <v>32767</v>
      </c>
      <c r="CR99" s="1">
        <v>0</v>
      </c>
      <c r="CT99" s="1">
        <v>2411645415</v>
      </c>
      <c r="CU99" s="1">
        <v>16649</v>
      </c>
      <c r="CV99" s="1">
        <v>240</v>
      </c>
      <c r="CW99" s="1">
        <v>240</v>
      </c>
      <c r="CX99" s="1">
        <v>95012.78</v>
      </c>
      <c r="CY99" s="1">
        <v>1</v>
      </c>
      <c r="CZ99" s="1">
        <v>1</v>
      </c>
      <c r="DA99" s="1">
        <v>90</v>
      </c>
      <c r="DB99" s="1">
        <v>60003760</v>
      </c>
      <c r="DC99" s="1">
        <v>-1</v>
      </c>
      <c r="DD99" s="1">
        <v>0</v>
      </c>
      <c r="DF99" s="1">
        <v>2401459559</v>
      </c>
      <c r="DG99" s="1">
        <v>17887</v>
      </c>
      <c r="DH99" s="1">
        <v>100000</v>
      </c>
      <c r="DI99" s="1">
        <v>67394</v>
      </c>
      <c r="DJ99" s="1">
        <v>1951.06</v>
      </c>
      <c r="DK99" s="1">
        <v>1</v>
      </c>
      <c r="DL99" s="1">
        <v>0</v>
      </c>
      <c r="DM99" s="1">
        <v>90</v>
      </c>
      <c r="DN99" s="1">
        <v>60003043</v>
      </c>
      <c r="DO99" s="1">
        <v>32767</v>
      </c>
      <c r="DP99" s="1">
        <v>10</v>
      </c>
      <c r="DR99" s="1">
        <v>2863512859</v>
      </c>
      <c r="DS99" s="1">
        <v>17888</v>
      </c>
      <c r="DT99" s="1">
        <v>2000000</v>
      </c>
      <c r="DU99" s="1">
        <v>2000000</v>
      </c>
      <c r="DV99" s="1">
        <v>349.9</v>
      </c>
      <c r="DW99" s="1">
        <v>1</v>
      </c>
      <c r="DX99" s="1">
        <v>0</v>
      </c>
      <c r="DY99" s="1">
        <v>90</v>
      </c>
      <c r="DZ99" s="1">
        <v>60003760</v>
      </c>
      <c r="EA99" s="1">
        <v>32767</v>
      </c>
      <c r="EB99" s="1">
        <v>8</v>
      </c>
      <c r="ED99" s="1">
        <v>2833004245</v>
      </c>
      <c r="EE99" s="1">
        <v>16273</v>
      </c>
      <c r="EF99" s="1">
        <v>141372</v>
      </c>
      <c r="EG99" s="1">
        <v>141372</v>
      </c>
      <c r="EH99" s="1">
        <v>599.98</v>
      </c>
      <c r="EI99" s="1">
        <v>1</v>
      </c>
      <c r="EJ99" s="1">
        <v>0</v>
      </c>
      <c r="EK99" s="1">
        <v>90</v>
      </c>
      <c r="EL99" s="1">
        <v>60000784</v>
      </c>
      <c r="EM99" s="1">
        <v>32767</v>
      </c>
      <c r="EN99" s="1">
        <v>7</v>
      </c>
      <c r="EP99" s="1">
        <v>2869918443</v>
      </c>
      <c r="EQ99" s="1">
        <v>17889</v>
      </c>
      <c r="ER99" s="1">
        <v>5000000</v>
      </c>
      <c r="ES99" s="1">
        <v>5000000</v>
      </c>
      <c r="ET99" s="1">
        <v>331.15</v>
      </c>
      <c r="EU99" s="1">
        <v>1</v>
      </c>
      <c r="EV99" s="1">
        <v>1</v>
      </c>
      <c r="EW99" s="1">
        <v>90</v>
      </c>
      <c r="EX99" s="1">
        <v>60003760</v>
      </c>
      <c r="EY99" s="1">
        <v>-1</v>
      </c>
      <c r="EZ99" s="1">
        <v>0</v>
      </c>
      <c r="FB99" s="1">
        <v>2867992442</v>
      </c>
      <c r="FC99" s="1">
        <v>30259</v>
      </c>
      <c r="FD99" s="1">
        <v>200</v>
      </c>
      <c r="FE99" s="1">
        <v>200</v>
      </c>
      <c r="FF99" s="1">
        <v>5509001.3700000001</v>
      </c>
      <c r="FG99" s="1">
        <v>1</v>
      </c>
      <c r="FH99" s="1">
        <v>1</v>
      </c>
      <c r="FI99" s="1">
        <v>14</v>
      </c>
      <c r="FJ99" s="1">
        <v>60003760</v>
      </c>
      <c r="FK99" s="1">
        <v>-1</v>
      </c>
      <c r="FL99" s="1">
        <v>0</v>
      </c>
      <c r="FN99" s="1">
        <v>2877251902</v>
      </c>
      <c r="FO99" s="1">
        <v>25617</v>
      </c>
      <c r="FP99" s="1">
        <v>200</v>
      </c>
      <c r="FQ99" s="1">
        <v>139</v>
      </c>
      <c r="FR99" s="1">
        <v>4912005.01</v>
      </c>
      <c r="FS99" s="1">
        <v>1</v>
      </c>
      <c r="FT99" s="1">
        <v>1</v>
      </c>
      <c r="FU99" s="1">
        <v>30</v>
      </c>
      <c r="FV99" s="1">
        <v>60003760</v>
      </c>
      <c r="FW99" s="1">
        <v>-1</v>
      </c>
      <c r="FX99" s="1">
        <v>0</v>
      </c>
      <c r="FZ99" s="1">
        <v>2763062993</v>
      </c>
      <c r="GA99" s="1">
        <v>44</v>
      </c>
      <c r="GB99" s="1">
        <v>150000</v>
      </c>
      <c r="GC99" s="1">
        <v>149986</v>
      </c>
      <c r="GD99" s="1">
        <v>8750</v>
      </c>
      <c r="GE99" s="1">
        <v>1</v>
      </c>
      <c r="GF99" s="1">
        <v>1</v>
      </c>
      <c r="GG99" s="1">
        <v>90</v>
      </c>
      <c r="GH99" s="1">
        <v>60003760</v>
      </c>
      <c r="GI99" s="1">
        <v>0</v>
      </c>
      <c r="GJ99" s="1">
        <v>0</v>
      </c>
      <c r="GL99" s="1">
        <v>2406509117</v>
      </c>
      <c r="GM99" s="1">
        <v>16681</v>
      </c>
      <c r="GN99" s="1">
        <v>6000</v>
      </c>
      <c r="GO99" s="1">
        <v>6000</v>
      </c>
      <c r="GP99" s="1">
        <v>699.88</v>
      </c>
      <c r="GQ99" s="1">
        <v>100</v>
      </c>
      <c r="GR99" s="1">
        <v>1</v>
      </c>
      <c r="GS99" s="1">
        <v>30</v>
      </c>
      <c r="GT99" s="1">
        <v>60003760</v>
      </c>
      <c r="GU99" s="1">
        <v>32767</v>
      </c>
      <c r="GV99" s="1">
        <v>0</v>
      </c>
      <c r="GX99"/>
      <c r="GY99"/>
      <c r="GZ99"/>
      <c r="HA99"/>
      <c r="HB99"/>
      <c r="HC99"/>
      <c r="HD99"/>
      <c r="HE99"/>
      <c r="HF99"/>
      <c r="HG99"/>
      <c r="HH99"/>
      <c r="HV99" s="1">
        <v>2759160484</v>
      </c>
      <c r="HW99" s="1">
        <v>16274</v>
      </c>
      <c r="HX99" s="1">
        <v>5000000</v>
      </c>
      <c r="HY99" s="1">
        <v>5000000</v>
      </c>
      <c r="HZ99" s="1">
        <v>315.02999999999997</v>
      </c>
      <c r="IA99" s="1">
        <v>1</v>
      </c>
      <c r="IB99" s="1">
        <v>1</v>
      </c>
      <c r="IC99" s="1">
        <v>90</v>
      </c>
      <c r="ID99" s="1">
        <v>60003760</v>
      </c>
      <c r="IE99" s="1">
        <v>-1</v>
      </c>
      <c r="IF99" s="1">
        <v>0</v>
      </c>
      <c r="IT99" s="1">
        <v>2866927953</v>
      </c>
      <c r="IU99" s="1">
        <v>16679</v>
      </c>
      <c r="IV99" s="1">
        <v>200000</v>
      </c>
      <c r="IW99" s="1">
        <v>62720</v>
      </c>
      <c r="IX99" s="1">
        <v>1652</v>
      </c>
      <c r="IY99" s="1">
        <v>1</v>
      </c>
      <c r="IZ99" s="1">
        <v>1</v>
      </c>
      <c r="JA99" s="1">
        <v>90</v>
      </c>
      <c r="JB99" s="1">
        <v>60003760</v>
      </c>
      <c r="JC99" s="1">
        <v>-1</v>
      </c>
      <c r="JD99" s="1">
        <v>0</v>
      </c>
      <c r="JF99" s="1">
        <v>2878594377</v>
      </c>
      <c r="JG99" s="1">
        <v>16272</v>
      </c>
      <c r="JH99" s="1">
        <v>504181</v>
      </c>
      <c r="JI99" s="1">
        <v>504181</v>
      </c>
      <c r="JJ99" s="1">
        <v>74.73</v>
      </c>
      <c r="JK99" s="1">
        <v>1</v>
      </c>
      <c r="JL99" s="1">
        <v>0</v>
      </c>
      <c r="JM99" s="1">
        <v>30</v>
      </c>
      <c r="JN99" s="1">
        <v>60003760</v>
      </c>
      <c r="JO99" s="1">
        <v>32767</v>
      </c>
      <c r="JP99" s="1">
        <v>0</v>
      </c>
      <c r="KD99" s="1">
        <v>2719953590</v>
      </c>
      <c r="KE99" s="1">
        <v>25605</v>
      </c>
      <c r="KF99" s="1">
        <v>10000</v>
      </c>
      <c r="KG99" s="1">
        <v>209</v>
      </c>
      <c r="KH99" s="1">
        <v>96055.05</v>
      </c>
      <c r="KI99" s="1">
        <v>1</v>
      </c>
      <c r="KJ99" s="1">
        <v>1</v>
      </c>
      <c r="KK99" s="1">
        <v>90</v>
      </c>
      <c r="KL99" s="1">
        <v>60003760</v>
      </c>
      <c r="KM99" s="1">
        <v>10</v>
      </c>
      <c r="KN99" s="1">
        <v>0</v>
      </c>
      <c r="KP99" s="1">
        <v>2868563476</v>
      </c>
      <c r="KQ99" s="1">
        <v>25624</v>
      </c>
      <c r="KR99" s="1">
        <v>20</v>
      </c>
      <c r="KS99" s="1">
        <v>16</v>
      </c>
      <c r="KT99" s="1">
        <v>17520004</v>
      </c>
      <c r="KU99" s="1">
        <v>1</v>
      </c>
      <c r="KV99" s="1">
        <v>1</v>
      </c>
      <c r="KW99" s="1">
        <v>7</v>
      </c>
      <c r="KX99" s="1">
        <v>60003760</v>
      </c>
      <c r="KY99" s="1">
        <v>-1</v>
      </c>
      <c r="KZ99" s="1">
        <v>0</v>
      </c>
      <c r="LB99" s="1">
        <v>2764291620</v>
      </c>
      <c r="LC99" s="1">
        <v>9832</v>
      </c>
      <c r="LD99" s="1">
        <v>1760</v>
      </c>
      <c r="LE99" s="1">
        <v>320</v>
      </c>
      <c r="LF99" s="1">
        <v>10000</v>
      </c>
      <c r="LG99" s="1">
        <v>1</v>
      </c>
      <c r="LH99" s="1">
        <v>0</v>
      </c>
      <c r="LI99" s="1">
        <v>90</v>
      </c>
      <c r="LJ99" s="1">
        <v>60002425</v>
      </c>
      <c r="LK99" s="1">
        <v>32767</v>
      </c>
      <c r="LL99" s="1">
        <v>6</v>
      </c>
      <c r="ML99"/>
      <c r="MM99"/>
      <c r="MN99"/>
      <c r="MO99"/>
      <c r="MP99"/>
      <c r="MQ99"/>
      <c r="MR99"/>
      <c r="MS99"/>
      <c r="MT99"/>
      <c r="MU99"/>
      <c r="MV99"/>
      <c r="MX99"/>
      <c r="MY99"/>
      <c r="MZ99"/>
      <c r="NA99"/>
      <c r="NB99"/>
      <c r="NC99"/>
      <c r="ND99"/>
      <c r="NE99"/>
      <c r="NF99"/>
      <c r="NG99"/>
      <c r="NH99"/>
      <c r="NJ99" s="1">
        <v>2635056260</v>
      </c>
      <c r="NK99" s="1">
        <v>16673</v>
      </c>
      <c r="NL99" s="1">
        <v>15000000</v>
      </c>
      <c r="NM99" s="1">
        <v>13300429</v>
      </c>
      <c r="NN99" s="1">
        <v>88</v>
      </c>
      <c r="NO99" s="1">
        <v>1</v>
      </c>
      <c r="NP99" s="1">
        <v>1</v>
      </c>
      <c r="NQ99" s="1">
        <v>90</v>
      </c>
      <c r="NR99" s="1">
        <v>60003760</v>
      </c>
      <c r="NS99" s="1">
        <v>0</v>
      </c>
      <c r="NT99" s="1">
        <v>0</v>
      </c>
      <c r="NV99" s="1">
        <v>2756102309</v>
      </c>
      <c r="NW99" s="1">
        <v>3689</v>
      </c>
      <c r="NX99" s="1">
        <v>277</v>
      </c>
      <c r="NY99" s="1">
        <v>277</v>
      </c>
      <c r="NZ99" s="1">
        <v>36000</v>
      </c>
      <c r="OA99" s="1">
        <v>1</v>
      </c>
      <c r="OB99" s="1">
        <v>0</v>
      </c>
      <c r="OC99" s="1">
        <v>90</v>
      </c>
      <c r="OD99" s="1">
        <v>60000499</v>
      </c>
      <c r="OE99" s="1">
        <v>32767</v>
      </c>
      <c r="OF99" s="1">
        <v>11</v>
      </c>
      <c r="OH99" s="1">
        <v>2869378904</v>
      </c>
      <c r="OI99" s="1">
        <v>25598</v>
      </c>
      <c r="OJ99" s="1">
        <v>119</v>
      </c>
      <c r="OK99" s="1">
        <v>119</v>
      </c>
      <c r="OL99" s="1">
        <v>198000</v>
      </c>
      <c r="OM99" s="1">
        <v>1</v>
      </c>
      <c r="ON99" s="1">
        <v>0</v>
      </c>
      <c r="OO99" s="1">
        <v>30</v>
      </c>
      <c r="OP99" s="1">
        <v>60003760</v>
      </c>
      <c r="OQ99" s="1">
        <v>32767</v>
      </c>
      <c r="OR99" s="1">
        <v>0</v>
      </c>
      <c r="OT99" s="1">
        <v>2878497616</v>
      </c>
      <c r="OU99" s="1">
        <v>25600</v>
      </c>
      <c r="OV99" s="1">
        <v>49</v>
      </c>
      <c r="OW99" s="1">
        <v>49</v>
      </c>
      <c r="OX99" s="1">
        <v>30008</v>
      </c>
      <c r="OY99" s="1">
        <v>1</v>
      </c>
      <c r="OZ99" s="1">
        <v>0</v>
      </c>
      <c r="PA99" s="1">
        <v>7</v>
      </c>
      <c r="PB99" s="1">
        <v>60003760</v>
      </c>
      <c r="PC99" s="1">
        <v>32767</v>
      </c>
      <c r="PD99" s="1">
        <v>0</v>
      </c>
      <c r="PF99" s="1">
        <v>2878289265</v>
      </c>
      <c r="PG99" s="1">
        <v>16670</v>
      </c>
      <c r="PH99" s="1">
        <v>340000</v>
      </c>
      <c r="PI99" s="1">
        <v>215000</v>
      </c>
      <c r="PJ99" s="1">
        <v>114.83</v>
      </c>
      <c r="PK99" s="1">
        <v>1</v>
      </c>
      <c r="PL99" s="1">
        <v>0</v>
      </c>
      <c r="PM99" s="1">
        <v>14</v>
      </c>
      <c r="PN99" s="1">
        <v>60003760</v>
      </c>
      <c r="PO99" s="1">
        <v>32767</v>
      </c>
      <c r="PP99" s="1">
        <v>7</v>
      </c>
      <c r="QD99"/>
      <c r="QE99"/>
      <c r="QF99"/>
      <c r="QG99"/>
      <c r="QH99"/>
      <c r="QI99"/>
      <c r="QJ99"/>
      <c r="QK99"/>
      <c r="QL99"/>
      <c r="QM99"/>
      <c r="QN99"/>
      <c r="RB99"/>
      <c r="RC99"/>
      <c r="RD99"/>
      <c r="RE99"/>
      <c r="RF99"/>
      <c r="RG99"/>
      <c r="RH99"/>
      <c r="RI99"/>
      <c r="RJ99"/>
      <c r="RK99"/>
      <c r="RL99"/>
      <c r="RN99"/>
      <c r="RO99"/>
      <c r="RP99"/>
      <c r="RQ99"/>
      <c r="RR99"/>
      <c r="RS99"/>
      <c r="RT99"/>
      <c r="RU99"/>
      <c r="RV99"/>
      <c r="RW99"/>
      <c r="RX99"/>
      <c r="SX99" s="1">
        <v>2869924637</v>
      </c>
      <c r="SY99" s="1">
        <v>25595</v>
      </c>
      <c r="SZ99" s="1">
        <v>602</v>
      </c>
      <c r="TA99" s="1">
        <v>602</v>
      </c>
      <c r="TB99" s="1">
        <v>80999.64</v>
      </c>
      <c r="TC99" s="1">
        <v>1</v>
      </c>
      <c r="TD99" s="1">
        <v>0</v>
      </c>
      <c r="TE99" s="1">
        <v>90</v>
      </c>
      <c r="TF99" s="1">
        <v>60003760</v>
      </c>
      <c r="TG99" s="1">
        <v>32767</v>
      </c>
      <c r="TH99" s="1">
        <v>6</v>
      </c>
      <c r="TJ99" s="1">
        <v>2878299889</v>
      </c>
      <c r="TK99" s="1">
        <v>25606</v>
      </c>
      <c r="TL99" s="1">
        <v>11894</v>
      </c>
      <c r="TM99" s="1">
        <v>11773</v>
      </c>
      <c r="TN99" s="1">
        <v>22219.99</v>
      </c>
      <c r="TO99" s="1">
        <v>1</v>
      </c>
      <c r="TP99" s="1">
        <v>0</v>
      </c>
      <c r="TQ99" s="1">
        <v>90</v>
      </c>
      <c r="TR99" s="1">
        <v>60003760</v>
      </c>
      <c r="TS99" s="1">
        <v>32767</v>
      </c>
      <c r="TT99" s="1">
        <v>0</v>
      </c>
      <c r="TV99"/>
      <c r="TW99"/>
      <c r="TX99"/>
      <c r="TY99"/>
      <c r="TZ99"/>
      <c r="UA99"/>
      <c r="UB99"/>
      <c r="UC99"/>
      <c r="UD99"/>
      <c r="UE99"/>
      <c r="UF99"/>
      <c r="UT99"/>
      <c r="UU99"/>
      <c r="UV99"/>
      <c r="UW99"/>
      <c r="UX99"/>
      <c r="UY99"/>
      <c r="UZ99"/>
      <c r="VA99"/>
      <c r="VB99"/>
      <c r="VC99"/>
      <c r="VD99"/>
      <c r="VF99"/>
      <c r="VG99"/>
      <c r="VH99"/>
      <c r="VI99"/>
      <c r="VJ99"/>
      <c r="VK99"/>
      <c r="VL99"/>
      <c r="VM99"/>
      <c r="VN99"/>
      <c r="VO99"/>
      <c r="VP99"/>
    </row>
    <row r="100" spans="2:588" x14ac:dyDescent="0.25">
      <c r="B100" s="1">
        <v>2767670407</v>
      </c>
      <c r="C100" s="1">
        <v>34</v>
      </c>
      <c r="D100" s="1">
        <v>76610735</v>
      </c>
      <c r="E100" s="1">
        <v>76610735</v>
      </c>
      <c r="F100" s="1">
        <v>6.19</v>
      </c>
      <c r="G100" s="1">
        <v>1</v>
      </c>
      <c r="H100" s="1">
        <v>0</v>
      </c>
      <c r="I100" s="1">
        <v>90</v>
      </c>
      <c r="J100" s="1">
        <v>60003760</v>
      </c>
      <c r="K100" s="1">
        <v>32767</v>
      </c>
      <c r="L100" s="1">
        <v>0</v>
      </c>
      <c r="N100" s="1">
        <v>2847941254</v>
      </c>
      <c r="O100" s="1">
        <v>35</v>
      </c>
      <c r="P100" s="1">
        <v>80000000</v>
      </c>
      <c r="Q100" s="1">
        <v>80000000</v>
      </c>
      <c r="R100" s="1">
        <v>15.96</v>
      </c>
      <c r="S100" s="1">
        <v>1</v>
      </c>
      <c r="T100" s="1">
        <v>0</v>
      </c>
      <c r="U100" s="1">
        <v>90</v>
      </c>
      <c r="V100" s="1">
        <v>60003760</v>
      </c>
      <c r="W100" s="1">
        <v>32767</v>
      </c>
      <c r="X100" s="1">
        <v>0</v>
      </c>
      <c r="Z100" s="1">
        <v>2833185327</v>
      </c>
      <c r="AA100" s="1">
        <v>36</v>
      </c>
      <c r="AB100" s="1">
        <v>223204</v>
      </c>
      <c r="AC100" s="1">
        <v>223204</v>
      </c>
      <c r="AD100" s="16">
        <v>53.82</v>
      </c>
      <c r="AE100" s="1">
        <v>1</v>
      </c>
      <c r="AF100" s="1">
        <v>0</v>
      </c>
      <c r="AG100" s="1">
        <v>30</v>
      </c>
      <c r="AH100" s="1">
        <v>60003760</v>
      </c>
      <c r="AI100" s="1">
        <v>32767</v>
      </c>
      <c r="AJ100" s="1">
        <v>11</v>
      </c>
      <c r="AL100" s="1">
        <v>2873758564</v>
      </c>
      <c r="AM100" s="1">
        <v>37</v>
      </c>
      <c r="AN100" s="1">
        <v>407335</v>
      </c>
      <c r="AO100" s="1">
        <v>407335</v>
      </c>
      <c r="AP100" s="16">
        <v>148.74</v>
      </c>
      <c r="AQ100" s="1">
        <v>1</v>
      </c>
      <c r="AR100" s="1">
        <v>0</v>
      </c>
      <c r="AS100" s="1">
        <v>7</v>
      </c>
      <c r="AT100" s="1">
        <v>60003760</v>
      </c>
      <c r="AU100" s="1">
        <v>32767</v>
      </c>
      <c r="AV100" s="1">
        <v>9</v>
      </c>
      <c r="AX100" s="1">
        <v>2877572103</v>
      </c>
      <c r="AY100" s="1">
        <v>38</v>
      </c>
      <c r="AZ100" s="1">
        <v>2625</v>
      </c>
      <c r="BA100" s="1">
        <v>2617</v>
      </c>
      <c r="BB100" s="1">
        <v>820</v>
      </c>
      <c r="BC100" s="1">
        <v>1</v>
      </c>
      <c r="BD100" s="1">
        <v>0</v>
      </c>
      <c r="BE100" s="1">
        <v>1</v>
      </c>
      <c r="BF100" s="1">
        <v>60015027</v>
      </c>
      <c r="BG100" s="1">
        <v>32767</v>
      </c>
      <c r="BH100" s="1">
        <v>3</v>
      </c>
      <c r="BJ100" s="1">
        <v>2830616644</v>
      </c>
      <c r="BK100" s="1">
        <v>39</v>
      </c>
      <c r="BL100" s="1">
        <v>100000</v>
      </c>
      <c r="BM100" s="1">
        <v>75900</v>
      </c>
      <c r="BN100" s="1">
        <v>1000</v>
      </c>
      <c r="BO100" s="1">
        <v>1</v>
      </c>
      <c r="BP100" s="1">
        <v>0</v>
      </c>
      <c r="BQ100" s="1">
        <v>90</v>
      </c>
      <c r="BR100" s="1">
        <v>60001588</v>
      </c>
      <c r="BS100" s="1">
        <v>32767</v>
      </c>
      <c r="BT100" s="1">
        <v>14</v>
      </c>
      <c r="BV100" s="1">
        <v>2414535808</v>
      </c>
      <c r="BW100" s="1">
        <v>40</v>
      </c>
      <c r="BX100" s="1">
        <v>7077</v>
      </c>
      <c r="BY100" s="1">
        <v>5877</v>
      </c>
      <c r="BZ100" s="1">
        <v>2950.4</v>
      </c>
      <c r="CA100" s="1">
        <v>1</v>
      </c>
      <c r="CB100" s="1">
        <v>0</v>
      </c>
      <c r="CC100" s="1">
        <v>90</v>
      </c>
      <c r="CD100" s="1">
        <v>60003934</v>
      </c>
      <c r="CE100" s="1">
        <v>32767</v>
      </c>
      <c r="CF100" s="1">
        <v>10</v>
      </c>
      <c r="CH100" s="1">
        <v>2403548765</v>
      </c>
      <c r="CI100" s="1">
        <v>29668</v>
      </c>
      <c r="CJ100" s="1">
        <v>10</v>
      </c>
      <c r="CK100" s="1">
        <v>10</v>
      </c>
      <c r="CL100" s="1">
        <v>499999999.97000003</v>
      </c>
      <c r="CM100" s="1">
        <v>1</v>
      </c>
      <c r="CN100" s="1">
        <v>0</v>
      </c>
      <c r="CO100" s="1">
        <v>90</v>
      </c>
      <c r="CP100" s="1">
        <v>60003760</v>
      </c>
      <c r="CQ100" s="1">
        <v>32767</v>
      </c>
      <c r="CR100" s="1">
        <v>0</v>
      </c>
      <c r="CT100" s="1">
        <v>2404322542</v>
      </c>
      <c r="CU100" s="1">
        <v>16649</v>
      </c>
      <c r="CV100" s="1">
        <v>12000</v>
      </c>
      <c r="CW100" s="1">
        <v>12000</v>
      </c>
      <c r="CX100" s="1">
        <v>92000</v>
      </c>
      <c r="CY100" s="1">
        <v>1</v>
      </c>
      <c r="CZ100" s="1">
        <v>1</v>
      </c>
      <c r="DA100" s="1">
        <v>30</v>
      </c>
      <c r="DB100" s="1">
        <v>60003760</v>
      </c>
      <c r="DC100" s="1">
        <v>-1</v>
      </c>
      <c r="DD100" s="1">
        <v>0</v>
      </c>
      <c r="DF100" s="1">
        <v>2410460321</v>
      </c>
      <c r="DG100" s="1">
        <v>17887</v>
      </c>
      <c r="DH100" s="1">
        <v>250000</v>
      </c>
      <c r="DI100" s="1">
        <v>154000</v>
      </c>
      <c r="DJ100" s="1">
        <v>1287.98</v>
      </c>
      <c r="DK100" s="1">
        <v>1</v>
      </c>
      <c r="DL100" s="1">
        <v>0</v>
      </c>
      <c r="DM100" s="1">
        <v>90</v>
      </c>
      <c r="DN100" s="1">
        <v>60003043</v>
      </c>
      <c r="DO100" s="1">
        <v>32767</v>
      </c>
      <c r="DP100" s="1">
        <v>10</v>
      </c>
      <c r="DR100" s="1">
        <v>2861127307</v>
      </c>
      <c r="DS100" s="1">
        <v>17888</v>
      </c>
      <c r="DT100" s="1">
        <v>10000000</v>
      </c>
      <c r="DU100" s="1">
        <v>8524889</v>
      </c>
      <c r="DV100" s="1">
        <v>359.98</v>
      </c>
      <c r="DW100" s="1">
        <v>1</v>
      </c>
      <c r="DX100" s="1">
        <v>0</v>
      </c>
      <c r="DY100" s="1">
        <v>90</v>
      </c>
      <c r="DZ100" s="1">
        <v>60003760</v>
      </c>
      <c r="EA100" s="1">
        <v>32767</v>
      </c>
      <c r="EB100" s="1">
        <v>8</v>
      </c>
      <c r="ED100" s="1">
        <v>2833004677</v>
      </c>
      <c r="EE100" s="1">
        <v>16273</v>
      </c>
      <c r="EF100" s="1">
        <v>200721</v>
      </c>
      <c r="EG100" s="1">
        <v>193220</v>
      </c>
      <c r="EH100" s="1">
        <v>600.5</v>
      </c>
      <c r="EI100" s="1">
        <v>1</v>
      </c>
      <c r="EJ100" s="1">
        <v>0</v>
      </c>
      <c r="EK100" s="1">
        <v>90</v>
      </c>
      <c r="EL100" s="1">
        <v>60001591</v>
      </c>
      <c r="EM100" s="1">
        <v>32767</v>
      </c>
      <c r="EN100" s="1">
        <v>7</v>
      </c>
      <c r="EP100" s="1">
        <v>2866715915</v>
      </c>
      <c r="EQ100" s="1">
        <v>17889</v>
      </c>
      <c r="ER100" s="1">
        <v>1000000</v>
      </c>
      <c r="ES100" s="1">
        <v>887864</v>
      </c>
      <c r="ET100" s="1">
        <v>343.03</v>
      </c>
      <c r="EU100" s="1">
        <v>1</v>
      </c>
      <c r="EV100" s="1">
        <v>1</v>
      </c>
      <c r="EW100" s="1">
        <v>30</v>
      </c>
      <c r="EX100" s="1">
        <v>60003760</v>
      </c>
      <c r="EY100" s="1">
        <v>-1</v>
      </c>
      <c r="EZ100" s="1">
        <v>0</v>
      </c>
      <c r="FB100" s="1">
        <v>2869330412</v>
      </c>
      <c r="FC100" s="1">
        <v>30259</v>
      </c>
      <c r="FD100" s="1">
        <v>200</v>
      </c>
      <c r="FE100" s="1">
        <v>64</v>
      </c>
      <c r="FF100" s="1">
        <v>5589504.0099999998</v>
      </c>
      <c r="FG100" s="1">
        <v>1</v>
      </c>
      <c r="FH100" s="1">
        <v>1</v>
      </c>
      <c r="FI100" s="1">
        <v>90</v>
      </c>
      <c r="FJ100" s="1">
        <v>60003760</v>
      </c>
      <c r="FK100" s="1">
        <v>-1</v>
      </c>
      <c r="FL100" s="1">
        <v>0</v>
      </c>
      <c r="FN100" s="1">
        <v>2877770053</v>
      </c>
      <c r="FO100" s="1">
        <v>25617</v>
      </c>
      <c r="FP100" s="1">
        <v>400</v>
      </c>
      <c r="FQ100" s="1">
        <v>70</v>
      </c>
      <c r="FR100" s="1">
        <v>4912008.07</v>
      </c>
      <c r="FS100" s="1">
        <v>1</v>
      </c>
      <c r="FT100" s="1">
        <v>1</v>
      </c>
      <c r="FU100" s="1">
        <v>90</v>
      </c>
      <c r="FV100" s="1">
        <v>60003760</v>
      </c>
      <c r="FW100" s="1">
        <v>-1</v>
      </c>
      <c r="FX100" s="1">
        <v>0</v>
      </c>
      <c r="FZ100" s="1">
        <v>2779212746</v>
      </c>
      <c r="GA100" s="1">
        <v>44</v>
      </c>
      <c r="GB100" s="1">
        <v>50000</v>
      </c>
      <c r="GC100" s="1">
        <v>50000</v>
      </c>
      <c r="GD100" s="1">
        <v>8608.01</v>
      </c>
      <c r="GE100" s="1">
        <v>1</v>
      </c>
      <c r="GF100" s="1">
        <v>1</v>
      </c>
      <c r="GG100" s="1">
        <v>90</v>
      </c>
      <c r="GH100" s="1">
        <v>60003760</v>
      </c>
      <c r="GI100" s="1">
        <v>3</v>
      </c>
      <c r="GJ100" s="1">
        <v>0</v>
      </c>
      <c r="GL100" s="1">
        <v>2399661641</v>
      </c>
      <c r="GM100" s="1">
        <v>16681</v>
      </c>
      <c r="GN100" s="1">
        <v>60650</v>
      </c>
      <c r="GO100" s="1">
        <v>4476</v>
      </c>
      <c r="GP100" s="1">
        <v>5554.01</v>
      </c>
      <c r="GQ100" s="1">
        <v>1</v>
      </c>
      <c r="GR100" s="1">
        <v>1</v>
      </c>
      <c r="GS100" s="1">
        <v>90</v>
      </c>
      <c r="GT100" s="1">
        <v>60003760</v>
      </c>
      <c r="GU100" s="1">
        <v>1</v>
      </c>
      <c r="GV100" s="1">
        <v>0</v>
      </c>
      <c r="GX100"/>
      <c r="GY100"/>
      <c r="GZ100"/>
      <c r="HA100"/>
      <c r="HB100"/>
      <c r="HC100"/>
      <c r="HD100"/>
      <c r="HE100"/>
      <c r="HF100"/>
      <c r="HG100"/>
      <c r="HH100"/>
      <c r="HV100" s="1">
        <v>2807205239</v>
      </c>
      <c r="HW100" s="1">
        <v>16274</v>
      </c>
      <c r="HX100" s="1">
        <v>5000000</v>
      </c>
      <c r="HY100" s="1">
        <v>5000000</v>
      </c>
      <c r="HZ100" s="1">
        <v>317.39999999999998</v>
      </c>
      <c r="IA100" s="1">
        <v>1</v>
      </c>
      <c r="IB100" s="1">
        <v>1</v>
      </c>
      <c r="IC100" s="1">
        <v>90</v>
      </c>
      <c r="ID100" s="1">
        <v>60003760</v>
      </c>
      <c r="IE100" s="1">
        <v>-1</v>
      </c>
      <c r="IF100" s="1">
        <v>0</v>
      </c>
      <c r="IT100" s="1">
        <v>2866842237</v>
      </c>
      <c r="IU100" s="1">
        <v>16679</v>
      </c>
      <c r="IV100" s="1">
        <v>100000</v>
      </c>
      <c r="IW100" s="1">
        <v>100000</v>
      </c>
      <c r="IX100" s="1">
        <v>1651.04</v>
      </c>
      <c r="IY100" s="1">
        <v>1</v>
      </c>
      <c r="IZ100" s="1">
        <v>1</v>
      </c>
      <c r="JA100" s="1">
        <v>90</v>
      </c>
      <c r="JB100" s="1">
        <v>60003760</v>
      </c>
      <c r="JC100" s="1">
        <v>-1</v>
      </c>
      <c r="JD100" s="1">
        <v>0</v>
      </c>
      <c r="JF100" s="1">
        <v>2878727473</v>
      </c>
      <c r="JG100" s="1">
        <v>16272</v>
      </c>
      <c r="JH100" s="1">
        <v>519490</v>
      </c>
      <c r="JI100" s="1">
        <v>519490</v>
      </c>
      <c r="JJ100" s="1">
        <v>74.73</v>
      </c>
      <c r="JK100" s="1">
        <v>1</v>
      </c>
      <c r="JL100" s="1">
        <v>0</v>
      </c>
      <c r="JM100" s="1">
        <v>90</v>
      </c>
      <c r="JN100" s="1">
        <v>60003760</v>
      </c>
      <c r="JO100" s="1">
        <v>32767</v>
      </c>
      <c r="JP100" s="1">
        <v>0</v>
      </c>
      <c r="KD100" s="1">
        <v>2692872365</v>
      </c>
      <c r="KE100" s="1">
        <v>25605</v>
      </c>
      <c r="KF100" s="1">
        <v>12000</v>
      </c>
      <c r="KG100" s="1">
        <v>11818</v>
      </c>
      <c r="KH100" s="1">
        <v>66700.03</v>
      </c>
      <c r="KI100" s="1">
        <v>1</v>
      </c>
      <c r="KJ100" s="1">
        <v>1</v>
      </c>
      <c r="KK100" s="1">
        <v>90</v>
      </c>
      <c r="KL100" s="1">
        <v>60003760</v>
      </c>
      <c r="KM100" s="1">
        <v>-1</v>
      </c>
      <c r="KN100" s="1">
        <v>0</v>
      </c>
      <c r="KP100" s="1">
        <v>2866002991</v>
      </c>
      <c r="KQ100" s="1">
        <v>25624</v>
      </c>
      <c r="KR100" s="1">
        <v>101</v>
      </c>
      <c r="KS100" s="1">
        <v>101</v>
      </c>
      <c r="KT100" s="1">
        <v>14704000.060000001</v>
      </c>
      <c r="KU100" s="1">
        <v>1</v>
      </c>
      <c r="KV100" s="1">
        <v>1</v>
      </c>
      <c r="KW100" s="1">
        <v>90</v>
      </c>
      <c r="KX100" s="1">
        <v>60003760</v>
      </c>
      <c r="KY100" s="1">
        <v>-1</v>
      </c>
      <c r="KZ100" s="1">
        <v>0</v>
      </c>
      <c r="LB100" s="1">
        <v>2877789620</v>
      </c>
      <c r="LC100" s="1">
        <v>9832</v>
      </c>
      <c r="LD100" s="1">
        <v>235</v>
      </c>
      <c r="LE100" s="1">
        <v>235</v>
      </c>
      <c r="LF100" s="1">
        <v>9200.01</v>
      </c>
      <c r="LG100" s="1">
        <v>1</v>
      </c>
      <c r="LH100" s="1">
        <v>0</v>
      </c>
      <c r="LI100" s="1">
        <v>90</v>
      </c>
      <c r="LJ100" s="1">
        <v>60004435</v>
      </c>
      <c r="LK100" s="1">
        <v>32767</v>
      </c>
      <c r="LL100" s="1">
        <v>7</v>
      </c>
      <c r="ML100"/>
      <c r="MM100"/>
      <c r="MN100"/>
      <c r="MO100"/>
      <c r="MP100"/>
      <c r="MQ100"/>
      <c r="MR100"/>
      <c r="MS100"/>
      <c r="MT100"/>
      <c r="MU100"/>
      <c r="MV100"/>
      <c r="MX100"/>
      <c r="MY100"/>
      <c r="MZ100"/>
      <c r="NA100"/>
      <c r="NB100"/>
      <c r="NC100"/>
      <c r="ND100"/>
      <c r="NE100"/>
      <c r="NF100"/>
      <c r="NG100"/>
      <c r="NH100"/>
      <c r="NJ100" s="1">
        <v>2873805796</v>
      </c>
      <c r="NK100" s="1">
        <v>16673</v>
      </c>
      <c r="NL100" s="1">
        <v>25000000</v>
      </c>
      <c r="NM100" s="1">
        <v>25000000</v>
      </c>
      <c r="NN100" s="1">
        <v>90.54</v>
      </c>
      <c r="NO100" s="1">
        <v>1</v>
      </c>
      <c r="NP100" s="1">
        <v>1</v>
      </c>
      <c r="NQ100" s="1">
        <v>90</v>
      </c>
      <c r="NR100" s="1">
        <v>60003760</v>
      </c>
      <c r="NS100" s="1">
        <v>-1</v>
      </c>
      <c r="NT100" s="1">
        <v>0</v>
      </c>
      <c r="NV100" s="1">
        <v>2832884876</v>
      </c>
      <c r="NW100" s="1">
        <v>3689</v>
      </c>
      <c r="NX100" s="1">
        <v>1000</v>
      </c>
      <c r="NY100" s="1">
        <v>1000</v>
      </c>
      <c r="NZ100" s="1">
        <v>11600</v>
      </c>
      <c r="OA100" s="1">
        <v>1</v>
      </c>
      <c r="OB100" s="1">
        <v>0</v>
      </c>
      <c r="OC100" s="1">
        <v>90</v>
      </c>
      <c r="OD100" s="1">
        <v>60000499</v>
      </c>
      <c r="OE100" s="1">
        <v>32767</v>
      </c>
      <c r="OF100" s="1">
        <v>11</v>
      </c>
      <c r="OH100" s="1">
        <v>2869463351</v>
      </c>
      <c r="OI100" s="1">
        <v>25598</v>
      </c>
      <c r="OJ100" s="1">
        <v>36</v>
      </c>
      <c r="OK100" s="1">
        <v>36</v>
      </c>
      <c r="OL100" s="1">
        <v>146000</v>
      </c>
      <c r="OM100" s="1">
        <v>1</v>
      </c>
      <c r="ON100" s="1">
        <v>0</v>
      </c>
      <c r="OO100" s="1">
        <v>90</v>
      </c>
      <c r="OP100" s="1">
        <v>60003760</v>
      </c>
      <c r="OQ100" s="1">
        <v>32767</v>
      </c>
      <c r="OR100" s="1">
        <v>0</v>
      </c>
      <c r="OT100" s="1">
        <v>2878586753</v>
      </c>
      <c r="OU100" s="1">
        <v>25600</v>
      </c>
      <c r="OV100" s="1">
        <v>481</v>
      </c>
      <c r="OW100" s="1">
        <v>337</v>
      </c>
      <c r="OX100" s="1">
        <v>29840.99</v>
      </c>
      <c r="OY100" s="1">
        <v>1</v>
      </c>
      <c r="OZ100" s="1">
        <v>0</v>
      </c>
      <c r="PA100" s="1">
        <v>90</v>
      </c>
      <c r="PB100" s="1">
        <v>60003760</v>
      </c>
      <c r="PC100" s="1">
        <v>32767</v>
      </c>
      <c r="PD100" s="1">
        <v>0</v>
      </c>
      <c r="PF100" s="1">
        <v>2761997591</v>
      </c>
      <c r="PG100" s="1">
        <v>16670</v>
      </c>
      <c r="PH100" s="1">
        <v>1000000</v>
      </c>
      <c r="PI100" s="1">
        <v>1000000</v>
      </c>
      <c r="PJ100" s="1">
        <v>40</v>
      </c>
      <c r="PK100" s="1">
        <v>1</v>
      </c>
      <c r="PL100" s="1">
        <v>1</v>
      </c>
      <c r="PM100" s="1">
        <v>90</v>
      </c>
      <c r="PN100" s="1">
        <v>60003760</v>
      </c>
      <c r="PO100" s="1">
        <v>32767</v>
      </c>
      <c r="PP100" s="1">
        <v>0</v>
      </c>
      <c r="QD100"/>
      <c r="QE100"/>
      <c r="QF100"/>
      <c r="QG100"/>
      <c r="QH100"/>
      <c r="QI100"/>
      <c r="QJ100"/>
      <c r="QK100"/>
      <c r="QL100"/>
      <c r="QM100"/>
      <c r="QN100"/>
      <c r="RB100"/>
      <c r="RC100"/>
      <c r="RD100"/>
      <c r="RE100"/>
      <c r="RF100"/>
      <c r="RG100"/>
      <c r="RH100"/>
      <c r="RI100"/>
      <c r="RJ100"/>
      <c r="RK100"/>
      <c r="RL100"/>
      <c r="RN100"/>
      <c r="RO100"/>
      <c r="RP100"/>
      <c r="RQ100"/>
      <c r="RR100"/>
      <c r="RS100"/>
      <c r="RT100"/>
      <c r="RU100"/>
      <c r="RV100"/>
      <c r="RW100"/>
      <c r="RX100"/>
      <c r="SX100" s="1">
        <v>2869717360</v>
      </c>
      <c r="SY100" s="1">
        <v>25595</v>
      </c>
      <c r="SZ100" s="1">
        <v>42</v>
      </c>
      <c r="TA100" s="1">
        <v>42</v>
      </c>
      <c r="TB100" s="1">
        <v>81746</v>
      </c>
      <c r="TC100" s="1">
        <v>1</v>
      </c>
      <c r="TD100" s="1">
        <v>0</v>
      </c>
      <c r="TE100" s="1">
        <v>90</v>
      </c>
      <c r="TF100" s="1">
        <v>60003760</v>
      </c>
      <c r="TG100" s="1">
        <v>32767</v>
      </c>
      <c r="TH100" s="1">
        <v>6</v>
      </c>
      <c r="TJ100" s="1">
        <v>2878322215</v>
      </c>
      <c r="TK100" s="1">
        <v>25606</v>
      </c>
      <c r="TL100" s="1">
        <v>10479</v>
      </c>
      <c r="TM100" s="1">
        <v>10479</v>
      </c>
      <c r="TN100" s="1">
        <v>22219.95</v>
      </c>
      <c r="TO100" s="1">
        <v>1</v>
      </c>
      <c r="TP100" s="1">
        <v>0</v>
      </c>
      <c r="TQ100" s="1">
        <v>90</v>
      </c>
      <c r="TR100" s="1">
        <v>60003760</v>
      </c>
      <c r="TS100" s="1">
        <v>32767</v>
      </c>
      <c r="TT100" s="1">
        <v>0</v>
      </c>
      <c r="TV100"/>
      <c r="TW100"/>
      <c r="TX100"/>
      <c r="TY100"/>
      <c r="TZ100"/>
      <c r="UA100"/>
      <c r="UB100"/>
      <c r="UC100"/>
      <c r="UD100"/>
      <c r="UE100"/>
      <c r="UF100"/>
      <c r="UT100"/>
      <c r="UU100"/>
      <c r="UV100"/>
      <c r="UW100"/>
      <c r="UX100"/>
      <c r="UY100"/>
      <c r="UZ100"/>
      <c r="VA100"/>
      <c r="VB100"/>
      <c r="VC100"/>
      <c r="VD100"/>
      <c r="VF100"/>
      <c r="VG100"/>
      <c r="VH100"/>
      <c r="VI100"/>
      <c r="VJ100"/>
      <c r="VK100"/>
      <c r="VL100"/>
      <c r="VM100"/>
      <c r="VN100"/>
      <c r="VO100"/>
      <c r="VP100"/>
    </row>
    <row r="101" spans="2:588" x14ac:dyDescent="0.25">
      <c r="B101" s="1">
        <v>2768510495</v>
      </c>
      <c r="C101" s="1">
        <v>34</v>
      </c>
      <c r="D101" s="1">
        <v>80012431</v>
      </c>
      <c r="E101" s="1">
        <v>7407587</v>
      </c>
      <c r="F101" s="1">
        <v>6.18</v>
      </c>
      <c r="G101" s="1">
        <v>1</v>
      </c>
      <c r="H101" s="1">
        <v>0</v>
      </c>
      <c r="I101" s="1">
        <v>90</v>
      </c>
      <c r="J101" s="1">
        <v>60003760</v>
      </c>
      <c r="K101" s="1">
        <v>32767</v>
      </c>
      <c r="L101" s="1">
        <v>0</v>
      </c>
      <c r="N101" s="1">
        <v>2857916184</v>
      </c>
      <c r="O101" s="1">
        <v>35</v>
      </c>
      <c r="P101" s="1">
        <v>302300</v>
      </c>
      <c r="Q101" s="1">
        <v>302300</v>
      </c>
      <c r="R101" s="1">
        <v>15.55</v>
      </c>
      <c r="S101" s="1">
        <v>1</v>
      </c>
      <c r="T101" s="1">
        <v>0</v>
      </c>
      <c r="U101" s="1">
        <v>30</v>
      </c>
      <c r="V101" s="1">
        <v>60003760</v>
      </c>
      <c r="W101" s="1">
        <v>32767</v>
      </c>
      <c r="X101" s="1">
        <v>0</v>
      </c>
      <c r="Z101" s="1">
        <v>2833007955</v>
      </c>
      <c r="AA101" s="1">
        <v>36</v>
      </c>
      <c r="AB101" s="1">
        <v>26929305</v>
      </c>
      <c r="AC101" s="1">
        <v>26603144</v>
      </c>
      <c r="AD101" s="16">
        <v>54.13</v>
      </c>
      <c r="AE101" s="1">
        <v>1</v>
      </c>
      <c r="AF101" s="1">
        <v>0</v>
      </c>
      <c r="AG101" s="1">
        <v>90</v>
      </c>
      <c r="AH101" s="1">
        <v>60003760</v>
      </c>
      <c r="AI101" s="1">
        <v>32767</v>
      </c>
      <c r="AJ101" s="1">
        <v>11</v>
      </c>
      <c r="AL101" s="1">
        <v>2873799981</v>
      </c>
      <c r="AM101" s="1">
        <v>37</v>
      </c>
      <c r="AN101" s="1">
        <v>1176721</v>
      </c>
      <c r="AO101" s="1">
        <v>136148</v>
      </c>
      <c r="AP101" s="16">
        <v>148.44999999999999</v>
      </c>
      <c r="AQ101" s="1">
        <v>1</v>
      </c>
      <c r="AR101" s="1">
        <v>0</v>
      </c>
      <c r="AS101" s="1">
        <v>30</v>
      </c>
      <c r="AT101" s="1">
        <v>60003760</v>
      </c>
      <c r="AU101" s="1">
        <v>32767</v>
      </c>
      <c r="AV101" s="1">
        <v>9</v>
      </c>
      <c r="AX101" s="1">
        <v>2878355598</v>
      </c>
      <c r="AY101" s="1">
        <v>38</v>
      </c>
      <c r="AZ101" s="1">
        <v>8721</v>
      </c>
      <c r="BA101" s="1">
        <v>8721</v>
      </c>
      <c r="BB101" s="1">
        <v>845.03</v>
      </c>
      <c r="BC101" s="1">
        <v>1</v>
      </c>
      <c r="BD101" s="1">
        <v>0</v>
      </c>
      <c r="BE101" s="1">
        <v>1</v>
      </c>
      <c r="BF101" s="1">
        <v>60003760</v>
      </c>
      <c r="BG101" s="1">
        <v>32767</v>
      </c>
      <c r="BH101" s="1">
        <v>5</v>
      </c>
      <c r="BJ101" s="1">
        <v>2518612487</v>
      </c>
      <c r="BK101" s="1">
        <v>39</v>
      </c>
      <c r="BL101" s="1">
        <v>141008</v>
      </c>
      <c r="BM101" s="1">
        <v>116499</v>
      </c>
      <c r="BN101" s="1">
        <v>1693</v>
      </c>
      <c r="BO101" s="1">
        <v>1</v>
      </c>
      <c r="BP101" s="1">
        <v>0</v>
      </c>
      <c r="BQ101" s="1">
        <v>90</v>
      </c>
      <c r="BR101" s="1">
        <v>60001795</v>
      </c>
      <c r="BS101" s="1">
        <v>32767</v>
      </c>
      <c r="BT101" s="1">
        <v>14</v>
      </c>
      <c r="BV101" s="1">
        <v>2355742234</v>
      </c>
      <c r="BW101" s="1">
        <v>40</v>
      </c>
      <c r="BX101" s="1">
        <v>120145</v>
      </c>
      <c r="BY101" s="1">
        <v>1</v>
      </c>
      <c r="BZ101" s="1">
        <v>3000</v>
      </c>
      <c r="CA101" s="1">
        <v>1</v>
      </c>
      <c r="CB101" s="1">
        <v>0</v>
      </c>
      <c r="CC101" s="1">
        <v>90</v>
      </c>
      <c r="CD101" s="1">
        <v>60004216</v>
      </c>
      <c r="CE101" s="1">
        <v>32767</v>
      </c>
      <c r="CF101" s="1">
        <v>10</v>
      </c>
      <c r="CH101" s="1">
        <v>2402835345</v>
      </c>
      <c r="CI101" s="1">
        <v>29668</v>
      </c>
      <c r="CJ101" s="1">
        <v>2</v>
      </c>
      <c r="CK101" s="1">
        <v>2</v>
      </c>
      <c r="CL101" s="1">
        <v>499999998</v>
      </c>
      <c r="CM101" s="1">
        <v>1</v>
      </c>
      <c r="CN101" s="1">
        <v>0</v>
      </c>
      <c r="CO101" s="1">
        <v>90</v>
      </c>
      <c r="CP101" s="1">
        <v>60003760</v>
      </c>
      <c r="CQ101" s="1">
        <v>32767</v>
      </c>
      <c r="CR101" s="1">
        <v>0</v>
      </c>
      <c r="CT101" s="1">
        <v>2406500032</v>
      </c>
      <c r="CU101" s="1">
        <v>16649</v>
      </c>
      <c r="CV101" s="1">
        <v>30000</v>
      </c>
      <c r="CW101" s="1">
        <v>24200</v>
      </c>
      <c r="CX101" s="1">
        <v>95006</v>
      </c>
      <c r="CY101" s="1">
        <v>1</v>
      </c>
      <c r="CZ101" s="1">
        <v>1</v>
      </c>
      <c r="DA101" s="1">
        <v>90</v>
      </c>
      <c r="DB101" s="1">
        <v>60003760</v>
      </c>
      <c r="DC101" s="1">
        <v>-1</v>
      </c>
      <c r="DD101" s="1">
        <v>0</v>
      </c>
      <c r="DF101" s="1">
        <v>2409951874</v>
      </c>
      <c r="DG101" s="1">
        <v>17887</v>
      </c>
      <c r="DH101" s="1">
        <v>710000</v>
      </c>
      <c r="DI101" s="1">
        <v>311000</v>
      </c>
      <c r="DJ101" s="1">
        <v>1100</v>
      </c>
      <c r="DK101" s="1">
        <v>1</v>
      </c>
      <c r="DL101" s="1">
        <v>0</v>
      </c>
      <c r="DM101" s="1">
        <v>90</v>
      </c>
      <c r="DN101" s="1">
        <v>60004078</v>
      </c>
      <c r="DO101" s="1">
        <v>32767</v>
      </c>
      <c r="DP101" s="1">
        <v>10</v>
      </c>
      <c r="DR101" s="1">
        <v>2862787514</v>
      </c>
      <c r="DS101" s="1">
        <v>17888</v>
      </c>
      <c r="DT101" s="1">
        <v>115795</v>
      </c>
      <c r="DU101" s="1">
        <v>115795</v>
      </c>
      <c r="DV101" s="1">
        <v>353</v>
      </c>
      <c r="DW101" s="1">
        <v>1</v>
      </c>
      <c r="DX101" s="1">
        <v>0</v>
      </c>
      <c r="DY101" s="1">
        <v>90</v>
      </c>
      <c r="DZ101" s="1">
        <v>60003760</v>
      </c>
      <c r="EA101" s="1">
        <v>32767</v>
      </c>
      <c r="EB101" s="1">
        <v>8</v>
      </c>
      <c r="ED101" s="1">
        <v>2833005111</v>
      </c>
      <c r="EE101" s="1">
        <v>16273</v>
      </c>
      <c r="EF101" s="1">
        <v>207247</v>
      </c>
      <c r="EG101" s="1">
        <v>206797</v>
      </c>
      <c r="EH101" s="1">
        <v>590.67999999999995</v>
      </c>
      <c r="EI101" s="1">
        <v>1</v>
      </c>
      <c r="EJ101" s="1">
        <v>0</v>
      </c>
      <c r="EK101" s="1">
        <v>90</v>
      </c>
      <c r="EL101" s="1">
        <v>60007591</v>
      </c>
      <c r="EM101" s="1">
        <v>32767</v>
      </c>
      <c r="EN101" s="1">
        <v>7</v>
      </c>
      <c r="EP101" s="1">
        <v>2866352507</v>
      </c>
      <c r="EQ101" s="1">
        <v>17889</v>
      </c>
      <c r="ER101" s="1">
        <v>60000</v>
      </c>
      <c r="ES101" s="1">
        <v>55950</v>
      </c>
      <c r="ET101" s="1">
        <v>345.08</v>
      </c>
      <c r="EU101" s="1">
        <v>1</v>
      </c>
      <c r="EV101" s="1">
        <v>1</v>
      </c>
      <c r="EW101" s="1">
        <v>90</v>
      </c>
      <c r="EX101" s="1">
        <v>60003760</v>
      </c>
      <c r="EY101" s="1">
        <v>-1</v>
      </c>
      <c r="EZ101" s="1">
        <v>0</v>
      </c>
      <c r="FB101" s="1">
        <v>2869339094</v>
      </c>
      <c r="FC101" s="1">
        <v>30259</v>
      </c>
      <c r="FD101" s="1">
        <v>190</v>
      </c>
      <c r="FE101" s="1">
        <v>149</v>
      </c>
      <c r="FF101" s="1">
        <v>5589503.9699999997</v>
      </c>
      <c r="FG101" s="1">
        <v>1</v>
      </c>
      <c r="FH101" s="1">
        <v>1</v>
      </c>
      <c r="FI101" s="1">
        <v>90</v>
      </c>
      <c r="FJ101" s="1">
        <v>60003760</v>
      </c>
      <c r="FK101" s="1">
        <v>-1</v>
      </c>
      <c r="FL101" s="1">
        <v>0</v>
      </c>
      <c r="FN101" s="1">
        <v>2877650596</v>
      </c>
      <c r="FO101" s="1">
        <v>25617</v>
      </c>
      <c r="FP101" s="1">
        <v>100</v>
      </c>
      <c r="FQ101" s="1">
        <v>53</v>
      </c>
      <c r="FR101" s="1">
        <v>4912008.33</v>
      </c>
      <c r="FS101" s="1">
        <v>1</v>
      </c>
      <c r="FT101" s="1">
        <v>1</v>
      </c>
      <c r="FU101" s="1">
        <v>90</v>
      </c>
      <c r="FV101" s="1">
        <v>60003760</v>
      </c>
      <c r="FW101" s="1">
        <v>-1</v>
      </c>
      <c r="FX101" s="1">
        <v>0</v>
      </c>
      <c r="FZ101" s="1">
        <v>2804632057</v>
      </c>
      <c r="GA101" s="1">
        <v>44</v>
      </c>
      <c r="GB101" s="1">
        <v>20000</v>
      </c>
      <c r="GC101" s="1">
        <v>18005</v>
      </c>
      <c r="GD101" s="1">
        <v>8610</v>
      </c>
      <c r="GE101" s="1">
        <v>10</v>
      </c>
      <c r="GF101" s="1">
        <v>1</v>
      </c>
      <c r="GG101" s="1">
        <v>90</v>
      </c>
      <c r="GH101" s="1">
        <v>60003760</v>
      </c>
      <c r="GI101" s="1">
        <v>5</v>
      </c>
      <c r="GJ101" s="1">
        <v>0</v>
      </c>
      <c r="GL101" s="1">
        <v>2399620153</v>
      </c>
      <c r="GM101" s="1">
        <v>16681</v>
      </c>
      <c r="GN101" s="1">
        <v>500000</v>
      </c>
      <c r="GO101" s="1">
        <v>500000</v>
      </c>
      <c r="GP101" s="1">
        <v>5552.01</v>
      </c>
      <c r="GQ101" s="1">
        <v>1</v>
      </c>
      <c r="GR101" s="1">
        <v>1</v>
      </c>
      <c r="GS101" s="1">
        <v>90</v>
      </c>
      <c r="GT101" s="1">
        <v>60003760</v>
      </c>
      <c r="GU101" s="1">
        <v>-1</v>
      </c>
      <c r="GV101" s="1">
        <v>0</v>
      </c>
      <c r="GX101"/>
      <c r="GY101"/>
      <c r="GZ101"/>
      <c r="HA101"/>
      <c r="HB101"/>
      <c r="HC101"/>
      <c r="HD101"/>
      <c r="HE101"/>
      <c r="HF101"/>
      <c r="HG101"/>
      <c r="HH101"/>
      <c r="HV101" s="1">
        <v>2834133935</v>
      </c>
      <c r="HW101" s="1">
        <v>16274</v>
      </c>
      <c r="HX101" s="1">
        <v>10000</v>
      </c>
      <c r="HY101" s="1">
        <v>10000</v>
      </c>
      <c r="HZ101" s="1">
        <v>150</v>
      </c>
      <c r="IA101" s="1">
        <v>1</v>
      </c>
      <c r="IB101" s="1">
        <v>1</v>
      </c>
      <c r="IC101" s="1">
        <v>30</v>
      </c>
      <c r="ID101" s="1">
        <v>60003760</v>
      </c>
      <c r="IE101" s="1">
        <v>3</v>
      </c>
      <c r="IF101" s="1">
        <v>0</v>
      </c>
      <c r="IT101" s="1">
        <v>2864624400</v>
      </c>
      <c r="IU101" s="1">
        <v>16679</v>
      </c>
      <c r="IV101" s="1">
        <v>100000</v>
      </c>
      <c r="IW101" s="1">
        <v>100000</v>
      </c>
      <c r="IX101" s="1">
        <v>1650</v>
      </c>
      <c r="IY101" s="1">
        <v>1</v>
      </c>
      <c r="IZ101" s="1">
        <v>1</v>
      </c>
      <c r="JA101" s="1">
        <v>90</v>
      </c>
      <c r="JB101" s="1">
        <v>60003760</v>
      </c>
      <c r="JC101" s="1">
        <v>-1</v>
      </c>
      <c r="JD101" s="1">
        <v>0</v>
      </c>
      <c r="JF101" s="1">
        <v>2878803994</v>
      </c>
      <c r="JG101" s="1">
        <v>16272</v>
      </c>
      <c r="JH101" s="1">
        <v>72550</v>
      </c>
      <c r="JI101" s="1">
        <v>72550</v>
      </c>
      <c r="JJ101" s="1">
        <v>74.25</v>
      </c>
      <c r="JK101" s="1">
        <v>1</v>
      </c>
      <c r="JL101" s="1">
        <v>0</v>
      </c>
      <c r="JM101" s="1">
        <v>90</v>
      </c>
      <c r="JN101" s="1">
        <v>60003760</v>
      </c>
      <c r="JO101" s="1">
        <v>32767</v>
      </c>
      <c r="JP101" s="1">
        <v>0</v>
      </c>
      <c r="KD101" s="1">
        <v>2682795019</v>
      </c>
      <c r="KE101" s="1">
        <v>25605</v>
      </c>
      <c r="KF101" s="1">
        <v>15000</v>
      </c>
      <c r="KG101" s="1">
        <v>10157</v>
      </c>
      <c r="KH101" s="1">
        <v>63329.47</v>
      </c>
      <c r="KI101" s="1">
        <v>1</v>
      </c>
      <c r="KJ101" s="1">
        <v>1</v>
      </c>
      <c r="KK101" s="1">
        <v>90</v>
      </c>
      <c r="KL101" s="1">
        <v>60003760</v>
      </c>
      <c r="KM101" s="1">
        <v>-1</v>
      </c>
      <c r="KN101" s="1">
        <v>0</v>
      </c>
      <c r="KP101" s="1">
        <v>2873831497</v>
      </c>
      <c r="KQ101" s="1">
        <v>25624</v>
      </c>
      <c r="KR101" s="1">
        <v>90</v>
      </c>
      <c r="KS101" s="1">
        <v>90</v>
      </c>
      <c r="KT101" s="1">
        <v>17520005.25</v>
      </c>
      <c r="KU101" s="1">
        <v>1</v>
      </c>
      <c r="KV101" s="1">
        <v>1</v>
      </c>
      <c r="KW101" s="1">
        <v>90</v>
      </c>
      <c r="KX101" s="1">
        <v>60003760</v>
      </c>
      <c r="KY101" s="1">
        <v>-1</v>
      </c>
      <c r="KZ101" s="1">
        <v>0</v>
      </c>
      <c r="LB101" s="1">
        <v>2842286611</v>
      </c>
      <c r="LC101" s="1">
        <v>9832</v>
      </c>
      <c r="LD101" s="1">
        <v>15595</v>
      </c>
      <c r="LE101" s="1">
        <v>7895</v>
      </c>
      <c r="LF101" s="1">
        <v>9500</v>
      </c>
      <c r="LG101" s="1">
        <v>1</v>
      </c>
      <c r="LH101" s="1">
        <v>0</v>
      </c>
      <c r="LI101" s="1">
        <v>90</v>
      </c>
      <c r="LJ101" s="1">
        <v>60003364</v>
      </c>
      <c r="LK101" s="1">
        <v>32767</v>
      </c>
      <c r="LL101" s="1">
        <v>9</v>
      </c>
      <c r="ML101"/>
      <c r="MM101"/>
      <c r="MN101"/>
      <c r="MO101"/>
      <c r="MP101"/>
      <c r="MQ101"/>
      <c r="MR101"/>
      <c r="MS101"/>
      <c r="MT101"/>
      <c r="MU101"/>
      <c r="MV101"/>
      <c r="MX101"/>
      <c r="MY101"/>
      <c r="MZ101"/>
      <c r="NA101"/>
      <c r="NB101"/>
      <c r="NC101"/>
      <c r="ND101"/>
      <c r="NE101"/>
      <c r="NF101"/>
      <c r="NG101"/>
      <c r="NH101"/>
      <c r="NJ101" s="1">
        <v>2875122152</v>
      </c>
      <c r="NK101" s="1">
        <v>16673</v>
      </c>
      <c r="NL101" s="1">
        <v>4000000</v>
      </c>
      <c r="NM101" s="1">
        <v>4000000</v>
      </c>
      <c r="NN101" s="1">
        <v>90.57</v>
      </c>
      <c r="NO101" s="1">
        <v>1</v>
      </c>
      <c r="NP101" s="1">
        <v>1</v>
      </c>
      <c r="NQ101" s="1">
        <v>90</v>
      </c>
      <c r="NR101" s="1">
        <v>60003760</v>
      </c>
      <c r="NS101" s="1">
        <v>-1</v>
      </c>
      <c r="NT101" s="1">
        <v>0</v>
      </c>
      <c r="NV101" s="1">
        <v>2878480243</v>
      </c>
      <c r="NW101" s="1">
        <v>3689</v>
      </c>
      <c r="NX101" s="1">
        <v>1000</v>
      </c>
      <c r="NY101" s="1">
        <v>1000</v>
      </c>
      <c r="NZ101" s="1">
        <v>10500</v>
      </c>
      <c r="OA101" s="1">
        <v>1</v>
      </c>
      <c r="OB101" s="1">
        <v>0</v>
      </c>
      <c r="OC101" s="1">
        <v>1</v>
      </c>
      <c r="OD101" s="1">
        <v>60003760</v>
      </c>
      <c r="OE101" s="1">
        <v>32767</v>
      </c>
      <c r="OF101" s="1">
        <v>0</v>
      </c>
      <c r="OH101" s="1">
        <v>2866717454</v>
      </c>
      <c r="OI101" s="1">
        <v>25598</v>
      </c>
      <c r="OJ101" s="1">
        <v>1154</v>
      </c>
      <c r="OK101" s="1">
        <v>1154</v>
      </c>
      <c r="OL101" s="1">
        <v>170102.16</v>
      </c>
      <c r="OM101" s="1">
        <v>1</v>
      </c>
      <c r="ON101" s="1">
        <v>0</v>
      </c>
      <c r="OO101" s="1">
        <v>90</v>
      </c>
      <c r="OP101" s="1">
        <v>60003760</v>
      </c>
      <c r="OQ101" s="1">
        <v>32767</v>
      </c>
      <c r="OR101" s="1">
        <v>0</v>
      </c>
      <c r="OT101" s="1">
        <v>2878640956</v>
      </c>
      <c r="OU101" s="1">
        <v>25600</v>
      </c>
      <c r="OV101" s="1">
        <v>10526</v>
      </c>
      <c r="OW101" s="1">
        <v>7615</v>
      </c>
      <c r="OX101" s="1">
        <v>29839</v>
      </c>
      <c r="OY101" s="1">
        <v>1</v>
      </c>
      <c r="OZ101" s="1">
        <v>0</v>
      </c>
      <c r="PA101" s="1">
        <v>90</v>
      </c>
      <c r="PB101" s="1">
        <v>60003760</v>
      </c>
      <c r="PC101" s="1">
        <v>32767</v>
      </c>
      <c r="PD101" s="1">
        <v>0</v>
      </c>
      <c r="PF101" s="1">
        <v>2761080661</v>
      </c>
      <c r="PG101" s="1">
        <v>16670</v>
      </c>
      <c r="PH101" s="1">
        <v>100000</v>
      </c>
      <c r="PI101" s="1">
        <v>84560</v>
      </c>
      <c r="PJ101" s="1">
        <v>89.9</v>
      </c>
      <c r="PK101" s="1">
        <v>1</v>
      </c>
      <c r="PL101" s="1">
        <v>1</v>
      </c>
      <c r="PM101" s="1">
        <v>90</v>
      </c>
      <c r="PN101" s="1">
        <v>60003760</v>
      </c>
      <c r="PO101" s="1">
        <v>10</v>
      </c>
      <c r="PP101" s="1">
        <v>0</v>
      </c>
      <c r="QD101"/>
      <c r="QE101"/>
      <c r="QF101"/>
      <c r="QG101"/>
      <c r="QH101"/>
      <c r="QI101"/>
      <c r="QJ101"/>
      <c r="QK101"/>
      <c r="QL101"/>
      <c r="QM101"/>
      <c r="QN101"/>
      <c r="RB101"/>
      <c r="RC101"/>
      <c r="RD101"/>
      <c r="RE101"/>
      <c r="RF101"/>
      <c r="RG101"/>
      <c r="RH101"/>
      <c r="RI101"/>
      <c r="RJ101"/>
      <c r="RK101"/>
      <c r="RL101"/>
      <c r="RN101"/>
      <c r="RO101"/>
      <c r="RP101"/>
      <c r="RQ101"/>
      <c r="RR101"/>
      <c r="RS101"/>
      <c r="RT101"/>
      <c r="RU101"/>
      <c r="RV101"/>
      <c r="RW101"/>
      <c r="RX101"/>
      <c r="SX101" s="1">
        <v>2866863394</v>
      </c>
      <c r="SY101" s="1">
        <v>25595</v>
      </c>
      <c r="SZ101" s="1">
        <v>8</v>
      </c>
      <c r="TA101" s="1">
        <v>3</v>
      </c>
      <c r="TB101" s="1">
        <v>83399.990000000005</v>
      </c>
      <c r="TC101" s="1">
        <v>1</v>
      </c>
      <c r="TD101" s="1">
        <v>0</v>
      </c>
      <c r="TE101" s="1">
        <v>90</v>
      </c>
      <c r="TF101" s="1">
        <v>60003760</v>
      </c>
      <c r="TG101" s="1">
        <v>32767</v>
      </c>
      <c r="TH101" s="1">
        <v>6</v>
      </c>
      <c r="TJ101" s="1">
        <v>2878563456</v>
      </c>
      <c r="TK101" s="1">
        <v>25606</v>
      </c>
      <c r="TL101" s="1">
        <v>79</v>
      </c>
      <c r="TM101" s="1">
        <v>79</v>
      </c>
      <c r="TN101" s="1">
        <v>21000</v>
      </c>
      <c r="TO101" s="1">
        <v>1</v>
      </c>
      <c r="TP101" s="1">
        <v>0</v>
      </c>
      <c r="TQ101" s="1">
        <v>3</v>
      </c>
      <c r="TR101" s="1">
        <v>60004237</v>
      </c>
      <c r="TS101" s="1">
        <v>32767</v>
      </c>
      <c r="TT101" s="1">
        <v>3</v>
      </c>
      <c r="TV101"/>
      <c r="TW101"/>
      <c r="TX101"/>
      <c r="TY101"/>
      <c r="TZ101"/>
      <c r="UA101"/>
      <c r="UB101"/>
      <c r="UC101"/>
      <c r="UD101"/>
      <c r="UE101"/>
      <c r="UF101"/>
      <c r="UT101"/>
      <c r="UU101"/>
      <c r="UV101"/>
      <c r="UW101"/>
      <c r="UX101"/>
      <c r="UY101"/>
      <c r="UZ101"/>
      <c r="VA101"/>
      <c r="VB101"/>
      <c r="VC101"/>
      <c r="VD101"/>
      <c r="VF101"/>
      <c r="VG101"/>
      <c r="VH101"/>
      <c r="VI101"/>
      <c r="VJ101"/>
      <c r="VK101"/>
      <c r="VL101"/>
      <c r="VM101"/>
      <c r="VN101"/>
      <c r="VO101"/>
      <c r="VP101"/>
    </row>
    <row r="102" spans="2:588" x14ac:dyDescent="0.25">
      <c r="B102" s="1">
        <v>2770577367</v>
      </c>
      <c r="C102" s="1">
        <v>34</v>
      </c>
      <c r="D102" s="1">
        <v>157613</v>
      </c>
      <c r="E102" s="1">
        <v>157613</v>
      </c>
      <c r="F102" s="1">
        <v>6.4</v>
      </c>
      <c r="G102" s="1">
        <v>1</v>
      </c>
      <c r="H102" s="1">
        <v>0</v>
      </c>
      <c r="I102" s="1">
        <v>90</v>
      </c>
      <c r="J102" s="1">
        <v>60003760</v>
      </c>
      <c r="K102" s="1">
        <v>32767</v>
      </c>
      <c r="L102" s="1">
        <v>0</v>
      </c>
      <c r="N102" s="1">
        <v>2857058754</v>
      </c>
      <c r="O102" s="1">
        <v>35</v>
      </c>
      <c r="P102" s="1">
        <v>23902</v>
      </c>
      <c r="Q102" s="1">
        <v>23902</v>
      </c>
      <c r="R102" s="1">
        <v>15.5</v>
      </c>
      <c r="S102" s="1">
        <v>1</v>
      </c>
      <c r="T102" s="1">
        <v>0</v>
      </c>
      <c r="U102" s="1">
        <v>90</v>
      </c>
      <c r="V102" s="1">
        <v>60003760</v>
      </c>
      <c r="W102" s="1">
        <v>32767</v>
      </c>
      <c r="X102" s="1">
        <v>0</v>
      </c>
      <c r="Z102" s="1">
        <v>2833023849</v>
      </c>
      <c r="AA102" s="1">
        <v>36</v>
      </c>
      <c r="AB102" s="1">
        <v>1062669</v>
      </c>
      <c r="AC102" s="1">
        <v>460052</v>
      </c>
      <c r="AD102" s="16">
        <v>53.31</v>
      </c>
      <c r="AE102" s="1">
        <v>1</v>
      </c>
      <c r="AF102" s="1">
        <v>0</v>
      </c>
      <c r="AG102" s="1">
        <v>30</v>
      </c>
      <c r="AH102" s="1">
        <v>60003760</v>
      </c>
      <c r="AI102" s="1">
        <v>32767</v>
      </c>
      <c r="AJ102" s="1">
        <v>11</v>
      </c>
      <c r="AL102" s="1">
        <v>2872721247</v>
      </c>
      <c r="AM102" s="1">
        <v>37</v>
      </c>
      <c r="AN102" s="1">
        <v>4312155</v>
      </c>
      <c r="AO102" s="1">
        <v>4312155</v>
      </c>
      <c r="AP102" s="16">
        <v>149.81</v>
      </c>
      <c r="AQ102" s="1">
        <v>1</v>
      </c>
      <c r="AR102" s="1">
        <v>0</v>
      </c>
      <c r="AS102" s="1">
        <v>30</v>
      </c>
      <c r="AT102" s="1">
        <v>60003760</v>
      </c>
      <c r="AU102" s="1">
        <v>32767</v>
      </c>
      <c r="AV102" s="1">
        <v>9</v>
      </c>
      <c r="AX102" s="1">
        <v>2877764162</v>
      </c>
      <c r="AY102" s="1">
        <v>38</v>
      </c>
      <c r="AZ102" s="1">
        <v>1800000</v>
      </c>
      <c r="BA102" s="1">
        <v>615202</v>
      </c>
      <c r="BB102" s="1">
        <v>817.9</v>
      </c>
      <c r="BC102" s="1">
        <v>1</v>
      </c>
      <c r="BD102" s="1">
        <v>0</v>
      </c>
      <c r="BE102" s="1">
        <v>90</v>
      </c>
      <c r="BF102" s="1">
        <v>60003760</v>
      </c>
      <c r="BG102" s="1">
        <v>32767</v>
      </c>
      <c r="BH102" s="1">
        <v>5</v>
      </c>
      <c r="BJ102" s="1">
        <v>2746708336</v>
      </c>
      <c r="BK102" s="1">
        <v>39</v>
      </c>
      <c r="BL102" s="1">
        <v>1878</v>
      </c>
      <c r="BM102" s="1">
        <v>1878</v>
      </c>
      <c r="BN102" s="1">
        <v>867.99</v>
      </c>
      <c r="BO102" s="1">
        <v>1</v>
      </c>
      <c r="BP102" s="1">
        <v>0</v>
      </c>
      <c r="BQ102" s="1">
        <v>90</v>
      </c>
      <c r="BR102" s="1">
        <v>60003172</v>
      </c>
      <c r="BS102" s="1">
        <v>32767</v>
      </c>
      <c r="BT102" s="1">
        <v>14</v>
      </c>
      <c r="BV102" s="1">
        <v>2412688129</v>
      </c>
      <c r="BW102" s="1">
        <v>40</v>
      </c>
      <c r="BX102" s="1">
        <v>11579</v>
      </c>
      <c r="BY102" s="1">
        <v>6050</v>
      </c>
      <c r="BZ102" s="1">
        <v>2700</v>
      </c>
      <c r="CA102" s="1">
        <v>1</v>
      </c>
      <c r="CB102" s="1">
        <v>0</v>
      </c>
      <c r="CC102" s="1">
        <v>90</v>
      </c>
      <c r="CD102" s="1">
        <v>60002443</v>
      </c>
      <c r="CE102" s="1">
        <v>32767</v>
      </c>
      <c r="CF102" s="1">
        <v>8</v>
      </c>
      <c r="CH102" s="1">
        <v>2403188900</v>
      </c>
      <c r="CI102" s="1">
        <v>29668</v>
      </c>
      <c r="CJ102" s="1">
        <v>4</v>
      </c>
      <c r="CK102" s="1">
        <v>4</v>
      </c>
      <c r="CL102" s="1">
        <v>507106700</v>
      </c>
      <c r="CM102" s="1">
        <v>1</v>
      </c>
      <c r="CN102" s="1">
        <v>0</v>
      </c>
      <c r="CO102" s="1">
        <v>90</v>
      </c>
      <c r="CP102" s="1">
        <v>60003760</v>
      </c>
      <c r="CQ102" s="1">
        <v>32767</v>
      </c>
      <c r="CR102" s="1">
        <v>0</v>
      </c>
      <c r="CT102" s="1">
        <v>2400578788</v>
      </c>
      <c r="CU102" s="1">
        <v>16649</v>
      </c>
      <c r="CV102" s="1">
        <v>10000</v>
      </c>
      <c r="CW102" s="1">
        <v>10000</v>
      </c>
      <c r="CX102" s="1">
        <v>92507.19</v>
      </c>
      <c r="CY102" s="1">
        <v>1</v>
      </c>
      <c r="CZ102" s="1">
        <v>1</v>
      </c>
      <c r="DA102" s="1">
        <v>90</v>
      </c>
      <c r="DB102" s="1">
        <v>60003760</v>
      </c>
      <c r="DC102" s="1">
        <v>-1</v>
      </c>
      <c r="DD102" s="1">
        <v>0</v>
      </c>
      <c r="DF102" s="1">
        <v>2407942087</v>
      </c>
      <c r="DG102" s="1">
        <v>17887</v>
      </c>
      <c r="DH102" s="1">
        <v>250000</v>
      </c>
      <c r="DI102" s="1">
        <v>134000</v>
      </c>
      <c r="DJ102" s="1">
        <v>1287.99</v>
      </c>
      <c r="DK102" s="1">
        <v>1</v>
      </c>
      <c r="DL102" s="1">
        <v>0</v>
      </c>
      <c r="DM102" s="1">
        <v>90</v>
      </c>
      <c r="DN102" s="1">
        <v>60004078</v>
      </c>
      <c r="DO102" s="1">
        <v>32767</v>
      </c>
      <c r="DP102" s="1">
        <v>10</v>
      </c>
      <c r="DR102" s="1">
        <v>2862786228</v>
      </c>
      <c r="DS102" s="1">
        <v>17888</v>
      </c>
      <c r="DT102" s="1">
        <v>58668</v>
      </c>
      <c r="DU102" s="1">
        <v>58668</v>
      </c>
      <c r="DV102" s="1">
        <v>353</v>
      </c>
      <c r="DW102" s="1">
        <v>1</v>
      </c>
      <c r="DX102" s="1">
        <v>0</v>
      </c>
      <c r="DY102" s="1">
        <v>90</v>
      </c>
      <c r="DZ102" s="1">
        <v>60003760</v>
      </c>
      <c r="EA102" s="1">
        <v>32767</v>
      </c>
      <c r="EB102" s="1">
        <v>8</v>
      </c>
      <c r="ED102" s="1">
        <v>2833005581</v>
      </c>
      <c r="EE102" s="1">
        <v>16273</v>
      </c>
      <c r="EF102" s="1">
        <v>395884</v>
      </c>
      <c r="EG102" s="1">
        <v>351283</v>
      </c>
      <c r="EH102" s="1">
        <v>559.99</v>
      </c>
      <c r="EI102" s="1">
        <v>1</v>
      </c>
      <c r="EJ102" s="1">
        <v>0</v>
      </c>
      <c r="EK102" s="1">
        <v>90</v>
      </c>
      <c r="EL102" s="1">
        <v>60000790</v>
      </c>
      <c r="EM102" s="1">
        <v>32767</v>
      </c>
      <c r="EN102" s="1">
        <v>7</v>
      </c>
      <c r="EP102" s="1">
        <v>2865061998</v>
      </c>
      <c r="EQ102" s="1">
        <v>17889</v>
      </c>
      <c r="ER102" s="1">
        <v>1000000</v>
      </c>
      <c r="ES102" s="1">
        <v>1000000</v>
      </c>
      <c r="ET102" s="1">
        <v>322</v>
      </c>
      <c r="EU102" s="1">
        <v>1</v>
      </c>
      <c r="EV102" s="1">
        <v>1</v>
      </c>
      <c r="EW102" s="1">
        <v>90</v>
      </c>
      <c r="EX102" s="1">
        <v>60003760</v>
      </c>
      <c r="EY102" s="1">
        <v>-1</v>
      </c>
      <c r="EZ102" s="1">
        <v>0</v>
      </c>
      <c r="FB102" s="1">
        <v>2869755183</v>
      </c>
      <c r="FC102" s="1">
        <v>30259</v>
      </c>
      <c r="FD102" s="1">
        <v>1000</v>
      </c>
      <c r="FE102" s="1">
        <v>852</v>
      </c>
      <c r="FF102" s="1">
        <v>5522031.1399999997</v>
      </c>
      <c r="FG102" s="1">
        <v>1</v>
      </c>
      <c r="FH102" s="1">
        <v>1</v>
      </c>
      <c r="FI102" s="1">
        <v>90</v>
      </c>
      <c r="FJ102" s="1">
        <v>60003760</v>
      </c>
      <c r="FK102" s="1">
        <v>0</v>
      </c>
      <c r="FL102" s="1">
        <v>0</v>
      </c>
      <c r="FN102" s="1">
        <v>2878498444</v>
      </c>
      <c r="FO102" s="1">
        <v>25617</v>
      </c>
      <c r="FP102" s="1">
        <v>500</v>
      </c>
      <c r="FQ102" s="1">
        <v>473</v>
      </c>
      <c r="FR102" s="1">
        <v>4913000.95</v>
      </c>
      <c r="FS102" s="1">
        <v>1</v>
      </c>
      <c r="FT102" s="1">
        <v>1</v>
      </c>
      <c r="FU102" s="1">
        <v>90</v>
      </c>
      <c r="FV102" s="1">
        <v>60003760</v>
      </c>
      <c r="FW102" s="1">
        <v>-1</v>
      </c>
      <c r="FX102" s="1">
        <v>0</v>
      </c>
      <c r="FZ102" s="1">
        <v>2799403952</v>
      </c>
      <c r="GA102" s="1">
        <v>44</v>
      </c>
      <c r="GB102" s="1">
        <v>10000</v>
      </c>
      <c r="GC102" s="1">
        <v>10000</v>
      </c>
      <c r="GD102" s="1">
        <v>12110.03</v>
      </c>
      <c r="GE102" s="1">
        <v>1</v>
      </c>
      <c r="GF102" s="1">
        <v>1</v>
      </c>
      <c r="GG102" s="1">
        <v>90</v>
      </c>
      <c r="GH102" s="1">
        <v>60003760</v>
      </c>
      <c r="GI102" s="1">
        <v>-1</v>
      </c>
      <c r="GJ102" s="1">
        <v>0</v>
      </c>
      <c r="GL102" s="1">
        <v>2399726351</v>
      </c>
      <c r="GM102" s="1">
        <v>16681</v>
      </c>
      <c r="GN102" s="1">
        <v>56020</v>
      </c>
      <c r="GO102" s="1">
        <v>56020</v>
      </c>
      <c r="GP102" s="1">
        <v>5554.01</v>
      </c>
      <c r="GQ102" s="1">
        <v>1</v>
      </c>
      <c r="GR102" s="1">
        <v>1</v>
      </c>
      <c r="GS102" s="1">
        <v>90</v>
      </c>
      <c r="GT102" s="1">
        <v>60003760</v>
      </c>
      <c r="GU102" s="1">
        <v>-1</v>
      </c>
      <c r="GV102" s="1">
        <v>0</v>
      </c>
      <c r="GX102"/>
      <c r="GY102"/>
      <c r="GZ102"/>
      <c r="HA102"/>
      <c r="HB102"/>
      <c r="HC102"/>
      <c r="HD102"/>
      <c r="HE102"/>
      <c r="HF102"/>
      <c r="HG102"/>
      <c r="HH102"/>
      <c r="HV102" s="1">
        <v>2855232027</v>
      </c>
      <c r="HW102" s="1">
        <v>16274</v>
      </c>
      <c r="HX102" s="1">
        <v>1000000</v>
      </c>
      <c r="HY102" s="1">
        <v>652420</v>
      </c>
      <c r="HZ102" s="1">
        <v>290.19</v>
      </c>
      <c r="IA102" s="1">
        <v>100000</v>
      </c>
      <c r="IB102" s="1">
        <v>1</v>
      </c>
      <c r="IC102" s="1">
        <v>90</v>
      </c>
      <c r="ID102" s="1">
        <v>60003760</v>
      </c>
      <c r="IE102" s="1">
        <v>32767</v>
      </c>
      <c r="IF102" s="1">
        <v>0</v>
      </c>
      <c r="IT102" s="1">
        <v>2873186814</v>
      </c>
      <c r="IU102" s="1">
        <v>16679</v>
      </c>
      <c r="IV102" s="1">
        <v>51000</v>
      </c>
      <c r="IW102" s="1">
        <v>51000</v>
      </c>
      <c r="IX102" s="1">
        <v>1689.79</v>
      </c>
      <c r="IY102" s="1">
        <v>1</v>
      </c>
      <c r="IZ102" s="1">
        <v>1</v>
      </c>
      <c r="JA102" s="1">
        <v>90</v>
      </c>
      <c r="JB102" s="1">
        <v>60003760</v>
      </c>
      <c r="JC102" s="1">
        <v>-1</v>
      </c>
      <c r="JD102" s="1">
        <v>0</v>
      </c>
      <c r="JF102" s="1">
        <v>2878811497</v>
      </c>
      <c r="JG102" s="1">
        <v>16272</v>
      </c>
      <c r="JH102" s="1">
        <v>1135724</v>
      </c>
      <c r="JI102" s="1">
        <v>1135724</v>
      </c>
      <c r="JJ102" s="1">
        <v>74.86</v>
      </c>
      <c r="JK102" s="1">
        <v>1</v>
      </c>
      <c r="JL102" s="1">
        <v>0</v>
      </c>
      <c r="JM102" s="1">
        <v>90</v>
      </c>
      <c r="JN102" s="1">
        <v>60003760</v>
      </c>
      <c r="JO102" s="1">
        <v>32767</v>
      </c>
      <c r="JP102" s="1">
        <v>0</v>
      </c>
      <c r="KD102" s="1">
        <v>2867713805</v>
      </c>
      <c r="KE102" s="1">
        <v>25605</v>
      </c>
      <c r="KF102" s="1">
        <v>10500</v>
      </c>
      <c r="KG102" s="1">
        <v>10494</v>
      </c>
      <c r="KH102" s="1">
        <v>107500.07</v>
      </c>
      <c r="KI102" s="1">
        <v>1</v>
      </c>
      <c r="KJ102" s="1">
        <v>1</v>
      </c>
      <c r="KK102" s="1">
        <v>90</v>
      </c>
      <c r="KL102" s="1">
        <v>60003760</v>
      </c>
      <c r="KM102" s="1">
        <v>-1</v>
      </c>
      <c r="KN102" s="1">
        <v>0</v>
      </c>
      <c r="KP102" s="1">
        <v>2873583125</v>
      </c>
      <c r="KQ102" s="1">
        <v>25624</v>
      </c>
      <c r="KR102" s="1">
        <v>50</v>
      </c>
      <c r="KS102" s="1">
        <v>50</v>
      </c>
      <c r="KT102" s="1">
        <v>17620002.18</v>
      </c>
      <c r="KU102" s="1">
        <v>1</v>
      </c>
      <c r="KV102" s="1">
        <v>1</v>
      </c>
      <c r="KW102" s="1">
        <v>7</v>
      </c>
      <c r="KX102" s="1">
        <v>60003760</v>
      </c>
      <c r="KY102" s="1">
        <v>-1</v>
      </c>
      <c r="KZ102" s="1">
        <v>0</v>
      </c>
      <c r="LB102" s="1">
        <v>2876165831</v>
      </c>
      <c r="LC102" s="1">
        <v>9832</v>
      </c>
      <c r="LD102" s="1">
        <v>7662</v>
      </c>
      <c r="LE102" s="1">
        <v>4462</v>
      </c>
      <c r="LF102" s="1">
        <v>9200</v>
      </c>
      <c r="LG102" s="1">
        <v>1</v>
      </c>
      <c r="LH102" s="1">
        <v>0</v>
      </c>
      <c r="LI102" s="1">
        <v>14</v>
      </c>
      <c r="LJ102" s="1">
        <v>60000904</v>
      </c>
      <c r="LK102" s="1">
        <v>32767</v>
      </c>
      <c r="LL102" s="1">
        <v>12</v>
      </c>
      <c r="ML102"/>
      <c r="MM102"/>
      <c r="MN102"/>
      <c r="MO102"/>
      <c r="MP102"/>
      <c r="MQ102"/>
      <c r="MR102"/>
      <c r="MS102"/>
      <c r="MT102"/>
      <c r="MU102"/>
      <c r="MV102"/>
      <c r="MX102"/>
      <c r="MY102"/>
      <c r="MZ102"/>
      <c r="NA102"/>
      <c r="NB102"/>
      <c r="NC102"/>
      <c r="ND102"/>
      <c r="NE102"/>
      <c r="NF102"/>
      <c r="NG102"/>
      <c r="NH102"/>
      <c r="NJ102" s="1">
        <v>2875322796</v>
      </c>
      <c r="NK102" s="1">
        <v>16673</v>
      </c>
      <c r="NL102" s="1">
        <v>3000000</v>
      </c>
      <c r="NM102" s="1">
        <v>788542</v>
      </c>
      <c r="NN102" s="1">
        <v>93.05</v>
      </c>
      <c r="NO102" s="1">
        <v>1</v>
      </c>
      <c r="NP102" s="1">
        <v>1</v>
      </c>
      <c r="NQ102" s="1">
        <v>90</v>
      </c>
      <c r="NR102" s="1">
        <v>60003760</v>
      </c>
      <c r="NS102" s="1">
        <v>-1</v>
      </c>
      <c r="NT102" s="1">
        <v>0</v>
      </c>
      <c r="NV102" s="1">
        <v>2878821662</v>
      </c>
      <c r="NW102" s="1">
        <v>3689</v>
      </c>
      <c r="NX102" s="1">
        <v>240</v>
      </c>
      <c r="NY102" s="1">
        <v>240</v>
      </c>
      <c r="NZ102" s="1">
        <v>10172.9</v>
      </c>
      <c r="OA102" s="1">
        <v>1</v>
      </c>
      <c r="OB102" s="1">
        <v>0</v>
      </c>
      <c r="OC102" s="1">
        <v>30</v>
      </c>
      <c r="OD102" s="1">
        <v>60003760</v>
      </c>
      <c r="OE102" s="1">
        <v>32767</v>
      </c>
      <c r="OF102" s="1">
        <v>0</v>
      </c>
      <c r="OH102" s="1">
        <v>2870997692</v>
      </c>
      <c r="OI102" s="1">
        <v>25598</v>
      </c>
      <c r="OJ102" s="1">
        <v>1008</v>
      </c>
      <c r="OK102" s="1">
        <v>342</v>
      </c>
      <c r="OL102" s="1">
        <v>141400</v>
      </c>
      <c r="OM102" s="1">
        <v>1</v>
      </c>
      <c r="ON102" s="1">
        <v>0</v>
      </c>
      <c r="OO102" s="1">
        <v>90</v>
      </c>
      <c r="OP102" s="1">
        <v>60003760</v>
      </c>
      <c r="OQ102" s="1">
        <v>32767</v>
      </c>
      <c r="OR102" s="1">
        <v>0</v>
      </c>
      <c r="OT102" s="1">
        <v>2878842843</v>
      </c>
      <c r="OU102" s="1">
        <v>25600</v>
      </c>
      <c r="OV102" s="1">
        <v>47</v>
      </c>
      <c r="OW102" s="1">
        <v>37</v>
      </c>
      <c r="OX102" s="1">
        <v>29838.99</v>
      </c>
      <c r="OY102" s="1">
        <v>1</v>
      </c>
      <c r="OZ102" s="1">
        <v>0</v>
      </c>
      <c r="PA102" s="1">
        <v>90</v>
      </c>
      <c r="PB102" s="1">
        <v>60003760</v>
      </c>
      <c r="PC102" s="1">
        <v>32767</v>
      </c>
      <c r="PD102" s="1">
        <v>0</v>
      </c>
      <c r="PF102" s="1">
        <v>2761081227</v>
      </c>
      <c r="PG102" s="1">
        <v>16670</v>
      </c>
      <c r="PH102" s="1">
        <v>100000</v>
      </c>
      <c r="PI102" s="1">
        <v>100000</v>
      </c>
      <c r="PJ102" s="1">
        <v>39.89</v>
      </c>
      <c r="PK102" s="1">
        <v>1</v>
      </c>
      <c r="PL102" s="1">
        <v>1</v>
      </c>
      <c r="PM102" s="1">
        <v>90</v>
      </c>
      <c r="PN102" s="1">
        <v>60003760</v>
      </c>
      <c r="PO102" s="1">
        <v>20</v>
      </c>
      <c r="PP102" s="1">
        <v>0</v>
      </c>
      <c r="QD102"/>
      <c r="QE102"/>
      <c r="QF102"/>
      <c r="QG102"/>
      <c r="QH102"/>
      <c r="QI102"/>
      <c r="QJ102"/>
      <c r="QK102"/>
      <c r="QL102"/>
      <c r="QM102"/>
      <c r="QN102"/>
      <c r="RB102"/>
      <c r="RC102"/>
      <c r="RD102"/>
      <c r="RE102"/>
      <c r="RF102"/>
      <c r="RG102"/>
      <c r="RH102"/>
      <c r="RI102"/>
      <c r="RJ102"/>
      <c r="RK102"/>
      <c r="RL102"/>
      <c r="RN102"/>
      <c r="RO102"/>
      <c r="RP102"/>
      <c r="RQ102"/>
      <c r="RR102"/>
      <c r="RS102"/>
      <c r="RT102"/>
      <c r="RU102"/>
      <c r="RV102"/>
      <c r="RW102"/>
      <c r="RX102"/>
      <c r="SX102" s="1">
        <v>2866445700</v>
      </c>
      <c r="SY102" s="1">
        <v>25595</v>
      </c>
      <c r="SZ102" s="1">
        <v>38</v>
      </c>
      <c r="TA102" s="1">
        <v>38</v>
      </c>
      <c r="TB102" s="1">
        <v>83443.990000000005</v>
      </c>
      <c r="TC102" s="1">
        <v>1</v>
      </c>
      <c r="TD102" s="1">
        <v>0</v>
      </c>
      <c r="TE102" s="1">
        <v>14</v>
      </c>
      <c r="TF102" s="1">
        <v>60003760</v>
      </c>
      <c r="TG102" s="1">
        <v>32767</v>
      </c>
      <c r="TH102" s="1">
        <v>6</v>
      </c>
      <c r="TJ102" s="1">
        <v>2878566514</v>
      </c>
      <c r="TK102" s="1">
        <v>25606</v>
      </c>
      <c r="TL102" s="1">
        <v>8</v>
      </c>
      <c r="TM102" s="1">
        <v>8</v>
      </c>
      <c r="TN102" s="1">
        <v>22219</v>
      </c>
      <c r="TO102" s="1">
        <v>1</v>
      </c>
      <c r="TP102" s="1">
        <v>0</v>
      </c>
      <c r="TQ102" s="1">
        <v>3</v>
      </c>
      <c r="TR102" s="1">
        <v>60003760</v>
      </c>
      <c r="TS102" s="1">
        <v>32767</v>
      </c>
      <c r="TT102" s="1">
        <v>0</v>
      </c>
      <c r="TV102"/>
      <c r="TW102"/>
      <c r="TX102"/>
      <c r="TY102"/>
      <c r="TZ102"/>
      <c r="UA102"/>
      <c r="UB102"/>
      <c r="UC102"/>
      <c r="UD102"/>
      <c r="UE102"/>
      <c r="UF102"/>
      <c r="UT102"/>
      <c r="UU102"/>
      <c r="UV102"/>
      <c r="UW102"/>
      <c r="UX102"/>
      <c r="UY102"/>
      <c r="UZ102"/>
      <c r="VA102"/>
      <c r="VB102"/>
      <c r="VC102"/>
      <c r="VD102"/>
    </row>
    <row r="103" spans="2:588" x14ac:dyDescent="0.25">
      <c r="B103" s="1">
        <v>2773306018</v>
      </c>
      <c r="C103" s="1">
        <v>34</v>
      </c>
      <c r="D103" s="1">
        <v>245137035</v>
      </c>
      <c r="E103" s="1">
        <v>245137035</v>
      </c>
      <c r="F103" s="1">
        <v>6.18</v>
      </c>
      <c r="G103" s="1">
        <v>1</v>
      </c>
      <c r="H103" s="1">
        <v>0</v>
      </c>
      <c r="I103" s="1">
        <v>90</v>
      </c>
      <c r="J103" s="1">
        <v>60003760</v>
      </c>
      <c r="K103" s="1">
        <v>32767</v>
      </c>
      <c r="L103" s="1">
        <v>0</v>
      </c>
      <c r="N103" s="1">
        <v>2853762570</v>
      </c>
      <c r="O103" s="1">
        <v>35</v>
      </c>
      <c r="P103" s="1">
        <v>1920034</v>
      </c>
      <c r="Q103" s="1">
        <v>1920034</v>
      </c>
      <c r="R103" s="1">
        <v>16.5</v>
      </c>
      <c r="S103" s="1">
        <v>1</v>
      </c>
      <c r="T103" s="1">
        <v>0</v>
      </c>
      <c r="U103" s="1">
        <v>90</v>
      </c>
      <c r="V103" s="1">
        <v>60003760</v>
      </c>
      <c r="W103" s="1">
        <v>32767</v>
      </c>
      <c r="X103" s="1">
        <v>0</v>
      </c>
      <c r="Z103" s="1">
        <v>2833005607</v>
      </c>
      <c r="AA103" s="1">
        <v>36</v>
      </c>
      <c r="AB103" s="1">
        <v>27451555</v>
      </c>
      <c r="AC103" s="1">
        <v>27451555</v>
      </c>
      <c r="AD103" s="16">
        <v>54.15</v>
      </c>
      <c r="AE103" s="1">
        <v>1</v>
      </c>
      <c r="AF103" s="1">
        <v>0</v>
      </c>
      <c r="AG103" s="1">
        <v>90</v>
      </c>
      <c r="AH103" s="1">
        <v>60003760</v>
      </c>
      <c r="AI103" s="1">
        <v>32767</v>
      </c>
      <c r="AJ103" s="1">
        <v>11</v>
      </c>
      <c r="AL103" s="1">
        <v>2872582447</v>
      </c>
      <c r="AM103" s="1">
        <v>37</v>
      </c>
      <c r="AN103" s="1">
        <v>1316960</v>
      </c>
      <c r="AO103" s="1">
        <v>1316960</v>
      </c>
      <c r="AP103" s="16">
        <v>151.65</v>
      </c>
      <c r="AQ103" s="1">
        <v>1</v>
      </c>
      <c r="AR103" s="1">
        <v>0</v>
      </c>
      <c r="AS103" s="1">
        <v>7</v>
      </c>
      <c r="AT103" s="1">
        <v>60003760</v>
      </c>
      <c r="AU103" s="1">
        <v>32767</v>
      </c>
      <c r="AV103" s="1">
        <v>9</v>
      </c>
      <c r="AX103" s="1">
        <v>2878425870</v>
      </c>
      <c r="AY103" s="1">
        <v>38</v>
      </c>
      <c r="AZ103" s="1">
        <v>5340</v>
      </c>
      <c r="BA103" s="1">
        <v>5340</v>
      </c>
      <c r="BB103" s="1">
        <v>810</v>
      </c>
      <c r="BC103" s="1">
        <v>1</v>
      </c>
      <c r="BD103" s="1">
        <v>0</v>
      </c>
      <c r="BE103" s="1">
        <v>90</v>
      </c>
      <c r="BF103" s="1">
        <v>60005593</v>
      </c>
      <c r="BG103" s="1">
        <v>32767</v>
      </c>
      <c r="BH103" s="1">
        <v>6</v>
      </c>
      <c r="BJ103" s="1">
        <v>2830592638</v>
      </c>
      <c r="BK103" s="1">
        <v>39</v>
      </c>
      <c r="BL103" s="1">
        <v>100000</v>
      </c>
      <c r="BM103" s="1">
        <v>82094</v>
      </c>
      <c r="BN103" s="1">
        <v>1000</v>
      </c>
      <c r="BO103" s="1">
        <v>1</v>
      </c>
      <c r="BP103" s="1">
        <v>0</v>
      </c>
      <c r="BQ103" s="1">
        <v>90</v>
      </c>
      <c r="BR103" s="1">
        <v>60000973</v>
      </c>
      <c r="BS103" s="1">
        <v>32767</v>
      </c>
      <c r="BT103" s="1">
        <v>15</v>
      </c>
      <c r="BV103" s="1">
        <v>2402683203</v>
      </c>
      <c r="BW103" s="1">
        <v>40</v>
      </c>
      <c r="BX103" s="1">
        <v>45</v>
      </c>
      <c r="BY103" s="1">
        <v>45</v>
      </c>
      <c r="BZ103" s="1">
        <v>3000</v>
      </c>
      <c r="CA103" s="1">
        <v>1</v>
      </c>
      <c r="CB103" s="1">
        <v>0</v>
      </c>
      <c r="CC103" s="1">
        <v>90</v>
      </c>
      <c r="CD103" s="1">
        <v>60004075</v>
      </c>
      <c r="CE103" s="1">
        <v>32767</v>
      </c>
      <c r="CF103" s="1">
        <v>5</v>
      </c>
      <c r="CH103" s="1">
        <v>2402092901</v>
      </c>
      <c r="CI103" s="1">
        <v>29668</v>
      </c>
      <c r="CJ103" s="1">
        <v>1</v>
      </c>
      <c r="CK103" s="1">
        <v>1</v>
      </c>
      <c r="CL103" s="1">
        <v>500000000</v>
      </c>
      <c r="CM103" s="1">
        <v>1</v>
      </c>
      <c r="CN103" s="1">
        <v>0</v>
      </c>
      <c r="CO103" s="1">
        <v>90</v>
      </c>
      <c r="CP103" s="1">
        <v>60003760</v>
      </c>
      <c r="CQ103" s="1">
        <v>32767</v>
      </c>
      <c r="CR103" s="1">
        <v>0</v>
      </c>
      <c r="CT103" s="1">
        <v>2401633699</v>
      </c>
      <c r="CU103" s="1">
        <v>16649</v>
      </c>
      <c r="CV103" s="1">
        <v>20000</v>
      </c>
      <c r="CW103" s="1">
        <v>20000</v>
      </c>
      <c r="CX103" s="1">
        <v>94500.11</v>
      </c>
      <c r="CY103" s="1">
        <v>1</v>
      </c>
      <c r="CZ103" s="1">
        <v>1</v>
      </c>
      <c r="DA103" s="1">
        <v>90</v>
      </c>
      <c r="DB103" s="1">
        <v>60003760</v>
      </c>
      <c r="DC103" s="1">
        <v>-1</v>
      </c>
      <c r="DD103" s="1">
        <v>0</v>
      </c>
      <c r="DF103" s="1">
        <v>2408883247</v>
      </c>
      <c r="DG103" s="1">
        <v>17887</v>
      </c>
      <c r="DH103" s="1">
        <v>1000000</v>
      </c>
      <c r="DI103" s="1">
        <v>742037</v>
      </c>
      <c r="DJ103" s="1">
        <v>1099</v>
      </c>
      <c r="DK103" s="1">
        <v>1</v>
      </c>
      <c r="DL103" s="1">
        <v>0</v>
      </c>
      <c r="DM103" s="1">
        <v>90</v>
      </c>
      <c r="DN103" s="1">
        <v>60004078</v>
      </c>
      <c r="DO103" s="1">
        <v>32767</v>
      </c>
      <c r="DP103" s="1">
        <v>10</v>
      </c>
      <c r="DR103" s="1">
        <v>2862744559</v>
      </c>
      <c r="DS103" s="1">
        <v>17888</v>
      </c>
      <c r="DT103" s="1">
        <v>1164676</v>
      </c>
      <c r="DU103" s="1">
        <v>1164676</v>
      </c>
      <c r="DV103" s="1">
        <v>353.94</v>
      </c>
      <c r="DW103" s="1">
        <v>1</v>
      </c>
      <c r="DX103" s="1">
        <v>0</v>
      </c>
      <c r="DY103" s="1">
        <v>90</v>
      </c>
      <c r="DZ103" s="1">
        <v>60003760</v>
      </c>
      <c r="EA103" s="1">
        <v>32767</v>
      </c>
      <c r="EB103" s="1">
        <v>8</v>
      </c>
      <c r="ED103" s="1">
        <v>2833001491</v>
      </c>
      <c r="EE103" s="1">
        <v>16273</v>
      </c>
      <c r="EF103" s="1">
        <v>222597</v>
      </c>
      <c r="EG103" s="1">
        <v>222597</v>
      </c>
      <c r="EH103" s="1">
        <v>599.99</v>
      </c>
      <c r="EI103" s="1">
        <v>1</v>
      </c>
      <c r="EJ103" s="1">
        <v>0</v>
      </c>
      <c r="EK103" s="1">
        <v>90</v>
      </c>
      <c r="EL103" s="1">
        <v>60002236</v>
      </c>
      <c r="EM103" s="1">
        <v>32767</v>
      </c>
      <c r="EN103" s="1">
        <v>7</v>
      </c>
      <c r="EP103" s="1">
        <v>2864870927</v>
      </c>
      <c r="EQ103" s="1">
        <v>17889</v>
      </c>
      <c r="ER103" s="1">
        <v>1000000</v>
      </c>
      <c r="ES103" s="1">
        <v>1000000</v>
      </c>
      <c r="ET103" s="1">
        <v>331.01</v>
      </c>
      <c r="EU103" s="1">
        <v>1</v>
      </c>
      <c r="EV103" s="1">
        <v>1</v>
      </c>
      <c r="EW103" s="1">
        <v>90</v>
      </c>
      <c r="EX103" s="1">
        <v>60003760</v>
      </c>
      <c r="EY103" s="1">
        <v>-1</v>
      </c>
      <c r="EZ103" s="1">
        <v>0</v>
      </c>
      <c r="FB103" s="1">
        <v>2866839734</v>
      </c>
      <c r="FC103" s="1">
        <v>30259</v>
      </c>
      <c r="FD103" s="1">
        <v>200</v>
      </c>
      <c r="FE103" s="1">
        <v>26</v>
      </c>
      <c r="FF103" s="1">
        <v>5574100.21</v>
      </c>
      <c r="FG103" s="1">
        <v>1</v>
      </c>
      <c r="FH103" s="1">
        <v>1</v>
      </c>
      <c r="FI103" s="1">
        <v>90</v>
      </c>
      <c r="FJ103" s="1">
        <v>60003760</v>
      </c>
      <c r="FK103" s="1">
        <v>-1</v>
      </c>
      <c r="FL103" s="1">
        <v>0</v>
      </c>
      <c r="FN103" s="1">
        <v>2878847996</v>
      </c>
      <c r="FO103" s="1">
        <v>25617</v>
      </c>
      <c r="FP103" s="1">
        <v>260</v>
      </c>
      <c r="FQ103" s="1">
        <v>161</v>
      </c>
      <c r="FR103" s="1">
        <v>4913002.13</v>
      </c>
      <c r="FS103" s="1">
        <v>1</v>
      </c>
      <c r="FT103" s="1">
        <v>1</v>
      </c>
      <c r="FU103" s="1">
        <v>90</v>
      </c>
      <c r="FV103" s="1">
        <v>60003760</v>
      </c>
      <c r="FW103" s="1">
        <v>-1</v>
      </c>
      <c r="FX103" s="1">
        <v>0</v>
      </c>
      <c r="FZ103" s="1">
        <v>2801369793</v>
      </c>
      <c r="GA103" s="1">
        <v>44</v>
      </c>
      <c r="GB103" s="1">
        <v>3000</v>
      </c>
      <c r="GC103" s="1">
        <v>3000</v>
      </c>
      <c r="GD103" s="1">
        <v>9512.09</v>
      </c>
      <c r="GE103" s="1">
        <v>1</v>
      </c>
      <c r="GF103" s="1">
        <v>1</v>
      </c>
      <c r="GG103" s="1">
        <v>90</v>
      </c>
      <c r="GH103" s="1">
        <v>60003760</v>
      </c>
      <c r="GI103" s="1">
        <v>-1</v>
      </c>
      <c r="GJ103" s="1">
        <v>0</v>
      </c>
      <c r="GL103" s="1">
        <v>2400556354</v>
      </c>
      <c r="GM103" s="1">
        <v>16681</v>
      </c>
      <c r="GN103" s="1">
        <v>250000</v>
      </c>
      <c r="GO103" s="1">
        <v>250000</v>
      </c>
      <c r="GP103" s="1">
        <v>5655.11</v>
      </c>
      <c r="GQ103" s="1">
        <v>1</v>
      </c>
      <c r="GR103" s="1">
        <v>1</v>
      </c>
      <c r="GS103" s="1">
        <v>90</v>
      </c>
      <c r="GT103" s="1">
        <v>60003760</v>
      </c>
      <c r="GU103" s="1">
        <v>-1</v>
      </c>
      <c r="GV103" s="1">
        <v>0</v>
      </c>
      <c r="GX103"/>
      <c r="GY103"/>
      <c r="GZ103"/>
      <c r="HA103"/>
      <c r="HB103"/>
      <c r="HC103"/>
      <c r="HD103"/>
      <c r="HE103"/>
      <c r="HF103"/>
      <c r="HG103"/>
      <c r="HH103"/>
      <c r="HV103" s="1">
        <v>2858892776</v>
      </c>
      <c r="HW103" s="1">
        <v>16274</v>
      </c>
      <c r="HX103" s="1">
        <v>400000</v>
      </c>
      <c r="HY103" s="1">
        <v>45064</v>
      </c>
      <c r="HZ103" s="1">
        <v>321.27</v>
      </c>
      <c r="IA103" s="1">
        <v>1</v>
      </c>
      <c r="IB103" s="1">
        <v>1</v>
      </c>
      <c r="IC103" s="1">
        <v>7</v>
      </c>
      <c r="ID103" s="1">
        <v>60003760</v>
      </c>
      <c r="IE103" s="1">
        <v>-1</v>
      </c>
      <c r="IF103" s="1">
        <v>0</v>
      </c>
      <c r="IT103" s="1">
        <v>2878285263</v>
      </c>
      <c r="IU103" s="1">
        <v>16679</v>
      </c>
      <c r="IV103" s="1">
        <v>1000</v>
      </c>
      <c r="IW103" s="1">
        <v>1000</v>
      </c>
      <c r="IX103" s="1">
        <v>1690.04</v>
      </c>
      <c r="IY103" s="1">
        <v>1</v>
      </c>
      <c r="IZ103" s="1">
        <v>1</v>
      </c>
      <c r="JA103" s="1">
        <v>90</v>
      </c>
      <c r="JB103" s="1">
        <v>60003760</v>
      </c>
      <c r="JC103" s="1">
        <v>-1</v>
      </c>
      <c r="JD103" s="1">
        <v>0</v>
      </c>
      <c r="JF103" s="1">
        <v>2869761747</v>
      </c>
      <c r="JG103" s="1">
        <v>16272</v>
      </c>
      <c r="JH103" s="1">
        <v>323775</v>
      </c>
      <c r="JI103" s="1">
        <v>323775</v>
      </c>
      <c r="JJ103" s="1">
        <v>74.86</v>
      </c>
      <c r="JK103" s="1">
        <v>1</v>
      </c>
      <c r="JL103" s="1">
        <v>0</v>
      </c>
      <c r="JM103" s="1">
        <v>90</v>
      </c>
      <c r="JN103" s="1">
        <v>60003760</v>
      </c>
      <c r="JO103" s="1">
        <v>32767</v>
      </c>
      <c r="JP103" s="1">
        <v>6</v>
      </c>
      <c r="KD103" s="1">
        <v>2869815685</v>
      </c>
      <c r="KE103" s="1">
        <v>25605</v>
      </c>
      <c r="KF103" s="1">
        <v>1000</v>
      </c>
      <c r="KG103" s="1">
        <v>969</v>
      </c>
      <c r="KH103" s="1">
        <v>107500.08</v>
      </c>
      <c r="KI103" s="1">
        <v>1</v>
      </c>
      <c r="KJ103" s="1">
        <v>1</v>
      </c>
      <c r="KK103" s="1">
        <v>90</v>
      </c>
      <c r="KL103" s="1">
        <v>60003760</v>
      </c>
      <c r="KM103" s="1">
        <v>-1</v>
      </c>
      <c r="KN103" s="1">
        <v>0</v>
      </c>
      <c r="KP103" s="1">
        <v>2872742354</v>
      </c>
      <c r="KQ103" s="1">
        <v>25624</v>
      </c>
      <c r="KR103" s="1">
        <v>100</v>
      </c>
      <c r="KS103" s="1">
        <v>5</v>
      </c>
      <c r="KT103" s="1">
        <v>17621001</v>
      </c>
      <c r="KU103" s="1">
        <v>1</v>
      </c>
      <c r="KV103" s="1">
        <v>1</v>
      </c>
      <c r="KW103" s="1">
        <v>90</v>
      </c>
      <c r="KX103" s="1">
        <v>60003760</v>
      </c>
      <c r="KY103" s="1">
        <v>-1</v>
      </c>
      <c r="KZ103" s="1">
        <v>0</v>
      </c>
      <c r="LB103" s="1">
        <v>2870098201</v>
      </c>
      <c r="LC103" s="1">
        <v>9832</v>
      </c>
      <c r="LD103" s="1">
        <v>2177</v>
      </c>
      <c r="LE103" s="1">
        <v>332</v>
      </c>
      <c r="LF103" s="1">
        <v>9300</v>
      </c>
      <c r="LG103" s="1">
        <v>1</v>
      </c>
      <c r="LH103" s="1">
        <v>0</v>
      </c>
      <c r="LI103" s="1">
        <v>90</v>
      </c>
      <c r="LJ103" s="1">
        <v>60003193</v>
      </c>
      <c r="LK103" s="1">
        <v>32767</v>
      </c>
      <c r="LL103" s="1">
        <v>7</v>
      </c>
      <c r="ML103"/>
      <c r="MM103"/>
      <c r="MN103"/>
      <c r="MO103"/>
      <c r="MP103"/>
      <c r="MQ103"/>
      <c r="MR103"/>
      <c r="MS103"/>
      <c r="MT103"/>
      <c r="MU103"/>
      <c r="MV103"/>
      <c r="MX103"/>
      <c r="MY103"/>
      <c r="MZ103"/>
      <c r="NA103"/>
      <c r="NB103"/>
      <c r="NC103"/>
      <c r="ND103"/>
      <c r="NE103"/>
      <c r="NF103"/>
      <c r="NG103"/>
      <c r="NH103"/>
      <c r="NJ103" s="1">
        <v>2878194254</v>
      </c>
      <c r="NK103" s="1">
        <v>16673</v>
      </c>
      <c r="NL103" s="1">
        <v>5000000</v>
      </c>
      <c r="NM103" s="1">
        <v>1710000</v>
      </c>
      <c r="NN103" s="1">
        <v>94.73</v>
      </c>
      <c r="NO103" s="1">
        <v>1</v>
      </c>
      <c r="NP103" s="1">
        <v>1</v>
      </c>
      <c r="NQ103" s="1">
        <v>30</v>
      </c>
      <c r="NR103" s="1">
        <v>60003760</v>
      </c>
      <c r="NS103" s="1">
        <v>-1</v>
      </c>
      <c r="NT103" s="1">
        <v>0</v>
      </c>
      <c r="NV103" s="1">
        <v>2856737438</v>
      </c>
      <c r="NW103" s="1">
        <v>3689</v>
      </c>
      <c r="NX103" s="1">
        <v>3580</v>
      </c>
      <c r="NY103" s="1">
        <v>3580</v>
      </c>
      <c r="NZ103" s="1">
        <v>10200</v>
      </c>
      <c r="OA103" s="1">
        <v>1</v>
      </c>
      <c r="OB103" s="1">
        <v>0</v>
      </c>
      <c r="OC103" s="1">
        <v>90</v>
      </c>
      <c r="OD103" s="1">
        <v>60003760</v>
      </c>
      <c r="OE103" s="1">
        <v>32767</v>
      </c>
      <c r="OF103" s="1">
        <v>0</v>
      </c>
      <c r="OH103" s="1">
        <v>2870185703</v>
      </c>
      <c r="OI103" s="1">
        <v>25598</v>
      </c>
      <c r="OJ103" s="1">
        <v>2633</v>
      </c>
      <c r="OK103" s="1">
        <v>2633</v>
      </c>
      <c r="OL103" s="1">
        <v>148000</v>
      </c>
      <c r="OM103" s="1">
        <v>1</v>
      </c>
      <c r="ON103" s="1">
        <v>0</v>
      </c>
      <c r="OO103" s="1">
        <v>90</v>
      </c>
      <c r="OP103" s="1">
        <v>60003760</v>
      </c>
      <c r="OQ103" s="1">
        <v>32767</v>
      </c>
      <c r="OR103" s="1">
        <v>0</v>
      </c>
      <c r="OT103" s="1">
        <v>2878890474</v>
      </c>
      <c r="OU103" s="1">
        <v>25600</v>
      </c>
      <c r="OV103" s="1">
        <v>983</v>
      </c>
      <c r="OW103" s="1">
        <v>983</v>
      </c>
      <c r="OX103" s="1">
        <v>29838.98</v>
      </c>
      <c r="OY103" s="1">
        <v>1</v>
      </c>
      <c r="OZ103" s="1">
        <v>0</v>
      </c>
      <c r="PA103" s="1">
        <v>90</v>
      </c>
      <c r="PB103" s="1">
        <v>60003760</v>
      </c>
      <c r="PC103" s="1">
        <v>32767</v>
      </c>
      <c r="PD103" s="1">
        <v>0</v>
      </c>
      <c r="PF103" s="1">
        <v>2761082085</v>
      </c>
      <c r="PG103" s="1">
        <v>16670</v>
      </c>
      <c r="PH103" s="1">
        <v>1000000</v>
      </c>
      <c r="PI103" s="1">
        <v>1000000</v>
      </c>
      <c r="PJ103" s="1">
        <v>9.89</v>
      </c>
      <c r="PK103" s="1">
        <v>1</v>
      </c>
      <c r="PL103" s="1">
        <v>1</v>
      </c>
      <c r="PM103" s="1">
        <v>90</v>
      </c>
      <c r="PN103" s="1">
        <v>60003760</v>
      </c>
      <c r="PO103" s="1">
        <v>32767</v>
      </c>
      <c r="PP103" s="1">
        <v>0</v>
      </c>
      <c r="QD103"/>
      <c r="QE103"/>
      <c r="QF103"/>
      <c r="QG103"/>
      <c r="QH103"/>
      <c r="QI103"/>
      <c r="QJ103"/>
      <c r="QK103"/>
      <c r="QL103"/>
      <c r="QM103"/>
      <c r="QN103"/>
      <c r="RB103"/>
      <c r="RC103"/>
      <c r="RD103"/>
      <c r="RE103"/>
      <c r="RF103"/>
      <c r="RG103"/>
      <c r="RH103"/>
      <c r="RI103"/>
      <c r="RJ103"/>
      <c r="RK103"/>
      <c r="RL103"/>
      <c r="RN103"/>
      <c r="RO103"/>
      <c r="RP103"/>
      <c r="RQ103"/>
      <c r="RR103"/>
      <c r="RS103"/>
      <c r="RT103"/>
      <c r="RU103"/>
      <c r="RV103"/>
      <c r="RW103"/>
      <c r="RX103"/>
      <c r="SX103" s="1">
        <v>2866468173</v>
      </c>
      <c r="SY103" s="1">
        <v>25595</v>
      </c>
      <c r="SZ103" s="1">
        <v>294</v>
      </c>
      <c r="TA103" s="1">
        <v>294</v>
      </c>
      <c r="TB103" s="1">
        <v>83426</v>
      </c>
      <c r="TC103" s="1">
        <v>1</v>
      </c>
      <c r="TD103" s="1">
        <v>0</v>
      </c>
      <c r="TE103" s="1">
        <v>90</v>
      </c>
      <c r="TF103" s="1">
        <v>60003760</v>
      </c>
      <c r="TG103" s="1">
        <v>32767</v>
      </c>
      <c r="TH103" s="1">
        <v>6</v>
      </c>
      <c r="TJ103" s="1">
        <v>2878569927</v>
      </c>
      <c r="TK103" s="1">
        <v>25606</v>
      </c>
      <c r="TL103" s="1">
        <v>82</v>
      </c>
      <c r="TM103" s="1">
        <v>82</v>
      </c>
      <c r="TN103" s="1">
        <v>22000</v>
      </c>
      <c r="TO103" s="1">
        <v>1</v>
      </c>
      <c r="TP103" s="1">
        <v>0</v>
      </c>
      <c r="TQ103" s="1">
        <v>3</v>
      </c>
      <c r="TR103" s="1">
        <v>60003760</v>
      </c>
      <c r="TS103" s="1">
        <v>32767</v>
      </c>
      <c r="TT103" s="1">
        <v>0</v>
      </c>
      <c r="TV103"/>
      <c r="TW103"/>
      <c r="TX103"/>
      <c r="TY103"/>
      <c r="TZ103"/>
      <c r="UA103"/>
      <c r="UB103"/>
      <c r="UC103"/>
      <c r="UD103"/>
      <c r="UE103"/>
      <c r="UF103"/>
      <c r="UT103"/>
      <c r="UU103"/>
      <c r="UV103"/>
      <c r="UW103"/>
      <c r="UX103"/>
      <c r="UY103"/>
      <c r="UZ103"/>
      <c r="VA103"/>
      <c r="VB103"/>
      <c r="VC103"/>
      <c r="VD103"/>
    </row>
    <row r="104" spans="2:588" x14ac:dyDescent="0.25">
      <c r="B104" s="1">
        <v>2772306578</v>
      </c>
      <c r="C104" s="1">
        <v>34</v>
      </c>
      <c r="D104" s="1">
        <v>507387</v>
      </c>
      <c r="E104" s="1">
        <v>507387</v>
      </c>
      <c r="F104" s="1">
        <v>7.98</v>
      </c>
      <c r="G104" s="1">
        <v>1</v>
      </c>
      <c r="H104" s="1">
        <v>0</v>
      </c>
      <c r="I104" s="1">
        <v>90</v>
      </c>
      <c r="J104" s="1">
        <v>60003760</v>
      </c>
      <c r="K104" s="1">
        <v>32767</v>
      </c>
      <c r="L104" s="1">
        <v>0</v>
      </c>
      <c r="N104" s="1">
        <v>2853228108</v>
      </c>
      <c r="O104" s="1">
        <v>35</v>
      </c>
      <c r="P104" s="1">
        <v>528000</v>
      </c>
      <c r="Q104" s="1">
        <v>528000</v>
      </c>
      <c r="R104" s="1">
        <v>15.51</v>
      </c>
      <c r="S104" s="1">
        <v>1</v>
      </c>
      <c r="T104" s="1">
        <v>0</v>
      </c>
      <c r="U104" s="1">
        <v>30</v>
      </c>
      <c r="V104" s="1">
        <v>60000364</v>
      </c>
      <c r="W104" s="1">
        <v>32767</v>
      </c>
      <c r="X104" s="1">
        <v>0</v>
      </c>
      <c r="Z104" s="1">
        <v>2832964362</v>
      </c>
      <c r="AA104" s="1">
        <v>36</v>
      </c>
      <c r="AB104" s="1">
        <v>36904602</v>
      </c>
      <c r="AC104" s="1">
        <v>24905690</v>
      </c>
      <c r="AD104" s="16">
        <v>54.12</v>
      </c>
      <c r="AE104" s="1">
        <v>1</v>
      </c>
      <c r="AF104" s="1">
        <v>0</v>
      </c>
      <c r="AG104" s="1">
        <v>90</v>
      </c>
      <c r="AH104" s="1">
        <v>60003760</v>
      </c>
      <c r="AI104" s="1">
        <v>32767</v>
      </c>
      <c r="AJ104" s="1">
        <v>11</v>
      </c>
      <c r="AL104" s="1">
        <v>2873179701</v>
      </c>
      <c r="AM104" s="1">
        <v>37</v>
      </c>
      <c r="AN104" s="1">
        <v>45849</v>
      </c>
      <c r="AO104" s="1">
        <v>45849</v>
      </c>
      <c r="AP104" s="16">
        <v>150.85</v>
      </c>
      <c r="AQ104" s="1">
        <v>1</v>
      </c>
      <c r="AR104" s="1">
        <v>0</v>
      </c>
      <c r="AS104" s="1">
        <v>90</v>
      </c>
      <c r="AT104" s="1">
        <v>60003760</v>
      </c>
      <c r="AU104" s="1">
        <v>32767</v>
      </c>
      <c r="AV104" s="1">
        <v>9</v>
      </c>
      <c r="AX104" s="1">
        <v>2878456067</v>
      </c>
      <c r="AY104" s="1">
        <v>38</v>
      </c>
      <c r="AZ104" s="1">
        <v>82294</v>
      </c>
      <c r="BA104" s="1">
        <v>9814</v>
      </c>
      <c r="BB104" s="1">
        <v>811.08</v>
      </c>
      <c r="BC104" s="1">
        <v>1</v>
      </c>
      <c r="BD104" s="1">
        <v>0</v>
      </c>
      <c r="BE104" s="1">
        <v>1</v>
      </c>
      <c r="BF104" s="1">
        <v>60003760</v>
      </c>
      <c r="BG104" s="1">
        <v>32767</v>
      </c>
      <c r="BH104" s="1">
        <v>5</v>
      </c>
      <c r="BJ104" s="1">
        <v>2834501168</v>
      </c>
      <c r="BK104" s="1">
        <v>39</v>
      </c>
      <c r="BL104" s="1">
        <v>1378494</v>
      </c>
      <c r="BM104" s="1">
        <v>1367194</v>
      </c>
      <c r="BN104" s="1">
        <v>820</v>
      </c>
      <c r="BO104" s="1">
        <v>1</v>
      </c>
      <c r="BP104" s="1">
        <v>0</v>
      </c>
      <c r="BQ104" s="1">
        <v>30</v>
      </c>
      <c r="BR104" s="1">
        <v>60002377</v>
      </c>
      <c r="BS104" s="1">
        <v>32767</v>
      </c>
      <c r="BT104" s="1">
        <v>15</v>
      </c>
      <c r="BV104" s="1">
        <v>2408925768</v>
      </c>
      <c r="BW104" s="1">
        <v>40</v>
      </c>
      <c r="BX104" s="1">
        <v>61749</v>
      </c>
      <c r="BY104" s="1">
        <v>37551</v>
      </c>
      <c r="BZ104" s="1">
        <v>2650</v>
      </c>
      <c r="CA104" s="1">
        <v>1</v>
      </c>
      <c r="CB104" s="1">
        <v>0</v>
      </c>
      <c r="CC104" s="1">
        <v>90</v>
      </c>
      <c r="CD104" s="1">
        <v>60004078</v>
      </c>
      <c r="CE104" s="1">
        <v>32767</v>
      </c>
      <c r="CF104" s="1">
        <v>3</v>
      </c>
      <c r="CH104" s="1">
        <v>2409039638</v>
      </c>
      <c r="CI104" s="1">
        <v>29668</v>
      </c>
      <c r="CJ104" s="1">
        <v>1</v>
      </c>
      <c r="CK104" s="1">
        <v>1</v>
      </c>
      <c r="CL104" s="1">
        <v>500000000</v>
      </c>
      <c r="CM104" s="1">
        <v>1</v>
      </c>
      <c r="CN104" s="1">
        <v>0</v>
      </c>
      <c r="CO104" s="1">
        <v>90</v>
      </c>
      <c r="CP104" s="1">
        <v>60003760</v>
      </c>
      <c r="CQ104" s="1">
        <v>32767</v>
      </c>
      <c r="CR104" s="1">
        <v>0</v>
      </c>
      <c r="CT104" s="1">
        <v>2402151100</v>
      </c>
      <c r="CU104" s="1">
        <v>16649</v>
      </c>
      <c r="CV104" s="1">
        <v>10000</v>
      </c>
      <c r="CW104" s="1">
        <v>10000</v>
      </c>
      <c r="CX104" s="1">
        <v>94006.07</v>
      </c>
      <c r="CY104" s="1">
        <v>1</v>
      </c>
      <c r="CZ104" s="1">
        <v>1</v>
      </c>
      <c r="DA104" s="1">
        <v>90</v>
      </c>
      <c r="DB104" s="1">
        <v>60003760</v>
      </c>
      <c r="DC104" s="1">
        <v>-1</v>
      </c>
      <c r="DD104" s="1">
        <v>0</v>
      </c>
      <c r="DF104" s="1">
        <v>2414471712</v>
      </c>
      <c r="DG104" s="1">
        <v>17887</v>
      </c>
      <c r="DH104" s="1">
        <v>706229</v>
      </c>
      <c r="DI104" s="1">
        <v>650229</v>
      </c>
      <c r="DJ104" s="1">
        <v>941.8</v>
      </c>
      <c r="DK104" s="1">
        <v>1</v>
      </c>
      <c r="DL104" s="1">
        <v>0</v>
      </c>
      <c r="DM104" s="1">
        <v>90</v>
      </c>
      <c r="DN104" s="1">
        <v>60002281</v>
      </c>
      <c r="DO104" s="1">
        <v>32767</v>
      </c>
      <c r="DP104" s="1">
        <v>8</v>
      </c>
      <c r="DR104" s="1">
        <v>2862702464</v>
      </c>
      <c r="DS104" s="1">
        <v>17888</v>
      </c>
      <c r="DT104" s="1">
        <v>141852</v>
      </c>
      <c r="DU104" s="1">
        <v>91852</v>
      </c>
      <c r="DV104" s="1">
        <v>354</v>
      </c>
      <c r="DW104" s="1">
        <v>1</v>
      </c>
      <c r="DX104" s="1">
        <v>0</v>
      </c>
      <c r="DY104" s="1">
        <v>90</v>
      </c>
      <c r="DZ104" s="1">
        <v>60003760</v>
      </c>
      <c r="EA104" s="1">
        <v>32767</v>
      </c>
      <c r="EB104" s="1">
        <v>8</v>
      </c>
      <c r="ED104" s="1">
        <v>2854217653</v>
      </c>
      <c r="EE104" s="1">
        <v>16273</v>
      </c>
      <c r="EF104" s="1">
        <v>39518</v>
      </c>
      <c r="EG104" s="1">
        <v>1616</v>
      </c>
      <c r="EH104" s="1">
        <v>420</v>
      </c>
      <c r="EI104" s="1">
        <v>1</v>
      </c>
      <c r="EJ104" s="1">
        <v>0</v>
      </c>
      <c r="EK104" s="1">
        <v>90</v>
      </c>
      <c r="EL104" s="1">
        <v>60002242</v>
      </c>
      <c r="EM104" s="1">
        <v>32767</v>
      </c>
      <c r="EN104" s="1">
        <v>7</v>
      </c>
      <c r="EP104" s="1">
        <v>2864436721</v>
      </c>
      <c r="EQ104" s="1">
        <v>17889</v>
      </c>
      <c r="ER104" s="1">
        <v>250000</v>
      </c>
      <c r="ES104" s="1">
        <v>250000</v>
      </c>
      <c r="ET104" s="1">
        <v>320.57</v>
      </c>
      <c r="EU104" s="1">
        <v>1</v>
      </c>
      <c r="EV104" s="1">
        <v>1</v>
      </c>
      <c r="EW104" s="1">
        <v>90</v>
      </c>
      <c r="EX104" s="1">
        <v>60003760</v>
      </c>
      <c r="EY104" s="1">
        <v>-1</v>
      </c>
      <c r="EZ104" s="1">
        <v>0</v>
      </c>
      <c r="FB104" s="1">
        <v>2866667585</v>
      </c>
      <c r="FC104" s="1">
        <v>30259</v>
      </c>
      <c r="FD104" s="1">
        <v>1398</v>
      </c>
      <c r="FE104" s="1">
        <v>1307</v>
      </c>
      <c r="FF104" s="1">
        <v>5427915.8099999996</v>
      </c>
      <c r="FG104" s="1">
        <v>1</v>
      </c>
      <c r="FH104" s="1">
        <v>1</v>
      </c>
      <c r="FI104" s="1">
        <v>90</v>
      </c>
      <c r="FJ104" s="1">
        <v>60003760</v>
      </c>
      <c r="FK104" s="1">
        <v>-1</v>
      </c>
      <c r="FL104" s="1">
        <v>0</v>
      </c>
      <c r="FN104" s="1">
        <v>2878250714</v>
      </c>
      <c r="FO104" s="1">
        <v>25617</v>
      </c>
      <c r="FP104" s="1">
        <v>1000</v>
      </c>
      <c r="FQ104" s="1">
        <v>184</v>
      </c>
      <c r="FR104" s="1">
        <v>4913002.25</v>
      </c>
      <c r="FS104" s="1">
        <v>1</v>
      </c>
      <c r="FT104" s="1">
        <v>1</v>
      </c>
      <c r="FU104" s="1">
        <v>90</v>
      </c>
      <c r="FV104" s="1">
        <v>60003760</v>
      </c>
      <c r="FW104" s="1">
        <v>-1</v>
      </c>
      <c r="FX104" s="1">
        <v>0</v>
      </c>
      <c r="FZ104" s="1">
        <v>2787370841</v>
      </c>
      <c r="GA104" s="1">
        <v>44</v>
      </c>
      <c r="GB104" s="1">
        <v>1000</v>
      </c>
      <c r="GC104" s="1">
        <v>1000</v>
      </c>
      <c r="GD104" s="1">
        <v>8008.03</v>
      </c>
      <c r="GE104" s="1">
        <v>1</v>
      </c>
      <c r="GF104" s="1">
        <v>1</v>
      </c>
      <c r="GG104" s="1">
        <v>90</v>
      </c>
      <c r="GH104" s="1">
        <v>60003760</v>
      </c>
      <c r="GI104" s="1">
        <v>-1</v>
      </c>
      <c r="GJ104" s="1">
        <v>0</v>
      </c>
      <c r="GL104" s="1">
        <v>2400680965</v>
      </c>
      <c r="GM104" s="1">
        <v>16681</v>
      </c>
      <c r="GN104" s="1">
        <v>1</v>
      </c>
      <c r="GO104" s="1">
        <v>1</v>
      </c>
      <c r="GP104" s="1">
        <v>5605.4</v>
      </c>
      <c r="GQ104" s="1">
        <v>1</v>
      </c>
      <c r="GR104" s="1">
        <v>1</v>
      </c>
      <c r="GS104" s="1">
        <v>90</v>
      </c>
      <c r="GT104" s="1">
        <v>60003760</v>
      </c>
      <c r="GU104" s="1">
        <v>-1</v>
      </c>
      <c r="GV104" s="1">
        <v>0</v>
      </c>
      <c r="GX104"/>
      <c r="GY104"/>
      <c r="GZ104"/>
      <c r="HA104"/>
      <c r="HB104"/>
      <c r="HC104"/>
      <c r="HD104"/>
      <c r="HE104"/>
      <c r="HF104"/>
      <c r="HG104"/>
      <c r="HH104"/>
      <c r="HV104" s="1">
        <v>2869235458</v>
      </c>
      <c r="HW104" s="1">
        <v>16274</v>
      </c>
      <c r="HX104" s="1">
        <v>200000</v>
      </c>
      <c r="HY104" s="1">
        <v>38686</v>
      </c>
      <c r="HZ104" s="1">
        <v>290.20999999999998</v>
      </c>
      <c r="IA104" s="1">
        <v>1</v>
      </c>
      <c r="IB104" s="1">
        <v>1</v>
      </c>
      <c r="IC104" s="1">
        <v>90</v>
      </c>
      <c r="ID104" s="1">
        <v>60003760</v>
      </c>
      <c r="IE104" s="1">
        <v>32767</v>
      </c>
      <c r="IF104" s="1">
        <v>0</v>
      </c>
      <c r="IT104" s="1">
        <v>2878093140</v>
      </c>
      <c r="IU104" s="1">
        <v>16679</v>
      </c>
      <c r="IV104" s="1">
        <v>100000</v>
      </c>
      <c r="IW104" s="1">
        <v>100000</v>
      </c>
      <c r="IX104" s="1">
        <v>1689.99</v>
      </c>
      <c r="IY104" s="1">
        <v>1</v>
      </c>
      <c r="IZ104" s="1">
        <v>1</v>
      </c>
      <c r="JA104" s="1">
        <v>90</v>
      </c>
      <c r="JB104" s="1">
        <v>60003760</v>
      </c>
      <c r="JC104" s="1">
        <v>-1</v>
      </c>
      <c r="JD104" s="1">
        <v>0</v>
      </c>
      <c r="JF104" s="1">
        <v>2868808711</v>
      </c>
      <c r="JG104" s="1">
        <v>16272</v>
      </c>
      <c r="JH104" s="1">
        <v>2355000</v>
      </c>
      <c r="JI104" s="1">
        <v>589279</v>
      </c>
      <c r="JJ104" s="1">
        <v>74.86</v>
      </c>
      <c r="JK104" s="1">
        <v>1</v>
      </c>
      <c r="JL104" s="1">
        <v>0</v>
      </c>
      <c r="JM104" s="1">
        <v>90</v>
      </c>
      <c r="JN104" s="1">
        <v>60003760</v>
      </c>
      <c r="JO104" s="1">
        <v>32767</v>
      </c>
      <c r="JP104" s="1">
        <v>6</v>
      </c>
      <c r="KD104" s="1">
        <v>2870857542</v>
      </c>
      <c r="KE104" s="1">
        <v>25605</v>
      </c>
      <c r="KF104" s="1">
        <v>1000</v>
      </c>
      <c r="KG104" s="1">
        <v>1000</v>
      </c>
      <c r="KH104" s="1">
        <v>85000</v>
      </c>
      <c r="KI104" s="1">
        <v>1</v>
      </c>
      <c r="KJ104" s="1">
        <v>1</v>
      </c>
      <c r="KK104" s="1">
        <v>30</v>
      </c>
      <c r="KL104" s="1">
        <v>60003760</v>
      </c>
      <c r="KM104" s="1">
        <v>5</v>
      </c>
      <c r="KN104" s="1">
        <v>0</v>
      </c>
      <c r="KP104" s="1">
        <v>2580113557</v>
      </c>
      <c r="KQ104" s="1">
        <v>25624</v>
      </c>
      <c r="KR104" s="1">
        <v>20</v>
      </c>
      <c r="KS104" s="1">
        <v>20</v>
      </c>
      <c r="KT104" s="1">
        <v>100000.02</v>
      </c>
      <c r="KU104" s="1">
        <v>1</v>
      </c>
      <c r="KV104" s="1">
        <v>1</v>
      </c>
      <c r="KW104" s="1">
        <v>90</v>
      </c>
      <c r="KX104" s="1">
        <v>60014935</v>
      </c>
      <c r="KY104" s="1">
        <v>10</v>
      </c>
      <c r="KZ104" s="1">
        <v>0</v>
      </c>
      <c r="LB104" s="1">
        <v>2876457239</v>
      </c>
      <c r="LC104" s="1">
        <v>9832</v>
      </c>
      <c r="LD104" s="1">
        <v>10</v>
      </c>
      <c r="LE104" s="1">
        <v>10</v>
      </c>
      <c r="LF104" s="1">
        <v>9000</v>
      </c>
      <c r="LG104" s="1">
        <v>1</v>
      </c>
      <c r="LH104" s="1">
        <v>0</v>
      </c>
      <c r="LI104" s="1">
        <v>90</v>
      </c>
      <c r="LJ104" s="1">
        <v>60002236</v>
      </c>
      <c r="LK104" s="1">
        <v>32767</v>
      </c>
      <c r="LL104" s="1">
        <v>11</v>
      </c>
      <c r="ML104"/>
      <c r="MM104"/>
      <c r="MN104"/>
      <c r="MO104"/>
      <c r="MP104"/>
      <c r="MQ104"/>
      <c r="MR104"/>
      <c r="MS104"/>
      <c r="MT104"/>
      <c r="MU104"/>
      <c r="MV104"/>
      <c r="MX104"/>
      <c r="MY104"/>
      <c r="MZ104"/>
      <c r="NA104"/>
      <c r="NB104"/>
      <c r="NC104"/>
      <c r="ND104"/>
      <c r="NE104"/>
      <c r="NF104"/>
      <c r="NG104"/>
      <c r="NH104"/>
      <c r="NJ104" s="1">
        <v>2876523790</v>
      </c>
      <c r="NK104" s="1">
        <v>16673</v>
      </c>
      <c r="NL104" s="1">
        <v>468160</v>
      </c>
      <c r="NM104" s="1">
        <v>468160</v>
      </c>
      <c r="NN104" s="1">
        <v>93.91</v>
      </c>
      <c r="NO104" s="1">
        <v>1</v>
      </c>
      <c r="NP104" s="1">
        <v>1</v>
      </c>
      <c r="NQ104" s="1">
        <v>90</v>
      </c>
      <c r="NR104" s="1">
        <v>60003760</v>
      </c>
      <c r="NS104" s="1">
        <v>-1</v>
      </c>
      <c r="NT104" s="1">
        <v>0</v>
      </c>
      <c r="NV104" s="1">
        <v>2878607442</v>
      </c>
      <c r="NW104" s="1">
        <v>3689</v>
      </c>
      <c r="NX104" s="1">
        <v>50725</v>
      </c>
      <c r="NY104" s="1">
        <v>11563</v>
      </c>
      <c r="NZ104" s="1">
        <v>10149.870000000001</v>
      </c>
      <c r="OA104" s="1">
        <v>1</v>
      </c>
      <c r="OB104" s="1">
        <v>0</v>
      </c>
      <c r="OC104" s="1">
        <v>90</v>
      </c>
      <c r="OD104" s="1">
        <v>60003760</v>
      </c>
      <c r="OE104" s="1">
        <v>32767</v>
      </c>
      <c r="OF104" s="1">
        <v>0</v>
      </c>
      <c r="OH104" s="1">
        <v>2870263459</v>
      </c>
      <c r="OI104" s="1">
        <v>25598</v>
      </c>
      <c r="OJ104" s="1">
        <v>10</v>
      </c>
      <c r="OK104" s="1">
        <v>10</v>
      </c>
      <c r="OL104" s="1">
        <v>170000</v>
      </c>
      <c r="OM104" s="1">
        <v>1</v>
      </c>
      <c r="ON104" s="1">
        <v>0</v>
      </c>
      <c r="OO104" s="1">
        <v>7</v>
      </c>
      <c r="OP104" s="1">
        <v>60003760</v>
      </c>
      <c r="OQ104" s="1">
        <v>32767</v>
      </c>
      <c r="OR104" s="1">
        <v>0</v>
      </c>
      <c r="OT104" s="1">
        <v>2879016421</v>
      </c>
      <c r="OU104" s="1">
        <v>25600</v>
      </c>
      <c r="OV104" s="1">
        <v>2</v>
      </c>
      <c r="OW104" s="1">
        <v>2</v>
      </c>
      <c r="OX104" s="1">
        <v>29500</v>
      </c>
      <c r="OY104" s="1">
        <v>1</v>
      </c>
      <c r="OZ104" s="1">
        <v>0</v>
      </c>
      <c r="PA104" s="1">
        <v>1</v>
      </c>
      <c r="PB104" s="1">
        <v>60003760</v>
      </c>
      <c r="PC104" s="1">
        <v>32767</v>
      </c>
      <c r="PD104" s="1">
        <v>0</v>
      </c>
      <c r="PF104" s="1">
        <v>2857610580</v>
      </c>
      <c r="PG104" s="1">
        <v>16670</v>
      </c>
      <c r="PH104" s="1">
        <v>5000000</v>
      </c>
      <c r="PI104" s="1">
        <v>5000000</v>
      </c>
      <c r="PJ104" s="1">
        <v>102.8</v>
      </c>
      <c r="PK104" s="1">
        <v>1</v>
      </c>
      <c r="PL104" s="1">
        <v>1</v>
      </c>
      <c r="PM104" s="1">
        <v>90</v>
      </c>
      <c r="PN104" s="1">
        <v>60003760</v>
      </c>
      <c r="PO104" s="1">
        <v>-1</v>
      </c>
      <c r="PP104" s="1">
        <v>0</v>
      </c>
      <c r="QD104"/>
      <c r="QE104"/>
      <c r="QF104"/>
      <c r="QG104"/>
      <c r="QH104"/>
      <c r="QI104"/>
      <c r="QJ104"/>
      <c r="QK104"/>
      <c r="QL104"/>
      <c r="QM104"/>
      <c r="QN104"/>
      <c r="RB104"/>
      <c r="RC104"/>
      <c r="RD104"/>
      <c r="RE104"/>
      <c r="RF104"/>
      <c r="RG104"/>
      <c r="RH104"/>
      <c r="RI104"/>
      <c r="RJ104"/>
      <c r="RK104"/>
      <c r="RL104"/>
      <c r="RN104"/>
      <c r="RO104"/>
      <c r="RP104"/>
      <c r="RQ104"/>
      <c r="RR104"/>
      <c r="RS104"/>
      <c r="RT104"/>
      <c r="RU104"/>
      <c r="RV104"/>
      <c r="RW104"/>
      <c r="RX104"/>
      <c r="SX104" s="1">
        <v>2866498986</v>
      </c>
      <c r="SY104" s="1">
        <v>25595</v>
      </c>
      <c r="SZ104" s="1">
        <v>1130</v>
      </c>
      <c r="TA104" s="1">
        <v>1130</v>
      </c>
      <c r="TB104" s="1">
        <v>83425.990000000005</v>
      </c>
      <c r="TC104" s="1">
        <v>1</v>
      </c>
      <c r="TD104" s="1">
        <v>0</v>
      </c>
      <c r="TE104" s="1">
        <v>90</v>
      </c>
      <c r="TF104" s="1">
        <v>60003760</v>
      </c>
      <c r="TG104" s="1">
        <v>32767</v>
      </c>
      <c r="TH104" s="1">
        <v>6</v>
      </c>
      <c r="TJ104" s="1">
        <v>2878570576</v>
      </c>
      <c r="TK104" s="1">
        <v>25606</v>
      </c>
      <c r="TL104" s="1">
        <v>10000</v>
      </c>
      <c r="TM104" s="1">
        <v>6163</v>
      </c>
      <c r="TN104" s="1">
        <v>21999</v>
      </c>
      <c r="TO104" s="1">
        <v>1</v>
      </c>
      <c r="TP104" s="1">
        <v>0</v>
      </c>
      <c r="TQ104" s="1">
        <v>3</v>
      </c>
      <c r="TR104" s="1">
        <v>60003760</v>
      </c>
      <c r="TS104" s="1">
        <v>32767</v>
      </c>
      <c r="TT104" s="1">
        <v>0</v>
      </c>
      <c r="TV104"/>
      <c r="TW104"/>
      <c r="TX104"/>
      <c r="TY104"/>
      <c r="TZ104"/>
      <c r="UA104"/>
      <c r="UB104"/>
      <c r="UC104"/>
      <c r="UD104"/>
      <c r="UE104"/>
      <c r="UF104"/>
      <c r="UT104"/>
      <c r="UU104"/>
      <c r="UV104"/>
      <c r="UW104"/>
      <c r="UX104"/>
      <c r="UY104"/>
      <c r="UZ104"/>
      <c r="VA104"/>
      <c r="VB104"/>
      <c r="VC104"/>
      <c r="VD104"/>
    </row>
    <row r="105" spans="2:588" x14ac:dyDescent="0.25">
      <c r="B105" s="1">
        <v>2776957688</v>
      </c>
      <c r="C105" s="1">
        <v>34</v>
      </c>
      <c r="D105" s="1">
        <v>1</v>
      </c>
      <c r="E105" s="1">
        <v>1</v>
      </c>
      <c r="F105" s="1">
        <v>10000000</v>
      </c>
      <c r="G105" s="1">
        <v>1</v>
      </c>
      <c r="H105" s="1">
        <v>0</v>
      </c>
      <c r="I105" s="1">
        <v>90</v>
      </c>
      <c r="J105" s="1">
        <v>60003760</v>
      </c>
      <c r="K105" s="1">
        <v>32767</v>
      </c>
      <c r="L105" s="1">
        <v>0</v>
      </c>
      <c r="N105" s="1">
        <v>2853351114</v>
      </c>
      <c r="O105" s="1">
        <v>35</v>
      </c>
      <c r="P105" s="1">
        <v>3956331</v>
      </c>
      <c r="Q105" s="1">
        <v>3956331</v>
      </c>
      <c r="R105" s="1">
        <v>16</v>
      </c>
      <c r="S105" s="1">
        <v>1</v>
      </c>
      <c r="T105" s="1">
        <v>0</v>
      </c>
      <c r="U105" s="1">
        <v>90</v>
      </c>
      <c r="V105" s="1">
        <v>60003760</v>
      </c>
      <c r="W105" s="1">
        <v>32767</v>
      </c>
      <c r="X105" s="1">
        <v>0</v>
      </c>
      <c r="Z105" s="1">
        <v>2832938168</v>
      </c>
      <c r="AA105" s="1">
        <v>36</v>
      </c>
      <c r="AB105" s="1">
        <v>32905277</v>
      </c>
      <c r="AC105" s="1">
        <v>32905277</v>
      </c>
      <c r="AD105" s="16">
        <v>54.21</v>
      </c>
      <c r="AE105" s="1">
        <v>1</v>
      </c>
      <c r="AF105" s="1">
        <v>0</v>
      </c>
      <c r="AG105" s="1">
        <v>90</v>
      </c>
      <c r="AH105" s="1">
        <v>60003760</v>
      </c>
      <c r="AI105" s="1">
        <v>32767</v>
      </c>
      <c r="AJ105" s="1">
        <v>11</v>
      </c>
      <c r="AL105" s="1">
        <v>2873123810</v>
      </c>
      <c r="AM105" s="1">
        <v>37</v>
      </c>
      <c r="AN105" s="1">
        <v>1838</v>
      </c>
      <c r="AO105" s="1">
        <v>1838</v>
      </c>
      <c r="AP105" s="16">
        <v>149.18</v>
      </c>
      <c r="AQ105" s="1">
        <v>1</v>
      </c>
      <c r="AR105" s="1">
        <v>0</v>
      </c>
      <c r="AS105" s="1">
        <v>90</v>
      </c>
      <c r="AT105" s="1">
        <v>60003760</v>
      </c>
      <c r="AU105" s="1">
        <v>32767</v>
      </c>
      <c r="AV105" s="1">
        <v>9</v>
      </c>
      <c r="AX105" s="1">
        <v>2878461166</v>
      </c>
      <c r="AY105" s="1">
        <v>38</v>
      </c>
      <c r="AZ105" s="1">
        <v>15091333</v>
      </c>
      <c r="BA105" s="1">
        <v>9267357</v>
      </c>
      <c r="BB105" s="1">
        <v>810</v>
      </c>
      <c r="BC105" s="1">
        <v>1</v>
      </c>
      <c r="BD105" s="1">
        <v>0</v>
      </c>
      <c r="BE105" s="1">
        <v>90</v>
      </c>
      <c r="BF105" s="1">
        <v>60003760</v>
      </c>
      <c r="BG105" s="1">
        <v>32767</v>
      </c>
      <c r="BH105" s="1">
        <v>5</v>
      </c>
      <c r="BJ105" s="1">
        <v>2876819484</v>
      </c>
      <c r="BK105" s="1">
        <v>39</v>
      </c>
      <c r="BL105" s="1">
        <v>90838</v>
      </c>
      <c r="BM105" s="1">
        <v>89539</v>
      </c>
      <c r="BN105" s="1">
        <v>799</v>
      </c>
      <c r="BO105" s="1">
        <v>1</v>
      </c>
      <c r="BP105" s="1">
        <v>0</v>
      </c>
      <c r="BQ105" s="1">
        <v>90</v>
      </c>
      <c r="BR105" s="1">
        <v>60007501</v>
      </c>
      <c r="BS105" s="1">
        <v>32767</v>
      </c>
      <c r="BT105" s="1">
        <v>15</v>
      </c>
      <c r="BV105" s="1">
        <v>2403285251</v>
      </c>
      <c r="BW105" s="1">
        <v>40</v>
      </c>
      <c r="BX105" s="1">
        <v>14</v>
      </c>
      <c r="BY105" s="1">
        <v>14</v>
      </c>
      <c r="BZ105" s="1">
        <v>2669.99</v>
      </c>
      <c r="CA105" s="1">
        <v>1</v>
      </c>
      <c r="CB105" s="1">
        <v>0</v>
      </c>
      <c r="CC105" s="1">
        <v>90</v>
      </c>
      <c r="CD105" s="1">
        <v>60010201</v>
      </c>
      <c r="CE105" s="1">
        <v>32767</v>
      </c>
      <c r="CF105" s="1">
        <v>2</v>
      </c>
      <c r="CH105" s="1">
        <v>2409851070</v>
      </c>
      <c r="CI105" s="1">
        <v>29668</v>
      </c>
      <c r="CJ105" s="1">
        <v>1</v>
      </c>
      <c r="CK105" s="1">
        <v>1</v>
      </c>
      <c r="CL105" s="1">
        <v>500000000</v>
      </c>
      <c r="CM105" s="1">
        <v>1</v>
      </c>
      <c r="CN105" s="1">
        <v>0</v>
      </c>
      <c r="CO105" s="1">
        <v>90</v>
      </c>
      <c r="CP105" s="1">
        <v>60003760</v>
      </c>
      <c r="CQ105" s="1">
        <v>32767</v>
      </c>
      <c r="CR105" s="1">
        <v>0</v>
      </c>
      <c r="CT105" s="1">
        <v>2411768493</v>
      </c>
      <c r="CU105" s="1">
        <v>16649</v>
      </c>
      <c r="CV105" s="1">
        <v>5000</v>
      </c>
      <c r="CW105" s="1">
        <v>5000</v>
      </c>
      <c r="CX105" s="1">
        <v>95225</v>
      </c>
      <c r="CY105" s="1">
        <v>1</v>
      </c>
      <c r="CZ105" s="1">
        <v>1</v>
      </c>
      <c r="DA105" s="1">
        <v>90</v>
      </c>
      <c r="DB105" s="1">
        <v>60014935</v>
      </c>
      <c r="DC105" s="1">
        <v>1</v>
      </c>
      <c r="DD105" s="1">
        <v>0</v>
      </c>
      <c r="DF105" s="1">
        <v>2414349636</v>
      </c>
      <c r="DG105" s="1">
        <v>17887</v>
      </c>
      <c r="DH105" s="1">
        <v>33678</v>
      </c>
      <c r="DI105" s="1">
        <v>33678</v>
      </c>
      <c r="DJ105" s="1">
        <v>1500</v>
      </c>
      <c r="DK105" s="1">
        <v>1</v>
      </c>
      <c r="DL105" s="1">
        <v>0</v>
      </c>
      <c r="DM105" s="1">
        <v>90</v>
      </c>
      <c r="DN105" s="1">
        <v>60001876</v>
      </c>
      <c r="DO105" s="1">
        <v>32767</v>
      </c>
      <c r="DP105" s="1">
        <v>9</v>
      </c>
      <c r="DR105" s="1">
        <v>2862290787</v>
      </c>
      <c r="DS105" s="1">
        <v>17888</v>
      </c>
      <c r="DT105" s="1">
        <v>5760000</v>
      </c>
      <c r="DU105" s="1">
        <v>5760000</v>
      </c>
      <c r="DV105" s="1">
        <v>395.47</v>
      </c>
      <c r="DW105" s="1">
        <v>1</v>
      </c>
      <c r="DX105" s="1">
        <v>0</v>
      </c>
      <c r="DY105" s="1">
        <v>90</v>
      </c>
      <c r="DZ105" s="1">
        <v>60003760</v>
      </c>
      <c r="EA105" s="1">
        <v>32767</v>
      </c>
      <c r="EB105" s="1">
        <v>8</v>
      </c>
      <c r="ED105" s="1">
        <v>2840648621</v>
      </c>
      <c r="EE105" s="1">
        <v>16273</v>
      </c>
      <c r="EF105" s="1">
        <v>533377</v>
      </c>
      <c r="EG105" s="1">
        <v>496588</v>
      </c>
      <c r="EH105" s="1">
        <v>567</v>
      </c>
      <c r="EI105" s="1">
        <v>1</v>
      </c>
      <c r="EJ105" s="1">
        <v>0</v>
      </c>
      <c r="EK105" s="1">
        <v>90</v>
      </c>
      <c r="EL105" s="1">
        <v>60000586</v>
      </c>
      <c r="EM105" s="1">
        <v>32767</v>
      </c>
      <c r="EN105" s="1">
        <v>7</v>
      </c>
      <c r="EP105" s="1">
        <v>2872712399</v>
      </c>
      <c r="EQ105" s="1">
        <v>17889</v>
      </c>
      <c r="ER105" s="1">
        <v>1000000</v>
      </c>
      <c r="ES105" s="1">
        <v>1000000</v>
      </c>
      <c r="ET105" s="1">
        <v>348.01</v>
      </c>
      <c r="EU105" s="1">
        <v>1</v>
      </c>
      <c r="EV105" s="1">
        <v>1</v>
      </c>
      <c r="EW105" s="1">
        <v>90</v>
      </c>
      <c r="EX105" s="1">
        <v>60003760</v>
      </c>
      <c r="EY105" s="1">
        <v>-1</v>
      </c>
      <c r="EZ105" s="1">
        <v>0</v>
      </c>
      <c r="FB105" s="1">
        <v>2866719892</v>
      </c>
      <c r="FC105" s="1">
        <v>30259</v>
      </c>
      <c r="FD105" s="1">
        <v>250</v>
      </c>
      <c r="FE105" s="1">
        <v>173</v>
      </c>
      <c r="FF105" s="1">
        <v>5428920.2000000002</v>
      </c>
      <c r="FG105" s="1">
        <v>1</v>
      </c>
      <c r="FH105" s="1">
        <v>1</v>
      </c>
      <c r="FI105" s="1">
        <v>90</v>
      </c>
      <c r="FJ105" s="1">
        <v>60003760</v>
      </c>
      <c r="FK105" s="1">
        <v>-1</v>
      </c>
      <c r="FL105" s="1">
        <v>0</v>
      </c>
      <c r="FN105" s="1">
        <v>2878024375</v>
      </c>
      <c r="FO105" s="1">
        <v>25617</v>
      </c>
      <c r="FP105" s="1">
        <v>600</v>
      </c>
      <c r="FQ105" s="1">
        <v>587</v>
      </c>
      <c r="FR105" s="1">
        <v>4916007</v>
      </c>
      <c r="FS105" s="1">
        <v>1</v>
      </c>
      <c r="FT105" s="1">
        <v>1</v>
      </c>
      <c r="FU105" s="1">
        <v>90</v>
      </c>
      <c r="FV105" s="1">
        <v>60003760</v>
      </c>
      <c r="FW105" s="1">
        <v>-1</v>
      </c>
      <c r="FX105" s="1">
        <v>0</v>
      </c>
      <c r="FZ105" s="1">
        <v>2782989947</v>
      </c>
      <c r="GA105" s="1">
        <v>44</v>
      </c>
      <c r="GB105" s="1">
        <v>100000</v>
      </c>
      <c r="GC105" s="1">
        <v>100000</v>
      </c>
      <c r="GD105" s="1">
        <v>9512.0300000000007</v>
      </c>
      <c r="GE105" s="1">
        <v>1</v>
      </c>
      <c r="GF105" s="1">
        <v>1</v>
      </c>
      <c r="GG105" s="1">
        <v>90</v>
      </c>
      <c r="GH105" s="1">
        <v>60003760</v>
      </c>
      <c r="GI105" s="1">
        <v>-1</v>
      </c>
      <c r="GJ105" s="1">
        <v>0</v>
      </c>
      <c r="GL105" s="1">
        <v>2400324338</v>
      </c>
      <c r="GM105" s="1">
        <v>16681</v>
      </c>
      <c r="GN105" s="1">
        <v>31380</v>
      </c>
      <c r="GO105" s="1">
        <v>31380</v>
      </c>
      <c r="GP105" s="1">
        <v>5580.51</v>
      </c>
      <c r="GQ105" s="1">
        <v>1</v>
      </c>
      <c r="GR105" s="1">
        <v>1</v>
      </c>
      <c r="GS105" s="1">
        <v>90</v>
      </c>
      <c r="GT105" s="1">
        <v>60003760</v>
      </c>
      <c r="GU105" s="1">
        <v>-1</v>
      </c>
      <c r="GV105" s="1">
        <v>0</v>
      </c>
      <c r="GX105"/>
      <c r="GY105"/>
      <c r="GZ105"/>
      <c r="HA105"/>
      <c r="HB105"/>
      <c r="HC105"/>
      <c r="HD105"/>
      <c r="HE105"/>
      <c r="HF105"/>
      <c r="HG105"/>
      <c r="HH105"/>
      <c r="HV105" s="1">
        <v>2865062242</v>
      </c>
      <c r="HW105" s="1">
        <v>16274</v>
      </c>
      <c r="HX105" s="1">
        <v>1000000</v>
      </c>
      <c r="HY105" s="1">
        <v>1000000</v>
      </c>
      <c r="HZ105" s="1">
        <v>320</v>
      </c>
      <c r="IA105" s="1">
        <v>1</v>
      </c>
      <c r="IB105" s="1">
        <v>1</v>
      </c>
      <c r="IC105" s="1">
        <v>90</v>
      </c>
      <c r="ID105" s="1">
        <v>60003760</v>
      </c>
      <c r="IE105" s="1">
        <v>-1</v>
      </c>
      <c r="IF105" s="1">
        <v>0</v>
      </c>
      <c r="IT105" s="1">
        <v>2878197356</v>
      </c>
      <c r="IU105" s="1">
        <v>16679</v>
      </c>
      <c r="IV105" s="1">
        <v>200000</v>
      </c>
      <c r="IW105" s="1">
        <v>200000</v>
      </c>
      <c r="IX105" s="1">
        <v>1690.01</v>
      </c>
      <c r="IY105" s="1">
        <v>1</v>
      </c>
      <c r="IZ105" s="1">
        <v>1</v>
      </c>
      <c r="JA105" s="1">
        <v>30</v>
      </c>
      <c r="JB105" s="1">
        <v>60003760</v>
      </c>
      <c r="JC105" s="1">
        <v>-1</v>
      </c>
      <c r="JD105" s="1">
        <v>0</v>
      </c>
      <c r="JF105" s="1">
        <v>2870484414</v>
      </c>
      <c r="JG105" s="1">
        <v>16272</v>
      </c>
      <c r="JH105" s="1">
        <v>732300</v>
      </c>
      <c r="JI105" s="1">
        <v>732300</v>
      </c>
      <c r="JJ105" s="1">
        <v>74.86</v>
      </c>
      <c r="JK105" s="1">
        <v>1</v>
      </c>
      <c r="JL105" s="1">
        <v>0</v>
      </c>
      <c r="JM105" s="1">
        <v>90</v>
      </c>
      <c r="JN105" s="1">
        <v>60003760</v>
      </c>
      <c r="JO105" s="1">
        <v>32767</v>
      </c>
      <c r="JP105" s="1">
        <v>6</v>
      </c>
      <c r="KD105" s="1">
        <v>2874175131</v>
      </c>
      <c r="KE105" s="1">
        <v>25605</v>
      </c>
      <c r="KF105" s="1">
        <v>50000</v>
      </c>
      <c r="KG105" s="1">
        <v>50000</v>
      </c>
      <c r="KH105" s="1">
        <v>110</v>
      </c>
      <c r="KI105" s="1">
        <v>1</v>
      </c>
      <c r="KJ105" s="1">
        <v>1</v>
      </c>
      <c r="KK105" s="1">
        <v>90</v>
      </c>
      <c r="KL105" s="1">
        <v>60003760</v>
      </c>
      <c r="KM105" s="1">
        <v>1</v>
      </c>
      <c r="KN105" s="1">
        <v>0</v>
      </c>
      <c r="KP105" s="1">
        <v>2869015148</v>
      </c>
      <c r="KQ105" s="1">
        <v>25624</v>
      </c>
      <c r="KR105" s="1">
        <v>100</v>
      </c>
      <c r="KS105" s="1">
        <v>85</v>
      </c>
      <c r="KT105" s="1">
        <v>17500005</v>
      </c>
      <c r="KU105" s="1">
        <v>1</v>
      </c>
      <c r="KV105" s="1">
        <v>1</v>
      </c>
      <c r="KW105" s="1">
        <v>90</v>
      </c>
      <c r="KX105" s="1">
        <v>60003760</v>
      </c>
      <c r="KY105" s="1">
        <v>-1</v>
      </c>
      <c r="KZ105" s="1">
        <v>0</v>
      </c>
      <c r="LB105" s="1">
        <v>2757246688</v>
      </c>
      <c r="LC105" s="1">
        <v>9832</v>
      </c>
      <c r="LD105" s="1">
        <v>4000</v>
      </c>
      <c r="LE105" s="1">
        <v>4000</v>
      </c>
      <c r="LF105" s="1">
        <v>10000</v>
      </c>
      <c r="LG105" s="1">
        <v>1</v>
      </c>
      <c r="LH105" s="1">
        <v>0</v>
      </c>
      <c r="LI105" s="1">
        <v>90</v>
      </c>
      <c r="LJ105" s="1">
        <v>60002239</v>
      </c>
      <c r="LK105" s="1">
        <v>32767</v>
      </c>
      <c r="LL105" s="1">
        <v>10</v>
      </c>
      <c r="ML105"/>
      <c r="MM105"/>
      <c r="MN105"/>
      <c r="MO105"/>
      <c r="MP105"/>
      <c r="MQ105"/>
      <c r="MR105"/>
      <c r="MS105"/>
      <c r="MT105"/>
      <c r="MU105"/>
      <c r="MV105"/>
      <c r="MX105"/>
      <c r="MY105"/>
      <c r="MZ105"/>
      <c r="NA105"/>
      <c r="NB105"/>
      <c r="NC105"/>
      <c r="ND105"/>
      <c r="NE105"/>
      <c r="NF105"/>
      <c r="NG105"/>
      <c r="NH105"/>
      <c r="NJ105" s="1">
        <v>2876456819</v>
      </c>
      <c r="NK105" s="1">
        <v>16673</v>
      </c>
      <c r="NL105" s="1">
        <v>1000000</v>
      </c>
      <c r="NM105" s="1">
        <v>1000000</v>
      </c>
      <c r="NN105" s="1">
        <v>90.56</v>
      </c>
      <c r="NO105" s="1">
        <v>1</v>
      </c>
      <c r="NP105" s="1">
        <v>1</v>
      </c>
      <c r="NQ105" s="1">
        <v>90</v>
      </c>
      <c r="NR105" s="1">
        <v>60003760</v>
      </c>
      <c r="NS105" s="1">
        <v>-1</v>
      </c>
      <c r="NT105" s="1">
        <v>0</v>
      </c>
      <c r="NV105" s="1">
        <v>2879135303</v>
      </c>
      <c r="NW105" s="1">
        <v>3689</v>
      </c>
      <c r="NX105" s="1">
        <v>9870</v>
      </c>
      <c r="NY105" s="1">
        <v>9870</v>
      </c>
      <c r="NZ105" s="1">
        <v>10149.85</v>
      </c>
      <c r="OA105" s="1">
        <v>1</v>
      </c>
      <c r="OB105" s="1">
        <v>0</v>
      </c>
      <c r="OC105" s="1">
        <v>90</v>
      </c>
      <c r="OD105" s="1">
        <v>60003760</v>
      </c>
      <c r="OE105" s="1">
        <v>32767</v>
      </c>
      <c r="OF105" s="1">
        <v>0</v>
      </c>
      <c r="OH105" s="1">
        <v>2870276832</v>
      </c>
      <c r="OI105" s="1">
        <v>25598</v>
      </c>
      <c r="OJ105" s="1">
        <v>18</v>
      </c>
      <c r="OK105" s="1">
        <v>18</v>
      </c>
      <c r="OL105" s="1">
        <v>150076.22</v>
      </c>
      <c r="OM105" s="1">
        <v>1</v>
      </c>
      <c r="ON105" s="1">
        <v>0</v>
      </c>
      <c r="OO105" s="1">
        <v>90</v>
      </c>
      <c r="OP105" s="1">
        <v>60003760</v>
      </c>
      <c r="OQ105" s="1">
        <v>32767</v>
      </c>
      <c r="OR105" s="1">
        <v>0</v>
      </c>
      <c r="OT105" s="1">
        <v>2879028408</v>
      </c>
      <c r="OU105" s="1">
        <v>25600</v>
      </c>
      <c r="OV105" s="1">
        <v>1445</v>
      </c>
      <c r="OW105" s="1">
        <v>1445</v>
      </c>
      <c r="OX105" s="1">
        <v>29838.959999999999</v>
      </c>
      <c r="OY105" s="1">
        <v>1</v>
      </c>
      <c r="OZ105" s="1">
        <v>0</v>
      </c>
      <c r="PA105" s="1">
        <v>90</v>
      </c>
      <c r="PB105" s="1">
        <v>60003760</v>
      </c>
      <c r="PC105" s="1">
        <v>32767</v>
      </c>
      <c r="PD105" s="1">
        <v>0</v>
      </c>
      <c r="PF105" s="1">
        <v>2857493173</v>
      </c>
      <c r="PG105" s="1">
        <v>16670</v>
      </c>
      <c r="PH105" s="1">
        <v>10000000</v>
      </c>
      <c r="PI105" s="1">
        <v>10000000</v>
      </c>
      <c r="PJ105" s="1">
        <v>102.74</v>
      </c>
      <c r="PK105" s="1">
        <v>1</v>
      </c>
      <c r="PL105" s="1">
        <v>1</v>
      </c>
      <c r="PM105" s="1">
        <v>90</v>
      </c>
      <c r="PN105" s="1">
        <v>60003760</v>
      </c>
      <c r="PO105" s="1">
        <v>-1</v>
      </c>
      <c r="PP105" s="1">
        <v>0</v>
      </c>
      <c r="QD105"/>
      <c r="QE105"/>
      <c r="QF105"/>
      <c r="QG105"/>
      <c r="QH105"/>
      <c r="QI105"/>
      <c r="QJ105"/>
      <c r="QK105"/>
      <c r="QL105"/>
      <c r="QM105"/>
      <c r="QN105"/>
      <c r="RB105"/>
      <c r="RC105"/>
      <c r="RD105"/>
      <c r="RE105"/>
      <c r="RF105"/>
      <c r="RG105"/>
      <c r="RH105"/>
      <c r="RI105"/>
      <c r="RJ105"/>
      <c r="RK105"/>
      <c r="RL105"/>
      <c r="RN105"/>
      <c r="RO105"/>
      <c r="RP105"/>
      <c r="RQ105"/>
      <c r="RR105"/>
      <c r="RS105"/>
      <c r="RT105"/>
      <c r="RU105"/>
      <c r="RV105"/>
      <c r="RW105"/>
      <c r="RX105"/>
      <c r="SX105" s="1">
        <v>2865488591</v>
      </c>
      <c r="SY105" s="1">
        <v>25595</v>
      </c>
      <c r="SZ105" s="1">
        <v>16</v>
      </c>
      <c r="TA105" s="1">
        <v>16</v>
      </c>
      <c r="TB105" s="1">
        <v>86000</v>
      </c>
      <c r="TC105" s="1">
        <v>1</v>
      </c>
      <c r="TD105" s="1">
        <v>0</v>
      </c>
      <c r="TE105" s="1">
        <v>30</v>
      </c>
      <c r="TF105" s="1">
        <v>60003760</v>
      </c>
      <c r="TG105" s="1">
        <v>32767</v>
      </c>
      <c r="TH105" s="1">
        <v>6</v>
      </c>
      <c r="TJ105" s="1">
        <v>2878699626</v>
      </c>
      <c r="TK105" s="1">
        <v>25606</v>
      </c>
      <c r="TL105" s="1">
        <v>2015</v>
      </c>
      <c r="TM105" s="1">
        <v>2015</v>
      </c>
      <c r="TN105" s="1">
        <v>22000</v>
      </c>
      <c r="TO105" s="1">
        <v>1</v>
      </c>
      <c r="TP105" s="1">
        <v>0</v>
      </c>
      <c r="TQ105" s="1">
        <v>90</v>
      </c>
      <c r="TR105" s="1">
        <v>60003760</v>
      </c>
      <c r="TS105" s="1">
        <v>32767</v>
      </c>
      <c r="TT105" s="1">
        <v>0</v>
      </c>
      <c r="TV105"/>
      <c r="TW105"/>
      <c r="TX105"/>
      <c r="TY105"/>
      <c r="TZ105"/>
      <c r="UA105"/>
      <c r="UB105"/>
      <c r="UC105"/>
      <c r="UD105"/>
      <c r="UE105"/>
      <c r="UF105"/>
      <c r="UT105"/>
      <c r="UU105"/>
      <c r="UV105"/>
      <c r="UW105"/>
      <c r="UX105"/>
      <c r="UY105"/>
      <c r="UZ105"/>
      <c r="VA105"/>
      <c r="VB105"/>
      <c r="VC105"/>
      <c r="VD105"/>
    </row>
    <row r="106" spans="2:588" x14ac:dyDescent="0.25">
      <c r="B106" s="1">
        <v>2776440933</v>
      </c>
      <c r="C106" s="1">
        <v>34</v>
      </c>
      <c r="D106" s="1">
        <v>620283</v>
      </c>
      <c r="E106" s="1">
        <v>620283</v>
      </c>
      <c r="F106" s="1">
        <v>7.85</v>
      </c>
      <c r="G106" s="1">
        <v>1</v>
      </c>
      <c r="H106" s="1">
        <v>0</v>
      </c>
      <c r="I106" s="1">
        <v>90</v>
      </c>
      <c r="J106" s="1">
        <v>60003760</v>
      </c>
      <c r="K106" s="1">
        <v>32767</v>
      </c>
      <c r="L106" s="1">
        <v>0</v>
      </c>
      <c r="N106" s="1">
        <v>2863471151</v>
      </c>
      <c r="O106" s="1">
        <v>35</v>
      </c>
      <c r="P106" s="1">
        <v>30228</v>
      </c>
      <c r="Q106" s="1">
        <v>30228</v>
      </c>
      <c r="R106" s="1">
        <v>15.99</v>
      </c>
      <c r="S106" s="1">
        <v>1</v>
      </c>
      <c r="T106" s="1">
        <v>0</v>
      </c>
      <c r="U106" s="1">
        <v>30</v>
      </c>
      <c r="V106" s="1">
        <v>60003760</v>
      </c>
      <c r="W106" s="1">
        <v>32767</v>
      </c>
      <c r="X106" s="1">
        <v>0</v>
      </c>
      <c r="Z106" s="1">
        <v>2832939654</v>
      </c>
      <c r="AA106" s="1">
        <v>36</v>
      </c>
      <c r="AB106" s="1">
        <v>2645725</v>
      </c>
      <c r="AC106" s="1">
        <v>2642855</v>
      </c>
      <c r="AD106" s="16">
        <v>54.25</v>
      </c>
      <c r="AE106" s="1">
        <v>1</v>
      </c>
      <c r="AF106" s="1">
        <v>0</v>
      </c>
      <c r="AG106" s="1">
        <v>90</v>
      </c>
      <c r="AH106" s="1">
        <v>60003760</v>
      </c>
      <c r="AI106" s="1">
        <v>32767</v>
      </c>
      <c r="AJ106" s="1">
        <v>11</v>
      </c>
      <c r="AL106" s="1">
        <v>2873390884</v>
      </c>
      <c r="AM106" s="1">
        <v>37</v>
      </c>
      <c r="AN106" s="1">
        <v>36721</v>
      </c>
      <c r="AO106" s="1">
        <v>36721</v>
      </c>
      <c r="AP106" s="16">
        <v>154.77000000000001</v>
      </c>
      <c r="AQ106" s="1">
        <v>1</v>
      </c>
      <c r="AR106" s="1">
        <v>0</v>
      </c>
      <c r="AS106" s="1">
        <v>30</v>
      </c>
      <c r="AT106" s="1">
        <v>60003760</v>
      </c>
      <c r="AU106" s="1">
        <v>32767</v>
      </c>
      <c r="AV106" s="1">
        <v>9</v>
      </c>
      <c r="AX106" s="1">
        <v>2878125445</v>
      </c>
      <c r="AY106" s="1">
        <v>38</v>
      </c>
      <c r="AZ106" s="1">
        <v>208846</v>
      </c>
      <c r="BA106" s="1">
        <v>206161</v>
      </c>
      <c r="BB106" s="1">
        <v>810</v>
      </c>
      <c r="BC106" s="1">
        <v>1</v>
      </c>
      <c r="BD106" s="1">
        <v>0</v>
      </c>
      <c r="BE106" s="1">
        <v>3</v>
      </c>
      <c r="BF106" s="1">
        <v>60003760</v>
      </c>
      <c r="BG106" s="1">
        <v>32767</v>
      </c>
      <c r="BH106" s="1">
        <v>5</v>
      </c>
      <c r="BJ106" s="1">
        <v>2611671158</v>
      </c>
      <c r="BK106" s="1">
        <v>39</v>
      </c>
      <c r="BL106" s="1">
        <v>1302</v>
      </c>
      <c r="BM106" s="1">
        <v>818</v>
      </c>
      <c r="BN106" s="1">
        <v>960</v>
      </c>
      <c r="BO106" s="1">
        <v>1</v>
      </c>
      <c r="BP106" s="1">
        <v>0</v>
      </c>
      <c r="BQ106" s="1">
        <v>90</v>
      </c>
      <c r="BR106" s="1">
        <v>60013045</v>
      </c>
      <c r="BS106" s="1">
        <v>32767</v>
      </c>
      <c r="BT106" s="1">
        <v>13</v>
      </c>
      <c r="BV106" s="1">
        <v>2404492126</v>
      </c>
      <c r="BW106" s="1">
        <v>40</v>
      </c>
      <c r="BX106" s="1">
        <v>8234</v>
      </c>
      <c r="BY106" s="1">
        <v>8234</v>
      </c>
      <c r="BZ106" s="1">
        <v>2700</v>
      </c>
      <c r="CA106" s="1">
        <v>1</v>
      </c>
      <c r="CB106" s="1">
        <v>0</v>
      </c>
      <c r="CC106" s="1">
        <v>90</v>
      </c>
      <c r="CD106" s="1">
        <v>60010201</v>
      </c>
      <c r="CE106" s="1">
        <v>32767</v>
      </c>
      <c r="CF106" s="1">
        <v>2</v>
      </c>
      <c r="CH106" s="1">
        <v>2409851300</v>
      </c>
      <c r="CI106" s="1">
        <v>29668</v>
      </c>
      <c r="CJ106" s="1">
        <v>4</v>
      </c>
      <c r="CK106" s="1">
        <v>4</v>
      </c>
      <c r="CL106" s="1">
        <v>500000000</v>
      </c>
      <c r="CM106" s="1">
        <v>1</v>
      </c>
      <c r="CN106" s="1">
        <v>0</v>
      </c>
      <c r="CO106" s="1">
        <v>90</v>
      </c>
      <c r="CP106" s="1">
        <v>60003760</v>
      </c>
      <c r="CQ106" s="1">
        <v>32767</v>
      </c>
      <c r="CR106" s="1">
        <v>0</v>
      </c>
      <c r="CT106" s="1">
        <v>2393659592</v>
      </c>
      <c r="CU106" s="1">
        <v>16649</v>
      </c>
      <c r="CV106" s="1">
        <v>10000</v>
      </c>
      <c r="CW106" s="1">
        <v>9254</v>
      </c>
      <c r="CX106" s="1">
        <v>69000.09</v>
      </c>
      <c r="CY106" s="1">
        <v>1</v>
      </c>
      <c r="CZ106" s="1">
        <v>1</v>
      </c>
      <c r="DA106" s="1">
        <v>90</v>
      </c>
      <c r="DB106" s="1">
        <v>60004210</v>
      </c>
      <c r="DC106" s="1">
        <v>20</v>
      </c>
      <c r="DD106" s="1">
        <v>0</v>
      </c>
      <c r="DF106" s="1">
        <v>2407123106</v>
      </c>
      <c r="DG106" s="1">
        <v>17887</v>
      </c>
      <c r="DH106" s="1">
        <v>200000</v>
      </c>
      <c r="DI106" s="1">
        <v>37000</v>
      </c>
      <c r="DJ106" s="1">
        <v>1400</v>
      </c>
      <c r="DK106" s="1">
        <v>1</v>
      </c>
      <c r="DL106" s="1">
        <v>0</v>
      </c>
      <c r="DM106" s="1">
        <v>90</v>
      </c>
      <c r="DN106" s="1">
        <v>60007588</v>
      </c>
      <c r="DO106" s="1">
        <v>32767</v>
      </c>
      <c r="DP106" s="1">
        <v>11</v>
      </c>
      <c r="DR106" s="1">
        <v>2740491468</v>
      </c>
      <c r="DS106" s="1">
        <v>17888</v>
      </c>
      <c r="DT106" s="1">
        <v>346102</v>
      </c>
      <c r="DU106" s="1">
        <v>346102</v>
      </c>
      <c r="DV106" s="1">
        <v>499</v>
      </c>
      <c r="DW106" s="1">
        <v>1</v>
      </c>
      <c r="DX106" s="1">
        <v>0</v>
      </c>
      <c r="DY106" s="1">
        <v>90</v>
      </c>
      <c r="DZ106" s="1">
        <v>60003760</v>
      </c>
      <c r="EA106" s="1">
        <v>32767</v>
      </c>
      <c r="EB106" s="1">
        <v>8</v>
      </c>
      <c r="ED106" s="1">
        <v>2873633137</v>
      </c>
      <c r="EE106" s="1">
        <v>16273</v>
      </c>
      <c r="EF106" s="1">
        <v>275000</v>
      </c>
      <c r="EG106" s="1">
        <v>257050</v>
      </c>
      <c r="EH106" s="1">
        <v>370</v>
      </c>
      <c r="EI106" s="1">
        <v>1</v>
      </c>
      <c r="EJ106" s="1">
        <v>0</v>
      </c>
      <c r="EK106" s="1">
        <v>90</v>
      </c>
      <c r="EL106" s="1">
        <v>60002242</v>
      </c>
      <c r="EM106" s="1">
        <v>32767</v>
      </c>
      <c r="EN106" s="1">
        <v>7</v>
      </c>
      <c r="EP106" s="1">
        <v>2872924578</v>
      </c>
      <c r="EQ106" s="1">
        <v>17889</v>
      </c>
      <c r="ER106" s="1">
        <v>1000000</v>
      </c>
      <c r="ES106" s="1">
        <v>1000000</v>
      </c>
      <c r="ET106" s="1">
        <v>330</v>
      </c>
      <c r="EU106" s="1">
        <v>1</v>
      </c>
      <c r="EV106" s="1">
        <v>1</v>
      </c>
      <c r="EW106" s="1">
        <v>90</v>
      </c>
      <c r="EX106" s="1">
        <v>60003760</v>
      </c>
      <c r="EY106" s="1">
        <v>-1</v>
      </c>
      <c r="EZ106" s="1">
        <v>0</v>
      </c>
      <c r="FB106" s="1">
        <v>2873411785</v>
      </c>
      <c r="FC106" s="1">
        <v>30259</v>
      </c>
      <c r="FD106" s="1">
        <v>203</v>
      </c>
      <c r="FE106" s="1">
        <v>10</v>
      </c>
      <c r="FF106" s="1">
        <v>5572802</v>
      </c>
      <c r="FG106" s="1">
        <v>1</v>
      </c>
      <c r="FH106" s="1">
        <v>1</v>
      </c>
      <c r="FI106" s="1">
        <v>30</v>
      </c>
      <c r="FJ106" s="1">
        <v>60003760</v>
      </c>
      <c r="FK106" s="1">
        <v>-1</v>
      </c>
      <c r="FL106" s="1">
        <v>0</v>
      </c>
      <c r="FN106" s="1">
        <v>2879118202</v>
      </c>
      <c r="FO106" s="1">
        <v>25617</v>
      </c>
      <c r="FP106" s="1">
        <v>39</v>
      </c>
      <c r="FQ106" s="1">
        <v>14</v>
      </c>
      <c r="FR106" s="1">
        <v>4916007.01</v>
      </c>
      <c r="FS106" s="1">
        <v>1</v>
      </c>
      <c r="FT106" s="1">
        <v>1</v>
      </c>
      <c r="FU106" s="1">
        <v>90</v>
      </c>
      <c r="FV106" s="1">
        <v>60003760</v>
      </c>
      <c r="FW106" s="1">
        <v>-1</v>
      </c>
      <c r="FX106" s="1">
        <v>0</v>
      </c>
      <c r="FZ106" s="1">
        <v>2795056437</v>
      </c>
      <c r="GA106" s="1">
        <v>44</v>
      </c>
      <c r="GB106" s="1">
        <v>8000</v>
      </c>
      <c r="GC106" s="1">
        <v>7635</v>
      </c>
      <c r="GD106" s="1">
        <v>8608.01</v>
      </c>
      <c r="GE106" s="1">
        <v>1</v>
      </c>
      <c r="GF106" s="1">
        <v>1</v>
      </c>
      <c r="GG106" s="1">
        <v>90</v>
      </c>
      <c r="GH106" s="1">
        <v>60003760</v>
      </c>
      <c r="GI106" s="1">
        <v>0</v>
      </c>
      <c r="GJ106" s="1">
        <v>0</v>
      </c>
      <c r="GL106" s="1">
        <v>2400484014</v>
      </c>
      <c r="GM106" s="1">
        <v>16681</v>
      </c>
      <c r="GN106" s="1">
        <v>100000</v>
      </c>
      <c r="GO106" s="1">
        <v>100000</v>
      </c>
      <c r="GP106" s="1">
        <v>5686.02</v>
      </c>
      <c r="GQ106" s="1">
        <v>1</v>
      </c>
      <c r="GR106" s="1">
        <v>1</v>
      </c>
      <c r="GS106" s="1">
        <v>90</v>
      </c>
      <c r="GT106" s="1">
        <v>60003760</v>
      </c>
      <c r="GU106" s="1">
        <v>1</v>
      </c>
      <c r="GV106" s="1">
        <v>0</v>
      </c>
      <c r="GX106"/>
      <c r="GY106"/>
      <c r="GZ106"/>
      <c r="HA106"/>
      <c r="HB106"/>
      <c r="HC106"/>
      <c r="HD106"/>
      <c r="HE106"/>
      <c r="HF106"/>
      <c r="HG106"/>
      <c r="HH106"/>
      <c r="HV106" s="1">
        <v>2875497770</v>
      </c>
      <c r="HW106" s="1">
        <v>16274</v>
      </c>
      <c r="HX106" s="1">
        <v>100000</v>
      </c>
      <c r="HY106" s="1">
        <v>100000</v>
      </c>
      <c r="HZ106" s="1">
        <v>328.18</v>
      </c>
      <c r="IA106" s="1">
        <v>1</v>
      </c>
      <c r="IB106" s="1">
        <v>1</v>
      </c>
      <c r="IC106" s="1">
        <v>90</v>
      </c>
      <c r="ID106" s="1">
        <v>60003760</v>
      </c>
      <c r="IE106" s="1">
        <v>-1</v>
      </c>
      <c r="IF106" s="1">
        <v>0</v>
      </c>
      <c r="IT106" s="1">
        <v>2874803881</v>
      </c>
      <c r="IU106" s="1">
        <v>16679</v>
      </c>
      <c r="IV106" s="1">
        <v>10000</v>
      </c>
      <c r="IW106" s="1">
        <v>10000</v>
      </c>
      <c r="IX106" s="1">
        <v>1070</v>
      </c>
      <c r="IY106" s="1">
        <v>100</v>
      </c>
      <c r="IZ106" s="1">
        <v>1</v>
      </c>
      <c r="JA106" s="1">
        <v>30</v>
      </c>
      <c r="JB106" s="1">
        <v>60004063</v>
      </c>
      <c r="JC106" s="1">
        <v>3</v>
      </c>
      <c r="JD106" s="1">
        <v>0</v>
      </c>
      <c r="JF106" s="1">
        <v>2869892147</v>
      </c>
      <c r="JG106" s="1">
        <v>16272</v>
      </c>
      <c r="JH106" s="1">
        <v>1383675</v>
      </c>
      <c r="JI106" s="1">
        <v>1245835</v>
      </c>
      <c r="JJ106" s="1">
        <v>74.86</v>
      </c>
      <c r="JK106" s="1">
        <v>1</v>
      </c>
      <c r="JL106" s="1">
        <v>0</v>
      </c>
      <c r="JM106" s="1">
        <v>90</v>
      </c>
      <c r="JN106" s="1">
        <v>60003760</v>
      </c>
      <c r="JO106" s="1">
        <v>32767</v>
      </c>
      <c r="JP106" s="1">
        <v>6</v>
      </c>
      <c r="KD106" s="1">
        <v>2877438832</v>
      </c>
      <c r="KE106" s="1">
        <v>25605</v>
      </c>
      <c r="KF106" s="1">
        <v>10000</v>
      </c>
      <c r="KG106" s="1">
        <v>7387</v>
      </c>
      <c r="KH106" s="1">
        <v>102500.01</v>
      </c>
      <c r="KI106" s="1">
        <v>1</v>
      </c>
      <c r="KJ106" s="1">
        <v>1</v>
      </c>
      <c r="KK106" s="1">
        <v>90</v>
      </c>
      <c r="KL106" s="1">
        <v>60003760</v>
      </c>
      <c r="KM106" s="1">
        <v>5</v>
      </c>
      <c r="KN106" s="1">
        <v>0</v>
      </c>
      <c r="KP106" s="1">
        <v>2878895646</v>
      </c>
      <c r="KQ106" s="1">
        <v>25624</v>
      </c>
      <c r="KR106" s="1">
        <v>47</v>
      </c>
      <c r="KS106" s="1">
        <v>4</v>
      </c>
      <c r="KT106" s="1">
        <v>17751000.949999999</v>
      </c>
      <c r="KU106" s="1">
        <v>1</v>
      </c>
      <c r="KV106" s="1">
        <v>1</v>
      </c>
      <c r="KW106" s="1">
        <v>90</v>
      </c>
      <c r="KX106" s="1">
        <v>60003760</v>
      </c>
      <c r="KY106" s="1">
        <v>-1</v>
      </c>
      <c r="KZ106" s="1">
        <v>0</v>
      </c>
      <c r="LB106" s="1">
        <v>2718298350</v>
      </c>
      <c r="LC106" s="1">
        <v>9832</v>
      </c>
      <c r="LD106" s="1">
        <v>2865</v>
      </c>
      <c r="LE106" s="1">
        <v>865</v>
      </c>
      <c r="LF106" s="1">
        <v>9300</v>
      </c>
      <c r="LG106" s="1">
        <v>1</v>
      </c>
      <c r="LH106" s="1">
        <v>0</v>
      </c>
      <c r="LI106" s="1">
        <v>90</v>
      </c>
      <c r="LJ106" s="1">
        <v>60001798</v>
      </c>
      <c r="LK106" s="1">
        <v>32767</v>
      </c>
      <c r="LL106" s="1">
        <v>13</v>
      </c>
      <c r="ML106"/>
      <c r="MM106"/>
      <c r="MN106"/>
      <c r="MO106"/>
      <c r="MP106"/>
      <c r="MQ106"/>
      <c r="MR106"/>
      <c r="MS106"/>
      <c r="MT106"/>
      <c r="MU106"/>
      <c r="MV106"/>
      <c r="MX106"/>
      <c r="MY106"/>
      <c r="MZ106"/>
      <c r="NA106"/>
      <c r="NB106"/>
      <c r="NC106"/>
      <c r="ND106"/>
      <c r="NE106"/>
      <c r="NF106"/>
      <c r="NG106"/>
      <c r="NH106"/>
      <c r="NJ106" s="1">
        <v>2876120261</v>
      </c>
      <c r="NK106" s="1">
        <v>16673</v>
      </c>
      <c r="NL106" s="1">
        <v>10000000</v>
      </c>
      <c r="NM106" s="1">
        <v>10000000</v>
      </c>
      <c r="NN106" s="1">
        <v>90.12</v>
      </c>
      <c r="NO106" s="1">
        <v>1</v>
      </c>
      <c r="NP106" s="1">
        <v>1</v>
      </c>
      <c r="NQ106" s="1">
        <v>90</v>
      </c>
      <c r="NR106" s="1">
        <v>60003760</v>
      </c>
      <c r="NS106" s="1">
        <v>-1</v>
      </c>
      <c r="NT106" s="1">
        <v>0</v>
      </c>
      <c r="NV106" s="1">
        <v>2876573460</v>
      </c>
      <c r="NW106" s="1">
        <v>3689</v>
      </c>
      <c r="NX106" s="1">
        <v>3360</v>
      </c>
      <c r="NY106" s="1">
        <v>3220</v>
      </c>
      <c r="NZ106" s="1">
        <v>8000</v>
      </c>
      <c r="OA106" s="1">
        <v>1</v>
      </c>
      <c r="OB106" s="1">
        <v>1</v>
      </c>
      <c r="OC106" s="1">
        <v>90</v>
      </c>
      <c r="OD106" s="1">
        <v>60003079</v>
      </c>
      <c r="OE106" s="1">
        <v>5</v>
      </c>
      <c r="OF106" s="1">
        <v>0</v>
      </c>
      <c r="OH106" s="1">
        <v>2871757030</v>
      </c>
      <c r="OI106" s="1">
        <v>25598</v>
      </c>
      <c r="OJ106" s="1">
        <v>19</v>
      </c>
      <c r="OK106" s="1">
        <v>19</v>
      </c>
      <c r="OL106" s="1">
        <v>139999</v>
      </c>
      <c r="OM106" s="1">
        <v>1</v>
      </c>
      <c r="ON106" s="1">
        <v>0</v>
      </c>
      <c r="OO106" s="1">
        <v>7</v>
      </c>
      <c r="OP106" s="1">
        <v>60002959</v>
      </c>
      <c r="OQ106" s="1">
        <v>32767</v>
      </c>
      <c r="OR106" s="1">
        <v>0</v>
      </c>
      <c r="OT106" s="1">
        <v>2878908898</v>
      </c>
      <c r="OU106" s="1">
        <v>25600</v>
      </c>
      <c r="OV106" s="1">
        <v>10283</v>
      </c>
      <c r="OW106" s="1">
        <v>6957</v>
      </c>
      <c r="OX106" s="1">
        <v>29499.99</v>
      </c>
      <c r="OY106" s="1">
        <v>1</v>
      </c>
      <c r="OZ106" s="1">
        <v>0</v>
      </c>
      <c r="PA106" s="1">
        <v>90</v>
      </c>
      <c r="PB106" s="1">
        <v>60003760</v>
      </c>
      <c r="PC106" s="1">
        <v>32767</v>
      </c>
      <c r="PD106" s="1">
        <v>0</v>
      </c>
      <c r="PF106" s="1">
        <v>2853691139</v>
      </c>
      <c r="PG106" s="1">
        <v>16670</v>
      </c>
      <c r="PH106" s="1">
        <v>100000000</v>
      </c>
      <c r="PI106" s="1">
        <v>100000000</v>
      </c>
      <c r="PJ106" s="1">
        <v>89.94</v>
      </c>
      <c r="PK106" s="1">
        <v>1</v>
      </c>
      <c r="PL106" s="1">
        <v>1</v>
      </c>
      <c r="PM106" s="1">
        <v>90</v>
      </c>
      <c r="PN106" s="1">
        <v>60003760</v>
      </c>
      <c r="PO106" s="1">
        <v>-1</v>
      </c>
      <c r="PP106" s="1">
        <v>0</v>
      </c>
      <c r="QD106"/>
      <c r="QE106"/>
      <c r="QF106"/>
      <c r="QG106"/>
      <c r="QH106"/>
      <c r="QI106"/>
      <c r="QJ106"/>
      <c r="QK106"/>
      <c r="QL106"/>
      <c r="QM106"/>
      <c r="QN106"/>
      <c r="RB106"/>
      <c r="RC106"/>
      <c r="RD106"/>
      <c r="RE106"/>
      <c r="RF106"/>
      <c r="RG106"/>
      <c r="RH106"/>
      <c r="RI106"/>
      <c r="RJ106"/>
      <c r="RK106"/>
      <c r="RL106"/>
      <c r="RN106"/>
      <c r="RO106"/>
      <c r="RP106"/>
      <c r="RQ106"/>
      <c r="RR106"/>
      <c r="RS106"/>
      <c r="RT106"/>
      <c r="RU106"/>
      <c r="RV106"/>
      <c r="RW106"/>
      <c r="RX106"/>
      <c r="SX106" s="1">
        <v>2871254401</v>
      </c>
      <c r="SY106" s="1">
        <v>25595</v>
      </c>
      <c r="SZ106" s="1">
        <v>57</v>
      </c>
      <c r="TA106" s="1">
        <v>57</v>
      </c>
      <c r="TB106" s="1">
        <v>80479.97</v>
      </c>
      <c r="TC106" s="1">
        <v>1</v>
      </c>
      <c r="TD106" s="1">
        <v>0</v>
      </c>
      <c r="TE106" s="1">
        <v>90</v>
      </c>
      <c r="TF106" s="1">
        <v>60003760</v>
      </c>
      <c r="TG106" s="1">
        <v>32767</v>
      </c>
      <c r="TH106" s="1">
        <v>6</v>
      </c>
      <c r="TJ106" s="1">
        <v>2837149798</v>
      </c>
      <c r="TK106" s="1">
        <v>25606</v>
      </c>
      <c r="TL106" s="1">
        <v>1247</v>
      </c>
      <c r="TM106" s="1">
        <v>1247</v>
      </c>
      <c r="TN106" s="1">
        <v>23500</v>
      </c>
      <c r="TO106" s="1">
        <v>1</v>
      </c>
      <c r="TP106" s="1">
        <v>0</v>
      </c>
      <c r="TQ106" s="1">
        <v>90</v>
      </c>
      <c r="TR106" s="1">
        <v>60003760</v>
      </c>
      <c r="TS106" s="1">
        <v>32767</v>
      </c>
      <c r="TT106" s="1">
        <v>0</v>
      </c>
      <c r="TV106"/>
      <c r="TW106"/>
      <c r="TX106"/>
      <c r="TY106"/>
      <c r="TZ106"/>
      <c r="UA106"/>
      <c r="UB106"/>
      <c r="UC106"/>
      <c r="UD106"/>
      <c r="UE106"/>
      <c r="UF106"/>
      <c r="UT106"/>
      <c r="UU106"/>
      <c r="UV106"/>
      <c r="UW106"/>
      <c r="UX106"/>
      <c r="UY106"/>
      <c r="UZ106"/>
      <c r="VA106"/>
      <c r="VB106"/>
      <c r="VC106"/>
      <c r="VD106"/>
    </row>
    <row r="107" spans="2:588" x14ac:dyDescent="0.25">
      <c r="B107" s="1">
        <v>2777625250</v>
      </c>
      <c r="C107" s="1">
        <v>34</v>
      </c>
      <c r="D107" s="1">
        <v>1</v>
      </c>
      <c r="E107" s="1">
        <v>1</v>
      </c>
      <c r="F107" s="1">
        <v>100000</v>
      </c>
      <c r="G107" s="1">
        <v>1</v>
      </c>
      <c r="H107" s="1">
        <v>0</v>
      </c>
      <c r="I107" s="1">
        <v>90</v>
      </c>
      <c r="J107" s="1">
        <v>60003760</v>
      </c>
      <c r="K107" s="1">
        <v>32767</v>
      </c>
      <c r="L107" s="1">
        <v>0</v>
      </c>
      <c r="N107" s="1">
        <v>2863241646</v>
      </c>
      <c r="O107" s="1">
        <v>35</v>
      </c>
      <c r="P107" s="1">
        <v>6430310</v>
      </c>
      <c r="Q107" s="1">
        <v>6430310</v>
      </c>
      <c r="R107" s="1">
        <v>15.8</v>
      </c>
      <c r="S107" s="1">
        <v>1</v>
      </c>
      <c r="T107" s="1">
        <v>0</v>
      </c>
      <c r="U107" s="1">
        <v>90</v>
      </c>
      <c r="V107" s="1">
        <v>60003760</v>
      </c>
      <c r="W107" s="1">
        <v>32767</v>
      </c>
      <c r="X107" s="1">
        <v>0</v>
      </c>
      <c r="Z107" s="1">
        <v>2832693597</v>
      </c>
      <c r="AA107" s="1">
        <v>36</v>
      </c>
      <c r="AB107" s="1">
        <v>7210675</v>
      </c>
      <c r="AC107" s="1">
        <v>7210675</v>
      </c>
      <c r="AD107" s="16">
        <v>54.98</v>
      </c>
      <c r="AE107" s="1">
        <v>1</v>
      </c>
      <c r="AF107" s="1">
        <v>0</v>
      </c>
      <c r="AG107" s="1">
        <v>90</v>
      </c>
      <c r="AH107" s="1">
        <v>60003760</v>
      </c>
      <c r="AI107" s="1">
        <v>32767</v>
      </c>
      <c r="AJ107" s="1">
        <v>11</v>
      </c>
      <c r="AL107" s="1">
        <v>2875087176</v>
      </c>
      <c r="AM107" s="1">
        <v>37</v>
      </c>
      <c r="AN107" s="1">
        <v>27489</v>
      </c>
      <c r="AO107" s="1">
        <v>27489</v>
      </c>
      <c r="AP107" s="16">
        <v>149</v>
      </c>
      <c r="AQ107" s="1">
        <v>1</v>
      </c>
      <c r="AR107" s="1">
        <v>0</v>
      </c>
      <c r="AS107" s="1">
        <v>7</v>
      </c>
      <c r="AT107" s="1">
        <v>60003760</v>
      </c>
      <c r="AU107" s="1">
        <v>32767</v>
      </c>
      <c r="AV107" s="1">
        <v>9</v>
      </c>
      <c r="AX107" s="1">
        <v>2878498903</v>
      </c>
      <c r="AY107" s="1">
        <v>38</v>
      </c>
      <c r="AZ107" s="1">
        <v>109</v>
      </c>
      <c r="BA107" s="1">
        <v>109</v>
      </c>
      <c r="BB107" s="1">
        <v>800</v>
      </c>
      <c r="BC107" s="1">
        <v>1</v>
      </c>
      <c r="BD107" s="1">
        <v>0</v>
      </c>
      <c r="BE107" s="1">
        <v>1</v>
      </c>
      <c r="BF107" s="1">
        <v>60002434</v>
      </c>
      <c r="BG107" s="1">
        <v>32767</v>
      </c>
      <c r="BH107" s="1">
        <v>6</v>
      </c>
      <c r="BJ107" s="1">
        <v>2518612585</v>
      </c>
      <c r="BK107" s="1">
        <v>39</v>
      </c>
      <c r="BL107" s="1">
        <v>394912</v>
      </c>
      <c r="BM107" s="1">
        <v>351935</v>
      </c>
      <c r="BN107" s="1">
        <v>1693.66</v>
      </c>
      <c r="BO107" s="1">
        <v>1</v>
      </c>
      <c r="BP107" s="1">
        <v>0</v>
      </c>
      <c r="BQ107" s="1">
        <v>90</v>
      </c>
      <c r="BR107" s="1">
        <v>60000967</v>
      </c>
      <c r="BS107" s="1">
        <v>32767</v>
      </c>
      <c r="BT107" s="1">
        <v>14</v>
      </c>
      <c r="BV107" s="1">
        <v>2373121474</v>
      </c>
      <c r="BW107" s="1">
        <v>40</v>
      </c>
      <c r="BX107" s="1">
        <v>100000</v>
      </c>
      <c r="BY107" s="1">
        <v>92079</v>
      </c>
      <c r="BZ107" s="1">
        <v>3997</v>
      </c>
      <c r="CA107" s="1">
        <v>1</v>
      </c>
      <c r="CB107" s="1">
        <v>0</v>
      </c>
      <c r="CC107" s="1">
        <v>90</v>
      </c>
      <c r="CD107" s="1">
        <v>60002281</v>
      </c>
      <c r="CE107" s="1">
        <v>32767</v>
      </c>
      <c r="CF107" s="1">
        <v>11</v>
      </c>
      <c r="CH107" s="1">
        <v>2410738483</v>
      </c>
      <c r="CI107" s="1">
        <v>29668</v>
      </c>
      <c r="CJ107" s="1">
        <v>1</v>
      </c>
      <c r="CK107" s="1">
        <v>1</v>
      </c>
      <c r="CL107" s="1">
        <v>525000000</v>
      </c>
      <c r="CM107" s="1">
        <v>1</v>
      </c>
      <c r="CN107" s="1">
        <v>0</v>
      </c>
      <c r="CO107" s="1">
        <v>90</v>
      </c>
      <c r="CP107" s="1">
        <v>60003760</v>
      </c>
      <c r="CQ107" s="1">
        <v>32767</v>
      </c>
      <c r="CR107" s="1">
        <v>0</v>
      </c>
      <c r="CT107" s="1">
        <v>1933492245</v>
      </c>
      <c r="CU107" s="1">
        <v>16649</v>
      </c>
      <c r="CV107" s="1">
        <v>100000</v>
      </c>
      <c r="CW107" s="1">
        <v>100000</v>
      </c>
      <c r="CX107" s="1">
        <v>123.47</v>
      </c>
      <c r="CY107" s="1">
        <v>1</v>
      </c>
      <c r="CZ107" s="1">
        <v>1</v>
      </c>
      <c r="DA107" s="1">
        <v>90</v>
      </c>
      <c r="DB107" s="1">
        <v>60000526</v>
      </c>
      <c r="DC107" s="1">
        <v>10</v>
      </c>
      <c r="DD107" s="1">
        <v>0</v>
      </c>
      <c r="DF107" s="1">
        <v>2414026225</v>
      </c>
      <c r="DG107" s="1">
        <v>17887</v>
      </c>
      <c r="DH107" s="1">
        <v>242000</v>
      </c>
      <c r="DI107" s="1">
        <v>242000</v>
      </c>
      <c r="DJ107" s="1">
        <v>1300</v>
      </c>
      <c r="DK107" s="1">
        <v>1</v>
      </c>
      <c r="DL107" s="1">
        <v>0</v>
      </c>
      <c r="DM107" s="1">
        <v>90</v>
      </c>
      <c r="DN107" s="1">
        <v>60002242</v>
      </c>
      <c r="DO107" s="1">
        <v>32767</v>
      </c>
      <c r="DP107" s="1">
        <v>11</v>
      </c>
      <c r="DR107" s="1">
        <v>2736804188</v>
      </c>
      <c r="DS107" s="1">
        <v>17888</v>
      </c>
      <c r="DT107" s="1">
        <v>2046074</v>
      </c>
      <c r="DU107" s="1">
        <v>2046074</v>
      </c>
      <c r="DV107" s="1">
        <v>1499</v>
      </c>
      <c r="DW107" s="1">
        <v>1</v>
      </c>
      <c r="DX107" s="1">
        <v>0</v>
      </c>
      <c r="DY107" s="1">
        <v>90</v>
      </c>
      <c r="DZ107" s="1">
        <v>60003760</v>
      </c>
      <c r="EA107" s="1">
        <v>32767</v>
      </c>
      <c r="EB107" s="1">
        <v>8</v>
      </c>
      <c r="ED107" s="1">
        <v>2854219655</v>
      </c>
      <c r="EE107" s="1">
        <v>16273</v>
      </c>
      <c r="EF107" s="1">
        <v>4498</v>
      </c>
      <c r="EG107" s="1">
        <v>99</v>
      </c>
      <c r="EH107" s="1">
        <v>420</v>
      </c>
      <c r="EI107" s="1">
        <v>1</v>
      </c>
      <c r="EJ107" s="1">
        <v>0</v>
      </c>
      <c r="EK107" s="1">
        <v>90</v>
      </c>
      <c r="EL107" s="1">
        <v>60010816</v>
      </c>
      <c r="EM107" s="1">
        <v>32767</v>
      </c>
      <c r="EN107" s="1">
        <v>8</v>
      </c>
      <c r="EP107" s="1">
        <v>2874497765</v>
      </c>
      <c r="EQ107" s="1">
        <v>17889</v>
      </c>
      <c r="ER107" s="1">
        <v>1000000</v>
      </c>
      <c r="ES107" s="1">
        <v>1000000</v>
      </c>
      <c r="ET107" s="1">
        <v>355.05</v>
      </c>
      <c r="EU107" s="1">
        <v>1</v>
      </c>
      <c r="EV107" s="1">
        <v>1</v>
      </c>
      <c r="EW107" s="1">
        <v>90</v>
      </c>
      <c r="EX107" s="1">
        <v>60003760</v>
      </c>
      <c r="EY107" s="1">
        <v>-1</v>
      </c>
      <c r="EZ107" s="1">
        <v>0</v>
      </c>
      <c r="FB107" s="1">
        <v>2874174304</v>
      </c>
      <c r="FC107" s="1">
        <v>30259</v>
      </c>
      <c r="FD107" s="1">
        <v>10</v>
      </c>
      <c r="FE107" s="1">
        <v>10</v>
      </c>
      <c r="FF107" s="1">
        <v>560000</v>
      </c>
      <c r="FG107" s="1">
        <v>1</v>
      </c>
      <c r="FH107" s="1">
        <v>1</v>
      </c>
      <c r="FI107" s="1">
        <v>90</v>
      </c>
      <c r="FJ107" s="1">
        <v>60003760</v>
      </c>
      <c r="FK107" s="1">
        <v>1</v>
      </c>
      <c r="FL107" s="1">
        <v>0</v>
      </c>
      <c r="FN107"/>
      <c r="FO107"/>
      <c r="FP107"/>
      <c r="FQ107"/>
      <c r="FR107"/>
      <c r="FS107"/>
      <c r="FT107"/>
      <c r="FU107"/>
      <c r="FV107"/>
      <c r="FW107"/>
      <c r="FX107"/>
      <c r="FZ107" s="1">
        <v>2795057686</v>
      </c>
      <c r="GA107" s="1">
        <v>44</v>
      </c>
      <c r="GB107" s="1">
        <v>8000</v>
      </c>
      <c r="GC107" s="1">
        <v>2675</v>
      </c>
      <c r="GD107" s="1">
        <v>7000.01</v>
      </c>
      <c r="GE107" s="1">
        <v>1</v>
      </c>
      <c r="GF107" s="1">
        <v>1</v>
      </c>
      <c r="GG107" s="1">
        <v>90</v>
      </c>
      <c r="GH107" s="1">
        <v>60003760</v>
      </c>
      <c r="GI107" s="1">
        <v>32767</v>
      </c>
      <c r="GJ107" s="1">
        <v>0</v>
      </c>
      <c r="GL107" s="1">
        <v>2400915750</v>
      </c>
      <c r="GM107" s="1">
        <v>16681</v>
      </c>
      <c r="GN107" s="1">
        <v>180000</v>
      </c>
      <c r="GO107" s="1">
        <v>180000</v>
      </c>
      <c r="GP107" s="1">
        <v>5805.03</v>
      </c>
      <c r="GQ107" s="1">
        <v>1</v>
      </c>
      <c r="GR107" s="1">
        <v>1</v>
      </c>
      <c r="GS107" s="1">
        <v>90</v>
      </c>
      <c r="GT107" s="1">
        <v>60003760</v>
      </c>
      <c r="GU107" s="1">
        <v>-1</v>
      </c>
      <c r="GV107" s="1">
        <v>0</v>
      </c>
      <c r="GX107"/>
      <c r="GY107"/>
      <c r="GZ107"/>
      <c r="HA107"/>
      <c r="HB107"/>
      <c r="HC107"/>
      <c r="HD107"/>
      <c r="HE107"/>
      <c r="HF107"/>
      <c r="HG107"/>
      <c r="HH107"/>
      <c r="HV107" s="1">
        <v>2875481954</v>
      </c>
      <c r="HW107" s="1">
        <v>16274</v>
      </c>
      <c r="HX107" s="1">
        <v>3000000</v>
      </c>
      <c r="HY107" s="1">
        <v>1899453</v>
      </c>
      <c r="HZ107" s="1">
        <v>328.24</v>
      </c>
      <c r="IA107" s="1">
        <v>1</v>
      </c>
      <c r="IB107" s="1">
        <v>1</v>
      </c>
      <c r="IC107" s="1">
        <v>90</v>
      </c>
      <c r="ID107" s="1">
        <v>60003760</v>
      </c>
      <c r="IE107" s="1">
        <v>-1</v>
      </c>
      <c r="IF107" s="1">
        <v>0</v>
      </c>
      <c r="IT107" s="1">
        <v>2680112700</v>
      </c>
      <c r="IU107" s="1">
        <v>16679</v>
      </c>
      <c r="IV107" s="1">
        <v>200000</v>
      </c>
      <c r="IW107" s="1">
        <v>154225</v>
      </c>
      <c r="IX107" s="1">
        <v>409.07</v>
      </c>
      <c r="IY107" s="1">
        <v>1</v>
      </c>
      <c r="IZ107" s="1">
        <v>1</v>
      </c>
      <c r="JA107" s="1">
        <v>90</v>
      </c>
      <c r="JB107" s="1">
        <v>60004459</v>
      </c>
      <c r="JC107" s="1">
        <v>10</v>
      </c>
      <c r="JD107" s="1">
        <v>0</v>
      </c>
      <c r="JF107" s="1">
        <v>2878833877</v>
      </c>
      <c r="JG107" s="1">
        <v>16272</v>
      </c>
      <c r="JH107" s="1">
        <v>77900</v>
      </c>
      <c r="JI107" s="1">
        <v>55468</v>
      </c>
      <c r="JJ107" s="1">
        <v>74.23</v>
      </c>
      <c r="JK107" s="1">
        <v>1</v>
      </c>
      <c r="JL107" s="1">
        <v>0</v>
      </c>
      <c r="JM107" s="1">
        <v>90</v>
      </c>
      <c r="JN107" s="1">
        <v>60003760</v>
      </c>
      <c r="JO107" s="1">
        <v>32767</v>
      </c>
      <c r="JP107" s="1">
        <v>0</v>
      </c>
      <c r="KD107" s="1">
        <v>2822752637</v>
      </c>
      <c r="KE107" s="1">
        <v>25605</v>
      </c>
      <c r="KF107" s="1">
        <v>100</v>
      </c>
      <c r="KG107" s="1">
        <v>100</v>
      </c>
      <c r="KH107" s="1">
        <v>80000</v>
      </c>
      <c r="KI107" s="1">
        <v>1</v>
      </c>
      <c r="KJ107" s="1">
        <v>1</v>
      </c>
      <c r="KK107" s="1">
        <v>90</v>
      </c>
      <c r="KL107" s="1">
        <v>60003754</v>
      </c>
      <c r="KM107" s="1">
        <v>-1</v>
      </c>
      <c r="KN107" s="1">
        <v>0</v>
      </c>
      <c r="KP107" s="1">
        <v>2733530529</v>
      </c>
      <c r="KQ107" s="1">
        <v>25624</v>
      </c>
      <c r="KR107" s="1">
        <v>200</v>
      </c>
      <c r="KS107" s="1">
        <v>193</v>
      </c>
      <c r="KT107" s="1">
        <v>14704001</v>
      </c>
      <c r="KU107" s="1">
        <v>1</v>
      </c>
      <c r="KV107" s="1">
        <v>1</v>
      </c>
      <c r="KW107" s="1">
        <v>90</v>
      </c>
      <c r="KX107" s="1">
        <v>60003760</v>
      </c>
      <c r="KY107" s="1">
        <v>-1</v>
      </c>
      <c r="KZ107" s="1">
        <v>0</v>
      </c>
      <c r="LB107" s="1">
        <v>2878529503</v>
      </c>
      <c r="LC107" s="1">
        <v>9832</v>
      </c>
      <c r="LD107" s="1">
        <v>5070</v>
      </c>
      <c r="LE107" s="1">
        <v>5070</v>
      </c>
      <c r="LF107" s="1">
        <v>9499.99</v>
      </c>
      <c r="LG107" s="1">
        <v>1</v>
      </c>
      <c r="LH107" s="1">
        <v>0</v>
      </c>
      <c r="LI107" s="1">
        <v>90</v>
      </c>
      <c r="LJ107" s="1">
        <v>60003760</v>
      </c>
      <c r="LK107" s="1">
        <v>32767</v>
      </c>
      <c r="LL107" s="1">
        <v>0</v>
      </c>
      <c r="ML107"/>
      <c r="MM107"/>
      <c r="MN107"/>
      <c r="MO107"/>
      <c r="MP107"/>
      <c r="MQ107"/>
      <c r="MR107"/>
      <c r="MS107"/>
      <c r="MT107"/>
      <c r="MU107"/>
      <c r="MV107"/>
      <c r="MX107"/>
      <c r="MY107"/>
      <c r="MZ107"/>
      <c r="NA107"/>
      <c r="NB107"/>
      <c r="NC107"/>
      <c r="ND107"/>
      <c r="NE107"/>
      <c r="NF107"/>
      <c r="NG107"/>
      <c r="NH107"/>
      <c r="NJ107" s="1">
        <v>2877282715</v>
      </c>
      <c r="NK107" s="1">
        <v>16673</v>
      </c>
      <c r="NL107" s="1">
        <v>111000</v>
      </c>
      <c r="NM107" s="1">
        <v>111000</v>
      </c>
      <c r="NN107" s="1">
        <v>94.37</v>
      </c>
      <c r="NO107" s="1">
        <v>1</v>
      </c>
      <c r="NP107" s="1">
        <v>1</v>
      </c>
      <c r="NQ107" s="1">
        <v>3</v>
      </c>
      <c r="NR107" s="1">
        <v>60003760</v>
      </c>
      <c r="NS107" s="1">
        <v>-1</v>
      </c>
      <c r="NT107" s="1">
        <v>0</v>
      </c>
      <c r="NV107" s="1">
        <v>2821107823</v>
      </c>
      <c r="NW107" s="1">
        <v>3689</v>
      </c>
      <c r="NX107" s="1">
        <v>10000</v>
      </c>
      <c r="NY107" s="1">
        <v>124</v>
      </c>
      <c r="NZ107" s="1">
        <v>7210.01</v>
      </c>
      <c r="OA107" s="1">
        <v>1</v>
      </c>
      <c r="OB107" s="1">
        <v>1</v>
      </c>
      <c r="OC107" s="1">
        <v>90</v>
      </c>
      <c r="OD107" s="1">
        <v>60003760</v>
      </c>
      <c r="OE107" s="1">
        <v>32767</v>
      </c>
      <c r="OF107" s="1">
        <v>0</v>
      </c>
      <c r="OH107" s="1">
        <v>2872515093</v>
      </c>
      <c r="OI107" s="1">
        <v>25598</v>
      </c>
      <c r="OJ107" s="1">
        <v>567</v>
      </c>
      <c r="OK107" s="1">
        <v>567</v>
      </c>
      <c r="OL107" s="1">
        <v>146990</v>
      </c>
      <c r="OM107" s="1">
        <v>1</v>
      </c>
      <c r="ON107" s="1">
        <v>0</v>
      </c>
      <c r="OO107" s="1">
        <v>90</v>
      </c>
      <c r="OP107" s="1">
        <v>60003760</v>
      </c>
      <c r="OQ107" s="1">
        <v>32767</v>
      </c>
      <c r="OR107" s="1">
        <v>0</v>
      </c>
      <c r="OT107" s="1">
        <v>2879007057</v>
      </c>
      <c r="OU107" s="1">
        <v>25600</v>
      </c>
      <c r="OV107" s="1">
        <v>8382</v>
      </c>
      <c r="OW107" s="1">
        <v>8382</v>
      </c>
      <c r="OX107" s="1">
        <v>29499.99</v>
      </c>
      <c r="OY107" s="1">
        <v>1</v>
      </c>
      <c r="OZ107" s="1">
        <v>0</v>
      </c>
      <c r="PA107" s="1">
        <v>90</v>
      </c>
      <c r="PB107" s="1">
        <v>60003760</v>
      </c>
      <c r="PC107" s="1">
        <v>32767</v>
      </c>
      <c r="PD107" s="1">
        <v>0</v>
      </c>
      <c r="PF107" s="1">
        <v>2863486333</v>
      </c>
      <c r="PG107" s="1">
        <v>16670</v>
      </c>
      <c r="PH107" s="1">
        <v>20000000</v>
      </c>
      <c r="PI107" s="1">
        <v>8253162</v>
      </c>
      <c r="PJ107" s="1">
        <v>106.41</v>
      </c>
      <c r="PK107" s="1">
        <v>1</v>
      </c>
      <c r="PL107" s="1">
        <v>1</v>
      </c>
      <c r="PM107" s="1">
        <v>90</v>
      </c>
      <c r="PN107" s="1">
        <v>60003760</v>
      </c>
      <c r="PO107" s="1">
        <v>-1</v>
      </c>
      <c r="PP107" s="1">
        <v>0</v>
      </c>
      <c r="QD107"/>
      <c r="QE107"/>
      <c r="QF107"/>
      <c r="QG107"/>
      <c r="QH107"/>
      <c r="QI107"/>
      <c r="QJ107"/>
      <c r="QK107"/>
      <c r="QL107"/>
      <c r="QM107"/>
      <c r="QN107"/>
      <c r="RB107"/>
      <c r="RC107"/>
      <c r="RD107"/>
      <c r="RE107"/>
      <c r="RF107"/>
      <c r="RG107"/>
      <c r="RH107"/>
      <c r="RI107"/>
      <c r="RJ107"/>
      <c r="RK107"/>
      <c r="RL107"/>
      <c r="RN107"/>
      <c r="RO107"/>
      <c r="RP107"/>
      <c r="RQ107"/>
      <c r="RR107"/>
      <c r="RS107"/>
      <c r="RT107"/>
      <c r="RU107"/>
      <c r="RV107"/>
      <c r="RW107"/>
      <c r="RX107"/>
      <c r="SX107" s="1">
        <v>2870516150</v>
      </c>
      <c r="SY107" s="1">
        <v>25595</v>
      </c>
      <c r="SZ107" s="1">
        <v>10000</v>
      </c>
      <c r="TA107" s="1">
        <v>3393</v>
      </c>
      <c r="TB107" s="1">
        <v>80499</v>
      </c>
      <c r="TC107" s="1">
        <v>1</v>
      </c>
      <c r="TD107" s="1">
        <v>0</v>
      </c>
      <c r="TE107" s="1">
        <v>90</v>
      </c>
      <c r="TF107" s="1">
        <v>60003760</v>
      </c>
      <c r="TG107" s="1">
        <v>32767</v>
      </c>
      <c r="TH107" s="1">
        <v>6</v>
      </c>
      <c r="TJ107" s="1">
        <v>2879128765</v>
      </c>
      <c r="TK107" s="1">
        <v>25606</v>
      </c>
      <c r="TL107" s="1">
        <v>5</v>
      </c>
      <c r="TM107" s="1">
        <v>5</v>
      </c>
      <c r="TN107" s="1">
        <v>21503</v>
      </c>
      <c r="TO107" s="1">
        <v>1</v>
      </c>
      <c r="TP107" s="1">
        <v>0</v>
      </c>
      <c r="TQ107" s="1">
        <v>14</v>
      </c>
      <c r="TR107" s="1">
        <v>60003760</v>
      </c>
      <c r="TS107" s="1">
        <v>32767</v>
      </c>
      <c r="TT107" s="1">
        <v>0</v>
      </c>
    </row>
    <row r="108" spans="2:588" x14ac:dyDescent="0.25">
      <c r="B108" s="1">
        <v>2780990805</v>
      </c>
      <c r="C108" s="1">
        <v>34</v>
      </c>
      <c r="D108" s="1">
        <v>1</v>
      </c>
      <c r="E108" s="1">
        <v>1</v>
      </c>
      <c r="F108" s="1">
        <v>25.8</v>
      </c>
      <c r="G108" s="1">
        <v>1</v>
      </c>
      <c r="H108" s="1">
        <v>0</v>
      </c>
      <c r="I108" s="1">
        <v>90</v>
      </c>
      <c r="J108" s="1">
        <v>60003760</v>
      </c>
      <c r="K108" s="1">
        <v>32767</v>
      </c>
      <c r="L108" s="1">
        <v>0</v>
      </c>
      <c r="N108" s="1">
        <v>2863215601</v>
      </c>
      <c r="O108" s="1">
        <v>35</v>
      </c>
      <c r="P108" s="1">
        <v>520481</v>
      </c>
      <c r="Q108" s="1">
        <v>520481</v>
      </c>
      <c r="R108" s="1">
        <v>15.36</v>
      </c>
      <c r="S108" s="1">
        <v>1</v>
      </c>
      <c r="T108" s="1">
        <v>0</v>
      </c>
      <c r="U108" s="1">
        <v>90</v>
      </c>
      <c r="V108" s="1">
        <v>60003760</v>
      </c>
      <c r="W108" s="1">
        <v>32767</v>
      </c>
      <c r="X108" s="1">
        <v>0</v>
      </c>
      <c r="Z108" s="1">
        <v>2832599478</v>
      </c>
      <c r="AA108" s="1">
        <v>36</v>
      </c>
      <c r="AB108" s="1">
        <v>4124497</v>
      </c>
      <c r="AC108" s="1">
        <v>4124497</v>
      </c>
      <c r="AD108" s="16">
        <v>54.65</v>
      </c>
      <c r="AE108" s="1">
        <v>1</v>
      </c>
      <c r="AF108" s="1">
        <v>0</v>
      </c>
      <c r="AG108" s="1">
        <v>90</v>
      </c>
      <c r="AH108" s="1">
        <v>60003760</v>
      </c>
      <c r="AI108" s="1">
        <v>32767</v>
      </c>
      <c r="AJ108" s="1">
        <v>11</v>
      </c>
      <c r="AL108" s="1">
        <v>2874406907</v>
      </c>
      <c r="AM108" s="1">
        <v>37</v>
      </c>
      <c r="AN108" s="1">
        <v>5411668</v>
      </c>
      <c r="AO108" s="1">
        <v>5411668</v>
      </c>
      <c r="AP108" s="16">
        <v>149.82</v>
      </c>
      <c r="AQ108" s="1">
        <v>1</v>
      </c>
      <c r="AR108" s="1">
        <v>0</v>
      </c>
      <c r="AS108" s="1">
        <v>90</v>
      </c>
      <c r="AT108" s="1">
        <v>60003760</v>
      </c>
      <c r="AU108" s="1">
        <v>32767</v>
      </c>
      <c r="AV108" s="1">
        <v>9</v>
      </c>
      <c r="AX108" s="1">
        <v>2878528926</v>
      </c>
      <c r="AY108" s="1">
        <v>38</v>
      </c>
      <c r="AZ108" s="1">
        <v>19482</v>
      </c>
      <c r="BA108" s="1">
        <v>19482</v>
      </c>
      <c r="BB108" s="1">
        <v>804</v>
      </c>
      <c r="BC108" s="1">
        <v>1</v>
      </c>
      <c r="BD108" s="1">
        <v>0</v>
      </c>
      <c r="BE108" s="1">
        <v>1</v>
      </c>
      <c r="BF108" s="1">
        <v>60002842</v>
      </c>
      <c r="BG108" s="1">
        <v>32767</v>
      </c>
      <c r="BH108" s="1">
        <v>12</v>
      </c>
      <c r="BJ108" s="1">
        <v>2823458813</v>
      </c>
      <c r="BK108" s="1">
        <v>39</v>
      </c>
      <c r="BL108" s="1">
        <v>1878</v>
      </c>
      <c r="BM108" s="1">
        <v>538</v>
      </c>
      <c r="BN108" s="1">
        <v>1290</v>
      </c>
      <c r="BO108" s="1">
        <v>1</v>
      </c>
      <c r="BP108" s="1">
        <v>0</v>
      </c>
      <c r="BQ108" s="1">
        <v>90</v>
      </c>
      <c r="BR108" s="1">
        <v>60015027</v>
      </c>
      <c r="BS108" s="1">
        <v>32767</v>
      </c>
      <c r="BT108" s="1">
        <v>3</v>
      </c>
      <c r="BV108" s="1">
        <v>2405747854</v>
      </c>
      <c r="BW108" s="1">
        <v>40</v>
      </c>
      <c r="BX108" s="1">
        <v>1898</v>
      </c>
      <c r="BY108" s="1">
        <v>1898</v>
      </c>
      <c r="BZ108" s="1">
        <v>3500</v>
      </c>
      <c r="CA108" s="1">
        <v>1</v>
      </c>
      <c r="CB108" s="1">
        <v>0</v>
      </c>
      <c r="CC108" s="1">
        <v>90</v>
      </c>
      <c r="CD108" s="1">
        <v>60003211</v>
      </c>
      <c r="CE108" s="1">
        <v>32767</v>
      </c>
      <c r="CF108" s="1">
        <v>11</v>
      </c>
      <c r="CH108" s="1">
        <v>2410111760</v>
      </c>
      <c r="CI108" s="1">
        <v>29668</v>
      </c>
      <c r="CJ108" s="1">
        <v>1</v>
      </c>
      <c r="CK108" s="1">
        <v>1</v>
      </c>
      <c r="CL108" s="1">
        <v>600000000</v>
      </c>
      <c r="CM108" s="1">
        <v>1</v>
      </c>
      <c r="CN108" s="1">
        <v>0</v>
      </c>
      <c r="CO108" s="1">
        <v>90</v>
      </c>
      <c r="CP108" s="1">
        <v>60003760</v>
      </c>
      <c r="CQ108" s="1">
        <v>32767</v>
      </c>
      <c r="CR108" s="1">
        <v>0</v>
      </c>
      <c r="CT108" s="1">
        <v>2415150697</v>
      </c>
      <c r="CU108" s="1">
        <v>16649</v>
      </c>
      <c r="CV108" s="1">
        <v>4000</v>
      </c>
      <c r="CW108" s="1">
        <v>4000</v>
      </c>
      <c r="CX108" s="1">
        <v>99000.1</v>
      </c>
      <c r="CY108" s="1">
        <v>1</v>
      </c>
      <c r="CZ108" s="1">
        <v>1</v>
      </c>
      <c r="DA108" s="1">
        <v>90</v>
      </c>
      <c r="DB108" s="1">
        <v>60003760</v>
      </c>
      <c r="DC108" s="1">
        <v>-1</v>
      </c>
      <c r="DD108" s="1">
        <v>0</v>
      </c>
      <c r="DF108" s="1">
        <v>2411165668</v>
      </c>
      <c r="DG108" s="1">
        <v>17887</v>
      </c>
      <c r="DH108" s="1">
        <v>392000</v>
      </c>
      <c r="DI108" s="1">
        <v>74935</v>
      </c>
      <c r="DJ108" s="1">
        <v>1300</v>
      </c>
      <c r="DK108" s="1">
        <v>1</v>
      </c>
      <c r="DL108" s="1">
        <v>0</v>
      </c>
      <c r="DM108" s="1">
        <v>90</v>
      </c>
      <c r="DN108" s="1">
        <v>60002242</v>
      </c>
      <c r="DO108" s="1">
        <v>32767</v>
      </c>
      <c r="DP108" s="1">
        <v>11</v>
      </c>
      <c r="DR108" s="1">
        <v>2732093438</v>
      </c>
      <c r="DS108" s="1">
        <v>17888</v>
      </c>
      <c r="DT108" s="1">
        <v>2405941</v>
      </c>
      <c r="DU108" s="1">
        <v>2405941</v>
      </c>
      <c r="DV108" s="1">
        <v>430.33</v>
      </c>
      <c r="DW108" s="1">
        <v>1</v>
      </c>
      <c r="DX108" s="1">
        <v>0</v>
      </c>
      <c r="DY108" s="1">
        <v>90</v>
      </c>
      <c r="DZ108" s="1">
        <v>60003760</v>
      </c>
      <c r="EA108" s="1">
        <v>32767</v>
      </c>
      <c r="EB108" s="1">
        <v>8</v>
      </c>
      <c r="ED108" s="1">
        <v>2794651550</v>
      </c>
      <c r="EE108" s="1">
        <v>16273</v>
      </c>
      <c r="EF108" s="1">
        <v>16775</v>
      </c>
      <c r="EG108" s="1">
        <v>16775</v>
      </c>
      <c r="EH108" s="1">
        <v>1000</v>
      </c>
      <c r="EI108" s="1">
        <v>1</v>
      </c>
      <c r="EJ108" s="1">
        <v>0</v>
      </c>
      <c r="EK108" s="1">
        <v>90</v>
      </c>
      <c r="EL108" s="1">
        <v>60002239</v>
      </c>
      <c r="EM108" s="1">
        <v>32767</v>
      </c>
      <c r="EN108" s="1">
        <v>6</v>
      </c>
      <c r="EP108" s="1">
        <v>2875705119</v>
      </c>
      <c r="EQ108" s="1">
        <v>17889</v>
      </c>
      <c r="ER108" s="1">
        <v>1000000</v>
      </c>
      <c r="ES108" s="1">
        <v>1000000</v>
      </c>
      <c r="ET108" s="1">
        <v>356.03</v>
      </c>
      <c r="EU108" s="1">
        <v>1</v>
      </c>
      <c r="EV108" s="1">
        <v>1</v>
      </c>
      <c r="EW108" s="1">
        <v>90</v>
      </c>
      <c r="EX108" s="1">
        <v>60003760</v>
      </c>
      <c r="EY108" s="1">
        <v>-1</v>
      </c>
      <c r="EZ108" s="1">
        <v>0</v>
      </c>
      <c r="FB108" s="1">
        <v>2873996314</v>
      </c>
      <c r="FC108" s="1">
        <v>30259</v>
      </c>
      <c r="FD108" s="1">
        <v>350</v>
      </c>
      <c r="FE108" s="1">
        <v>24</v>
      </c>
      <c r="FF108" s="1">
        <v>5585208</v>
      </c>
      <c r="FG108" s="1">
        <v>1</v>
      </c>
      <c r="FH108" s="1">
        <v>1</v>
      </c>
      <c r="FI108" s="1">
        <v>90</v>
      </c>
      <c r="FJ108" s="1">
        <v>60003760</v>
      </c>
      <c r="FK108" s="1">
        <v>-1</v>
      </c>
      <c r="FL108" s="1">
        <v>0</v>
      </c>
      <c r="FN108"/>
      <c r="FO108"/>
      <c r="FP108"/>
      <c r="FQ108"/>
      <c r="FR108"/>
      <c r="FS108"/>
      <c r="FT108"/>
      <c r="FU108"/>
      <c r="FV108"/>
      <c r="FW108"/>
      <c r="FX108"/>
      <c r="FZ108" s="1">
        <v>2836542284</v>
      </c>
      <c r="GA108" s="1">
        <v>44</v>
      </c>
      <c r="GB108" s="1">
        <v>10000</v>
      </c>
      <c r="GC108" s="1">
        <v>2979</v>
      </c>
      <c r="GD108" s="1">
        <v>8599</v>
      </c>
      <c r="GE108" s="1">
        <v>100</v>
      </c>
      <c r="GF108" s="1">
        <v>1</v>
      </c>
      <c r="GG108" s="1">
        <v>30</v>
      </c>
      <c r="GH108" s="1">
        <v>60003760</v>
      </c>
      <c r="GI108" s="1">
        <v>10</v>
      </c>
      <c r="GJ108" s="1">
        <v>0</v>
      </c>
      <c r="GL108" s="1">
        <v>2410773296</v>
      </c>
      <c r="GM108" s="1">
        <v>16681</v>
      </c>
      <c r="GN108" s="1">
        <v>500000</v>
      </c>
      <c r="GO108" s="1">
        <v>500000</v>
      </c>
      <c r="GP108" s="1">
        <v>5910.05</v>
      </c>
      <c r="GQ108" s="1">
        <v>1</v>
      </c>
      <c r="GR108" s="1">
        <v>1</v>
      </c>
      <c r="GS108" s="1">
        <v>90</v>
      </c>
      <c r="GT108" s="1">
        <v>60003760</v>
      </c>
      <c r="GU108" s="1">
        <v>-1</v>
      </c>
      <c r="GV108" s="1">
        <v>0</v>
      </c>
      <c r="GX108"/>
      <c r="GY108"/>
      <c r="GZ108"/>
      <c r="HA108"/>
      <c r="HB108"/>
      <c r="HC108"/>
      <c r="HD108"/>
      <c r="HE108"/>
      <c r="HF108"/>
      <c r="HG108"/>
      <c r="HH108"/>
      <c r="HV108" s="1">
        <v>2875523359</v>
      </c>
      <c r="HW108" s="1">
        <v>16274</v>
      </c>
      <c r="HX108" s="1">
        <v>3000000</v>
      </c>
      <c r="HY108" s="1">
        <v>3000000</v>
      </c>
      <c r="HZ108" s="1">
        <v>328.19</v>
      </c>
      <c r="IA108" s="1">
        <v>1</v>
      </c>
      <c r="IB108" s="1">
        <v>1</v>
      </c>
      <c r="IC108" s="1">
        <v>90</v>
      </c>
      <c r="ID108" s="1">
        <v>60003760</v>
      </c>
      <c r="IE108" s="1">
        <v>-1</v>
      </c>
      <c r="IF108" s="1">
        <v>0</v>
      </c>
      <c r="IT108" s="1">
        <v>1569792942</v>
      </c>
      <c r="IU108" s="1">
        <v>16679</v>
      </c>
      <c r="IV108" s="1">
        <v>10000</v>
      </c>
      <c r="IW108" s="1">
        <v>7565</v>
      </c>
      <c r="IX108" s="1">
        <v>409.06</v>
      </c>
      <c r="IY108" s="1">
        <v>1</v>
      </c>
      <c r="IZ108" s="1">
        <v>1</v>
      </c>
      <c r="JA108" s="1">
        <v>90</v>
      </c>
      <c r="JB108" s="1">
        <v>60001783</v>
      </c>
      <c r="JC108" s="1">
        <v>10</v>
      </c>
      <c r="JD108" s="1">
        <v>0</v>
      </c>
      <c r="JF108" s="1">
        <v>2874893059</v>
      </c>
      <c r="JG108" s="1">
        <v>16272</v>
      </c>
      <c r="JH108" s="1">
        <v>2278297</v>
      </c>
      <c r="JI108" s="1">
        <v>2278297</v>
      </c>
      <c r="JJ108" s="1">
        <v>74.22</v>
      </c>
      <c r="JK108" s="1">
        <v>1</v>
      </c>
      <c r="JL108" s="1">
        <v>0</v>
      </c>
      <c r="JM108" s="1">
        <v>90</v>
      </c>
      <c r="JN108" s="1">
        <v>60003760</v>
      </c>
      <c r="JO108" s="1">
        <v>32767</v>
      </c>
      <c r="JP108" s="1">
        <v>6</v>
      </c>
      <c r="KD108" s="1">
        <v>2797193522</v>
      </c>
      <c r="KE108" s="1">
        <v>25605</v>
      </c>
      <c r="KF108" s="1">
        <v>750</v>
      </c>
      <c r="KG108" s="1">
        <v>687</v>
      </c>
      <c r="KH108" s="1">
        <v>65000</v>
      </c>
      <c r="KI108" s="1">
        <v>1</v>
      </c>
      <c r="KJ108" s="1">
        <v>1</v>
      </c>
      <c r="KK108" s="1">
        <v>90</v>
      </c>
      <c r="KL108" s="1">
        <v>60004054</v>
      </c>
      <c r="KM108" s="1">
        <v>32767</v>
      </c>
      <c r="KN108" s="1">
        <v>0</v>
      </c>
      <c r="KP108"/>
      <c r="KQ108"/>
      <c r="KR108"/>
      <c r="KS108"/>
      <c r="KT108"/>
      <c r="KU108"/>
      <c r="KV108"/>
      <c r="KW108"/>
      <c r="KX108"/>
      <c r="KY108"/>
      <c r="KZ108"/>
      <c r="LB108" s="1">
        <v>2878549152</v>
      </c>
      <c r="LC108" s="1">
        <v>9832</v>
      </c>
      <c r="LD108" s="1">
        <v>2740</v>
      </c>
      <c r="LE108" s="1">
        <v>2740</v>
      </c>
      <c r="LF108" s="1">
        <v>9499</v>
      </c>
      <c r="LG108" s="1">
        <v>1</v>
      </c>
      <c r="LH108" s="1">
        <v>0</v>
      </c>
      <c r="LI108" s="1">
        <v>14</v>
      </c>
      <c r="LJ108" s="1">
        <v>60003760</v>
      </c>
      <c r="LK108" s="1">
        <v>32767</v>
      </c>
      <c r="LL108" s="1">
        <v>0</v>
      </c>
      <c r="ML108"/>
      <c r="MM108"/>
      <c r="MN108"/>
      <c r="MO108"/>
      <c r="MP108"/>
      <c r="MQ108"/>
      <c r="MR108"/>
      <c r="MS108"/>
      <c r="MT108"/>
      <c r="MU108"/>
      <c r="MV108"/>
      <c r="MX108"/>
      <c r="MY108"/>
      <c r="MZ108"/>
      <c r="NA108"/>
      <c r="NB108"/>
      <c r="NC108"/>
      <c r="ND108"/>
      <c r="NE108"/>
      <c r="NF108"/>
      <c r="NG108"/>
      <c r="NH108"/>
      <c r="NJ108" s="1">
        <v>2877216845</v>
      </c>
      <c r="NK108" s="1">
        <v>16673</v>
      </c>
      <c r="NL108" s="1">
        <v>250000</v>
      </c>
      <c r="NM108" s="1">
        <v>250000</v>
      </c>
      <c r="NN108" s="1">
        <v>94.28</v>
      </c>
      <c r="NO108" s="1">
        <v>1</v>
      </c>
      <c r="NP108" s="1">
        <v>1</v>
      </c>
      <c r="NQ108" s="1">
        <v>90</v>
      </c>
      <c r="NR108" s="1">
        <v>60003760</v>
      </c>
      <c r="NS108" s="1">
        <v>-1</v>
      </c>
      <c r="NT108" s="1">
        <v>0</v>
      </c>
      <c r="NV108" s="1">
        <v>2821593067</v>
      </c>
      <c r="NW108" s="1">
        <v>3689</v>
      </c>
      <c r="NX108" s="1">
        <v>8000</v>
      </c>
      <c r="NY108" s="1">
        <v>5790</v>
      </c>
      <c r="NZ108" s="1">
        <v>7100.01</v>
      </c>
      <c r="OA108" s="1">
        <v>1</v>
      </c>
      <c r="OB108" s="1">
        <v>1</v>
      </c>
      <c r="OC108" s="1">
        <v>90</v>
      </c>
      <c r="OD108" s="1">
        <v>60003760</v>
      </c>
      <c r="OE108" s="1">
        <v>32767</v>
      </c>
      <c r="OF108" s="1">
        <v>0</v>
      </c>
      <c r="OH108" s="1">
        <v>2873763740</v>
      </c>
      <c r="OI108" s="1">
        <v>25598</v>
      </c>
      <c r="OJ108" s="1">
        <v>52</v>
      </c>
      <c r="OK108" s="1">
        <v>52</v>
      </c>
      <c r="OL108" s="1">
        <v>1370852</v>
      </c>
      <c r="OM108" s="1">
        <v>1</v>
      </c>
      <c r="ON108" s="1">
        <v>0</v>
      </c>
      <c r="OO108" s="1">
        <v>7</v>
      </c>
      <c r="OP108" s="1">
        <v>60003760</v>
      </c>
      <c r="OQ108" s="1">
        <v>32767</v>
      </c>
      <c r="OR108" s="1">
        <v>0</v>
      </c>
      <c r="OT108" s="1">
        <v>2879081269</v>
      </c>
      <c r="OU108" s="1">
        <v>25600</v>
      </c>
      <c r="OV108" s="1">
        <v>9</v>
      </c>
      <c r="OW108" s="1">
        <v>9</v>
      </c>
      <c r="OX108" s="1">
        <v>25000</v>
      </c>
      <c r="OY108" s="1">
        <v>1</v>
      </c>
      <c r="OZ108" s="1">
        <v>0</v>
      </c>
      <c r="PA108" s="1">
        <v>3</v>
      </c>
      <c r="PB108" s="1">
        <v>60010192</v>
      </c>
      <c r="PC108" s="1">
        <v>32767</v>
      </c>
      <c r="PD108" s="1">
        <v>9</v>
      </c>
      <c r="PF108" s="1">
        <v>2392036122</v>
      </c>
      <c r="PG108" s="1">
        <v>16670</v>
      </c>
      <c r="PH108" s="1">
        <v>25000000</v>
      </c>
      <c r="PI108" s="1">
        <v>25000000</v>
      </c>
      <c r="PJ108" s="1">
        <v>62.42</v>
      </c>
      <c r="PK108" s="1">
        <v>1</v>
      </c>
      <c r="PL108" s="1">
        <v>1</v>
      </c>
      <c r="PM108" s="1">
        <v>90</v>
      </c>
      <c r="PN108" s="1">
        <v>60003760</v>
      </c>
      <c r="PO108" s="1">
        <v>-1</v>
      </c>
      <c r="PP108" s="1">
        <v>0</v>
      </c>
      <c r="QD108"/>
      <c r="QE108"/>
      <c r="QF108"/>
      <c r="QG108"/>
      <c r="QH108"/>
      <c r="QI108"/>
      <c r="QJ108"/>
      <c r="QK108"/>
      <c r="QL108"/>
      <c r="QM108"/>
      <c r="QN108"/>
      <c r="RB108"/>
      <c r="RC108"/>
      <c r="RD108"/>
      <c r="RE108"/>
      <c r="RF108"/>
      <c r="RG108"/>
      <c r="RH108"/>
      <c r="RI108"/>
      <c r="RJ108"/>
      <c r="RK108"/>
      <c r="RL108"/>
      <c r="SX108" s="1">
        <v>2871438427</v>
      </c>
      <c r="SY108" s="1">
        <v>25595</v>
      </c>
      <c r="SZ108" s="1">
        <v>318</v>
      </c>
      <c r="TA108" s="1">
        <v>318</v>
      </c>
      <c r="TB108" s="1">
        <v>80469.98</v>
      </c>
      <c r="TC108" s="1">
        <v>1</v>
      </c>
      <c r="TD108" s="1">
        <v>0</v>
      </c>
      <c r="TE108" s="1">
        <v>90</v>
      </c>
      <c r="TF108" s="1">
        <v>60003466</v>
      </c>
      <c r="TG108" s="1">
        <v>32767</v>
      </c>
      <c r="TH108" s="1">
        <v>6</v>
      </c>
      <c r="TJ108" s="1">
        <v>2827201860</v>
      </c>
      <c r="TK108" s="1">
        <v>25606</v>
      </c>
      <c r="TL108" s="1">
        <v>10000</v>
      </c>
      <c r="TM108" s="1">
        <v>9799</v>
      </c>
      <c r="TN108" s="1">
        <v>15300.01</v>
      </c>
      <c r="TO108" s="1">
        <v>10</v>
      </c>
      <c r="TP108" s="1">
        <v>1</v>
      </c>
      <c r="TQ108" s="1">
        <v>90</v>
      </c>
      <c r="TR108" s="1">
        <v>60003760</v>
      </c>
      <c r="TS108" s="1">
        <v>10</v>
      </c>
      <c r="TT108" s="1">
        <v>0</v>
      </c>
    </row>
    <row r="109" spans="2:588" x14ac:dyDescent="0.25">
      <c r="B109" s="1">
        <v>2781079243</v>
      </c>
      <c r="C109" s="1">
        <v>34</v>
      </c>
      <c r="D109" s="1">
        <v>121300733</v>
      </c>
      <c r="E109" s="1">
        <v>121300733</v>
      </c>
      <c r="F109" s="1">
        <v>6.24</v>
      </c>
      <c r="G109" s="1">
        <v>1</v>
      </c>
      <c r="H109" s="1">
        <v>0</v>
      </c>
      <c r="I109" s="1">
        <v>90</v>
      </c>
      <c r="J109" s="1">
        <v>60003760</v>
      </c>
      <c r="K109" s="1">
        <v>32767</v>
      </c>
      <c r="L109" s="1">
        <v>0</v>
      </c>
      <c r="N109" s="1">
        <v>2863248292</v>
      </c>
      <c r="O109" s="1">
        <v>35</v>
      </c>
      <c r="P109" s="1">
        <v>27538407</v>
      </c>
      <c r="Q109" s="1">
        <v>27538407</v>
      </c>
      <c r="R109" s="1">
        <v>15.25</v>
      </c>
      <c r="S109" s="1">
        <v>1</v>
      </c>
      <c r="T109" s="1">
        <v>0</v>
      </c>
      <c r="U109" s="1">
        <v>90</v>
      </c>
      <c r="V109" s="1">
        <v>60003760</v>
      </c>
      <c r="W109" s="1">
        <v>32767</v>
      </c>
      <c r="X109" s="1">
        <v>0</v>
      </c>
      <c r="Z109" s="1">
        <v>2829686506</v>
      </c>
      <c r="AA109" s="1">
        <v>36</v>
      </c>
      <c r="AB109" s="1">
        <v>1045939</v>
      </c>
      <c r="AC109" s="1">
        <v>1045939</v>
      </c>
      <c r="AD109" s="16">
        <v>57.99</v>
      </c>
      <c r="AE109" s="1">
        <v>1</v>
      </c>
      <c r="AF109" s="1">
        <v>0</v>
      </c>
      <c r="AG109" s="1">
        <v>90</v>
      </c>
      <c r="AH109" s="1">
        <v>60003760</v>
      </c>
      <c r="AI109" s="1">
        <v>32767</v>
      </c>
      <c r="AJ109" s="1">
        <v>11</v>
      </c>
      <c r="AL109" s="1">
        <v>2875910603</v>
      </c>
      <c r="AM109" s="1">
        <v>37</v>
      </c>
      <c r="AN109" s="1">
        <v>72556646</v>
      </c>
      <c r="AO109" s="1">
        <v>50974767</v>
      </c>
      <c r="AP109" s="16">
        <v>149.22999999999999</v>
      </c>
      <c r="AQ109" s="1">
        <v>1</v>
      </c>
      <c r="AR109" s="1">
        <v>0</v>
      </c>
      <c r="AS109" s="1">
        <v>90</v>
      </c>
      <c r="AT109" s="1">
        <v>60003760</v>
      </c>
      <c r="AU109" s="1">
        <v>32767</v>
      </c>
      <c r="AV109" s="1">
        <v>9</v>
      </c>
      <c r="AX109" s="1">
        <v>2878536673</v>
      </c>
      <c r="AY109" s="1">
        <v>38</v>
      </c>
      <c r="AZ109" s="1">
        <v>54995</v>
      </c>
      <c r="BA109" s="1">
        <v>4995</v>
      </c>
      <c r="BB109" s="1">
        <v>800</v>
      </c>
      <c r="BC109" s="1">
        <v>1</v>
      </c>
      <c r="BD109" s="1">
        <v>0</v>
      </c>
      <c r="BE109" s="1">
        <v>1</v>
      </c>
      <c r="BF109" s="1">
        <v>60003193</v>
      </c>
      <c r="BG109" s="1">
        <v>32767</v>
      </c>
      <c r="BH109" s="1">
        <v>9</v>
      </c>
      <c r="BJ109" s="1">
        <v>2877223773</v>
      </c>
      <c r="BK109" s="1">
        <v>39</v>
      </c>
      <c r="BL109" s="1">
        <v>2000</v>
      </c>
      <c r="BM109" s="1">
        <v>1774</v>
      </c>
      <c r="BN109" s="1">
        <v>1289</v>
      </c>
      <c r="BO109" s="1">
        <v>1</v>
      </c>
      <c r="BP109" s="1">
        <v>0</v>
      </c>
      <c r="BQ109" s="1">
        <v>90</v>
      </c>
      <c r="BR109" s="1">
        <v>60015027</v>
      </c>
      <c r="BS109" s="1">
        <v>32767</v>
      </c>
      <c r="BT109" s="1">
        <v>3</v>
      </c>
      <c r="BV109" s="1">
        <v>2413101584</v>
      </c>
      <c r="BW109" s="1">
        <v>40</v>
      </c>
      <c r="BX109" s="1">
        <v>25860</v>
      </c>
      <c r="BY109" s="1">
        <v>25860</v>
      </c>
      <c r="BZ109" s="1">
        <v>3681</v>
      </c>
      <c r="CA109" s="1">
        <v>1</v>
      </c>
      <c r="CB109" s="1">
        <v>0</v>
      </c>
      <c r="CC109" s="1">
        <v>90</v>
      </c>
      <c r="CD109" s="1">
        <v>60004459</v>
      </c>
      <c r="CE109" s="1">
        <v>32767</v>
      </c>
      <c r="CF109" s="1">
        <v>7</v>
      </c>
      <c r="CH109" s="1">
        <v>2407688048</v>
      </c>
      <c r="CI109" s="1">
        <v>29668</v>
      </c>
      <c r="CJ109" s="1">
        <v>4</v>
      </c>
      <c r="CK109" s="1">
        <v>4</v>
      </c>
      <c r="CL109" s="1">
        <v>500000000</v>
      </c>
      <c r="CM109" s="1">
        <v>1</v>
      </c>
      <c r="CN109" s="1">
        <v>0</v>
      </c>
      <c r="CO109" s="1">
        <v>90</v>
      </c>
      <c r="CP109" s="1">
        <v>60003760</v>
      </c>
      <c r="CQ109" s="1">
        <v>32767</v>
      </c>
      <c r="CR109" s="1">
        <v>0</v>
      </c>
      <c r="CT109" s="1">
        <v>2411684018</v>
      </c>
      <c r="CU109" s="1">
        <v>16649</v>
      </c>
      <c r="CV109" s="1">
        <v>50000</v>
      </c>
      <c r="CW109" s="1">
        <v>50000</v>
      </c>
      <c r="CX109" s="1">
        <v>95512</v>
      </c>
      <c r="CY109" s="1">
        <v>1</v>
      </c>
      <c r="CZ109" s="1">
        <v>1</v>
      </c>
      <c r="DA109" s="1">
        <v>90</v>
      </c>
      <c r="DB109" s="1">
        <v>60003760</v>
      </c>
      <c r="DC109" s="1">
        <v>-1</v>
      </c>
      <c r="DD109" s="1">
        <v>0</v>
      </c>
      <c r="DF109" s="1">
        <v>2412381535</v>
      </c>
      <c r="DG109" s="1">
        <v>17887</v>
      </c>
      <c r="DH109" s="1">
        <v>33541</v>
      </c>
      <c r="DI109" s="1">
        <v>23541</v>
      </c>
      <c r="DJ109" s="1">
        <v>1499</v>
      </c>
      <c r="DK109" s="1">
        <v>1</v>
      </c>
      <c r="DL109" s="1">
        <v>0</v>
      </c>
      <c r="DM109" s="1">
        <v>90</v>
      </c>
      <c r="DN109" s="1">
        <v>60001798</v>
      </c>
      <c r="DO109" s="1">
        <v>32767</v>
      </c>
      <c r="DP109" s="1">
        <v>13</v>
      </c>
      <c r="DR109" s="1">
        <v>2731523379</v>
      </c>
      <c r="DS109" s="1">
        <v>17888</v>
      </c>
      <c r="DT109" s="1">
        <v>5880000</v>
      </c>
      <c r="DU109" s="1">
        <v>5698800</v>
      </c>
      <c r="DV109" s="1">
        <v>400</v>
      </c>
      <c r="DW109" s="1">
        <v>1</v>
      </c>
      <c r="DX109" s="1">
        <v>0</v>
      </c>
      <c r="DY109" s="1">
        <v>90</v>
      </c>
      <c r="DZ109" s="1">
        <v>60003760</v>
      </c>
      <c r="EA109" s="1">
        <v>32767</v>
      </c>
      <c r="EB109" s="1">
        <v>8</v>
      </c>
      <c r="ED109" s="1">
        <v>2778225727</v>
      </c>
      <c r="EE109" s="1">
        <v>16273</v>
      </c>
      <c r="EF109" s="1">
        <v>14875</v>
      </c>
      <c r="EG109" s="1">
        <v>14875</v>
      </c>
      <c r="EH109" s="1">
        <v>1000</v>
      </c>
      <c r="EI109" s="1">
        <v>1</v>
      </c>
      <c r="EJ109" s="1">
        <v>0</v>
      </c>
      <c r="EK109" s="1">
        <v>90</v>
      </c>
      <c r="EL109" s="1">
        <v>60002239</v>
      </c>
      <c r="EM109" s="1">
        <v>32767</v>
      </c>
      <c r="EN109" s="1">
        <v>6</v>
      </c>
      <c r="EP109" s="1">
        <v>2875843831</v>
      </c>
      <c r="EQ109" s="1">
        <v>17889</v>
      </c>
      <c r="ER109" s="1">
        <v>2000000</v>
      </c>
      <c r="ES109" s="1">
        <v>2000000</v>
      </c>
      <c r="ET109" s="1">
        <v>356.07</v>
      </c>
      <c r="EU109" s="1">
        <v>1</v>
      </c>
      <c r="EV109" s="1">
        <v>1</v>
      </c>
      <c r="EW109" s="1">
        <v>90</v>
      </c>
      <c r="EX109" s="1">
        <v>60003760</v>
      </c>
      <c r="EY109" s="1">
        <v>-1</v>
      </c>
      <c r="EZ109" s="1">
        <v>0</v>
      </c>
      <c r="FB109" s="1">
        <v>2872564750</v>
      </c>
      <c r="FC109" s="1">
        <v>30259</v>
      </c>
      <c r="FD109" s="1">
        <v>120</v>
      </c>
      <c r="FE109" s="1">
        <v>120</v>
      </c>
      <c r="FF109" s="1">
        <v>5203002.01</v>
      </c>
      <c r="FG109" s="1">
        <v>1</v>
      </c>
      <c r="FH109" s="1">
        <v>1</v>
      </c>
      <c r="FI109" s="1">
        <v>90</v>
      </c>
      <c r="FJ109" s="1">
        <v>60003760</v>
      </c>
      <c r="FK109" s="1">
        <v>-1</v>
      </c>
      <c r="FL109" s="1">
        <v>0</v>
      </c>
      <c r="FN109"/>
      <c r="FO109"/>
      <c r="FP109"/>
      <c r="FQ109"/>
      <c r="FR109"/>
      <c r="FS109"/>
      <c r="FT109"/>
      <c r="FU109"/>
      <c r="FV109"/>
      <c r="FW109"/>
      <c r="FX109"/>
      <c r="FZ109" s="1">
        <v>2421021615</v>
      </c>
      <c r="GA109" s="1">
        <v>44</v>
      </c>
      <c r="GB109" s="1">
        <v>1000000</v>
      </c>
      <c r="GC109" s="1">
        <v>608813</v>
      </c>
      <c r="GD109" s="1">
        <v>9512.08</v>
      </c>
      <c r="GE109" s="1">
        <v>1</v>
      </c>
      <c r="GF109" s="1">
        <v>1</v>
      </c>
      <c r="GG109" s="1">
        <v>90</v>
      </c>
      <c r="GH109" s="1">
        <v>60003760</v>
      </c>
      <c r="GI109" s="1">
        <v>-1</v>
      </c>
      <c r="GJ109" s="1">
        <v>0</v>
      </c>
      <c r="GL109" s="1">
        <v>2406629001</v>
      </c>
      <c r="GM109" s="1">
        <v>16681</v>
      </c>
      <c r="GN109" s="1">
        <v>600000</v>
      </c>
      <c r="GO109" s="1">
        <v>600000</v>
      </c>
      <c r="GP109" s="1">
        <v>5552.08</v>
      </c>
      <c r="GQ109" s="1">
        <v>1</v>
      </c>
      <c r="GR109" s="1">
        <v>1</v>
      </c>
      <c r="GS109" s="1">
        <v>7</v>
      </c>
      <c r="GT109" s="1">
        <v>60003760</v>
      </c>
      <c r="GU109" s="1">
        <v>-1</v>
      </c>
      <c r="GV109" s="1">
        <v>0</v>
      </c>
      <c r="GX109"/>
      <c r="GY109"/>
      <c r="GZ109"/>
      <c r="HA109"/>
      <c r="HB109"/>
      <c r="HC109"/>
      <c r="HD109"/>
      <c r="HE109"/>
      <c r="HF109"/>
      <c r="HG109"/>
      <c r="HH109"/>
      <c r="HV109" s="1">
        <v>2875185638</v>
      </c>
      <c r="HW109" s="1">
        <v>16274</v>
      </c>
      <c r="HX109" s="1">
        <v>1000000</v>
      </c>
      <c r="HY109" s="1">
        <v>1000000</v>
      </c>
      <c r="HZ109" s="1">
        <v>320</v>
      </c>
      <c r="IA109" s="1">
        <v>1</v>
      </c>
      <c r="IB109" s="1">
        <v>1</v>
      </c>
      <c r="IC109" s="1">
        <v>90</v>
      </c>
      <c r="ID109" s="1">
        <v>60003760</v>
      </c>
      <c r="IE109" s="1">
        <v>-1</v>
      </c>
      <c r="IF109" s="1">
        <v>0</v>
      </c>
      <c r="IT109" s="1">
        <v>2878470537</v>
      </c>
      <c r="IU109" s="1">
        <v>16679</v>
      </c>
      <c r="IV109" s="1">
        <v>90000</v>
      </c>
      <c r="IW109" s="1">
        <v>89950</v>
      </c>
      <c r="IX109" s="1">
        <v>1690.05</v>
      </c>
      <c r="IY109" s="1">
        <v>1</v>
      </c>
      <c r="IZ109" s="1">
        <v>1</v>
      </c>
      <c r="JA109" s="1">
        <v>30</v>
      </c>
      <c r="JB109" s="1">
        <v>60003760</v>
      </c>
      <c r="JC109" s="1">
        <v>-1</v>
      </c>
      <c r="JD109" s="1">
        <v>0</v>
      </c>
      <c r="JF109" s="1">
        <v>2878985456</v>
      </c>
      <c r="JG109" s="1">
        <v>16272</v>
      </c>
      <c r="JH109" s="1">
        <v>1741</v>
      </c>
      <c r="JI109" s="1">
        <v>1741</v>
      </c>
      <c r="JJ109" s="1">
        <v>74.2</v>
      </c>
      <c r="JK109" s="1">
        <v>1</v>
      </c>
      <c r="JL109" s="1">
        <v>0</v>
      </c>
      <c r="JM109" s="1">
        <v>3</v>
      </c>
      <c r="JN109" s="1">
        <v>60003073</v>
      </c>
      <c r="JO109" s="1">
        <v>32767</v>
      </c>
      <c r="JP109" s="1">
        <v>0</v>
      </c>
      <c r="KD109" s="1">
        <v>2852852598</v>
      </c>
      <c r="KE109" s="1">
        <v>25605</v>
      </c>
      <c r="KF109" s="1">
        <v>500</v>
      </c>
      <c r="KG109" s="1">
        <v>228</v>
      </c>
      <c r="KH109" s="1">
        <v>102488</v>
      </c>
      <c r="KI109" s="1">
        <v>1</v>
      </c>
      <c r="KJ109" s="1">
        <v>1</v>
      </c>
      <c r="KK109" s="1">
        <v>30</v>
      </c>
      <c r="KL109" s="1">
        <v>60002440</v>
      </c>
      <c r="KM109" s="1">
        <v>0</v>
      </c>
      <c r="KN109" s="1">
        <v>0</v>
      </c>
      <c r="KP109"/>
      <c r="KQ109"/>
      <c r="KR109"/>
      <c r="KS109"/>
      <c r="KT109"/>
      <c r="KU109"/>
      <c r="KV109"/>
      <c r="KW109"/>
      <c r="KX109"/>
      <c r="KY109"/>
      <c r="KZ109"/>
      <c r="LB109" s="1">
        <v>2878574680</v>
      </c>
      <c r="LC109" s="1">
        <v>9832</v>
      </c>
      <c r="LD109" s="1">
        <v>9200</v>
      </c>
      <c r="LE109" s="1">
        <v>9200</v>
      </c>
      <c r="LF109" s="1">
        <v>9498.93</v>
      </c>
      <c r="LG109" s="1">
        <v>1</v>
      </c>
      <c r="LH109" s="1">
        <v>0</v>
      </c>
      <c r="LI109" s="1">
        <v>7</v>
      </c>
      <c r="LJ109" s="1">
        <v>60003760</v>
      </c>
      <c r="LK109" s="1">
        <v>32767</v>
      </c>
      <c r="LL109" s="1">
        <v>0</v>
      </c>
      <c r="ML109"/>
      <c r="MM109"/>
      <c r="MN109"/>
      <c r="MO109"/>
      <c r="MP109"/>
      <c r="MQ109"/>
      <c r="MR109"/>
      <c r="MS109"/>
      <c r="MT109"/>
      <c r="MU109"/>
      <c r="MV109"/>
      <c r="MX109"/>
      <c r="MY109"/>
      <c r="MZ109"/>
      <c r="NA109"/>
      <c r="NB109"/>
      <c r="NC109"/>
      <c r="ND109"/>
      <c r="NE109"/>
      <c r="NF109"/>
      <c r="NG109"/>
      <c r="NH109"/>
      <c r="NJ109" s="1">
        <v>2877081484</v>
      </c>
      <c r="NK109" s="1">
        <v>16673</v>
      </c>
      <c r="NL109" s="1">
        <v>14000000</v>
      </c>
      <c r="NM109" s="1">
        <v>14000000</v>
      </c>
      <c r="NN109" s="1">
        <v>94.53</v>
      </c>
      <c r="NO109" s="1">
        <v>1</v>
      </c>
      <c r="NP109" s="1">
        <v>1</v>
      </c>
      <c r="NQ109" s="1">
        <v>1</v>
      </c>
      <c r="NR109" s="1">
        <v>60003760</v>
      </c>
      <c r="NS109" s="1">
        <v>-1</v>
      </c>
      <c r="NT109" s="1">
        <v>0</v>
      </c>
      <c r="NV109" s="1">
        <v>2812025898</v>
      </c>
      <c r="NW109" s="1">
        <v>3689</v>
      </c>
      <c r="NX109" s="1">
        <v>50000</v>
      </c>
      <c r="NY109" s="1">
        <v>28902</v>
      </c>
      <c r="NZ109" s="1">
        <v>7300</v>
      </c>
      <c r="OA109" s="1">
        <v>500</v>
      </c>
      <c r="OB109" s="1">
        <v>1</v>
      </c>
      <c r="OC109" s="1">
        <v>90</v>
      </c>
      <c r="OD109" s="1">
        <v>60003760</v>
      </c>
      <c r="OE109" s="1">
        <v>32767</v>
      </c>
      <c r="OF109" s="1">
        <v>0</v>
      </c>
      <c r="OH109" s="1">
        <v>2872708360</v>
      </c>
      <c r="OI109" s="1">
        <v>25598</v>
      </c>
      <c r="OJ109" s="1">
        <v>5</v>
      </c>
      <c r="OK109" s="1">
        <v>5</v>
      </c>
      <c r="OL109" s="1">
        <v>150000</v>
      </c>
      <c r="OM109" s="1">
        <v>1</v>
      </c>
      <c r="ON109" s="1">
        <v>0</v>
      </c>
      <c r="OO109" s="1">
        <v>7</v>
      </c>
      <c r="OP109" s="1">
        <v>60003760</v>
      </c>
      <c r="OQ109" s="1">
        <v>32767</v>
      </c>
      <c r="OR109" s="1">
        <v>0</v>
      </c>
      <c r="OT109" s="1">
        <v>2879137449</v>
      </c>
      <c r="OU109" s="1">
        <v>25600</v>
      </c>
      <c r="OV109" s="1">
        <v>383</v>
      </c>
      <c r="OW109" s="1">
        <v>383</v>
      </c>
      <c r="OX109" s="1">
        <v>29494.01</v>
      </c>
      <c r="OY109" s="1">
        <v>1</v>
      </c>
      <c r="OZ109" s="1">
        <v>0</v>
      </c>
      <c r="PA109" s="1">
        <v>90</v>
      </c>
      <c r="PB109" s="1">
        <v>60003760</v>
      </c>
      <c r="PC109" s="1">
        <v>32767</v>
      </c>
      <c r="PD109" s="1">
        <v>0</v>
      </c>
      <c r="PF109" s="1">
        <v>2591757116</v>
      </c>
      <c r="PG109" s="1">
        <v>16670</v>
      </c>
      <c r="PH109" s="1">
        <v>5000000</v>
      </c>
      <c r="PI109" s="1">
        <v>3758000</v>
      </c>
      <c r="PJ109" s="1">
        <v>102.67</v>
      </c>
      <c r="PK109" s="1">
        <v>1</v>
      </c>
      <c r="PL109" s="1">
        <v>1</v>
      </c>
      <c r="PM109" s="1">
        <v>90</v>
      </c>
      <c r="PN109" s="1">
        <v>60003760</v>
      </c>
      <c r="PO109" s="1">
        <v>-1</v>
      </c>
      <c r="PP109" s="1">
        <v>0</v>
      </c>
      <c r="QD109"/>
      <c r="QE109"/>
      <c r="QF109"/>
      <c r="QG109"/>
      <c r="QH109"/>
      <c r="QI109"/>
      <c r="QJ109"/>
      <c r="QK109"/>
      <c r="QL109"/>
      <c r="QM109"/>
      <c r="QN109"/>
      <c r="RB109"/>
      <c r="RC109"/>
      <c r="RD109"/>
      <c r="RE109"/>
      <c r="RF109"/>
      <c r="RG109"/>
      <c r="RH109"/>
      <c r="RI109"/>
      <c r="RJ109"/>
      <c r="RK109"/>
      <c r="RL109"/>
      <c r="SX109" s="1">
        <v>2872306358</v>
      </c>
      <c r="SY109" s="1">
        <v>25595</v>
      </c>
      <c r="SZ109" s="1">
        <v>1</v>
      </c>
      <c r="TA109" s="1">
        <v>1</v>
      </c>
      <c r="TB109" s="1">
        <v>150000</v>
      </c>
      <c r="TC109" s="1">
        <v>1</v>
      </c>
      <c r="TD109" s="1">
        <v>0</v>
      </c>
      <c r="TE109" s="1">
        <v>90</v>
      </c>
      <c r="TF109" s="1">
        <v>60003466</v>
      </c>
      <c r="TG109" s="1">
        <v>32767</v>
      </c>
      <c r="TH109" s="1">
        <v>6</v>
      </c>
      <c r="TJ109" s="1">
        <v>2818488013</v>
      </c>
      <c r="TK109" s="1">
        <v>25606</v>
      </c>
      <c r="TL109" s="1">
        <v>30000</v>
      </c>
      <c r="TM109" s="1">
        <v>30000</v>
      </c>
      <c r="TN109" s="1">
        <v>15002</v>
      </c>
      <c r="TO109" s="1">
        <v>1</v>
      </c>
      <c r="TP109" s="1">
        <v>1</v>
      </c>
      <c r="TQ109" s="1">
        <v>90</v>
      </c>
      <c r="TR109" s="1">
        <v>60003760</v>
      </c>
      <c r="TS109" s="1">
        <v>-1</v>
      </c>
      <c r="TT109" s="1">
        <v>0</v>
      </c>
    </row>
    <row r="110" spans="2:588" x14ac:dyDescent="0.25">
      <c r="B110" s="1">
        <v>2810784190</v>
      </c>
      <c r="C110" s="1">
        <v>34</v>
      </c>
      <c r="D110" s="1">
        <v>9364562</v>
      </c>
      <c r="E110" s="1">
        <v>9364562</v>
      </c>
      <c r="F110" s="1">
        <v>6</v>
      </c>
      <c r="G110" s="1">
        <v>1</v>
      </c>
      <c r="H110" s="1">
        <v>0</v>
      </c>
      <c r="I110" s="1">
        <v>90</v>
      </c>
      <c r="J110" s="1">
        <v>60003760</v>
      </c>
      <c r="K110" s="1">
        <v>32767</v>
      </c>
      <c r="L110" s="1">
        <v>0</v>
      </c>
      <c r="N110" s="1">
        <v>2864117808</v>
      </c>
      <c r="O110" s="1">
        <v>35</v>
      </c>
      <c r="P110" s="1">
        <v>37264432</v>
      </c>
      <c r="Q110" s="1">
        <v>37264432</v>
      </c>
      <c r="R110" s="1">
        <v>15.25</v>
      </c>
      <c r="S110" s="1">
        <v>1</v>
      </c>
      <c r="T110" s="1">
        <v>0</v>
      </c>
      <c r="U110" s="1">
        <v>90</v>
      </c>
      <c r="V110" s="1">
        <v>60003760</v>
      </c>
      <c r="W110" s="1">
        <v>32767</v>
      </c>
      <c r="X110" s="1">
        <v>0</v>
      </c>
      <c r="Z110" s="1">
        <v>2841921175</v>
      </c>
      <c r="AA110" s="1">
        <v>36</v>
      </c>
      <c r="AB110" s="1">
        <v>70000000</v>
      </c>
      <c r="AC110" s="1">
        <v>19856243</v>
      </c>
      <c r="AD110" s="16">
        <v>51.64</v>
      </c>
      <c r="AE110" s="1">
        <v>1</v>
      </c>
      <c r="AF110" s="1">
        <v>0</v>
      </c>
      <c r="AG110" s="1">
        <v>90</v>
      </c>
      <c r="AH110" s="1">
        <v>60003760</v>
      </c>
      <c r="AI110" s="1">
        <v>32767</v>
      </c>
      <c r="AJ110" s="1">
        <v>11</v>
      </c>
      <c r="AL110" s="1">
        <v>2876222155</v>
      </c>
      <c r="AM110" s="1">
        <v>37</v>
      </c>
      <c r="AN110" s="1">
        <v>4651</v>
      </c>
      <c r="AO110" s="1">
        <v>4651</v>
      </c>
      <c r="AP110" s="16">
        <v>175</v>
      </c>
      <c r="AQ110" s="1">
        <v>1</v>
      </c>
      <c r="AR110" s="1">
        <v>0</v>
      </c>
      <c r="AS110" s="1">
        <v>30</v>
      </c>
      <c r="AT110" s="1">
        <v>60003760</v>
      </c>
      <c r="AU110" s="1">
        <v>32767</v>
      </c>
      <c r="AV110" s="1">
        <v>9</v>
      </c>
      <c r="AX110" s="1">
        <v>2878092882</v>
      </c>
      <c r="AY110" s="1">
        <v>38</v>
      </c>
      <c r="AZ110" s="1">
        <v>915835</v>
      </c>
      <c r="BA110" s="1">
        <v>199261</v>
      </c>
      <c r="BB110" s="1">
        <v>817.89</v>
      </c>
      <c r="BC110" s="1">
        <v>1</v>
      </c>
      <c r="BD110" s="1">
        <v>0</v>
      </c>
      <c r="BE110" s="1">
        <v>7</v>
      </c>
      <c r="BF110" s="1">
        <v>60003760</v>
      </c>
      <c r="BG110" s="1">
        <v>32767</v>
      </c>
      <c r="BH110" s="1">
        <v>5</v>
      </c>
      <c r="BJ110" s="1">
        <v>2877359373</v>
      </c>
      <c r="BK110" s="1">
        <v>39</v>
      </c>
      <c r="BL110" s="1">
        <v>5000</v>
      </c>
      <c r="BM110" s="1">
        <v>603</v>
      </c>
      <c r="BN110" s="1">
        <v>855.01</v>
      </c>
      <c r="BO110" s="1">
        <v>1</v>
      </c>
      <c r="BP110" s="1">
        <v>0</v>
      </c>
      <c r="BQ110" s="1">
        <v>1</v>
      </c>
      <c r="BR110" s="1">
        <v>60015027</v>
      </c>
      <c r="BS110" s="1">
        <v>32767</v>
      </c>
      <c r="BT110" s="1">
        <v>3</v>
      </c>
      <c r="BV110" s="1">
        <v>2408921968</v>
      </c>
      <c r="BW110" s="1">
        <v>40</v>
      </c>
      <c r="BX110" s="1">
        <v>50000</v>
      </c>
      <c r="BY110" s="1">
        <v>48357</v>
      </c>
      <c r="BZ110" s="1">
        <v>3699.97</v>
      </c>
      <c r="CA110" s="1">
        <v>1</v>
      </c>
      <c r="CB110" s="1">
        <v>0</v>
      </c>
      <c r="CC110" s="1">
        <v>90</v>
      </c>
      <c r="CD110" s="1">
        <v>60012667</v>
      </c>
      <c r="CE110" s="1">
        <v>32767</v>
      </c>
      <c r="CF110" s="1">
        <v>7</v>
      </c>
      <c r="CH110" s="1">
        <v>2407000908</v>
      </c>
      <c r="CI110" s="1">
        <v>29668</v>
      </c>
      <c r="CJ110" s="1">
        <v>1</v>
      </c>
      <c r="CK110" s="1">
        <v>1</v>
      </c>
      <c r="CL110" s="1">
        <v>515000000</v>
      </c>
      <c r="CM110" s="1">
        <v>1</v>
      </c>
      <c r="CN110" s="1">
        <v>0</v>
      </c>
      <c r="CO110" s="1">
        <v>90</v>
      </c>
      <c r="CP110" s="1">
        <v>60003760</v>
      </c>
      <c r="CQ110" s="1">
        <v>32767</v>
      </c>
      <c r="CR110" s="1">
        <v>0</v>
      </c>
      <c r="CT110" s="1">
        <v>2415167537</v>
      </c>
      <c r="CU110" s="1">
        <v>16649</v>
      </c>
      <c r="CV110" s="1">
        <v>10000</v>
      </c>
      <c r="CW110" s="1">
        <v>10000</v>
      </c>
      <c r="CX110" s="1">
        <v>99000.12</v>
      </c>
      <c r="CY110" s="1">
        <v>1</v>
      </c>
      <c r="CZ110" s="1">
        <v>1</v>
      </c>
      <c r="DA110" s="1">
        <v>30</v>
      </c>
      <c r="DB110" s="1">
        <v>60003760</v>
      </c>
      <c r="DC110" s="1">
        <v>-1</v>
      </c>
      <c r="DD110" s="1">
        <v>0</v>
      </c>
      <c r="DF110" s="1">
        <v>2411726680</v>
      </c>
      <c r="DG110" s="1">
        <v>17887</v>
      </c>
      <c r="DH110" s="1">
        <v>82600</v>
      </c>
      <c r="DI110" s="1">
        <v>52600</v>
      </c>
      <c r="DJ110" s="1">
        <v>1300</v>
      </c>
      <c r="DK110" s="1">
        <v>1</v>
      </c>
      <c r="DL110" s="1">
        <v>0</v>
      </c>
      <c r="DM110" s="1">
        <v>90</v>
      </c>
      <c r="DN110" s="1">
        <v>60001798</v>
      </c>
      <c r="DO110" s="1">
        <v>32767</v>
      </c>
      <c r="DP110" s="1">
        <v>13</v>
      </c>
      <c r="DR110" s="1">
        <v>2731629896</v>
      </c>
      <c r="DS110" s="1">
        <v>17888</v>
      </c>
      <c r="DT110" s="1">
        <v>5725500</v>
      </c>
      <c r="DU110" s="1">
        <v>5725500</v>
      </c>
      <c r="DV110" s="1">
        <v>420</v>
      </c>
      <c r="DW110" s="1">
        <v>1</v>
      </c>
      <c r="DX110" s="1">
        <v>0</v>
      </c>
      <c r="DY110" s="1">
        <v>90</v>
      </c>
      <c r="DZ110" s="1">
        <v>60003760</v>
      </c>
      <c r="EA110" s="1">
        <v>32767</v>
      </c>
      <c r="EB110" s="1">
        <v>8</v>
      </c>
      <c r="ED110" s="1">
        <v>2760993751</v>
      </c>
      <c r="EE110" s="1">
        <v>16273</v>
      </c>
      <c r="EF110" s="1">
        <v>8226</v>
      </c>
      <c r="EG110" s="1">
        <v>6626</v>
      </c>
      <c r="EH110" s="1">
        <v>5000</v>
      </c>
      <c r="EI110" s="1">
        <v>1</v>
      </c>
      <c r="EJ110" s="1">
        <v>0</v>
      </c>
      <c r="EK110" s="1">
        <v>90</v>
      </c>
      <c r="EL110" s="1">
        <v>60007585</v>
      </c>
      <c r="EM110" s="1">
        <v>32767</v>
      </c>
      <c r="EN110" s="1">
        <v>6</v>
      </c>
      <c r="EP110" s="1">
        <v>2876538553</v>
      </c>
      <c r="EQ110" s="1">
        <v>17889</v>
      </c>
      <c r="ER110" s="1">
        <v>500000</v>
      </c>
      <c r="ES110" s="1">
        <v>428785</v>
      </c>
      <c r="ET110" s="1">
        <v>264.42</v>
      </c>
      <c r="EU110" s="1">
        <v>1</v>
      </c>
      <c r="EV110" s="1">
        <v>1</v>
      </c>
      <c r="EW110" s="1">
        <v>90</v>
      </c>
      <c r="EX110" s="1">
        <v>60003760</v>
      </c>
      <c r="EY110" s="1">
        <v>32767</v>
      </c>
      <c r="EZ110" s="1">
        <v>0</v>
      </c>
      <c r="FB110" s="1">
        <v>2873106831</v>
      </c>
      <c r="FC110" s="1">
        <v>30259</v>
      </c>
      <c r="FD110" s="1">
        <v>400</v>
      </c>
      <c r="FE110" s="1">
        <v>400</v>
      </c>
      <c r="FF110" s="1">
        <v>5271000.01</v>
      </c>
      <c r="FG110" s="1">
        <v>1</v>
      </c>
      <c r="FH110" s="1">
        <v>1</v>
      </c>
      <c r="FI110" s="1">
        <v>90</v>
      </c>
      <c r="FJ110" s="1">
        <v>60003760</v>
      </c>
      <c r="FK110" s="1">
        <v>-1</v>
      </c>
      <c r="FL110" s="1">
        <v>0</v>
      </c>
      <c r="FZ110" s="1">
        <v>2643192337</v>
      </c>
      <c r="GA110" s="1">
        <v>44</v>
      </c>
      <c r="GB110" s="1">
        <v>50000</v>
      </c>
      <c r="GC110" s="1">
        <v>46666</v>
      </c>
      <c r="GD110" s="1">
        <v>6399.87</v>
      </c>
      <c r="GE110" s="1">
        <v>1</v>
      </c>
      <c r="GF110" s="1">
        <v>1</v>
      </c>
      <c r="GG110" s="1">
        <v>90</v>
      </c>
      <c r="GH110" s="1">
        <v>60003760</v>
      </c>
      <c r="GI110" s="1">
        <v>5</v>
      </c>
      <c r="GJ110" s="1">
        <v>0</v>
      </c>
      <c r="GL110" s="1">
        <v>2406844453</v>
      </c>
      <c r="GM110" s="1">
        <v>16681</v>
      </c>
      <c r="GN110" s="1">
        <v>100</v>
      </c>
      <c r="GO110" s="1">
        <v>100</v>
      </c>
      <c r="GP110" s="1">
        <v>5600</v>
      </c>
      <c r="GQ110" s="1">
        <v>1</v>
      </c>
      <c r="GR110" s="1">
        <v>1</v>
      </c>
      <c r="GS110" s="1">
        <v>90</v>
      </c>
      <c r="GT110" s="1">
        <v>60003760</v>
      </c>
      <c r="GU110" s="1">
        <v>-1</v>
      </c>
      <c r="GV110" s="1">
        <v>0</v>
      </c>
      <c r="GX110"/>
      <c r="GY110"/>
      <c r="GZ110"/>
      <c r="HA110"/>
      <c r="HB110"/>
      <c r="HC110"/>
      <c r="HD110"/>
      <c r="HE110"/>
      <c r="HF110"/>
      <c r="HG110"/>
      <c r="HH110"/>
      <c r="HV110" s="1">
        <v>2875316440</v>
      </c>
      <c r="HW110" s="1">
        <v>16274</v>
      </c>
      <c r="HX110" s="1">
        <v>500000</v>
      </c>
      <c r="HY110" s="1">
        <v>500000</v>
      </c>
      <c r="HZ110" s="1">
        <v>326.13</v>
      </c>
      <c r="IA110" s="1">
        <v>1</v>
      </c>
      <c r="IB110" s="1">
        <v>1</v>
      </c>
      <c r="IC110" s="1">
        <v>30</v>
      </c>
      <c r="ID110" s="1">
        <v>60003760</v>
      </c>
      <c r="IE110" s="1">
        <v>-1</v>
      </c>
      <c r="IF110" s="1">
        <v>0</v>
      </c>
      <c r="IT110" s="1">
        <v>2878584299</v>
      </c>
      <c r="IU110" s="1">
        <v>16679</v>
      </c>
      <c r="IV110" s="1">
        <v>4080</v>
      </c>
      <c r="IW110" s="1">
        <v>4080</v>
      </c>
      <c r="IX110" s="1">
        <v>1691</v>
      </c>
      <c r="IY110" s="1">
        <v>1</v>
      </c>
      <c r="IZ110" s="1">
        <v>1</v>
      </c>
      <c r="JA110" s="1">
        <v>90</v>
      </c>
      <c r="JB110" s="1">
        <v>60003760</v>
      </c>
      <c r="JC110" s="1">
        <v>-1</v>
      </c>
      <c r="JD110" s="1">
        <v>0</v>
      </c>
      <c r="JF110" s="1">
        <v>2878945590</v>
      </c>
      <c r="JG110" s="1">
        <v>16272</v>
      </c>
      <c r="JH110" s="1">
        <v>21967</v>
      </c>
      <c r="JI110" s="1">
        <v>21967</v>
      </c>
      <c r="JJ110" s="1">
        <v>71.89</v>
      </c>
      <c r="JK110" s="1">
        <v>1</v>
      </c>
      <c r="JL110" s="1">
        <v>0</v>
      </c>
      <c r="JM110" s="1">
        <v>1</v>
      </c>
      <c r="JN110" s="1">
        <v>60003037</v>
      </c>
      <c r="JO110" s="1">
        <v>32767</v>
      </c>
      <c r="JP110" s="1">
        <v>0</v>
      </c>
      <c r="KD110" s="1">
        <v>2821914750</v>
      </c>
      <c r="KE110" s="1">
        <v>25605</v>
      </c>
      <c r="KF110" s="1">
        <v>2000</v>
      </c>
      <c r="KG110" s="1">
        <v>2000</v>
      </c>
      <c r="KH110" s="1">
        <v>86100</v>
      </c>
      <c r="KI110" s="1">
        <v>100</v>
      </c>
      <c r="KJ110" s="1">
        <v>1</v>
      </c>
      <c r="KK110" s="1">
        <v>90</v>
      </c>
      <c r="KL110" s="1">
        <v>60003073</v>
      </c>
      <c r="KM110" s="1">
        <v>32767</v>
      </c>
      <c r="KN110" s="1">
        <v>0</v>
      </c>
      <c r="KP110"/>
      <c r="KQ110"/>
      <c r="KR110"/>
      <c r="KS110"/>
      <c r="KT110"/>
      <c r="KU110"/>
      <c r="KV110"/>
      <c r="KW110"/>
      <c r="KX110"/>
      <c r="KY110"/>
      <c r="KZ110"/>
      <c r="LB110" s="1">
        <v>2878640661</v>
      </c>
      <c r="LC110" s="1">
        <v>9832</v>
      </c>
      <c r="LD110" s="1">
        <v>130</v>
      </c>
      <c r="LE110" s="1">
        <v>130</v>
      </c>
      <c r="LF110" s="1">
        <v>9498</v>
      </c>
      <c r="LG110" s="1">
        <v>1</v>
      </c>
      <c r="LH110" s="1">
        <v>0</v>
      </c>
      <c r="LI110" s="1">
        <v>90</v>
      </c>
      <c r="LJ110" s="1">
        <v>60003760</v>
      </c>
      <c r="LK110" s="1">
        <v>32767</v>
      </c>
      <c r="LL110" s="1">
        <v>0</v>
      </c>
      <c r="ML110"/>
      <c r="MM110"/>
      <c r="MN110"/>
      <c r="MO110"/>
      <c r="MP110"/>
      <c r="MQ110"/>
      <c r="MR110"/>
      <c r="MS110"/>
      <c r="MT110"/>
      <c r="MU110"/>
      <c r="MV110"/>
      <c r="MX110"/>
      <c r="MY110"/>
      <c r="MZ110"/>
      <c r="NA110"/>
      <c r="NB110"/>
      <c r="NC110"/>
      <c r="ND110"/>
      <c r="NE110"/>
      <c r="NF110"/>
      <c r="NG110"/>
      <c r="NH110"/>
      <c r="NJ110" s="1">
        <v>2655595111</v>
      </c>
      <c r="NK110" s="1">
        <v>16673</v>
      </c>
      <c r="NL110" s="1">
        <v>100000</v>
      </c>
      <c r="NM110" s="1">
        <v>100000</v>
      </c>
      <c r="NN110" s="1">
        <v>16.010000000000002</v>
      </c>
      <c r="NO110" s="1">
        <v>1</v>
      </c>
      <c r="NP110" s="1">
        <v>1</v>
      </c>
      <c r="NQ110" s="1">
        <v>90</v>
      </c>
      <c r="NR110" s="1">
        <v>60003136</v>
      </c>
      <c r="NS110" s="1">
        <v>10</v>
      </c>
      <c r="NT110" s="1">
        <v>0</v>
      </c>
      <c r="NV110" s="1">
        <v>2836543073</v>
      </c>
      <c r="NW110" s="1">
        <v>3689</v>
      </c>
      <c r="NX110" s="1">
        <v>10000</v>
      </c>
      <c r="NY110" s="1">
        <v>10000</v>
      </c>
      <c r="NZ110" s="1">
        <v>6600.37</v>
      </c>
      <c r="OA110" s="1">
        <v>100</v>
      </c>
      <c r="OB110" s="1">
        <v>1</v>
      </c>
      <c r="OC110" s="1">
        <v>30</v>
      </c>
      <c r="OD110" s="1">
        <v>60003760</v>
      </c>
      <c r="OE110" s="1">
        <v>10</v>
      </c>
      <c r="OF110" s="1">
        <v>0</v>
      </c>
      <c r="OH110" s="1">
        <v>2875122207</v>
      </c>
      <c r="OI110" s="1">
        <v>25598</v>
      </c>
      <c r="OJ110" s="1">
        <v>94</v>
      </c>
      <c r="OK110" s="1">
        <v>94</v>
      </c>
      <c r="OL110" s="1">
        <v>161999.32999999999</v>
      </c>
      <c r="OM110" s="1">
        <v>1</v>
      </c>
      <c r="ON110" s="1">
        <v>0</v>
      </c>
      <c r="OO110" s="1">
        <v>30</v>
      </c>
      <c r="OP110" s="1">
        <v>60003760</v>
      </c>
      <c r="OQ110" s="1">
        <v>32767</v>
      </c>
      <c r="OR110" s="1">
        <v>0</v>
      </c>
      <c r="OT110" s="1">
        <v>2873063410</v>
      </c>
      <c r="OU110" s="1">
        <v>25600</v>
      </c>
      <c r="OV110" s="1">
        <v>1000</v>
      </c>
      <c r="OW110" s="1">
        <v>1000</v>
      </c>
      <c r="OX110" s="1">
        <v>20000</v>
      </c>
      <c r="OY110" s="1">
        <v>1</v>
      </c>
      <c r="OZ110" s="1">
        <v>1</v>
      </c>
      <c r="PA110" s="1">
        <v>90</v>
      </c>
      <c r="PB110" s="1">
        <v>60004243</v>
      </c>
      <c r="PC110" s="1">
        <v>40</v>
      </c>
      <c r="PD110" s="1">
        <v>0</v>
      </c>
      <c r="PF110" s="1">
        <v>2643215782</v>
      </c>
      <c r="PG110" s="1">
        <v>16670</v>
      </c>
      <c r="PH110" s="1">
        <v>10000000</v>
      </c>
      <c r="PI110" s="1">
        <v>9892229</v>
      </c>
      <c r="PJ110" s="1">
        <v>40.01</v>
      </c>
      <c r="PK110" s="1">
        <v>1</v>
      </c>
      <c r="PL110" s="1">
        <v>1</v>
      </c>
      <c r="PM110" s="1">
        <v>90</v>
      </c>
      <c r="PN110" s="1">
        <v>60003760</v>
      </c>
      <c r="PO110" s="1">
        <v>20</v>
      </c>
      <c r="PP110" s="1">
        <v>0</v>
      </c>
      <c r="QD110"/>
      <c r="QE110"/>
      <c r="QF110"/>
      <c r="QG110"/>
      <c r="QH110"/>
      <c r="QI110"/>
      <c r="QJ110"/>
      <c r="QK110"/>
      <c r="QL110"/>
      <c r="QM110"/>
      <c r="QN110"/>
      <c r="RB110"/>
      <c r="RC110"/>
      <c r="RD110"/>
      <c r="RE110"/>
      <c r="RF110"/>
      <c r="RG110"/>
      <c r="RH110"/>
      <c r="RI110"/>
      <c r="RJ110"/>
      <c r="RK110"/>
      <c r="RL110"/>
      <c r="SX110" s="1">
        <v>2872503761</v>
      </c>
      <c r="SY110" s="1">
        <v>25595</v>
      </c>
      <c r="SZ110" s="1">
        <v>201</v>
      </c>
      <c r="TA110" s="1">
        <v>201</v>
      </c>
      <c r="TB110" s="1">
        <v>80468.479999999996</v>
      </c>
      <c r="TC110" s="1">
        <v>1</v>
      </c>
      <c r="TD110" s="1">
        <v>0</v>
      </c>
      <c r="TE110" s="1">
        <v>90</v>
      </c>
      <c r="TF110" s="1">
        <v>60003760</v>
      </c>
      <c r="TG110" s="1">
        <v>32767</v>
      </c>
      <c r="TH110" s="1">
        <v>6</v>
      </c>
      <c r="TJ110" s="1">
        <v>2863153910</v>
      </c>
      <c r="TK110" s="1">
        <v>25606</v>
      </c>
      <c r="TL110" s="1">
        <v>1500</v>
      </c>
      <c r="TM110" s="1">
        <v>203</v>
      </c>
      <c r="TN110" s="1">
        <v>18102</v>
      </c>
      <c r="TO110" s="1">
        <v>1</v>
      </c>
      <c r="TP110" s="1">
        <v>1</v>
      </c>
      <c r="TQ110" s="1">
        <v>90</v>
      </c>
      <c r="TR110" s="1">
        <v>60003760</v>
      </c>
      <c r="TS110" s="1">
        <v>-1</v>
      </c>
      <c r="TT110" s="1">
        <v>0</v>
      </c>
    </row>
    <row r="111" spans="2:588" x14ac:dyDescent="0.25">
      <c r="B111" s="1">
        <v>2812714676</v>
      </c>
      <c r="C111" s="1">
        <v>34</v>
      </c>
      <c r="D111" s="1">
        <v>9364562</v>
      </c>
      <c r="E111" s="1">
        <v>9364562</v>
      </c>
      <c r="F111" s="1">
        <v>6.04</v>
      </c>
      <c r="G111" s="1">
        <v>1</v>
      </c>
      <c r="H111" s="1">
        <v>0</v>
      </c>
      <c r="I111" s="1">
        <v>90</v>
      </c>
      <c r="J111" s="1">
        <v>60003760</v>
      </c>
      <c r="K111" s="1">
        <v>32767</v>
      </c>
      <c r="L111" s="1">
        <v>0</v>
      </c>
      <c r="N111" s="1">
        <v>2861014386</v>
      </c>
      <c r="O111" s="1">
        <v>35</v>
      </c>
      <c r="P111" s="1">
        <v>10179</v>
      </c>
      <c r="Q111" s="1">
        <v>10179</v>
      </c>
      <c r="R111" s="1">
        <v>17</v>
      </c>
      <c r="S111" s="1">
        <v>1</v>
      </c>
      <c r="T111" s="1">
        <v>0</v>
      </c>
      <c r="U111" s="1">
        <v>30</v>
      </c>
      <c r="V111" s="1">
        <v>60004423</v>
      </c>
      <c r="W111" s="1">
        <v>32767</v>
      </c>
      <c r="X111" s="1">
        <v>0</v>
      </c>
      <c r="Z111" s="1">
        <v>2841944040</v>
      </c>
      <c r="AA111" s="1">
        <v>36</v>
      </c>
      <c r="AB111" s="1">
        <v>226876</v>
      </c>
      <c r="AC111" s="1">
        <v>226876</v>
      </c>
      <c r="AD111" s="16">
        <v>51.65</v>
      </c>
      <c r="AE111" s="1">
        <v>1</v>
      </c>
      <c r="AF111" s="1">
        <v>0</v>
      </c>
      <c r="AG111" s="1">
        <v>30</v>
      </c>
      <c r="AH111" s="1">
        <v>60003760</v>
      </c>
      <c r="AI111" s="1">
        <v>32767</v>
      </c>
      <c r="AJ111" s="1">
        <v>11</v>
      </c>
      <c r="AL111" s="1">
        <v>2876363905</v>
      </c>
      <c r="AM111" s="1">
        <v>37</v>
      </c>
      <c r="AN111" s="1">
        <v>345642</v>
      </c>
      <c r="AO111" s="1">
        <v>345642</v>
      </c>
      <c r="AP111" s="16">
        <v>150</v>
      </c>
      <c r="AQ111" s="1">
        <v>1</v>
      </c>
      <c r="AR111" s="1">
        <v>0</v>
      </c>
      <c r="AS111" s="1">
        <v>90</v>
      </c>
      <c r="AT111" s="1">
        <v>60003760</v>
      </c>
      <c r="AU111" s="1">
        <v>32767</v>
      </c>
      <c r="AV111" s="1">
        <v>9</v>
      </c>
      <c r="AX111" s="1">
        <v>2878582392</v>
      </c>
      <c r="AY111" s="1">
        <v>38</v>
      </c>
      <c r="AZ111" s="1">
        <v>22985</v>
      </c>
      <c r="BA111" s="1">
        <v>10662</v>
      </c>
      <c r="BB111" s="1">
        <v>799.98</v>
      </c>
      <c r="BC111" s="1">
        <v>1</v>
      </c>
      <c r="BD111" s="1">
        <v>0</v>
      </c>
      <c r="BE111" s="1">
        <v>1</v>
      </c>
      <c r="BF111" s="1">
        <v>60015027</v>
      </c>
      <c r="BG111" s="1">
        <v>32767</v>
      </c>
      <c r="BH111" s="1">
        <v>3</v>
      </c>
      <c r="BJ111" s="1">
        <v>2878503023</v>
      </c>
      <c r="BK111" s="1">
        <v>39</v>
      </c>
      <c r="BL111" s="1">
        <v>27834</v>
      </c>
      <c r="BM111" s="1">
        <v>27834</v>
      </c>
      <c r="BN111" s="1">
        <v>816</v>
      </c>
      <c r="BO111" s="1">
        <v>1</v>
      </c>
      <c r="BP111" s="1">
        <v>0</v>
      </c>
      <c r="BQ111" s="1">
        <v>1</v>
      </c>
      <c r="BR111" s="1">
        <v>60003760</v>
      </c>
      <c r="BS111" s="1">
        <v>32767</v>
      </c>
      <c r="BT111" s="1">
        <v>5</v>
      </c>
      <c r="BV111" s="1">
        <v>2402455644</v>
      </c>
      <c r="BW111" s="1">
        <v>40</v>
      </c>
      <c r="BX111" s="1">
        <v>42637</v>
      </c>
      <c r="BY111" s="1">
        <v>1</v>
      </c>
      <c r="BZ111" s="1">
        <v>3699</v>
      </c>
      <c r="CA111" s="1">
        <v>1</v>
      </c>
      <c r="CB111" s="1">
        <v>0</v>
      </c>
      <c r="CC111" s="1">
        <v>90</v>
      </c>
      <c r="CD111" s="1">
        <v>60002359</v>
      </c>
      <c r="CE111" s="1">
        <v>32767</v>
      </c>
      <c r="CF111" s="1">
        <v>7</v>
      </c>
      <c r="CH111" s="1">
        <v>2411143364</v>
      </c>
      <c r="CI111" s="1">
        <v>29668</v>
      </c>
      <c r="CJ111" s="1">
        <v>1</v>
      </c>
      <c r="CK111" s="1">
        <v>1</v>
      </c>
      <c r="CL111" s="1">
        <v>508302000.10000002</v>
      </c>
      <c r="CM111" s="1">
        <v>1</v>
      </c>
      <c r="CN111" s="1">
        <v>0</v>
      </c>
      <c r="CO111" s="1">
        <v>90</v>
      </c>
      <c r="CP111" s="1">
        <v>60003754</v>
      </c>
      <c r="CQ111" s="1">
        <v>32767</v>
      </c>
      <c r="CR111" s="1">
        <v>1</v>
      </c>
      <c r="CT111" s="1">
        <v>2411887586</v>
      </c>
      <c r="CU111" s="1">
        <v>16649</v>
      </c>
      <c r="CV111" s="1">
        <v>10000</v>
      </c>
      <c r="CW111" s="1">
        <v>10000</v>
      </c>
      <c r="CX111" s="1">
        <v>95901.2</v>
      </c>
      <c r="CY111" s="1">
        <v>1</v>
      </c>
      <c r="CZ111" s="1">
        <v>1</v>
      </c>
      <c r="DA111" s="1">
        <v>90</v>
      </c>
      <c r="DB111" s="1">
        <v>60003760</v>
      </c>
      <c r="DC111" s="1">
        <v>-1</v>
      </c>
      <c r="DD111" s="1">
        <v>0</v>
      </c>
      <c r="DF111" s="1">
        <v>2412127468</v>
      </c>
      <c r="DG111" s="1">
        <v>17887</v>
      </c>
      <c r="DH111" s="1">
        <v>4549</v>
      </c>
      <c r="DI111" s="1">
        <v>4549</v>
      </c>
      <c r="DJ111" s="1">
        <v>1323</v>
      </c>
      <c r="DK111" s="1">
        <v>1</v>
      </c>
      <c r="DL111" s="1">
        <v>0</v>
      </c>
      <c r="DM111" s="1">
        <v>90</v>
      </c>
      <c r="DN111" s="1">
        <v>60001795</v>
      </c>
      <c r="DO111" s="1">
        <v>32767</v>
      </c>
      <c r="DP111" s="1">
        <v>14</v>
      </c>
      <c r="DR111" s="1">
        <v>2731372976</v>
      </c>
      <c r="DS111" s="1">
        <v>17888</v>
      </c>
      <c r="DT111" s="1">
        <v>7166317</v>
      </c>
      <c r="DU111" s="1">
        <v>7166317</v>
      </c>
      <c r="DV111" s="1">
        <v>1299</v>
      </c>
      <c r="DW111" s="1">
        <v>1</v>
      </c>
      <c r="DX111" s="1">
        <v>0</v>
      </c>
      <c r="DY111" s="1">
        <v>90</v>
      </c>
      <c r="DZ111" s="1">
        <v>60003760</v>
      </c>
      <c r="EA111" s="1">
        <v>32767</v>
      </c>
      <c r="EB111" s="1">
        <v>8</v>
      </c>
      <c r="ED111" s="1">
        <v>2733696026</v>
      </c>
      <c r="EE111" s="1">
        <v>16273</v>
      </c>
      <c r="EF111" s="1">
        <v>619627</v>
      </c>
      <c r="EG111" s="1">
        <v>20561</v>
      </c>
      <c r="EH111" s="1">
        <v>479</v>
      </c>
      <c r="EI111" s="1">
        <v>1</v>
      </c>
      <c r="EJ111" s="1">
        <v>0</v>
      </c>
      <c r="EK111" s="1">
        <v>90</v>
      </c>
      <c r="EL111" s="1">
        <v>60002239</v>
      </c>
      <c r="EM111" s="1">
        <v>32767</v>
      </c>
      <c r="EN111" s="1">
        <v>6</v>
      </c>
      <c r="EP111" s="1">
        <v>2876052340</v>
      </c>
      <c r="EQ111" s="1">
        <v>17889</v>
      </c>
      <c r="ER111" s="1">
        <v>500000</v>
      </c>
      <c r="ES111" s="1">
        <v>500000</v>
      </c>
      <c r="ET111" s="1">
        <v>356.7</v>
      </c>
      <c r="EU111" s="1">
        <v>1</v>
      </c>
      <c r="EV111" s="1">
        <v>1</v>
      </c>
      <c r="EW111" s="1">
        <v>90</v>
      </c>
      <c r="EX111" s="1">
        <v>60003760</v>
      </c>
      <c r="EY111" s="1">
        <v>-1</v>
      </c>
      <c r="EZ111" s="1">
        <v>0</v>
      </c>
      <c r="FB111" s="1">
        <v>2875414764</v>
      </c>
      <c r="FC111" s="1">
        <v>30259</v>
      </c>
      <c r="FD111" s="1">
        <v>330</v>
      </c>
      <c r="FE111" s="1">
        <v>229</v>
      </c>
      <c r="FF111" s="1">
        <v>5589504.04</v>
      </c>
      <c r="FG111" s="1">
        <v>1</v>
      </c>
      <c r="FH111" s="1">
        <v>1</v>
      </c>
      <c r="FI111" s="1">
        <v>90</v>
      </c>
      <c r="FJ111" s="1">
        <v>60003760</v>
      </c>
      <c r="FK111" s="1">
        <v>-1</v>
      </c>
      <c r="FL111" s="1">
        <v>0</v>
      </c>
      <c r="FZ111" s="1">
        <v>2643192971</v>
      </c>
      <c r="GA111" s="1">
        <v>44</v>
      </c>
      <c r="GB111" s="1">
        <v>100000</v>
      </c>
      <c r="GC111" s="1">
        <v>94385</v>
      </c>
      <c r="GD111" s="1">
        <v>4679.97</v>
      </c>
      <c r="GE111" s="1">
        <v>1</v>
      </c>
      <c r="GF111" s="1">
        <v>1</v>
      </c>
      <c r="GG111" s="1">
        <v>90</v>
      </c>
      <c r="GH111" s="1">
        <v>60003760</v>
      </c>
      <c r="GI111" s="1">
        <v>20</v>
      </c>
      <c r="GJ111" s="1">
        <v>0</v>
      </c>
      <c r="GL111" s="1">
        <v>2408486371</v>
      </c>
      <c r="GM111" s="1">
        <v>16681</v>
      </c>
      <c r="GN111" s="1">
        <v>600000</v>
      </c>
      <c r="GO111" s="1">
        <v>600000</v>
      </c>
      <c r="GP111" s="1">
        <v>5986.03</v>
      </c>
      <c r="GQ111" s="1">
        <v>1</v>
      </c>
      <c r="GR111" s="1">
        <v>1</v>
      </c>
      <c r="GS111" s="1">
        <v>90</v>
      </c>
      <c r="GT111" s="1">
        <v>60003760</v>
      </c>
      <c r="GU111" s="1">
        <v>0</v>
      </c>
      <c r="GV111" s="1">
        <v>0</v>
      </c>
      <c r="GX111"/>
      <c r="GY111"/>
      <c r="GZ111"/>
      <c r="HA111"/>
      <c r="HB111"/>
      <c r="HC111"/>
      <c r="HD111"/>
      <c r="HE111"/>
      <c r="HF111"/>
      <c r="HG111"/>
      <c r="HH111"/>
      <c r="HV111" s="1">
        <v>2875249165</v>
      </c>
      <c r="HW111" s="1">
        <v>16274</v>
      </c>
      <c r="HX111" s="1">
        <v>300000</v>
      </c>
      <c r="HY111" s="1">
        <v>300000</v>
      </c>
      <c r="HZ111" s="1">
        <v>323.12</v>
      </c>
      <c r="IA111" s="1">
        <v>1</v>
      </c>
      <c r="IB111" s="1">
        <v>1</v>
      </c>
      <c r="IC111" s="1">
        <v>90</v>
      </c>
      <c r="ID111" s="1">
        <v>60003760</v>
      </c>
      <c r="IE111" s="1">
        <v>-1</v>
      </c>
      <c r="IF111" s="1">
        <v>0</v>
      </c>
      <c r="IT111" s="1">
        <v>2878600905</v>
      </c>
      <c r="IU111" s="1">
        <v>16679</v>
      </c>
      <c r="IV111" s="1">
        <v>30000</v>
      </c>
      <c r="IW111" s="1">
        <v>30000</v>
      </c>
      <c r="IX111" s="1">
        <v>1691.01</v>
      </c>
      <c r="IY111" s="1">
        <v>1</v>
      </c>
      <c r="IZ111" s="1">
        <v>1</v>
      </c>
      <c r="JA111" s="1">
        <v>90</v>
      </c>
      <c r="JB111" s="1">
        <v>60003760</v>
      </c>
      <c r="JC111" s="1">
        <v>-1</v>
      </c>
      <c r="JD111" s="1">
        <v>0</v>
      </c>
      <c r="JF111" s="1">
        <v>2879009712</v>
      </c>
      <c r="JG111" s="1">
        <v>16272</v>
      </c>
      <c r="JH111" s="1">
        <v>194544</v>
      </c>
      <c r="JI111" s="1">
        <v>194544</v>
      </c>
      <c r="JJ111" s="1">
        <v>74.2</v>
      </c>
      <c r="JK111" s="1">
        <v>1</v>
      </c>
      <c r="JL111" s="1">
        <v>0</v>
      </c>
      <c r="JM111" s="1">
        <v>90</v>
      </c>
      <c r="JN111" s="1">
        <v>60003760</v>
      </c>
      <c r="JO111" s="1">
        <v>32767</v>
      </c>
      <c r="JP111" s="1">
        <v>0</v>
      </c>
      <c r="KD111" s="1">
        <v>2278547195</v>
      </c>
      <c r="KE111" s="1">
        <v>25605</v>
      </c>
      <c r="KF111" s="1">
        <v>500</v>
      </c>
      <c r="KG111" s="1">
        <v>445</v>
      </c>
      <c r="KH111" s="1">
        <v>10000.09</v>
      </c>
      <c r="KI111" s="1">
        <v>1</v>
      </c>
      <c r="KJ111" s="1">
        <v>1</v>
      </c>
      <c r="KK111" s="1">
        <v>90</v>
      </c>
      <c r="KL111" s="1">
        <v>60004444</v>
      </c>
      <c r="KM111" s="1">
        <v>10</v>
      </c>
      <c r="KN111" s="1">
        <v>0</v>
      </c>
      <c r="KP111"/>
      <c r="KQ111"/>
      <c r="KR111"/>
      <c r="KS111"/>
      <c r="KT111"/>
      <c r="KU111"/>
      <c r="KV111"/>
      <c r="KW111"/>
      <c r="KX111"/>
      <c r="KY111"/>
      <c r="KZ111"/>
      <c r="LB111" s="1">
        <v>2878726945</v>
      </c>
      <c r="LC111" s="1">
        <v>9832</v>
      </c>
      <c r="LD111" s="1">
        <v>20423</v>
      </c>
      <c r="LE111" s="1">
        <v>19208</v>
      </c>
      <c r="LF111" s="1">
        <v>9497.7800000000007</v>
      </c>
      <c r="LG111" s="1">
        <v>1</v>
      </c>
      <c r="LH111" s="1">
        <v>0</v>
      </c>
      <c r="LI111" s="1">
        <v>90</v>
      </c>
      <c r="LJ111" s="1">
        <v>60003760</v>
      </c>
      <c r="LK111" s="1">
        <v>32767</v>
      </c>
      <c r="LL111" s="1">
        <v>0</v>
      </c>
      <c r="ML111"/>
      <c r="MM111"/>
      <c r="MN111"/>
      <c r="MO111"/>
      <c r="MP111"/>
      <c r="MQ111"/>
      <c r="MR111"/>
      <c r="MS111"/>
      <c r="MT111"/>
      <c r="MU111"/>
      <c r="MV111"/>
      <c r="MX111"/>
      <c r="MY111"/>
      <c r="MZ111"/>
      <c r="NA111"/>
      <c r="NB111"/>
      <c r="NC111"/>
      <c r="ND111"/>
      <c r="NE111"/>
      <c r="NF111"/>
      <c r="NG111"/>
      <c r="NH111"/>
      <c r="NJ111" s="1">
        <v>2680362044</v>
      </c>
      <c r="NK111" s="1">
        <v>16673</v>
      </c>
      <c r="NL111" s="1">
        <v>2000000</v>
      </c>
      <c r="NM111" s="1">
        <v>643868</v>
      </c>
      <c r="NN111" s="1">
        <v>86.08</v>
      </c>
      <c r="NO111" s="1">
        <v>1</v>
      </c>
      <c r="NP111" s="1">
        <v>1</v>
      </c>
      <c r="NQ111" s="1">
        <v>90</v>
      </c>
      <c r="NR111" s="1">
        <v>60004459</v>
      </c>
      <c r="NS111" s="1">
        <v>10</v>
      </c>
      <c r="NT111" s="1">
        <v>0</v>
      </c>
      <c r="NV111" s="1">
        <v>2859634301</v>
      </c>
      <c r="NW111" s="1">
        <v>3689</v>
      </c>
      <c r="NX111" s="1">
        <v>4666</v>
      </c>
      <c r="NY111" s="1">
        <v>4666</v>
      </c>
      <c r="NZ111" s="1">
        <v>7000.07</v>
      </c>
      <c r="OA111" s="1">
        <v>1</v>
      </c>
      <c r="OB111" s="1">
        <v>1</v>
      </c>
      <c r="OC111" s="1">
        <v>14</v>
      </c>
      <c r="OD111" s="1">
        <v>60003760</v>
      </c>
      <c r="OE111" s="1">
        <v>-1</v>
      </c>
      <c r="OF111" s="1">
        <v>0</v>
      </c>
      <c r="OH111" s="1">
        <v>2875209331</v>
      </c>
      <c r="OI111" s="1">
        <v>25598</v>
      </c>
      <c r="OJ111" s="1">
        <v>40000</v>
      </c>
      <c r="OK111" s="1">
        <v>11752</v>
      </c>
      <c r="OL111" s="1">
        <v>140999</v>
      </c>
      <c r="OM111" s="1">
        <v>1</v>
      </c>
      <c r="ON111" s="1">
        <v>0</v>
      </c>
      <c r="OO111" s="1">
        <v>90</v>
      </c>
      <c r="OP111" s="1">
        <v>60003760</v>
      </c>
      <c r="OQ111" s="1">
        <v>32767</v>
      </c>
      <c r="OR111" s="1">
        <v>0</v>
      </c>
      <c r="OT111" s="1">
        <v>2762051226</v>
      </c>
      <c r="OU111" s="1">
        <v>25600</v>
      </c>
      <c r="OV111" s="1">
        <v>25000</v>
      </c>
      <c r="OW111" s="1">
        <v>17140</v>
      </c>
      <c r="OX111" s="1">
        <v>20000.009999999998</v>
      </c>
      <c r="OY111" s="1">
        <v>1</v>
      </c>
      <c r="OZ111" s="1">
        <v>1</v>
      </c>
      <c r="PA111" s="1">
        <v>90</v>
      </c>
      <c r="PB111" s="1">
        <v>60003760</v>
      </c>
      <c r="PC111" s="1">
        <v>32767</v>
      </c>
      <c r="PD111" s="1">
        <v>0</v>
      </c>
      <c r="PF111" s="1">
        <v>2643216106</v>
      </c>
      <c r="PG111" s="1">
        <v>16670</v>
      </c>
      <c r="PH111" s="1">
        <v>10000000</v>
      </c>
      <c r="PI111" s="1">
        <v>8524313</v>
      </c>
      <c r="PJ111" s="1">
        <v>89.92</v>
      </c>
      <c r="PK111" s="1">
        <v>1</v>
      </c>
      <c r="PL111" s="1">
        <v>1</v>
      </c>
      <c r="PM111" s="1">
        <v>90</v>
      </c>
      <c r="PN111" s="1">
        <v>60003760</v>
      </c>
      <c r="PO111" s="1">
        <v>10</v>
      </c>
      <c r="PP111" s="1">
        <v>0</v>
      </c>
      <c r="QD111"/>
      <c r="QE111"/>
      <c r="QF111"/>
      <c r="QG111"/>
      <c r="QH111"/>
      <c r="QI111"/>
      <c r="QJ111"/>
      <c r="QK111"/>
      <c r="QL111"/>
      <c r="QM111"/>
      <c r="QN111"/>
      <c r="RB111"/>
      <c r="RC111"/>
      <c r="RD111"/>
      <c r="RE111"/>
      <c r="RF111"/>
      <c r="RG111"/>
      <c r="RH111"/>
      <c r="RI111"/>
      <c r="RJ111"/>
      <c r="RK111"/>
      <c r="RL111"/>
      <c r="SX111" s="1">
        <v>2872764501</v>
      </c>
      <c r="SY111" s="1">
        <v>25595</v>
      </c>
      <c r="SZ111" s="1">
        <v>11</v>
      </c>
      <c r="TA111" s="1">
        <v>11</v>
      </c>
      <c r="TB111" s="1">
        <v>80468</v>
      </c>
      <c r="TC111" s="1">
        <v>1</v>
      </c>
      <c r="TD111" s="1">
        <v>0</v>
      </c>
      <c r="TE111" s="1">
        <v>90</v>
      </c>
      <c r="TF111" s="1">
        <v>60003760</v>
      </c>
      <c r="TG111" s="1">
        <v>32767</v>
      </c>
      <c r="TH111" s="1">
        <v>6</v>
      </c>
      <c r="TJ111" s="1">
        <v>2863292907</v>
      </c>
      <c r="TK111" s="1">
        <v>25606</v>
      </c>
      <c r="TL111" s="1">
        <v>5000</v>
      </c>
      <c r="TM111" s="1">
        <v>4382</v>
      </c>
      <c r="TN111" s="1">
        <v>19000</v>
      </c>
      <c r="TO111" s="1">
        <v>1</v>
      </c>
      <c r="TP111" s="1">
        <v>1</v>
      </c>
      <c r="TQ111" s="1">
        <v>90</v>
      </c>
      <c r="TR111" s="1">
        <v>60003760</v>
      </c>
      <c r="TS111" s="1">
        <v>-1</v>
      </c>
      <c r="TT111" s="1">
        <v>0</v>
      </c>
    </row>
    <row r="112" spans="2:588" x14ac:dyDescent="0.25">
      <c r="B112" s="1">
        <v>2813221196</v>
      </c>
      <c r="C112" s="1">
        <v>34</v>
      </c>
      <c r="D112" s="1">
        <v>9364562</v>
      </c>
      <c r="E112" s="1">
        <v>9364562</v>
      </c>
      <c r="F112" s="1">
        <v>6.05</v>
      </c>
      <c r="G112" s="1">
        <v>1</v>
      </c>
      <c r="H112" s="1">
        <v>0</v>
      </c>
      <c r="I112" s="1">
        <v>90</v>
      </c>
      <c r="J112" s="1">
        <v>60003760</v>
      </c>
      <c r="K112" s="1">
        <v>32767</v>
      </c>
      <c r="L112" s="1">
        <v>0</v>
      </c>
      <c r="N112" s="1">
        <v>2860987515</v>
      </c>
      <c r="O112" s="1">
        <v>35</v>
      </c>
      <c r="P112" s="1">
        <v>13984061</v>
      </c>
      <c r="Q112" s="1">
        <v>13984061</v>
      </c>
      <c r="R112" s="1">
        <v>15.38</v>
      </c>
      <c r="S112" s="1">
        <v>1</v>
      </c>
      <c r="T112" s="1">
        <v>0</v>
      </c>
      <c r="U112" s="1">
        <v>90</v>
      </c>
      <c r="V112" s="1">
        <v>60003760</v>
      </c>
      <c r="W112" s="1">
        <v>32767</v>
      </c>
      <c r="X112" s="1">
        <v>0</v>
      </c>
      <c r="Z112" s="1">
        <v>2842058152</v>
      </c>
      <c r="AA112" s="1">
        <v>36</v>
      </c>
      <c r="AB112" s="1">
        <v>3035645</v>
      </c>
      <c r="AC112" s="1">
        <v>3035645</v>
      </c>
      <c r="AD112" s="16">
        <v>51.63</v>
      </c>
      <c r="AE112" s="1">
        <v>1</v>
      </c>
      <c r="AF112" s="1">
        <v>0</v>
      </c>
      <c r="AG112" s="1">
        <v>90</v>
      </c>
      <c r="AH112" s="1">
        <v>60003760</v>
      </c>
      <c r="AI112" s="1">
        <v>32767</v>
      </c>
      <c r="AJ112" s="1">
        <v>11</v>
      </c>
      <c r="AL112" s="1">
        <v>2846304076</v>
      </c>
      <c r="AM112" s="1">
        <v>37</v>
      </c>
      <c r="AN112" s="1">
        <v>920484</v>
      </c>
      <c r="AO112" s="1">
        <v>897601</v>
      </c>
      <c r="AP112" s="16">
        <v>199</v>
      </c>
      <c r="AQ112" s="1">
        <v>1</v>
      </c>
      <c r="AR112" s="1">
        <v>0</v>
      </c>
      <c r="AS112" s="1">
        <v>90</v>
      </c>
      <c r="AT112" s="1">
        <v>60003754</v>
      </c>
      <c r="AU112" s="1">
        <v>32767</v>
      </c>
      <c r="AV112" s="1">
        <v>10</v>
      </c>
      <c r="AX112" s="1">
        <v>2878623619</v>
      </c>
      <c r="AY112" s="1">
        <v>38</v>
      </c>
      <c r="AZ112" s="1">
        <v>937</v>
      </c>
      <c r="BA112" s="1">
        <v>937</v>
      </c>
      <c r="BB112" s="1">
        <v>800</v>
      </c>
      <c r="BC112" s="1">
        <v>1</v>
      </c>
      <c r="BD112" s="1">
        <v>0</v>
      </c>
      <c r="BE112" s="1">
        <v>3</v>
      </c>
      <c r="BF112" s="1">
        <v>60015027</v>
      </c>
      <c r="BG112" s="1">
        <v>32767</v>
      </c>
      <c r="BH112" s="1">
        <v>3</v>
      </c>
      <c r="BJ112" s="1">
        <v>2878592691</v>
      </c>
      <c r="BK112" s="1">
        <v>39</v>
      </c>
      <c r="BL112" s="1">
        <v>26</v>
      </c>
      <c r="BM112" s="1">
        <v>26</v>
      </c>
      <c r="BN112" s="1">
        <v>799</v>
      </c>
      <c r="BO112" s="1">
        <v>1</v>
      </c>
      <c r="BP112" s="1">
        <v>0</v>
      </c>
      <c r="BQ112" s="1">
        <v>7</v>
      </c>
      <c r="BR112" s="1">
        <v>60002956</v>
      </c>
      <c r="BS112" s="1">
        <v>32767</v>
      </c>
      <c r="BT112" s="1">
        <v>4</v>
      </c>
      <c r="BV112" s="1">
        <v>2362351189</v>
      </c>
      <c r="BW112" s="1">
        <v>40</v>
      </c>
      <c r="BX112" s="1">
        <v>5000</v>
      </c>
      <c r="BY112" s="1">
        <v>723</v>
      </c>
      <c r="BZ112" s="1">
        <v>3700</v>
      </c>
      <c r="CA112" s="1">
        <v>1</v>
      </c>
      <c r="CB112" s="1">
        <v>0</v>
      </c>
      <c r="CC112" s="1">
        <v>90</v>
      </c>
      <c r="CD112" s="1">
        <v>60004444</v>
      </c>
      <c r="CE112" s="1">
        <v>32767</v>
      </c>
      <c r="CF112" s="1">
        <v>6</v>
      </c>
      <c r="CH112" s="1">
        <v>2409833173</v>
      </c>
      <c r="CI112" s="1">
        <v>29668</v>
      </c>
      <c r="CJ112" s="1">
        <v>1</v>
      </c>
      <c r="CK112" s="1">
        <v>1</v>
      </c>
      <c r="CL112" s="1">
        <v>999595998.98000002</v>
      </c>
      <c r="CM112" s="1">
        <v>1</v>
      </c>
      <c r="CN112" s="1">
        <v>0</v>
      </c>
      <c r="CO112" s="1">
        <v>30</v>
      </c>
      <c r="CP112" s="1">
        <v>60012670</v>
      </c>
      <c r="CQ112" s="1">
        <v>32767</v>
      </c>
      <c r="CR112" s="1">
        <v>8</v>
      </c>
      <c r="CT112" s="1">
        <v>2415213143</v>
      </c>
      <c r="CU112" s="1">
        <v>16649</v>
      </c>
      <c r="CV112" s="1">
        <v>10000</v>
      </c>
      <c r="CW112" s="1">
        <v>10000</v>
      </c>
      <c r="CX112" s="1">
        <v>98006.9</v>
      </c>
      <c r="CY112" s="1">
        <v>1</v>
      </c>
      <c r="CZ112" s="1">
        <v>1</v>
      </c>
      <c r="DA112" s="1">
        <v>90</v>
      </c>
      <c r="DB112" s="1">
        <v>60003760</v>
      </c>
      <c r="DC112" s="1">
        <v>-1</v>
      </c>
      <c r="DD112" s="1">
        <v>0</v>
      </c>
      <c r="DF112" s="1">
        <v>2411221560</v>
      </c>
      <c r="DG112" s="1">
        <v>17887</v>
      </c>
      <c r="DH112" s="1">
        <v>640000</v>
      </c>
      <c r="DI112" s="1">
        <v>640000</v>
      </c>
      <c r="DJ112" s="1">
        <v>1350</v>
      </c>
      <c r="DK112" s="1">
        <v>1</v>
      </c>
      <c r="DL112" s="1">
        <v>0</v>
      </c>
      <c r="DM112" s="1">
        <v>90</v>
      </c>
      <c r="DN112" s="1">
        <v>60001795</v>
      </c>
      <c r="DO112" s="1">
        <v>32767</v>
      </c>
      <c r="DP112" s="1">
        <v>14</v>
      </c>
      <c r="DR112" s="1">
        <v>2867688657</v>
      </c>
      <c r="DS112" s="1">
        <v>17888</v>
      </c>
      <c r="DT112" s="1">
        <v>829905</v>
      </c>
      <c r="DU112" s="1">
        <v>829905</v>
      </c>
      <c r="DV112" s="1">
        <v>348.62</v>
      </c>
      <c r="DW112" s="1">
        <v>1</v>
      </c>
      <c r="DX112" s="1">
        <v>0</v>
      </c>
      <c r="DY112" s="1">
        <v>90</v>
      </c>
      <c r="DZ112" s="1">
        <v>60003760</v>
      </c>
      <c r="EA112" s="1">
        <v>32767</v>
      </c>
      <c r="EB112" s="1">
        <v>8</v>
      </c>
      <c r="ED112" s="1">
        <v>2766461803</v>
      </c>
      <c r="EE112" s="1">
        <v>16273</v>
      </c>
      <c r="EF112" s="1">
        <v>216171</v>
      </c>
      <c r="EG112" s="1">
        <v>18858</v>
      </c>
      <c r="EH112" s="1">
        <v>450</v>
      </c>
      <c r="EI112" s="1">
        <v>1</v>
      </c>
      <c r="EJ112" s="1">
        <v>0</v>
      </c>
      <c r="EK112" s="1">
        <v>90</v>
      </c>
      <c r="EL112" s="1">
        <v>60004468</v>
      </c>
      <c r="EM112" s="1">
        <v>32767</v>
      </c>
      <c r="EN112" s="1">
        <v>6</v>
      </c>
      <c r="EP112" s="1">
        <v>2826839447</v>
      </c>
      <c r="EQ112" s="1">
        <v>17889</v>
      </c>
      <c r="ER112" s="1">
        <v>1140786</v>
      </c>
      <c r="ES112" s="1">
        <v>1140786</v>
      </c>
      <c r="ET112" s="1">
        <v>262.98</v>
      </c>
      <c r="EU112" s="1">
        <v>38026</v>
      </c>
      <c r="EV112" s="1">
        <v>1</v>
      </c>
      <c r="EW112" s="1">
        <v>90</v>
      </c>
      <c r="EX112" s="1">
        <v>60003754</v>
      </c>
      <c r="EY112" s="1">
        <v>32767</v>
      </c>
      <c r="EZ112" s="1">
        <v>0</v>
      </c>
      <c r="FB112" s="1">
        <v>2875434431</v>
      </c>
      <c r="FC112" s="1">
        <v>30259</v>
      </c>
      <c r="FD112" s="1">
        <v>1000</v>
      </c>
      <c r="FE112" s="1">
        <v>997</v>
      </c>
      <c r="FF112" s="1">
        <v>5262786.47</v>
      </c>
      <c r="FG112" s="1">
        <v>1</v>
      </c>
      <c r="FH112" s="1">
        <v>1</v>
      </c>
      <c r="FI112" s="1">
        <v>90</v>
      </c>
      <c r="FJ112" s="1">
        <v>60003760</v>
      </c>
      <c r="FK112" s="1">
        <v>-1</v>
      </c>
      <c r="FL112" s="1">
        <v>0</v>
      </c>
      <c r="FZ112" s="1">
        <v>2870971060</v>
      </c>
      <c r="GA112" s="1">
        <v>44</v>
      </c>
      <c r="GB112" s="1">
        <v>28000</v>
      </c>
      <c r="GC112" s="1">
        <v>25490</v>
      </c>
      <c r="GD112" s="1">
        <v>12000</v>
      </c>
      <c r="GE112" s="1">
        <v>1</v>
      </c>
      <c r="GF112" s="1">
        <v>1</v>
      </c>
      <c r="GG112" s="1">
        <v>90</v>
      </c>
      <c r="GH112" s="1">
        <v>60003760</v>
      </c>
      <c r="GI112" s="1">
        <v>0</v>
      </c>
      <c r="GJ112" s="1">
        <v>0</v>
      </c>
      <c r="GL112" s="1">
        <v>2399452774</v>
      </c>
      <c r="GM112" s="1">
        <v>16681</v>
      </c>
      <c r="GN112" s="1">
        <v>20000</v>
      </c>
      <c r="GO112" s="1">
        <v>20000</v>
      </c>
      <c r="GP112" s="1">
        <v>5550.06</v>
      </c>
      <c r="GQ112" s="1">
        <v>1</v>
      </c>
      <c r="GR112" s="1">
        <v>1</v>
      </c>
      <c r="GS112" s="1">
        <v>90</v>
      </c>
      <c r="GT112" s="1">
        <v>60014935</v>
      </c>
      <c r="GU112" s="1">
        <v>1</v>
      </c>
      <c r="GV112" s="1">
        <v>0</v>
      </c>
      <c r="GX112"/>
      <c r="GY112"/>
      <c r="GZ112"/>
      <c r="HA112"/>
      <c r="HB112"/>
      <c r="HC112"/>
      <c r="HD112"/>
      <c r="HE112"/>
      <c r="HF112"/>
      <c r="HG112"/>
      <c r="HH112"/>
      <c r="HV112" s="1">
        <v>2875680793</v>
      </c>
      <c r="HW112" s="1">
        <v>16274</v>
      </c>
      <c r="HX112" s="1">
        <v>2000000</v>
      </c>
      <c r="HY112" s="1">
        <v>2000000</v>
      </c>
      <c r="HZ112" s="1">
        <v>328.33</v>
      </c>
      <c r="IA112" s="1">
        <v>1</v>
      </c>
      <c r="IB112" s="1">
        <v>1</v>
      </c>
      <c r="IC112" s="1">
        <v>90</v>
      </c>
      <c r="ID112" s="1">
        <v>60003760</v>
      </c>
      <c r="IE112" s="1">
        <v>-1</v>
      </c>
      <c r="IF112" s="1">
        <v>0</v>
      </c>
      <c r="IT112" s="1">
        <v>2878206853</v>
      </c>
      <c r="IU112" s="1">
        <v>16679</v>
      </c>
      <c r="IV112" s="1">
        <v>846690</v>
      </c>
      <c r="IW112" s="1">
        <v>846690</v>
      </c>
      <c r="IX112" s="1">
        <v>1691.02</v>
      </c>
      <c r="IY112" s="1">
        <v>1</v>
      </c>
      <c r="IZ112" s="1">
        <v>1</v>
      </c>
      <c r="JA112" s="1">
        <v>90</v>
      </c>
      <c r="JB112" s="1">
        <v>60003760</v>
      </c>
      <c r="JC112" s="1">
        <v>-1</v>
      </c>
      <c r="JD112" s="1">
        <v>0</v>
      </c>
      <c r="JF112" s="1">
        <v>2879073616</v>
      </c>
      <c r="JG112" s="1">
        <v>16272</v>
      </c>
      <c r="JH112" s="1">
        <v>122742</v>
      </c>
      <c r="JI112" s="1">
        <v>122742</v>
      </c>
      <c r="JJ112" s="1">
        <v>74</v>
      </c>
      <c r="JK112" s="1">
        <v>1</v>
      </c>
      <c r="JL112" s="1">
        <v>0</v>
      </c>
      <c r="JM112" s="1">
        <v>1</v>
      </c>
      <c r="JN112" s="1">
        <v>60012667</v>
      </c>
      <c r="JO112" s="1">
        <v>32767</v>
      </c>
      <c r="JP112" s="1">
        <v>0</v>
      </c>
      <c r="KD112" s="1">
        <v>2854507540</v>
      </c>
      <c r="KE112" s="1">
        <v>25605</v>
      </c>
      <c r="KF112" s="1">
        <v>2000</v>
      </c>
      <c r="KG112" s="1">
        <v>1155</v>
      </c>
      <c r="KH112" s="1">
        <v>105007.02</v>
      </c>
      <c r="KI112" s="1">
        <v>1</v>
      </c>
      <c r="KJ112" s="1">
        <v>1</v>
      </c>
      <c r="KK112" s="1">
        <v>90</v>
      </c>
      <c r="KL112" s="1">
        <v>60013291</v>
      </c>
      <c r="KM112" s="1">
        <v>1</v>
      </c>
      <c r="KN112" s="1">
        <v>0</v>
      </c>
      <c r="KP112"/>
      <c r="KQ112"/>
      <c r="KR112"/>
      <c r="KS112"/>
      <c r="KT112"/>
      <c r="KU112"/>
      <c r="KV112"/>
      <c r="KW112"/>
      <c r="KX112"/>
      <c r="KY112"/>
      <c r="KZ112"/>
      <c r="LB112" s="1">
        <v>2875942980</v>
      </c>
      <c r="LC112" s="1">
        <v>9832</v>
      </c>
      <c r="LD112" s="1">
        <v>24210</v>
      </c>
      <c r="LE112" s="1">
        <v>24210</v>
      </c>
      <c r="LF112" s="1">
        <v>9497.69</v>
      </c>
      <c r="LG112" s="1">
        <v>1</v>
      </c>
      <c r="LH112" s="1">
        <v>0</v>
      </c>
      <c r="LI112" s="1">
        <v>90</v>
      </c>
      <c r="LJ112" s="1">
        <v>60003760</v>
      </c>
      <c r="LK112" s="1">
        <v>32767</v>
      </c>
      <c r="LL112" s="1">
        <v>0</v>
      </c>
      <c r="ML112"/>
      <c r="MM112"/>
      <c r="MN112"/>
      <c r="MO112"/>
      <c r="MP112"/>
      <c r="MQ112"/>
      <c r="MR112"/>
      <c r="MS112"/>
      <c r="MT112"/>
      <c r="MU112"/>
      <c r="MV112"/>
      <c r="MX112"/>
      <c r="MY112"/>
      <c r="MZ112"/>
      <c r="NA112"/>
      <c r="NB112"/>
      <c r="NC112"/>
      <c r="ND112"/>
      <c r="NE112"/>
      <c r="NF112"/>
      <c r="NG112"/>
      <c r="NH112"/>
      <c r="NJ112" s="1">
        <v>2878469900</v>
      </c>
      <c r="NK112" s="1">
        <v>16673</v>
      </c>
      <c r="NL112" s="1">
        <v>2840800</v>
      </c>
      <c r="NM112" s="1">
        <v>2840800</v>
      </c>
      <c r="NN112" s="1">
        <v>94.82</v>
      </c>
      <c r="NO112" s="1">
        <v>1</v>
      </c>
      <c r="NP112" s="1">
        <v>1</v>
      </c>
      <c r="NQ112" s="1">
        <v>30</v>
      </c>
      <c r="NR112" s="1">
        <v>60003760</v>
      </c>
      <c r="NS112" s="1">
        <v>-1</v>
      </c>
      <c r="NT112" s="1">
        <v>0</v>
      </c>
      <c r="NV112" s="1">
        <v>2860810014</v>
      </c>
      <c r="NW112" s="1">
        <v>3689</v>
      </c>
      <c r="NX112" s="1">
        <v>500000</v>
      </c>
      <c r="NY112" s="1">
        <v>478076</v>
      </c>
      <c r="NZ112" s="1">
        <v>7202</v>
      </c>
      <c r="OA112" s="1">
        <v>1</v>
      </c>
      <c r="OB112" s="1">
        <v>1</v>
      </c>
      <c r="OC112" s="1">
        <v>90</v>
      </c>
      <c r="OD112" s="1">
        <v>60003760</v>
      </c>
      <c r="OE112" s="1">
        <v>-1</v>
      </c>
      <c r="OF112" s="1">
        <v>0</v>
      </c>
      <c r="OH112" s="1">
        <v>2874775146</v>
      </c>
      <c r="OI112" s="1">
        <v>25598</v>
      </c>
      <c r="OJ112" s="1">
        <v>500</v>
      </c>
      <c r="OK112" s="1">
        <v>500</v>
      </c>
      <c r="OL112" s="1">
        <v>146000</v>
      </c>
      <c r="OM112" s="1">
        <v>1</v>
      </c>
      <c r="ON112" s="1">
        <v>0</v>
      </c>
      <c r="OO112" s="1">
        <v>90</v>
      </c>
      <c r="OP112" s="1">
        <v>60003760</v>
      </c>
      <c r="OQ112" s="1">
        <v>32767</v>
      </c>
      <c r="OR112" s="1">
        <v>0</v>
      </c>
      <c r="OT112" s="1">
        <v>2857141467</v>
      </c>
      <c r="OU112" s="1">
        <v>25600</v>
      </c>
      <c r="OV112" s="1">
        <v>50000</v>
      </c>
      <c r="OW112" s="1">
        <v>38492</v>
      </c>
      <c r="OX112" s="1">
        <v>22534.02</v>
      </c>
      <c r="OY112" s="1">
        <v>1</v>
      </c>
      <c r="OZ112" s="1">
        <v>1</v>
      </c>
      <c r="PA112" s="1">
        <v>90</v>
      </c>
      <c r="PB112" s="1">
        <v>60003760</v>
      </c>
      <c r="PC112" s="1">
        <v>5</v>
      </c>
      <c r="PD112" s="1">
        <v>0</v>
      </c>
      <c r="PF112" s="1">
        <v>2737703435</v>
      </c>
      <c r="PG112" s="1">
        <v>16670</v>
      </c>
      <c r="PH112" s="1">
        <v>3000000</v>
      </c>
      <c r="PI112" s="1">
        <v>3000000</v>
      </c>
      <c r="PJ112" s="1">
        <v>102.95</v>
      </c>
      <c r="PK112" s="1">
        <v>1</v>
      </c>
      <c r="PL112" s="1">
        <v>1</v>
      </c>
      <c r="PM112" s="1">
        <v>90</v>
      </c>
      <c r="PN112" s="1">
        <v>60003760</v>
      </c>
      <c r="PO112" s="1">
        <v>-1</v>
      </c>
      <c r="PP112" s="1">
        <v>0</v>
      </c>
      <c r="QD112"/>
      <c r="QE112"/>
      <c r="QF112"/>
      <c r="QG112"/>
      <c r="QH112"/>
      <c r="QI112"/>
      <c r="QJ112"/>
      <c r="QK112"/>
      <c r="QL112"/>
      <c r="QM112"/>
      <c r="QN112"/>
      <c r="RB112"/>
      <c r="RC112"/>
      <c r="RD112"/>
      <c r="RE112"/>
      <c r="RF112"/>
      <c r="RG112"/>
      <c r="RH112"/>
      <c r="RI112"/>
      <c r="RJ112"/>
      <c r="RK112"/>
      <c r="RL112"/>
      <c r="SX112" s="1">
        <v>2872764814</v>
      </c>
      <c r="SY112" s="1">
        <v>25595</v>
      </c>
      <c r="SZ112" s="1">
        <v>13</v>
      </c>
      <c r="TA112" s="1">
        <v>13</v>
      </c>
      <c r="TB112" s="1">
        <v>80000</v>
      </c>
      <c r="TC112" s="1">
        <v>1</v>
      </c>
      <c r="TD112" s="1">
        <v>0</v>
      </c>
      <c r="TE112" s="1">
        <v>30</v>
      </c>
      <c r="TF112" s="1">
        <v>60003760</v>
      </c>
      <c r="TG112" s="1">
        <v>32767</v>
      </c>
      <c r="TH112" s="1">
        <v>6</v>
      </c>
      <c r="TJ112" s="1">
        <v>2863593554</v>
      </c>
      <c r="TK112" s="1">
        <v>25606</v>
      </c>
      <c r="TL112" s="1">
        <v>10000</v>
      </c>
      <c r="TM112" s="1">
        <v>9885</v>
      </c>
      <c r="TN112" s="1">
        <v>20000</v>
      </c>
      <c r="TO112" s="1">
        <v>1</v>
      </c>
      <c r="TP112" s="1">
        <v>1</v>
      </c>
      <c r="TQ112" s="1">
        <v>90</v>
      </c>
      <c r="TR112" s="1">
        <v>60003760</v>
      </c>
      <c r="TS112" s="1">
        <v>-1</v>
      </c>
      <c r="TT112" s="1">
        <v>0</v>
      </c>
    </row>
    <row r="113" spans="2:540" x14ac:dyDescent="0.25">
      <c r="B113" s="1">
        <v>2813788189</v>
      </c>
      <c r="C113" s="1">
        <v>34</v>
      </c>
      <c r="D113" s="1">
        <v>152220518</v>
      </c>
      <c r="E113" s="1">
        <v>152220518</v>
      </c>
      <c r="F113" s="1">
        <v>6.17</v>
      </c>
      <c r="G113" s="1">
        <v>1</v>
      </c>
      <c r="H113" s="1">
        <v>0</v>
      </c>
      <c r="I113" s="1">
        <v>90</v>
      </c>
      <c r="J113" s="1">
        <v>60003760</v>
      </c>
      <c r="K113" s="1">
        <v>32767</v>
      </c>
      <c r="L113" s="1">
        <v>0</v>
      </c>
      <c r="N113" s="1">
        <v>2861554343</v>
      </c>
      <c r="O113" s="1">
        <v>35</v>
      </c>
      <c r="P113" s="1">
        <v>2525420</v>
      </c>
      <c r="Q113" s="1">
        <v>362902</v>
      </c>
      <c r="R113" s="1">
        <v>15.36</v>
      </c>
      <c r="S113" s="1">
        <v>1</v>
      </c>
      <c r="T113" s="1">
        <v>0</v>
      </c>
      <c r="U113" s="1">
        <v>14</v>
      </c>
      <c r="V113" s="1">
        <v>60003760</v>
      </c>
      <c r="W113" s="1">
        <v>32767</v>
      </c>
      <c r="X113" s="1">
        <v>0</v>
      </c>
      <c r="Z113" s="1">
        <v>2842903523</v>
      </c>
      <c r="AA113" s="1">
        <v>36</v>
      </c>
      <c r="AB113" s="1">
        <v>16635028</v>
      </c>
      <c r="AC113" s="1">
        <v>16635028</v>
      </c>
      <c r="AD113" s="16">
        <v>53.99</v>
      </c>
      <c r="AE113" s="1">
        <v>1</v>
      </c>
      <c r="AF113" s="1">
        <v>0</v>
      </c>
      <c r="AG113" s="1">
        <v>90</v>
      </c>
      <c r="AH113" s="1">
        <v>60003760</v>
      </c>
      <c r="AI113" s="1">
        <v>32767</v>
      </c>
      <c r="AJ113" s="1">
        <v>11</v>
      </c>
      <c r="AL113" s="1">
        <v>2867883264</v>
      </c>
      <c r="AM113" s="1">
        <v>37</v>
      </c>
      <c r="AN113" s="1">
        <v>644272</v>
      </c>
      <c r="AO113" s="1">
        <v>257470</v>
      </c>
      <c r="AP113" s="16">
        <v>195</v>
      </c>
      <c r="AQ113" s="1">
        <v>1</v>
      </c>
      <c r="AR113" s="1">
        <v>0</v>
      </c>
      <c r="AS113" s="1">
        <v>90</v>
      </c>
      <c r="AT113" s="1">
        <v>60002743</v>
      </c>
      <c r="AU113" s="1">
        <v>32767</v>
      </c>
      <c r="AV113" s="1">
        <v>3</v>
      </c>
      <c r="AX113" s="1">
        <v>2878723342</v>
      </c>
      <c r="AY113" s="1">
        <v>38</v>
      </c>
      <c r="AZ113" s="1">
        <v>211647</v>
      </c>
      <c r="BA113" s="1">
        <v>211647</v>
      </c>
      <c r="BB113" s="1">
        <v>809.99</v>
      </c>
      <c r="BC113" s="1">
        <v>1</v>
      </c>
      <c r="BD113" s="1">
        <v>0</v>
      </c>
      <c r="BE113" s="1">
        <v>90</v>
      </c>
      <c r="BF113" s="1">
        <v>60003760</v>
      </c>
      <c r="BG113" s="1">
        <v>32767</v>
      </c>
      <c r="BH113" s="1">
        <v>5</v>
      </c>
      <c r="BJ113" s="1">
        <v>2878632404</v>
      </c>
      <c r="BK113" s="1">
        <v>39</v>
      </c>
      <c r="BL113" s="1">
        <v>6745294</v>
      </c>
      <c r="BM113" s="1">
        <v>3041104</v>
      </c>
      <c r="BN113" s="1">
        <v>790</v>
      </c>
      <c r="BO113" s="1">
        <v>1</v>
      </c>
      <c r="BP113" s="1">
        <v>0</v>
      </c>
      <c r="BQ113" s="1">
        <v>90</v>
      </c>
      <c r="BR113" s="1">
        <v>60003760</v>
      </c>
      <c r="BS113" s="1">
        <v>32767</v>
      </c>
      <c r="BT113" s="1">
        <v>5</v>
      </c>
      <c r="BV113" s="1">
        <v>2339394699</v>
      </c>
      <c r="BW113" s="1">
        <v>40</v>
      </c>
      <c r="BX113" s="1">
        <v>21000</v>
      </c>
      <c r="BY113" s="1">
        <v>20565</v>
      </c>
      <c r="BZ113" s="1">
        <v>3829.02</v>
      </c>
      <c r="CA113" s="1">
        <v>1</v>
      </c>
      <c r="CB113" s="1">
        <v>0</v>
      </c>
      <c r="CC113" s="1">
        <v>90</v>
      </c>
      <c r="CD113" s="1">
        <v>60000526</v>
      </c>
      <c r="CE113" s="1">
        <v>32767</v>
      </c>
      <c r="CF113" s="1">
        <v>9</v>
      </c>
      <c r="CH113" s="1">
        <v>2415013338</v>
      </c>
      <c r="CI113" s="1">
        <v>29668</v>
      </c>
      <c r="CJ113" s="1">
        <v>1</v>
      </c>
      <c r="CK113" s="1">
        <v>1</v>
      </c>
      <c r="CL113" s="1">
        <v>498300005</v>
      </c>
      <c r="CM113" s="1">
        <v>1</v>
      </c>
      <c r="CN113" s="1">
        <v>0</v>
      </c>
      <c r="CO113" s="1">
        <v>1</v>
      </c>
      <c r="CP113" s="1">
        <v>60003760</v>
      </c>
      <c r="CQ113" s="1">
        <v>32767</v>
      </c>
      <c r="CR113" s="1">
        <v>0</v>
      </c>
      <c r="CT113" s="1">
        <v>2415288090</v>
      </c>
      <c r="CU113" s="1">
        <v>16649</v>
      </c>
      <c r="CV113" s="1">
        <v>16000</v>
      </c>
      <c r="CW113" s="1">
        <v>16000</v>
      </c>
      <c r="CX113" s="1">
        <v>99000</v>
      </c>
      <c r="CY113" s="1">
        <v>1</v>
      </c>
      <c r="CZ113" s="1">
        <v>1</v>
      </c>
      <c r="DA113" s="1">
        <v>90</v>
      </c>
      <c r="DB113" s="1">
        <v>60003760</v>
      </c>
      <c r="DC113" s="1">
        <v>-1</v>
      </c>
      <c r="DD113" s="1">
        <v>0</v>
      </c>
      <c r="DF113" s="1">
        <v>2411222029</v>
      </c>
      <c r="DG113" s="1">
        <v>17887</v>
      </c>
      <c r="DH113" s="1">
        <v>479000</v>
      </c>
      <c r="DI113" s="1">
        <v>356000</v>
      </c>
      <c r="DJ113" s="1">
        <v>1324</v>
      </c>
      <c r="DK113" s="1">
        <v>1</v>
      </c>
      <c r="DL113" s="1">
        <v>0</v>
      </c>
      <c r="DM113" s="1">
        <v>90</v>
      </c>
      <c r="DN113" s="1">
        <v>60001795</v>
      </c>
      <c r="DO113" s="1">
        <v>32767</v>
      </c>
      <c r="DP113" s="1">
        <v>14</v>
      </c>
      <c r="DR113" s="1">
        <v>2867805866</v>
      </c>
      <c r="DS113" s="1">
        <v>17888</v>
      </c>
      <c r="DT113" s="1">
        <v>178125</v>
      </c>
      <c r="DU113" s="1">
        <v>178125</v>
      </c>
      <c r="DV113" s="1">
        <v>377.97</v>
      </c>
      <c r="DW113" s="1">
        <v>1</v>
      </c>
      <c r="DX113" s="1">
        <v>0</v>
      </c>
      <c r="DY113" s="1">
        <v>30</v>
      </c>
      <c r="DZ113" s="1">
        <v>60003760</v>
      </c>
      <c r="EA113" s="1">
        <v>32767</v>
      </c>
      <c r="EB113" s="1">
        <v>8</v>
      </c>
      <c r="ED113" s="1">
        <v>2605848854</v>
      </c>
      <c r="EE113" s="1">
        <v>16273</v>
      </c>
      <c r="EF113" s="1">
        <v>272366</v>
      </c>
      <c r="EG113" s="1">
        <v>147293</v>
      </c>
      <c r="EH113" s="1">
        <v>528.99</v>
      </c>
      <c r="EI113" s="1">
        <v>1</v>
      </c>
      <c r="EJ113" s="1">
        <v>0</v>
      </c>
      <c r="EK113" s="1">
        <v>90</v>
      </c>
      <c r="EL113" s="1">
        <v>60004468</v>
      </c>
      <c r="EM113" s="1">
        <v>32767</v>
      </c>
      <c r="EN113" s="1">
        <v>6</v>
      </c>
      <c r="EP113" s="1">
        <v>1844365679</v>
      </c>
      <c r="EQ113" s="1">
        <v>17889</v>
      </c>
      <c r="ER113" s="1">
        <v>100000</v>
      </c>
      <c r="ES113" s="1">
        <v>63977</v>
      </c>
      <c r="ET113" s="1">
        <v>90.1</v>
      </c>
      <c r="EU113" s="1">
        <v>1</v>
      </c>
      <c r="EV113" s="1">
        <v>1</v>
      </c>
      <c r="EW113" s="1">
        <v>90</v>
      </c>
      <c r="EX113" s="1">
        <v>60001783</v>
      </c>
      <c r="EY113" s="1">
        <v>10</v>
      </c>
      <c r="EZ113" s="1">
        <v>0</v>
      </c>
      <c r="FB113" s="1">
        <v>2875582465</v>
      </c>
      <c r="FC113" s="1">
        <v>30259</v>
      </c>
      <c r="FD113" s="1">
        <v>200</v>
      </c>
      <c r="FE113" s="1">
        <v>197</v>
      </c>
      <c r="FF113" s="1">
        <v>5585107.9699999997</v>
      </c>
      <c r="FG113" s="1">
        <v>1</v>
      </c>
      <c r="FH113" s="1">
        <v>1</v>
      </c>
      <c r="FI113" s="1">
        <v>90</v>
      </c>
      <c r="FJ113" s="1">
        <v>60003760</v>
      </c>
      <c r="FK113" s="1">
        <v>-1</v>
      </c>
      <c r="FL113" s="1">
        <v>0</v>
      </c>
      <c r="FZ113" s="1">
        <v>2872176864</v>
      </c>
      <c r="GA113" s="1">
        <v>44</v>
      </c>
      <c r="GB113" s="1">
        <v>10000</v>
      </c>
      <c r="GC113" s="1">
        <v>8000</v>
      </c>
      <c r="GD113" s="1">
        <v>12200.03</v>
      </c>
      <c r="GE113" s="1">
        <v>1</v>
      </c>
      <c r="GF113" s="1">
        <v>1</v>
      </c>
      <c r="GG113" s="1">
        <v>7</v>
      </c>
      <c r="GH113" s="1">
        <v>60003760</v>
      </c>
      <c r="GI113" s="1">
        <v>-1</v>
      </c>
      <c r="GJ113" s="1">
        <v>0</v>
      </c>
      <c r="GL113" s="1">
        <v>2386453134</v>
      </c>
      <c r="GM113" s="1">
        <v>16681</v>
      </c>
      <c r="GN113" s="1">
        <v>10000</v>
      </c>
      <c r="GO113" s="1">
        <v>396</v>
      </c>
      <c r="GP113" s="1">
        <v>5024.04</v>
      </c>
      <c r="GQ113" s="1">
        <v>1</v>
      </c>
      <c r="GR113" s="1">
        <v>1</v>
      </c>
      <c r="GS113" s="1">
        <v>90</v>
      </c>
      <c r="GT113" s="1">
        <v>60001654</v>
      </c>
      <c r="GU113" s="1">
        <v>10</v>
      </c>
      <c r="GV113" s="1">
        <v>0</v>
      </c>
      <c r="GX113"/>
      <c r="GY113"/>
      <c r="GZ113"/>
      <c r="HA113"/>
      <c r="HB113"/>
      <c r="HC113"/>
      <c r="HD113"/>
      <c r="HE113"/>
      <c r="HF113"/>
      <c r="HG113"/>
      <c r="HH113"/>
      <c r="HV113" s="1">
        <v>2875738894</v>
      </c>
      <c r="HW113" s="1">
        <v>16274</v>
      </c>
      <c r="HX113" s="1">
        <v>2000000</v>
      </c>
      <c r="HY113" s="1">
        <v>2000000</v>
      </c>
      <c r="HZ113" s="1">
        <v>329.4</v>
      </c>
      <c r="IA113" s="1">
        <v>1</v>
      </c>
      <c r="IB113" s="1">
        <v>1</v>
      </c>
      <c r="IC113" s="1">
        <v>30</v>
      </c>
      <c r="ID113" s="1">
        <v>60003760</v>
      </c>
      <c r="IE113" s="1">
        <v>-1</v>
      </c>
      <c r="IF113" s="1">
        <v>0</v>
      </c>
      <c r="IT113" s="1">
        <v>2878614865</v>
      </c>
      <c r="IU113" s="1">
        <v>16679</v>
      </c>
      <c r="IV113" s="1">
        <v>500000</v>
      </c>
      <c r="IW113" s="1">
        <v>500000</v>
      </c>
      <c r="IX113" s="1">
        <v>1691.03</v>
      </c>
      <c r="IY113" s="1">
        <v>1</v>
      </c>
      <c r="IZ113" s="1">
        <v>1</v>
      </c>
      <c r="JA113" s="1">
        <v>90</v>
      </c>
      <c r="JB113" s="1">
        <v>60003760</v>
      </c>
      <c r="JC113" s="1">
        <v>-1</v>
      </c>
      <c r="JD113" s="1">
        <v>0</v>
      </c>
      <c r="JF113" s="1">
        <v>2879106469</v>
      </c>
      <c r="JG113" s="1">
        <v>16272</v>
      </c>
      <c r="JH113" s="1">
        <v>429287</v>
      </c>
      <c r="JI113" s="1">
        <v>429287</v>
      </c>
      <c r="JJ113" s="1">
        <v>74.099999999999994</v>
      </c>
      <c r="JK113" s="1">
        <v>1</v>
      </c>
      <c r="JL113" s="1">
        <v>0</v>
      </c>
      <c r="JM113" s="1">
        <v>90</v>
      </c>
      <c r="JN113" s="1">
        <v>60003760</v>
      </c>
      <c r="JO113" s="1">
        <v>32767</v>
      </c>
      <c r="JP113" s="1">
        <v>0</v>
      </c>
      <c r="KD113" s="1">
        <v>2878379185</v>
      </c>
      <c r="KE113" s="1">
        <v>25605</v>
      </c>
      <c r="KF113" s="1">
        <v>100</v>
      </c>
      <c r="KG113" s="1">
        <v>100</v>
      </c>
      <c r="KH113" s="1">
        <v>55000</v>
      </c>
      <c r="KI113" s="1">
        <v>1</v>
      </c>
      <c r="KJ113" s="1">
        <v>1</v>
      </c>
      <c r="KK113" s="1">
        <v>30</v>
      </c>
      <c r="KL113" s="1">
        <v>60004366</v>
      </c>
      <c r="KM113" s="1">
        <v>0</v>
      </c>
      <c r="KN113" s="1">
        <v>0</v>
      </c>
      <c r="KP113"/>
      <c r="KQ113"/>
      <c r="KR113"/>
      <c r="KS113"/>
      <c r="KT113"/>
      <c r="KU113"/>
      <c r="KV113"/>
      <c r="KW113"/>
      <c r="KX113"/>
      <c r="KY113"/>
      <c r="KZ113"/>
      <c r="LB113" s="1">
        <v>2878821950</v>
      </c>
      <c r="LC113" s="1">
        <v>9832</v>
      </c>
      <c r="LD113" s="1">
        <v>25005</v>
      </c>
      <c r="LE113" s="1">
        <v>25005</v>
      </c>
      <c r="LF113" s="1">
        <v>9497.65</v>
      </c>
      <c r="LG113" s="1">
        <v>1</v>
      </c>
      <c r="LH113" s="1">
        <v>0</v>
      </c>
      <c r="LI113" s="1">
        <v>90</v>
      </c>
      <c r="LJ113" s="1">
        <v>60003760</v>
      </c>
      <c r="LK113" s="1">
        <v>32767</v>
      </c>
      <c r="LL113" s="1">
        <v>0</v>
      </c>
      <c r="ML113"/>
      <c r="MM113"/>
      <c r="MN113"/>
      <c r="MO113"/>
      <c r="MP113"/>
      <c r="MQ113"/>
      <c r="MR113"/>
      <c r="MS113"/>
      <c r="MT113"/>
      <c r="MU113"/>
      <c r="MV113"/>
      <c r="MX113"/>
      <c r="MY113"/>
      <c r="MZ113"/>
      <c r="NA113"/>
      <c r="NB113"/>
      <c r="NC113"/>
      <c r="ND113"/>
      <c r="NE113"/>
      <c r="NF113"/>
      <c r="NG113"/>
      <c r="NH113"/>
      <c r="NJ113" s="1">
        <v>2877128944</v>
      </c>
      <c r="NK113" s="1">
        <v>16673</v>
      </c>
      <c r="NL113" s="1">
        <v>20000000</v>
      </c>
      <c r="NM113" s="1">
        <v>7092842</v>
      </c>
      <c r="NN113" s="1">
        <v>95.01</v>
      </c>
      <c r="NO113" s="1">
        <v>1</v>
      </c>
      <c r="NP113" s="1">
        <v>1</v>
      </c>
      <c r="NQ113" s="1">
        <v>90</v>
      </c>
      <c r="NR113" s="1">
        <v>60003760</v>
      </c>
      <c r="NS113" s="1">
        <v>-1</v>
      </c>
      <c r="NT113" s="1">
        <v>0</v>
      </c>
      <c r="NV113" s="1">
        <v>2643194135</v>
      </c>
      <c r="NW113" s="1">
        <v>3689</v>
      </c>
      <c r="NX113" s="1">
        <v>100000</v>
      </c>
      <c r="NY113" s="1">
        <v>87529</v>
      </c>
      <c r="NZ113" s="1">
        <v>4001.49</v>
      </c>
      <c r="OA113" s="1">
        <v>1</v>
      </c>
      <c r="OB113" s="1">
        <v>1</v>
      </c>
      <c r="OC113" s="1">
        <v>90</v>
      </c>
      <c r="OD113" s="1">
        <v>60003760</v>
      </c>
      <c r="OE113" s="1">
        <v>5</v>
      </c>
      <c r="OF113" s="1">
        <v>0</v>
      </c>
      <c r="OH113" s="1">
        <v>2874454360</v>
      </c>
      <c r="OI113" s="1">
        <v>25598</v>
      </c>
      <c r="OJ113" s="1">
        <v>36</v>
      </c>
      <c r="OK113" s="1">
        <v>36</v>
      </c>
      <c r="OL113" s="1">
        <v>145000</v>
      </c>
      <c r="OM113" s="1">
        <v>1</v>
      </c>
      <c r="ON113" s="1">
        <v>0</v>
      </c>
      <c r="OO113" s="1">
        <v>7</v>
      </c>
      <c r="OP113" s="1">
        <v>60003760</v>
      </c>
      <c r="OQ113" s="1">
        <v>32767</v>
      </c>
      <c r="OR113" s="1">
        <v>0</v>
      </c>
      <c r="OT113" s="1">
        <v>2857377027</v>
      </c>
      <c r="OU113" s="1">
        <v>25600</v>
      </c>
      <c r="OV113" s="1">
        <v>50000</v>
      </c>
      <c r="OW113" s="1">
        <v>50000</v>
      </c>
      <c r="OX113" s="1">
        <v>25250</v>
      </c>
      <c r="OY113" s="1">
        <v>1</v>
      </c>
      <c r="OZ113" s="1">
        <v>1</v>
      </c>
      <c r="PA113" s="1">
        <v>90</v>
      </c>
      <c r="PB113" s="1">
        <v>60003760</v>
      </c>
      <c r="PC113" s="1">
        <v>-1</v>
      </c>
      <c r="PD113" s="1">
        <v>0</v>
      </c>
      <c r="PF113" s="1">
        <v>2875425730</v>
      </c>
      <c r="PG113" s="1">
        <v>16670</v>
      </c>
      <c r="PH113" s="1">
        <v>10000000</v>
      </c>
      <c r="PI113" s="1">
        <v>10000000</v>
      </c>
      <c r="PJ113" s="1">
        <v>102.94</v>
      </c>
      <c r="PK113" s="1">
        <v>1</v>
      </c>
      <c r="PL113" s="1">
        <v>1</v>
      </c>
      <c r="PM113" s="1">
        <v>90</v>
      </c>
      <c r="PN113" s="1">
        <v>60003760</v>
      </c>
      <c r="PO113" s="1">
        <v>-1</v>
      </c>
      <c r="PP113" s="1">
        <v>0</v>
      </c>
      <c r="QD113"/>
      <c r="QE113"/>
      <c r="QF113"/>
      <c r="QG113"/>
      <c r="QH113"/>
      <c r="QI113"/>
      <c r="QJ113"/>
      <c r="QK113"/>
      <c r="QL113"/>
      <c r="QM113"/>
      <c r="QN113"/>
      <c r="RB113"/>
      <c r="RC113"/>
      <c r="RD113"/>
      <c r="RE113"/>
      <c r="RF113"/>
      <c r="RG113"/>
      <c r="RH113"/>
      <c r="RI113"/>
      <c r="RJ113"/>
      <c r="RK113"/>
      <c r="RL113"/>
      <c r="SX113" s="1">
        <v>2872564009</v>
      </c>
      <c r="SY113" s="1">
        <v>25595</v>
      </c>
      <c r="SZ113" s="1">
        <v>80</v>
      </c>
      <c r="TA113" s="1">
        <v>51</v>
      </c>
      <c r="TB113" s="1">
        <v>80468.37</v>
      </c>
      <c r="TC113" s="1">
        <v>1</v>
      </c>
      <c r="TD113" s="1">
        <v>0</v>
      </c>
      <c r="TE113" s="1">
        <v>90</v>
      </c>
      <c r="TF113" s="1">
        <v>60003760</v>
      </c>
      <c r="TG113" s="1">
        <v>32767</v>
      </c>
      <c r="TH113" s="1">
        <v>6</v>
      </c>
      <c r="TJ113" s="1">
        <v>2863847901</v>
      </c>
      <c r="TK113" s="1">
        <v>25606</v>
      </c>
      <c r="TL113" s="1">
        <v>3000</v>
      </c>
      <c r="TM113" s="1">
        <v>1659</v>
      </c>
      <c r="TN113" s="1">
        <v>19011</v>
      </c>
      <c r="TO113" s="1">
        <v>1</v>
      </c>
      <c r="TP113" s="1">
        <v>1</v>
      </c>
      <c r="TQ113" s="1">
        <v>90</v>
      </c>
      <c r="TR113" s="1">
        <v>60003760</v>
      </c>
      <c r="TS113" s="1">
        <v>32767</v>
      </c>
      <c r="TT113" s="1">
        <v>0</v>
      </c>
    </row>
    <row r="114" spans="2:540" x14ac:dyDescent="0.25">
      <c r="B114" s="1">
        <v>2810368050</v>
      </c>
      <c r="C114" s="1">
        <v>34</v>
      </c>
      <c r="D114" s="1">
        <v>85000000</v>
      </c>
      <c r="E114" s="1">
        <v>85000000</v>
      </c>
      <c r="F114" s="1">
        <v>6.29</v>
      </c>
      <c r="G114" s="1">
        <v>1</v>
      </c>
      <c r="H114" s="1">
        <v>0</v>
      </c>
      <c r="I114" s="1">
        <v>90</v>
      </c>
      <c r="J114" s="1">
        <v>60003760</v>
      </c>
      <c r="K114" s="1">
        <v>32767</v>
      </c>
      <c r="L114" s="1">
        <v>0</v>
      </c>
      <c r="N114" s="1">
        <v>2862666134</v>
      </c>
      <c r="O114" s="1">
        <v>35</v>
      </c>
      <c r="P114" s="1">
        <v>800000</v>
      </c>
      <c r="Q114" s="1">
        <v>800000</v>
      </c>
      <c r="R114" s="1">
        <v>15.29</v>
      </c>
      <c r="S114" s="1">
        <v>1</v>
      </c>
      <c r="T114" s="1">
        <v>0</v>
      </c>
      <c r="U114" s="1">
        <v>14</v>
      </c>
      <c r="V114" s="1">
        <v>60003760</v>
      </c>
      <c r="W114" s="1">
        <v>32767</v>
      </c>
      <c r="X114" s="1">
        <v>0</v>
      </c>
      <c r="Z114" s="1">
        <v>2842943597</v>
      </c>
      <c r="AA114" s="1">
        <v>36</v>
      </c>
      <c r="AB114" s="1">
        <v>8163</v>
      </c>
      <c r="AC114" s="1">
        <v>8163</v>
      </c>
      <c r="AD114" s="16">
        <v>60.4</v>
      </c>
      <c r="AE114" s="1">
        <v>1</v>
      </c>
      <c r="AF114" s="1">
        <v>0</v>
      </c>
      <c r="AG114" s="1">
        <v>30</v>
      </c>
      <c r="AH114" s="1">
        <v>60003760</v>
      </c>
      <c r="AI114" s="1">
        <v>32767</v>
      </c>
      <c r="AJ114" s="1">
        <v>11</v>
      </c>
      <c r="AL114" s="1">
        <v>2875658341</v>
      </c>
      <c r="AM114" s="1">
        <v>37</v>
      </c>
      <c r="AN114" s="1">
        <v>1000000</v>
      </c>
      <c r="AO114" s="1">
        <v>1000000</v>
      </c>
      <c r="AP114" s="16">
        <v>200</v>
      </c>
      <c r="AQ114" s="1">
        <v>1</v>
      </c>
      <c r="AR114" s="1">
        <v>0</v>
      </c>
      <c r="AS114" s="1">
        <v>90</v>
      </c>
      <c r="AT114" s="1">
        <v>60002743</v>
      </c>
      <c r="AU114" s="1">
        <v>32767</v>
      </c>
      <c r="AV114" s="1">
        <v>3</v>
      </c>
      <c r="AX114" s="1">
        <v>2878756622</v>
      </c>
      <c r="AY114" s="1">
        <v>38</v>
      </c>
      <c r="AZ114" s="1">
        <v>22925</v>
      </c>
      <c r="BA114" s="1">
        <v>12925</v>
      </c>
      <c r="BB114" s="1">
        <v>809.91</v>
      </c>
      <c r="BC114" s="1">
        <v>1</v>
      </c>
      <c r="BD114" s="1">
        <v>0</v>
      </c>
      <c r="BE114" s="1">
        <v>90</v>
      </c>
      <c r="BF114" s="1">
        <v>60003760</v>
      </c>
      <c r="BG114" s="1">
        <v>32767</v>
      </c>
      <c r="BH114" s="1">
        <v>5</v>
      </c>
      <c r="BJ114" s="1">
        <v>2878629911</v>
      </c>
      <c r="BK114" s="1">
        <v>39</v>
      </c>
      <c r="BL114" s="1">
        <v>100000</v>
      </c>
      <c r="BM114" s="1">
        <v>50000</v>
      </c>
      <c r="BN114" s="1">
        <v>809.95</v>
      </c>
      <c r="BO114" s="1">
        <v>1</v>
      </c>
      <c r="BP114" s="1">
        <v>0</v>
      </c>
      <c r="BQ114" s="1">
        <v>90</v>
      </c>
      <c r="BR114" s="1">
        <v>60003760</v>
      </c>
      <c r="BS114" s="1">
        <v>32767</v>
      </c>
      <c r="BT114" s="1">
        <v>5</v>
      </c>
      <c r="BV114" s="1">
        <v>2394546574</v>
      </c>
      <c r="BW114" s="1">
        <v>40</v>
      </c>
      <c r="BX114" s="1">
        <v>88500</v>
      </c>
      <c r="BY114" s="1">
        <v>73279</v>
      </c>
      <c r="BZ114" s="1">
        <v>3000</v>
      </c>
      <c r="CA114" s="1">
        <v>1</v>
      </c>
      <c r="CB114" s="1">
        <v>0</v>
      </c>
      <c r="CC114" s="1">
        <v>90</v>
      </c>
      <c r="CD114" s="1">
        <v>60007588</v>
      </c>
      <c r="CE114" s="1">
        <v>32767</v>
      </c>
      <c r="CF114" s="1">
        <v>12</v>
      </c>
      <c r="CH114" s="1">
        <v>2415019106</v>
      </c>
      <c r="CI114" s="1">
        <v>29668</v>
      </c>
      <c r="CJ114" s="1">
        <v>1</v>
      </c>
      <c r="CK114" s="1">
        <v>1</v>
      </c>
      <c r="CL114" s="1">
        <v>494980200.55000001</v>
      </c>
      <c r="CM114" s="1">
        <v>1</v>
      </c>
      <c r="CN114" s="1">
        <v>0</v>
      </c>
      <c r="CO114" s="1">
        <v>90</v>
      </c>
      <c r="CP114" s="1">
        <v>60003760</v>
      </c>
      <c r="CQ114" s="1">
        <v>32767</v>
      </c>
      <c r="CR114" s="1">
        <v>0</v>
      </c>
      <c r="CT114" s="1">
        <v>2415258052</v>
      </c>
      <c r="CU114" s="1">
        <v>16649</v>
      </c>
      <c r="CV114" s="1">
        <v>12000</v>
      </c>
      <c r="CW114" s="1">
        <v>12000</v>
      </c>
      <c r="CX114" s="1">
        <v>99000.92</v>
      </c>
      <c r="CY114" s="1">
        <v>1</v>
      </c>
      <c r="CZ114" s="1">
        <v>1</v>
      </c>
      <c r="DA114" s="1">
        <v>30</v>
      </c>
      <c r="DB114" s="1">
        <v>60003760</v>
      </c>
      <c r="DC114" s="1">
        <v>-1</v>
      </c>
      <c r="DD114" s="1">
        <v>0</v>
      </c>
      <c r="DF114" s="1">
        <v>2411222389</v>
      </c>
      <c r="DG114" s="1">
        <v>17887</v>
      </c>
      <c r="DH114" s="1">
        <v>522823</v>
      </c>
      <c r="DI114" s="1">
        <v>522823</v>
      </c>
      <c r="DJ114" s="1">
        <v>1459</v>
      </c>
      <c r="DK114" s="1">
        <v>1</v>
      </c>
      <c r="DL114" s="1">
        <v>0</v>
      </c>
      <c r="DM114" s="1">
        <v>90</v>
      </c>
      <c r="DN114" s="1">
        <v>60001795</v>
      </c>
      <c r="DO114" s="1">
        <v>32767</v>
      </c>
      <c r="DP114" s="1">
        <v>14</v>
      </c>
      <c r="DR114" s="1">
        <v>2869986548</v>
      </c>
      <c r="DS114" s="1">
        <v>17888</v>
      </c>
      <c r="DT114" s="1">
        <v>26000</v>
      </c>
      <c r="DU114" s="1">
        <v>14000</v>
      </c>
      <c r="DV114" s="1">
        <v>344.82</v>
      </c>
      <c r="DW114" s="1">
        <v>1</v>
      </c>
      <c r="DX114" s="1">
        <v>0</v>
      </c>
      <c r="DY114" s="1">
        <v>90</v>
      </c>
      <c r="DZ114" s="1">
        <v>60003760</v>
      </c>
      <c r="EA114" s="1">
        <v>32767</v>
      </c>
      <c r="EB114" s="1">
        <v>8</v>
      </c>
      <c r="ED114" s="1">
        <v>2805649504</v>
      </c>
      <c r="EE114" s="1">
        <v>16273</v>
      </c>
      <c r="EF114" s="1">
        <v>150000</v>
      </c>
      <c r="EG114" s="1">
        <v>13975</v>
      </c>
      <c r="EH114" s="1">
        <v>499.99</v>
      </c>
      <c r="EI114" s="1">
        <v>1</v>
      </c>
      <c r="EJ114" s="1">
        <v>0</v>
      </c>
      <c r="EK114" s="1">
        <v>90</v>
      </c>
      <c r="EL114" s="1">
        <v>60004381</v>
      </c>
      <c r="EM114" s="1">
        <v>32767</v>
      </c>
      <c r="EN114" s="1">
        <v>9</v>
      </c>
      <c r="EP114" s="1">
        <v>2781088120</v>
      </c>
      <c r="EQ114" s="1">
        <v>17889</v>
      </c>
      <c r="ER114" s="1">
        <v>1000000</v>
      </c>
      <c r="ES114" s="1">
        <v>139311</v>
      </c>
      <c r="ET114" s="1">
        <v>264.43</v>
      </c>
      <c r="EU114" s="1">
        <v>10000</v>
      </c>
      <c r="EV114" s="1">
        <v>1</v>
      </c>
      <c r="EW114" s="1">
        <v>90</v>
      </c>
      <c r="EX114" s="1">
        <v>60002236</v>
      </c>
      <c r="EY114" s="1">
        <v>32767</v>
      </c>
      <c r="EZ114" s="1">
        <v>0</v>
      </c>
      <c r="FB114" s="1">
        <v>2875143381</v>
      </c>
      <c r="FC114" s="1">
        <v>30259</v>
      </c>
      <c r="FD114" s="1">
        <v>100</v>
      </c>
      <c r="FE114" s="1">
        <v>100</v>
      </c>
      <c r="FF114" s="1">
        <v>5574103.5499999998</v>
      </c>
      <c r="FG114" s="1">
        <v>1</v>
      </c>
      <c r="FH114" s="1">
        <v>1</v>
      </c>
      <c r="FI114" s="1">
        <v>90</v>
      </c>
      <c r="FJ114" s="1">
        <v>60003760</v>
      </c>
      <c r="FK114" s="1">
        <v>-1</v>
      </c>
      <c r="FL114" s="1">
        <v>0</v>
      </c>
      <c r="FZ114" s="1">
        <v>2873202092</v>
      </c>
      <c r="GA114" s="1">
        <v>44</v>
      </c>
      <c r="GB114" s="1">
        <v>11520</v>
      </c>
      <c r="GC114" s="1">
        <v>11520</v>
      </c>
      <c r="GD114" s="1">
        <v>12216</v>
      </c>
      <c r="GE114" s="1">
        <v>1</v>
      </c>
      <c r="GF114" s="1">
        <v>1</v>
      </c>
      <c r="GG114" s="1">
        <v>90</v>
      </c>
      <c r="GH114" s="1">
        <v>60003760</v>
      </c>
      <c r="GI114" s="1">
        <v>-1</v>
      </c>
      <c r="GJ114" s="1">
        <v>0</v>
      </c>
      <c r="GL114" s="1">
        <v>2393686077</v>
      </c>
      <c r="GM114" s="1">
        <v>16681</v>
      </c>
      <c r="GN114" s="1">
        <v>25000</v>
      </c>
      <c r="GO114" s="1">
        <v>25000</v>
      </c>
      <c r="GP114" s="1">
        <v>5670</v>
      </c>
      <c r="GQ114" s="1">
        <v>1</v>
      </c>
      <c r="GR114" s="1">
        <v>1</v>
      </c>
      <c r="GS114" s="1">
        <v>90</v>
      </c>
      <c r="GT114" s="1">
        <v>60003040</v>
      </c>
      <c r="GU114" s="1">
        <v>-1</v>
      </c>
      <c r="GV114" s="1">
        <v>0</v>
      </c>
      <c r="GX114"/>
      <c r="GY114"/>
      <c r="GZ114"/>
      <c r="HA114"/>
      <c r="HB114"/>
      <c r="HC114"/>
      <c r="HD114"/>
      <c r="HE114"/>
      <c r="HF114"/>
      <c r="HG114"/>
      <c r="HH114"/>
      <c r="HV114" s="1">
        <v>2875784875</v>
      </c>
      <c r="HW114" s="1">
        <v>16274</v>
      </c>
      <c r="HX114" s="1">
        <v>1000000</v>
      </c>
      <c r="HY114" s="1">
        <v>1000000</v>
      </c>
      <c r="HZ114" s="1">
        <v>329.15</v>
      </c>
      <c r="IA114" s="1">
        <v>1</v>
      </c>
      <c r="IB114" s="1">
        <v>1</v>
      </c>
      <c r="IC114" s="1">
        <v>30</v>
      </c>
      <c r="ID114" s="1">
        <v>60003760</v>
      </c>
      <c r="IE114" s="1">
        <v>-1</v>
      </c>
      <c r="IF114" s="1">
        <v>0</v>
      </c>
      <c r="IT114" s="1">
        <v>2878257197</v>
      </c>
      <c r="IU114" s="1">
        <v>16679</v>
      </c>
      <c r="IV114" s="1">
        <v>1000000</v>
      </c>
      <c r="IW114" s="1">
        <v>1000000</v>
      </c>
      <c r="IX114" s="1">
        <v>1691.08</v>
      </c>
      <c r="IY114" s="1">
        <v>1</v>
      </c>
      <c r="IZ114" s="1">
        <v>1</v>
      </c>
      <c r="JA114" s="1">
        <v>90</v>
      </c>
      <c r="JB114" s="1">
        <v>60003760</v>
      </c>
      <c r="JC114" s="1">
        <v>-1</v>
      </c>
      <c r="JD114" s="1">
        <v>0</v>
      </c>
      <c r="JF114" s="1">
        <v>2879000295</v>
      </c>
      <c r="JG114" s="1">
        <v>16272</v>
      </c>
      <c r="JH114" s="1">
        <v>5098846</v>
      </c>
      <c r="JI114" s="1">
        <v>3742361</v>
      </c>
      <c r="JJ114" s="1">
        <v>74.09</v>
      </c>
      <c r="JK114" s="1">
        <v>1</v>
      </c>
      <c r="JL114" s="1">
        <v>0</v>
      </c>
      <c r="JM114" s="1">
        <v>7</v>
      </c>
      <c r="JN114" s="1">
        <v>60003760</v>
      </c>
      <c r="JO114" s="1">
        <v>32767</v>
      </c>
      <c r="JP114" s="1">
        <v>0</v>
      </c>
      <c r="KD114" s="1">
        <v>2878640558</v>
      </c>
      <c r="KE114" s="1">
        <v>25605</v>
      </c>
      <c r="KF114" s="1">
        <v>500</v>
      </c>
      <c r="KG114" s="1">
        <v>407</v>
      </c>
      <c r="KH114" s="1">
        <v>102501.5</v>
      </c>
      <c r="KI114" s="1">
        <v>1</v>
      </c>
      <c r="KJ114" s="1">
        <v>1</v>
      </c>
      <c r="KK114" s="1">
        <v>30</v>
      </c>
      <c r="KL114" s="1">
        <v>60003760</v>
      </c>
      <c r="KM114" s="1">
        <v>4</v>
      </c>
      <c r="KN114" s="1">
        <v>0</v>
      </c>
      <c r="KP114"/>
      <c r="KQ114"/>
      <c r="KR114"/>
      <c r="KS114"/>
      <c r="KT114"/>
      <c r="KU114"/>
      <c r="KV114"/>
      <c r="KW114"/>
      <c r="KX114"/>
      <c r="KY114"/>
      <c r="KZ114"/>
      <c r="LB114" s="1">
        <v>2878837298</v>
      </c>
      <c r="LC114" s="1">
        <v>9832</v>
      </c>
      <c r="LD114" s="1">
        <v>44140</v>
      </c>
      <c r="LE114" s="1">
        <v>44140</v>
      </c>
      <c r="LF114" s="1">
        <v>9490</v>
      </c>
      <c r="LG114" s="1">
        <v>1</v>
      </c>
      <c r="LH114" s="1">
        <v>0</v>
      </c>
      <c r="LI114" s="1">
        <v>90</v>
      </c>
      <c r="LJ114" s="1">
        <v>60003760</v>
      </c>
      <c r="LK114" s="1">
        <v>32767</v>
      </c>
      <c r="LL114" s="1">
        <v>0</v>
      </c>
      <c r="ML114"/>
      <c r="MM114"/>
      <c r="MN114"/>
      <c r="MO114"/>
      <c r="MP114"/>
      <c r="MQ114"/>
      <c r="MR114"/>
      <c r="MS114"/>
      <c r="MT114"/>
      <c r="MU114"/>
      <c r="MV114"/>
      <c r="MX114"/>
      <c r="MY114"/>
      <c r="MZ114"/>
      <c r="NA114"/>
      <c r="NB114"/>
      <c r="NC114"/>
      <c r="ND114"/>
      <c r="NE114"/>
      <c r="NF114"/>
      <c r="NG114"/>
      <c r="NH114"/>
      <c r="NJ114" s="1">
        <v>2878613445</v>
      </c>
      <c r="NK114" s="1">
        <v>16673</v>
      </c>
      <c r="NL114" s="1">
        <v>6000000</v>
      </c>
      <c r="NM114" s="1">
        <v>6000000</v>
      </c>
      <c r="NN114" s="1">
        <v>95.08</v>
      </c>
      <c r="NO114" s="1">
        <v>1</v>
      </c>
      <c r="NP114" s="1">
        <v>1</v>
      </c>
      <c r="NQ114" s="1">
        <v>90</v>
      </c>
      <c r="NR114" s="1">
        <v>60003760</v>
      </c>
      <c r="NS114" s="1">
        <v>-1</v>
      </c>
      <c r="NT114" s="1">
        <v>0</v>
      </c>
      <c r="NV114" s="1">
        <v>2643194765</v>
      </c>
      <c r="NW114" s="1">
        <v>3689</v>
      </c>
      <c r="NX114" s="1">
        <v>400000</v>
      </c>
      <c r="NY114" s="1">
        <v>399386</v>
      </c>
      <c r="NZ114" s="1">
        <v>1800.07</v>
      </c>
      <c r="OA114" s="1">
        <v>10</v>
      </c>
      <c r="OB114" s="1">
        <v>1</v>
      </c>
      <c r="OC114" s="1">
        <v>90</v>
      </c>
      <c r="OD114" s="1">
        <v>60003760</v>
      </c>
      <c r="OE114" s="1">
        <v>20</v>
      </c>
      <c r="OF114" s="1">
        <v>0</v>
      </c>
      <c r="OH114" s="1">
        <v>2875716890</v>
      </c>
      <c r="OI114" s="1">
        <v>25598</v>
      </c>
      <c r="OJ114" s="1">
        <v>135</v>
      </c>
      <c r="OK114" s="1">
        <v>135</v>
      </c>
      <c r="OL114" s="1">
        <v>170000</v>
      </c>
      <c r="OM114" s="1">
        <v>1</v>
      </c>
      <c r="ON114" s="1">
        <v>0</v>
      </c>
      <c r="OO114" s="1">
        <v>7</v>
      </c>
      <c r="OP114" s="1">
        <v>60003760</v>
      </c>
      <c r="OQ114" s="1">
        <v>32767</v>
      </c>
      <c r="OR114" s="1">
        <v>0</v>
      </c>
      <c r="OT114" s="1">
        <v>2857378499</v>
      </c>
      <c r="OU114" s="1">
        <v>25600</v>
      </c>
      <c r="OV114" s="1">
        <v>50000</v>
      </c>
      <c r="OW114" s="1">
        <v>49785</v>
      </c>
      <c r="OX114" s="1">
        <v>25750</v>
      </c>
      <c r="OY114" s="1">
        <v>1</v>
      </c>
      <c r="OZ114" s="1">
        <v>1</v>
      </c>
      <c r="PA114" s="1">
        <v>90</v>
      </c>
      <c r="PB114" s="1">
        <v>60003760</v>
      </c>
      <c r="PC114" s="1">
        <v>-1</v>
      </c>
      <c r="PD114" s="1">
        <v>0</v>
      </c>
      <c r="PF114" s="1">
        <v>2875212183</v>
      </c>
      <c r="PG114" s="1">
        <v>16670</v>
      </c>
      <c r="PH114" s="1">
        <v>10000000</v>
      </c>
      <c r="PI114" s="1">
        <v>10000000</v>
      </c>
      <c r="PJ114" s="1">
        <v>90</v>
      </c>
      <c r="PK114" s="1">
        <v>1</v>
      </c>
      <c r="PL114" s="1">
        <v>1</v>
      </c>
      <c r="PM114" s="1">
        <v>90</v>
      </c>
      <c r="PN114" s="1">
        <v>60003760</v>
      </c>
      <c r="PO114" s="1">
        <v>0</v>
      </c>
      <c r="PP114" s="1">
        <v>0</v>
      </c>
      <c r="QD114"/>
      <c r="QE114"/>
      <c r="QF114"/>
      <c r="QG114"/>
      <c r="QH114"/>
      <c r="QI114"/>
      <c r="QJ114"/>
      <c r="QK114"/>
      <c r="QL114"/>
      <c r="QM114"/>
      <c r="QN114"/>
      <c r="RB114"/>
      <c r="RC114"/>
      <c r="RD114"/>
      <c r="RE114"/>
      <c r="RF114"/>
      <c r="RG114"/>
      <c r="RH114"/>
      <c r="RI114"/>
      <c r="RJ114"/>
      <c r="RK114"/>
      <c r="RL114"/>
      <c r="SX114" s="1">
        <v>2873062438</v>
      </c>
      <c r="SY114" s="1">
        <v>25595</v>
      </c>
      <c r="SZ114" s="1">
        <v>8</v>
      </c>
      <c r="TA114" s="1">
        <v>8</v>
      </c>
      <c r="TB114" s="1">
        <v>79500</v>
      </c>
      <c r="TC114" s="1">
        <v>1</v>
      </c>
      <c r="TD114" s="1">
        <v>0</v>
      </c>
      <c r="TE114" s="1">
        <v>7</v>
      </c>
      <c r="TF114" s="1">
        <v>60003760</v>
      </c>
      <c r="TG114" s="1">
        <v>32767</v>
      </c>
      <c r="TH114" s="1">
        <v>6</v>
      </c>
      <c r="TJ114" s="1">
        <v>2863899724</v>
      </c>
      <c r="TK114" s="1">
        <v>25606</v>
      </c>
      <c r="TL114" s="1">
        <v>5000</v>
      </c>
      <c r="TM114" s="1">
        <v>2420</v>
      </c>
      <c r="TN114" s="1">
        <v>19010</v>
      </c>
      <c r="TO114" s="1">
        <v>1</v>
      </c>
      <c r="TP114" s="1">
        <v>1</v>
      </c>
      <c r="TQ114" s="1">
        <v>90</v>
      </c>
      <c r="TR114" s="1">
        <v>60003760</v>
      </c>
      <c r="TS114" s="1">
        <v>32767</v>
      </c>
      <c r="TT114" s="1">
        <v>0</v>
      </c>
    </row>
    <row r="115" spans="2:540" x14ac:dyDescent="0.25">
      <c r="B115" s="1">
        <v>2807519322</v>
      </c>
      <c r="C115" s="1">
        <v>34</v>
      </c>
      <c r="D115" s="1">
        <v>11169937</v>
      </c>
      <c r="E115" s="1">
        <v>11169937</v>
      </c>
      <c r="F115" s="1">
        <v>7</v>
      </c>
      <c r="G115" s="1">
        <v>1</v>
      </c>
      <c r="H115" s="1">
        <v>0</v>
      </c>
      <c r="I115" s="1">
        <v>90</v>
      </c>
      <c r="J115" s="1">
        <v>60003760</v>
      </c>
      <c r="K115" s="1">
        <v>32767</v>
      </c>
      <c r="L115" s="1">
        <v>0</v>
      </c>
      <c r="N115" s="1">
        <v>2862666614</v>
      </c>
      <c r="O115" s="1">
        <v>35</v>
      </c>
      <c r="P115" s="1">
        <v>800000</v>
      </c>
      <c r="Q115" s="1">
        <v>800000</v>
      </c>
      <c r="R115" s="1">
        <v>15.28</v>
      </c>
      <c r="S115" s="1">
        <v>1</v>
      </c>
      <c r="T115" s="1">
        <v>0</v>
      </c>
      <c r="U115" s="1">
        <v>14</v>
      </c>
      <c r="V115" s="1">
        <v>60003760</v>
      </c>
      <c r="W115" s="1">
        <v>32767</v>
      </c>
      <c r="X115" s="1">
        <v>0</v>
      </c>
      <c r="Z115" s="1">
        <v>2842942679</v>
      </c>
      <c r="AA115" s="1">
        <v>36</v>
      </c>
      <c r="AB115" s="1">
        <v>3383</v>
      </c>
      <c r="AC115" s="1">
        <v>3383</v>
      </c>
      <c r="AD115" s="16">
        <v>60.4</v>
      </c>
      <c r="AE115" s="1">
        <v>1</v>
      </c>
      <c r="AF115" s="1">
        <v>0</v>
      </c>
      <c r="AG115" s="1">
        <v>30</v>
      </c>
      <c r="AH115" s="1">
        <v>60003760</v>
      </c>
      <c r="AI115" s="1">
        <v>32767</v>
      </c>
      <c r="AJ115" s="1">
        <v>11</v>
      </c>
      <c r="AL115" s="1">
        <v>2877462956</v>
      </c>
      <c r="AM115" s="1">
        <v>37</v>
      </c>
      <c r="AN115" s="1">
        <v>500000</v>
      </c>
      <c r="AO115" s="1">
        <v>478000</v>
      </c>
      <c r="AP115" s="16">
        <v>180</v>
      </c>
      <c r="AQ115" s="1">
        <v>1</v>
      </c>
      <c r="AR115" s="1">
        <v>0</v>
      </c>
      <c r="AS115" s="1">
        <v>90</v>
      </c>
      <c r="AT115" s="1">
        <v>60002743</v>
      </c>
      <c r="AU115" s="1">
        <v>32767</v>
      </c>
      <c r="AV115" s="1">
        <v>3</v>
      </c>
      <c r="AX115" s="1">
        <v>2878783992</v>
      </c>
      <c r="AY115" s="1">
        <v>38</v>
      </c>
      <c r="AZ115" s="1">
        <v>189752</v>
      </c>
      <c r="BA115" s="1">
        <v>189752</v>
      </c>
      <c r="BB115" s="1">
        <v>825.49</v>
      </c>
      <c r="BC115" s="1">
        <v>1</v>
      </c>
      <c r="BD115" s="1">
        <v>0</v>
      </c>
      <c r="BE115" s="1">
        <v>90</v>
      </c>
      <c r="BF115" s="1">
        <v>60003760</v>
      </c>
      <c r="BG115" s="1">
        <v>32767</v>
      </c>
      <c r="BH115" s="1">
        <v>5</v>
      </c>
      <c r="BJ115" s="1">
        <v>2877364508</v>
      </c>
      <c r="BK115" s="1">
        <v>39</v>
      </c>
      <c r="BL115" s="1">
        <v>10000</v>
      </c>
      <c r="BM115" s="1">
        <v>5664</v>
      </c>
      <c r="BN115" s="1">
        <v>875</v>
      </c>
      <c r="BO115" s="1">
        <v>1</v>
      </c>
      <c r="BP115" s="1">
        <v>0</v>
      </c>
      <c r="BQ115" s="1">
        <v>30</v>
      </c>
      <c r="BR115" s="1">
        <v>60015027</v>
      </c>
      <c r="BS115" s="1">
        <v>32767</v>
      </c>
      <c r="BT115" s="1">
        <v>3</v>
      </c>
      <c r="BV115" s="1">
        <v>2409077170</v>
      </c>
      <c r="BW115" s="1">
        <v>40</v>
      </c>
      <c r="BX115" s="1">
        <v>137500</v>
      </c>
      <c r="BY115" s="1">
        <v>69675</v>
      </c>
      <c r="BZ115" s="1">
        <v>2664</v>
      </c>
      <c r="CA115" s="1">
        <v>1</v>
      </c>
      <c r="CB115" s="1">
        <v>0</v>
      </c>
      <c r="CC115" s="1">
        <v>90</v>
      </c>
      <c r="CD115" s="1">
        <v>60007588</v>
      </c>
      <c r="CE115" s="1">
        <v>32767</v>
      </c>
      <c r="CF115" s="1">
        <v>12</v>
      </c>
      <c r="CH115" s="1">
        <v>2415019293</v>
      </c>
      <c r="CI115" s="1">
        <v>29668</v>
      </c>
      <c r="CJ115" s="1">
        <v>1</v>
      </c>
      <c r="CK115" s="1">
        <v>1</v>
      </c>
      <c r="CL115" s="1">
        <v>494980200.55000001</v>
      </c>
      <c r="CM115" s="1">
        <v>1</v>
      </c>
      <c r="CN115" s="1">
        <v>0</v>
      </c>
      <c r="CO115" s="1">
        <v>90</v>
      </c>
      <c r="CP115" s="1">
        <v>60003760</v>
      </c>
      <c r="CQ115" s="1">
        <v>32767</v>
      </c>
      <c r="CR115" s="1">
        <v>0</v>
      </c>
      <c r="CT115" s="1">
        <v>2415254690</v>
      </c>
      <c r="CU115" s="1">
        <v>16649</v>
      </c>
      <c r="CV115" s="1">
        <v>20000</v>
      </c>
      <c r="CW115" s="1">
        <v>20000</v>
      </c>
      <c r="CX115" s="1">
        <v>99005.35</v>
      </c>
      <c r="CY115" s="1">
        <v>1</v>
      </c>
      <c r="CZ115" s="1">
        <v>1</v>
      </c>
      <c r="DA115" s="1">
        <v>90</v>
      </c>
      <c r="DB115" s="1">
        <v>60003760</v>
      </c>
      <c r="DC115" s="1">
        <v>-1</v>
      </c>
      <c r="DD115" s="1">
        <v>0</v>
      </c>
      <c r="DF115" s="1">
        <v>2414120584</v>
      </c>
      <c r="DG115" s="1">
        <v>17887</v>
      </c>
      <c r="DH115" s="1">
        <v>62072</v>
      </c>
      <c r="DI115" s="1">
        <v>31849</v>
      </c>
      <c r="DJ115" s="1">
        <v>931.5</v>
      </c>
      <c r="DK115" s="1">
        <v>1</v>
      </c>
      <c r="DL115" s="1">
        <v>0</v>
      </c>
      <c r="DM115" s="1">
        <v>90</v>
      </c>
      <c r="DN115" s="1">
        <v>60007498</v>
      </c>
      <c r="DO115" s="1">
        <v>32767</v>
      </c>
      <c r="DP115" s="1">
        <v>8</v>
      </c>
      <c r="DR115" s="1">
        <v>2867317452</v>
      </c>
      <c r="DS115" s="1">
        <v>17888</v>
      </c>
      <c r="DT115" s="1">
        <v>1000000</v>
      </c>
      <c r="DU115" s="1">
        <v>824000</v>
      </c>
      <c r="DV115" s="1">
        <v>348.63</v>
      </c>
      <c r="DW115" s="1">
        <v>1</v>
      </c>
      <c r="DX115" s="1">
        <v>0</v>
      </c>
      <c r="DY115" s="1">
        <v>90</v>
      </c>
      <c r="DZ115" s="1">
        <v>60003760</v>
      </c>
      <c r="EA115" s="1">
        <v>32767</v>
      </c>
      <c r="EB115" s="1">
        <v>8</v>
      </c>
      <c r="ED115" s="1">
        <v>2859637078</v>
      </c>
      <c r="EE115" s="1">
        <v>16273</v>
      </c>
      <c r="EF115" s="1">
        <v>150000</v>
      </c>
      <c r="EG115" s="1">
        <v>150000</v>
      </c>
      <c r="EH115" s="1">
        <v>499.99</v>
      </c>
      <c r="EI115" s="1">
        <v>1</v>
      </c>
      <c r="EJ115" s="1">
        <v>0</v>
      </c>
      <c r="EK115" s="1">
        <v>90</v>
      </c>
      <c r="EL115" s="1">
        <v>60004381</v>
      </c>
      <c r="EM115" s="1">
        <v>32767</v>
      </c>
      <c r="EN115" s="1">
        <v>9</v>
      </c>
      <c r="EP115" s="1">
        <v>2879068559</v>
      </c>
      <c r="EQ115" s="1">
        <v>17889</v>
      </c>
      <c r="ER115" s="1">
        <v>3000000</v>
      </c>
      <c r="ES115" s="1">
        <v>3000000</v>
      </c>
      <c r="ET115" s="1">
        <v>348.02</v>
      </c>
      <c r="EU115" s="1">
        <v>1</v>
      </c>
      <c r="EV115" s="1">
        <v>1</v>
      </c>
      <c r="EW115" s="1">
        <v>7</v>
      </c>
      <c r="EX115" s="1">
        <v>60003760</v>
      </c>
      <c r="EY115" s="1">
        <v>-1</v>
      </c>
      <c r="EZ115" s="1">
        <v>0</v>
      </c>
      <c r="FB115" s="1">
        <v>2875114784</v>
      </c>
      <c r="FC115" s="1">
        <v>30259</v>
      </c>
      <c r="FD115" s="1">
        <v>400</v>
      </c>
      <c r="FE115" s="1">
        <v>400</v>
      </c>
      <c r="FF115" s="1">
        <v>5588604.5</v>
      </c>
      <c r="FG115" s="1">
        <v>1</v>
      </c>
      <c r="FH115" s="1">
        <v>1</v>
      </c>
      <c r="FI115" s="1">
        <v>90</v>
      </c>
      <c r="FJ115" s="1">
        <v>60003760</v>
      </c>
      <c r="FK115" s="1">
        <v>-1</v>
      </c>
      <c r="FL115" s="1">
        <v>0</v>
      </c>
      <c r="FZ115" s="1">
        <v>2874938273</v>
      </c>
      <c r="GA115" s="1">
        <v>44</v>
      </c>
      <c r="GB115" s="1">
        <v>2400</v>
      </c>
      <c r="GC115" s="1">
        <v>2400</v>
      </c>
      <c r="GD115" s="1">
        <v>9513</v>
      </c>
      <c r="GE115" s="1">
        <v>1</v>
      </c>
      <c r="GF115" s="1">
        <v>1</v>
      </c>
      <c r="GG115" s="1">
        <v>90</v>
      </c>
      <c r="GH115" s="1">
        <v>60003760</v>
      </c>
      <c r="GI115" s="1">
        <v>-1</v>
      </c>
      <c r="GJ115" s="1">
        <v>0</v>
      </c>
      <c r="GL115" s="1">
        <v>2405189178</v>
      </c>
      <c r="GM115" s="1">
        <v>16681</v>
      </c>
      <c r="GN115" s="1">
        <v>5000</v>
      </c>
      <c r="GO115" s="1">
        <v>5000</v>
      </c>
      <c r="GP115" s="1">
        <v>5845</v>
      </c>
      <c r="GQ115" s="1">
        <v>1</v>
      </c>
      <c r="GR115" s="1">
        <v>1</v>
      </c>
      <c r="GS115" s="1">
        <v>90</v>
      </c>
      <c r="GT115" s="1">
        <v>60014686</v>
      </c>
      <c r="GU115" s="1">
        <v>-1</v>
      </c>
      <c r="GV115" s="1">
        <v>0</v>
      </c>
      <c r="GX115"/>
      <c r="GY115"/>
      <c r="GZ115"/>
      <c r="HA115"/>
      <c r="HB115"/>
      <c r="HC115"/>
      <c r="HD115"/>
      <c r="HE115"/>
      <c r="HF115"/>
      <c r="HG115"/>
      <c r="HH115"/>
      <c r="HV115" s="1">
        <v>2875843560</v>
      </c>
      <c r="HW115" s="1">
        <v>16274</v>
      </c>
      <c r="HX115" s="1">
        <v>2200000</v>
      </c>
      <c r="HY115" s="1">
        <v>1919051</v>
      </c>
      <c r="HZ115" s="1">
        <v>330.01</v>
      </c>
      <c r="IA115" s="1">
        <v>1</v>
      </c>
      <c r="IB115" s="1">
        <v>1</v>
      </c>
      <c r="IC115" s="1">
        <v>90</v>
      </c>
      <c r="ID115" s="1">
        <v>60003760</v>
      </c>
      <c r="IE115" s="1">
        <v>-1</v>
      </c>
      <c r="IF115" s="1">
        <v>0</v>
      </c>
      <c r="IT115" s="1">
        <v>2878714143</v>
      </c>
      <c r="IU115" s="1">
        <v>16679</v>
      </c>
      <c r="IV115" s="1">
        <v>2100000</v>
      </c>
      <c r="IW115" s="1">
        <v>2100000</v>
      </c>
      <c r="IX115" s="1">
        <v>1691.19</v>
      </c>
      <c r="IY115" s="1">
        <v>1</v>
      </c>
      <c r="IZ115" s="1">
        <v>1</v>
      </c>
      <c r="JA115" s="1">
        <v>90</v>
      </c>
      <c r="JB115" s="1">
        <v>60003760</v>
      </c>
      <c r="JC115" s="1">
        <v>-1</v>
      </c>
      <c r="JD115" s="1">
        <v>0</v>
      </c>
      <c r="JF115" s="1">
        <v>2664118186</v>
      </c>
      <c r="JG115" s="1">
        <v>16272</v>
      </c>
      <c r="JH115" s="1">
        <v>6000000</v>
      </c>
      <c r="JI115" s="1">
        <v>1012088</v>
      </c>
      <c r="JJ115" s="1">
        <v>48.58</v>
      </c>
      <c r="JK115" s="1">
        <v>1</v>
      </c>
      <c r="JL115" s="1">
        <v>1</v>
      </c>
      <c r="JM115" s="1">
        <v>90</v>
      </c>
      <c r="JN115" s="1">
        <v>60000283</v>
      </c>
      <c r="JO115" s="1">
        <v>0</v>
      </c>
      <c r="JP115" s="1">
        <v>0</v>
      </c>
      <c r="KD115" s="1">
        <v>2876318000</v>
      </c>
      <c r="KE115" s="1">
        <v>25605</v>
      </c>
      <c r="KF115" s="1">
        <v>2000</v>
      </c>
      <c r="KG115" s="1">
        <v>811</v>
      </c>
      <c r="KH115" s="1">
        <v>105000</v>
      </c>
      <c r="KI115" s="1">
        <v>1</v>
      </c>
      <c r="KJ115" s="1">
        <v>1</v>
      </c>
      <c r="KK115" s="1">
        <v>90</v>
      </c>
      <c r="KL115" s="1">
        <v>60003760</v>
      </c>
      <c r="KM115" s="1">
        <v>-1</v>
      </c>
      <c r="KN115" s="1">
        <v>0</v>
      </c>
      <c r="KP115"/>
      <c r="KQ115"/>
      <c r="KR115"/>
      <c r="KS115"/>
      <c r="KT115"/>
      <c r="KU115"/>
      <c r="KV115"/>
      <c r="KW115"/>
      <c r="KX115"/>
      <c r="KY115"/>
      <c r="KZ115"/>
      <c r="LB115" s="1">
        <v>2878204807</v>
      </c>
      <c r="LC115" s="1">
        <v>9832</v>
      </c>
      <c r="LD115" s="1">
        <v>178471</v>
      </c>
      <c r="LE115" s="1">
        <v>105285</v>
      </c>
      <c r="LF115" s="1">
        <v>9497.64</v>
      </c>
      <c r="LG115" s="1">
        <v>1</v>
      </c>
      <c r="LH115" s="1">
        <v>0</v>
      </c>
      <c r="LI115" s="1">
        <v>90</v>
      </c>
      <c r="LJ115" s="1">
        <v>60003760</v>
      </c>
      <c r="LK115" s="1">
        <v>32767</v>
      </c>
      <c r="LL115" s="1">
        <v>0</v>
      </c>
      <c r="ML115"/>
      <c r="MM115"/>
      <c r="MN115"/>
      <c r="MO115"/>
      <c r="MP115"/>
      <c r="MQ115"/>
      <c r="MR115"/>
      <c r="MS115"/>
      <c r="MT115"/>
      <c r="MU115"/>
      <c r="MV115"/>
      <c r="MX115"/>
      <c r="MY115"/>
      <c r="MZ115"/>
      <c r="NA115"/>
      <c r="NB115"/>
      <c r="NC115"/>
      <c r="ND115"/>
      <c r="NE115"/>
      <c r="NF115"/>
      <c r="NG115"/>
      <c r="NH115"/>
      <c r="NJ115" s="1">
        <v>2878683648</v>
      </c>
      <c r="NK115" s="1">
        <v>16673</v>
      </c>
      <c r="NL115" s="1">
        <v>1000000</v>
      </c>
      <c r="NM115" s="1">
        <v>1000000</v>
      </c>
      <c r="NN115" s="1">
        <v>95.31</v>
      </c>
      <c r="NO115" s="1">
        <v>1</v>
      </c>
      <c r="NP115" s="1">
        <v>1</v>
      </c>
      <c r="NQ115" s="1">
        <v>90</v>
      </c>
      <c r="NR115" s="1">
        <v>60003760</v>
      </c>
      <c r="NS115" s="1">
        <v>-1</v>
      </c>
      <c r="NT115" s="1">
        <v>0</v>
      </c>
      <c r="NV115" s="1">
        <v>2645332758</v>
      </c>
      <c r="NW115" s="1">
        <v>3689</v>
      </c>
      <c r="NX115" s="1">
        <v>300000</v>
      </c>
      <c r="NY115" s="1">
        <v>277933</v>
      </c>
      <c r="NZ115" s="1">
        <v>3299.87</v>
      </c>
      <c r="OA115" s="1">
        <v>1</v>
      </c>
      <c r="OB115" s="1">
        <v>1</v>
      </c>
      <c r="OC115" s="1">
        <v>90</v>
      </c>
      <c r="OD115" s="1">
        <v>60003760</v>
      </c>
      <c r="OE115" s="1">
        <v>10</v>
      </c>
      <c r="OF115" s="1">
        <v>0</v>
      </c>
      <c r="OH115" s="1">
        <v>2878332657</v>
      </c>
      <c r="OI115" s="1">
        <v>25598</v>
      </c>
      <c r="OJ115" s="1">
        <v>980</v>
      </c>
      <c r="OK115" s="1">
        <v>980</v>
      </c>
      <c r="OL115" s="1">
        <v>140000</v>
      </c>
      <c r="OM115" s="1">
        <v>1</v>
      </c>
      <c r="ON115" s="1">
        <v>0</v>
      </c>
      <c r="OO115" s="1">
        <v>30</v>
      </c>
      <c r="OP115" s="1">
        <v>60003760</v>
      </c>
      <c r="OQ115" s="1">
        <v>32767</v>
      </c>
      <c r="OR115" s="1">
        <v>0</v>
      </c>
      <c r="OT115" s="1">
        <v>2863778044</v>
      </c>
      <c r="OU115" s="1">
        <v>25600</v>
      </c>
      <c r="OV115" s="1">
        <v>3000</v>
      </c>
      <c r="OW115" s="1">
        <v>2779</v>
      </c>
      <c r="OX115" s="1">
        <v>20200</v>
      </c>
      <c r="OY115" s="1">
        <v>100</v>
      </c>
      <c r="OZ115" s="1">
        <v>1</v>
      </c>
      <c r="PA115" s="1">
        <v>90</v>
      </c>
      <c r="PB115" s="1">
        <v>60003760</v>
      </c>
      <c r="PC115" s="1">
        <v>32767</v>
      </c>
      <c r="PD115" s="1">
        <v>0</v>
      </c>
      <c r="PF115" s="1">
        <v>2875664716</v>
      </c>
      <c r="PG115" s="1">
        <v>16670</v>
      </c>
      <c r="PH115" s="1">
        <v>200001</v>
      </c>
      <c r="PI115" s="1">
        <v>200001</v>
      </c>
      <c r="PJ115" s="1">
        <v>106.46</v>
      </c>
      <c r="PK115" s="1">
        <v>1</v>
      </c>
      <c r="PL115" s="1">
        <v>1</v>
      </c>
      <c r="PM115" s="1">
        <v>90</v>
      </c>
      <c r="PN115" s="1">
        <v>60003760</v>
      </c>
      <c r="PO115" s="1">
        <v>-1</v>
      </c>
      <c r="PP115" s="1">
        <v>0</v>
      </c>
      <c r="QD115"/>
      <c r="QE115"/>
      <c r="QF115"/>
      <c r="QG115"/>
      <c r="QH115"/>
      <c r="QI115"/>
      <c r="QJ115"/>
      <c r="QK115"/>
      <c r="QL115"/>
      <c r="QM115"/>
      <c r="QN115"/>
      <c r="RB115"/>
      <c r="RC115"/>
      <c r="RD115"/>
      <c r="RE115"/>
      <c r="RF115"/>
      <c r="RG115"/>
      <c r="RH115"/>
      <c r="RI115"/>
      <c r="RJ115"/>
      <c r="RK115"/>
      <c r="RL115"/>
      <c r="SX115" s="1">
        <v>2873212965</v>
      </c>
      <c r="SY115" s="1">
        <v>25595</v>
      </c>
      <c r="SZ115" s="1">
        <v>10000</v>
      </c>
      <c r="TA115" s="1">
        <v>6616</v>
      </c>
      <c r="TB115" s="1">
        <v>78999</v>
      </c>
      <c r="TC115" s="1">
        <v>1</v>
      </c>
      <c r="TD115" s="1">
        <v>0</v>
      </c>
      <c r="TE115" s="1">
        <v>90</v>
      </c>
      <c r="TF115" s="1">
        <v>60003760</v>
      </c>
      <c r="TG115" s="1">
        <v>32767</v>
      </c>
      <c r="TH115" s="1">
        <v>6</v>
      </c>
      <c r="TJ115" s="1">
        <v>2862888696</v>
      </c>
      <c r="TK115" s="1">
        <v>25606</v>
      </c>
      <c r="TL115" s="1">
        <v>10000</v>
      </c>
      <c r="TM115" s="1">
        <v>9955</v>
      </c>
      <c r="TN115" s="1">
        <v>17000</v>
      </c>
      <c r="TO115" s="1">
        <v>1</v>
      </c>
      <c r="TP115" s="1">
        <v>1</v>
      </c>
      <c r="TQ115" s="1">
        <v>90</v>
      </c>
      <c r="TR115" s="1">
        <v>60003760</v>
      </c>
      <c r="TS115" s="1">
        <v>-1</v>
      </c>
      <c r="TT115" s="1">
        <v>0</v>
      </c>
    </row>
    <row r="116" spans="2:540" x14ac:dyDescent="0.25">
      <c r="B116" s="1">
        <v>2802501078</v>
      </c>
      <c r="C116" s="1">
        <v>34</v>
      </c>
      <c r="D116" s="1">
        <v>120000000</v>
      </c>
      <c r="E116" s="1">
        <v>120000000</v>
      </c>
      <c r="F116" s="1">
        <v>6.16</v>
      </c>
      <c r="G116" s="1">
        <v>1</v>
      </c>
      <c r="H116" s="1">
        <v>0</v>
      </c>
      <c r="I116" s="1">
        <v>90</v>
      </c>
      <c r="J116" s="1">
        <v>60003760</v>
      </c>
      <c r="K116" s="1">
        <v>32767</v>
      </c>
      <c r="L116" s="1">
        <v>0</v>
      </c>
      <c r="N116" s="1">
        <v>2862667080</v>
      </c>
      <c r="O116" s="1">
        <v>35</v>
      </c>
      <c r="P116" s="1">
        <v>600000</v>
      </c>
      <c r="Q116" s="1">
        <v>600000</v>
      </c>
      <c r="R116" s="1">
        <v>15.27</v>
      </c>
      <c r="S116" s="1">
        <v>1</v>
      </c>
      <c r="T116" s="1">
        <v>0</v>
      </c>
      <c r="U116" s="1">
        <v>14</v>
      </c>
      <c r="V116" s="1">
        <v>60003760</v>
      </c>
      <c r="W116" s="1">
        <v>32767</v>
      </c>
      <c r="X116" s="1">
        <v>0</v>
      </c>
      <c r="Z116" s="1">
        <v>2842943104</v>
      </c>
      <c r="AA116" s="1">
        <v>36</v>
      </c>
      <c r="AB116" s="1">
        <v>4559</v>
      </c>
      <c r="AC116" s="1">
        <v>4559</v>
      </c>
      <c r="AD116" s="16">
        <v>90.4</v>
      </c>
      <c r="AE116" s="1">
        <v>1</v>
      </c>
      <c r="AF116" s="1">
        <v>0</v>
      </c>
      <c r="AG116" s="1">
        <v>30</v>
      </c>
      <c r="AH116" s="1">
        <v>60003760</v>
      </c>
      <c r="AI116" s="1">
        <v>32767</v>
      </c>
      <c r="AJ116" s="1">
        <v>11</v>
      </c>
      <c r="AL116" s="1">
        <v>2834124839</v>
      </c>
      <c r="AM116" s="1">
        <v>37</v>
      </c>
      <c r="AN116" s="1">
        <v>29055</v>
      </c>
      <c r="AO116" s="1">
        <v>10469</v>
      </c>
      <c r="AP116" s="16">
        <v>200.14</v>
      </c>
      <c r="AQ116" s="1">
        <v>1</v>
      </c>
      <c r="AR116" s="1">
        <v>0</v>
      </c>
      <c r="AS116" s="1">
        <v>30</v>
      </c>
      <c r="AT116" s="1">
        <v>60000646</v>
      </c>
      <c r="AU116" s="1">
        <v>32767</v>
      </c>
      <c r="AV116" s="1">
        <v>4</v>
      </c>
      <c r="AX116" s="1">
        <v>2878731723</v>
      </c>
      <c r="AY116" s="1">
        <v>38</v>
      </c>
      <c r="AZ116" s="1">
        <v>1698236</v>
      </c>
      <c r="BA116" s="1">
        <v>1201827</v>
      </c>
      <c r="BB116" s="1">
        <v>809.89</v>
      </c>
      <c r="BC116" s="1">
        <v>1</v>
      </c>
      <c r="BD116" s="1">
        <v>0</v>
      </c>
      <c r="BE116" s="1">
        <v>90</v>
      </c>
      <c r="BF116" s="1">
        <v>60003760</v>
      </c>
      <c r="BG116" s="1">
        <v>32767</v>
      </c>
      <c r="BH116" s="1">
        <v>5</v>
      </c>
      <c r="BJ116" s="1">
        <v>2878710117</v>
      </c>
      <c r="BK116" s="1">
        <v>39</v>
      </c>
      <c r="BL116" s="1">
        <v>6903</v>
      </c>
      <c r="BM116" s="1">
        <v>6903</v>
      </c>
      <c r="BN116" s="1">
        <v>809.94</v>
      </c>
      <c r="BO116" s="1">
        <v>1</v>
      </c>
      <c r="BP116" s="1">
        <v>0</v>
      </c>
      <c r="BQ116" s="1">
        <v>90</v>
      </c>
      <c r="BR116" s="1">
        <v>60003760</v>
      </c>
      <c r="BS116" s="1">
        <v>32767</v>
      </c>
      <c r="BT116" s="1">
        <v>5</v>
      </c>
      <c r="BV116" s="1">
        <v>2389237791</v>
      </c>
      <c r="BW116" s="1">
        <v>40</v>
      </c>
      <c r="BX116" s="1">
        <v>196</v>
      </c>
      <c r="BY116" s="1">
        <v>178</v>
      </c>
      <c r="BZ116" s="1">
        <v>2850</v>
      </c>
      <c r="CA116" s="1">
        <v>1</v>
      </c>
      <c r="CB116" s="1">
        <v>0</v>
      </c>
      <c r="CC116" s="1">
        <v>90</v>
      </c>
      <c r="CD116" s="1">
        <v>60000577</v>
      </c>
      <c r="CE116" s="1">
        <v>32767</v>
      </c>
      <c r="CF116" s="1">
        <v>13</v>
      </c>
      <c r="CH116" s="1">
        <v>2415166670</v>
      </c>
      <c r="CI116" s="1">
        <v>29668</v>
      </c>
      <c r="CJ116" s="1">
        <v>1</v>
      </c>
      <c r="CK116" s="1">
        <v>1</v>
      </c>
      <c r="CL116" s="1">
        <v>499906010.00999999</v>
      </c>
      <c r="CM116" s="1">
        <v>1</v>
      </c>
      <c r="CN116" s="1">
        <v>0</v>
      </c>
      <c r="CO116" s="1">
        <v>90</v>
      </c>
      <c r="CP116" s="1">
        <v>60003760</v>
      </c>
      <c r="CQ116" s="1">
        <v>32767</v>
      </c>
      <c r="CR116" s="1">
        <v>0</v>
      </c>
      <c r="CT116" s="1">
        <v>2415211671</v>
      </c>
      <c r="CU116" s="1">
        <v>16649</v>
      </c>
      <c r="CV116" s="1">
        <v>10000</v>
      </c>
      <c r="CW116" s="1">
        <v>10000</v>
      </c>
      <c r="CX116" s="1">
        <v>99006.02</v>
      </c>
      <c r="CY116" s="1">
        <v>1</v>
      </c>
      <c r="CZ116" s="1">
        <v>1</v>
      </c>
      <c r="DA116" s="1">
        <v>90</v>
      </c>
      <c r="DB116" s="1">
        <v>60003760</v>
      </c>
      <c r="DC116" s="1">
        <v>-1</v>
      </c>
      <c r="DD116" s="1">
        <v>0</v>
      </c>
      <c r="DF116" s="1">
        <v>2415254360</v>
      </c>
      <c r="DG116" s="1">
        <v>17887</v>
      </c>
      <c r="DH116" s="1">
        <v>31321</v>
      </c>
      <c r="DI116" s="1">
        <v>31321</v>
      </c>
      <c r="DJ116" s="1">
        <v>942</v>
      </c>
      <c r="DK116" s="1">
        <v>1</v>
      </c>
      <c r="DL116" s="1">
        <v>0</v>
      </c>
      <c r="DM116" s="1">
        <v>14</v>
      </c>
      <c r="DN116" s="1">
        <v>60003760</v>
      </c>
      <c r="DO116" s="1">
        <v>32767</v>
      </c>
      <c r="DP116" s="1">
        <v>0</v>
      </c>
      <c r="DR116" s="1">
        <v>2867441741</v>
      </c>
      <c r="DS116" s="1">
        <v>17888</v>
      </c>
      <c r="DT116" s="1">
        <v>2820600</v>
      </c>
      <c r="DU116" s="1">
        <v>2320600</v>
      </c>
      <c r="DV116" s="1">
        <v>348.72</v>
      </c>
      <c r="DW116" s="1">
        <v>1</v>
      </c>
      <c r="DX116" s="1">
        <v>0</v>
      </c>
      <c r="DY116" s="1">
        <v>90</v>
      </c>
      <c r="DZ116" s="1">
        <v>60003760</v>
      </c>
      <c r="EA116" s="1">
        <v>32767</v>
      </c>
      <c r="EB116" s="1">
        <v>8</v>
      </c>
      <c r="ED116" s="1">
        <v>2854214993</v>
      </c>
      <c r="EE116" s="1">
        <v>16273</v>
      </c>
      <c r="EF116" s="1">
        <v>32800</v>
      </c>
      <c r="EG116" s="1">
        <v>26650</v>
      </c>
      <c r="EH116" s="1">
        <v>420</v>
      </c>
      <c r="EI116" s="1">
        <v>1</v>
      </c>
      <c r="EJ116" s="1">
        <v>0</v>
      </c>
      <c r="EK116" s="1">
        <v>90</v>
      </c>
      <c r="EL116" s="1">
        <v>60002377</v>
      </c>
      <c r="EM116" s="1">
        <v>32767</v>
      </c>
      <c r="EN116" s="1">
        <v>9</v>
      </c>
      <c r="EP116"/>
      <c r="EQ116"/>
      <c r="ER116"/>
      <c r="ES116"/>
      <c r="ET116"/>
      <c r="EU116"/>
      <c r="EV116"/>
      <c r="EW116"/>
      <c r="EX116"/>
      <c r="EY116"/>
      <c r="EZ116"/>
      <c r="FB116" s="1">
        <v>2878318729</v>
      </c>
      <c r="FC116" s="1">
        <v>30259</v>
      </c>
      <c r="FD116" s="1">
        <v>400</v>
      </c>
      <c r="FE116" s="1">
        <v>188</v>
      </c>
      <c r="FF116" s="1">
        <v>5589506.1100000003</v>
      </c>
      <c r="FG116" s="1">
        <v>1</v>
      </c>
      <c r="FH116" s="1">
        <v>1</v>
      </c>
      <c r="FI116" s="1">
        <v>90</v>
      </c>
      <c r="FJ116" s="1">
        <v>60003760</v>
      </c>
      <c r="FK116" s="1">
        <v>-1</v>
      </c>
      <c r="FL116" s="1">
        <v>0</v>
      </c>
      <c r="FZ116" s="1">
        <v>2874246708</v>
      </c>
      <c r="GA116" s="1">
        <v>44</v>
      </c>
      <c r="GB116" s="1">
        <v>40000</v>
      </c>
      <c r="GC116" s="1">
        <v>40000</v>
      </c>
      <c r="GD116" s="1">
        <v>9400</v>
      </c>
      <c r="GE116" s="1">
        <v>1</v>
      </c>
      <c r="GF116" s="1">
        <v>1</v>
      </c>
      <c r="GG116" s="1">
        <v>90</v>
      </c>
      <c r="GH116" s="1">
        <v>60003760</v>
      </c>
      <c r="GI116" s="1">
        <v>-1</v>
      </c>
      <c r="GJ116" s="1">
        <v>0</v>
      </c>
      <c r="GL116" s="1">
        <v>2403004561</v>
      </c>
      <c r="GM116" s="1">
        <v>16681</v>
      </c>
      <c r="GN116" s="1">
        <v>30000</v>
      </c>
      <c r="GO116" s="1">
        <v>28558</v>
      </c>
      <c r="GP116" s="1">
        <v>5845.02</v>
      </c>
      <c r="GQ116" s="1">
        <v>1</v>
      </c>
      <c r="GR116" s="1">
        <v>1</v>
      </c>
      <c r="GS116" s="1">
        <v>90</v>
      </c>
      <c r="GT116" s="1">
        <v>60014686</v>
      </c>
      <c r="GU116" s="1">
        <v>4</v>
      </c>
      <c r="GV116" s="1">
        <v>0</v>
      </c>
      <c r="GX116"/>
      <c r="GY116"/>
      <c r="GZ116"/>
      <c r="HA116"/>
      <c r="HB116"/>
      <c r="HC116"/>
      <c r="HD116"/>
      <c r="HE116"/>
      <c r="HF116"/>
      <c r="HG116"/>
      <c r="HH116"/>
      <c r="HV116" s="1">
        <v>2877924809</v>
      </c>
      <c r="HW116" s="1">
        <v>16274</v>
      </c>
      <c r="HX116" s="1">
        <v>750000</v>
      </c>
      <c r="HY116" s="1">
        <v>750000</v>
      </c>
      <c r="HZ116" s="1">
        <v>321.29000000000002</v>
      </c>
      <c r="IA116" s="1">
        <v>1</v>
      </c>
      <c r="IB116" s="1">
        <v>1</v>
      </c>
      <c r="IC116" s="1">
        <v>90</v>
      </c>
      <c r="ID116" s="1">
        <v>60003760</v>
      </c>
      <c r="IE116" s="1">
        <v>-1</v>
      </c>
      <c r="IF116" s="1">
        <v>0</v>
      </c>
      <c r="IT116" s="1">
        <v>2878761386</v>
      </c>
      <c r="IU116" s="1">
        <v>16679</v>
      </c>
      <c r="IV116" s="1">
        <v>400000</v>
      </c>
      <c r="IW116" s="1">
        <v>367000</v>
      </c>
      <c r="IX116" s="1">
        <v>1691.26</v>
      </c>
      <c r="IY116" s="1">
        <v>1</v>
      </c>
      <c r="IZ116" s="1">
        <v>1</v>
      </c>
      <c r="JA116" s="1">
        <v>30</v>
      </c>
      <c r="JB116" s="1">
        <v>60003760</v>
      </c>
      <c r="JC116" s="1">
        <v>-1</v>
      </c>
      <c r="JD116" s="1">
        <v>0</v>
      </c>
      <c r="JF116" s="1">
        <v>2864426001</v>
      </c>
      <c r="JG116" s="1">
        <v>16272</v>
      </c>
      <c r="JH116" s="1">
        <v>251252</v>
      </c>
      <c r="JI116" s="1">
        <v>239950</v>
      </c>
      <c r="JJ116" s="1">
        <v>48.56</v>
      </c>
      <c r="JK116" s="1">
        <v>1</v>
      </c>
      <c r="JL116" s="1">
        <v>1</v>
      </c>
      <c r="JM116" s="1">
        <v>90</v>
      </c>
      <c r="JN116" s="1">
        <v>60004231</v>
      </c>
      <c r="JO116" s="1">
        <v>3</v>
      </c>
      <c r="JP116" s="1">
        <v>0</v>
      </c>
      <c r="KD116" s="1">
        <v>2868998397</v>
      </c>
      <c r="KE116" s="1">
        <v>25605</v>
      </c>
      <c r="KF116" s="1">
        <v>1000</v>
      </c>
      <c r="KG116" s="1">
        <v>263</v>
      </c>
      <c r="KH116" s="1">
        <v>105007</v>
      </c>
      <c r="KI116" s="1">
        <v>1</v>
      </c>
      <c r="KJ116" s="1">
        <v>1</v>
      </c>
      <c r="KK116" s="1">
        <v>90</v>
      </c>
      <c r="KL116" s="1">
        <v>60012667</v>
      </c>
      <c r="KM116" s="1">
        <v>1</v>
      </c>
      <c r="KN116" s="1">
        <v>0</v>
      </c>
      <c r="KP116"/>
      <c r="KQ116"/>
      <c r="KR116"/>
      <c r="KS116"/>
      <c r="KT116"/>
      <c r="KU116"/>
      <c r="KV116"/>
      <c r="KW116"/>
      <c r="KX116"/>
      <c r="KY116"/>
      <c r="KZ116"/>
      <c r="LB116" s="1">
        <v>2879006477</v>
      </c>
      <c r="LC116" s="1">
        <v>9832</v>
      </c>
      <c r="LD116" s="1">
        <v>1895</v>
      </c>
      <c r="LE116" s="1">
        <v>1895</v>
      </c>
      <c r="LF116" s="1">
        <v>9489.9</v>
      </c>
      <c r="LG116" s="1">
        <v>1</v>
      </c>
      <c r="LH116" s="1">
        <v>0</v>
      </c>
      <c r="LI116" s="1">
        <v>90</v>
      </c>
      <c r="LJ116" s="1">
        <v>60003760</v>
      </c>
      <c r="LK116" s="1">
        <v>32767</v>
      </c>
      <c r="LL116" s="1">
        <v>0</v>
      </c>
      <c r="ML116"/>
      <c r="MM116"/>
      <c r="MN116"/>
      <c r="MO116"/>
      <c r="MP116"/>
      <c r="MQ116"/>
      <c r="MR116"/>
      <c r="MS116"/>
      <c r="MT116"/>
      <c r="MU116"/>
      <c r="MV116"/>
      <c r="MX116"/>
      <c r="MY116"/>
      <c r="MZ116"/>
      <c r="NA116"/>
      <c r="NB116"/>
      <c r="NC116"/>
      <c r="ND116"/>
      <c r="NE116"/>
      <c r="NF116"/>
      <c r="NG116"/>
      <c r="NH116"/>
      <c r="NJ116" s="1">
        <v>2878157691</v>
      </c>
      <c r="NK116" s="1">
        <v>16673</v>
      </c>
      <c r="NL116" s="1">
        <v>15000000</v>
      </c>
      <c r="NM116" s="1">
        <v>6589707</v>
      </c>
      <c r="NN116" s="1">
        <v>95.36</v>
      </c>
      <c r="NO116" s="1">
        <v>1</v>
      </c>
      <c r="NP116" s="1">
        <v>1</v>
      </c>
      <c r="NQ116" s="1">
        <v>90</v>
      </c>
      <c r="NR116" s="1">
        <v>60003760</v>
      </c>
      <c r="NS116" s="1">
        <v>-1</v>
      </c>
      <c r="NT116" s="1">
        <v>0</v>
      </c>
      <c r="NV116" s="1">
        <v>2698994598</v>
      </c>
      <c r="NW116" s="1">
        <v>3689</v>
      </c>
      <c r="NX116" s="1">
        <v>2500</v>
      </c>
      <c r="NY116" s="1">
        <v>2500</v>
      </c>
      <c r="NZ116" s="1">
        <v>3300</v>
      </c>
      <c r="OA116" s="1">
        <v>1</v>
      </c>
      <c r="OB116" s="1">
        <v>1</v>
      </c>
      <c r="OC116" s="1">
        <v>90</v>
      </c>
      <c r="OD116" s="1">
        <v>60003760</v>
      </c>
      <c r="OE116" s="1">
        <v>10</v>
      </c>
      <c r="OF116" s="1">
        <v>0</v>
      </c>
      <c r="OH116" s="1">
        <v>2878335662</v>
      </c>
      <c r="OI116" s="1">
        <v>25598</v>
      </c>
      <c r="OJ116" s="1">
        <v>1713</v>
      </c>
      <c r="OK116" s="1">
        <v>1713</v>
      </c>
      <c r="OL116" s="1">
        <v>139999</v>
      </c>
      <c r="OM116" s="1">
        <v>1</v>
      </c>
      <c r="ON116" s="1">
        <v>0</v>
      </c>
      <c r="OO116" s="1">
        <v>90</v>
      </c>
      <c r="OP116" s="1">
        <v>60003760</v>
      </c>
      <c r="OQ116" s="1">
        <v>32767</v>
      </c>
      <c r="OR116" s="1">
        <v>0</v>
      </c>
      <c r="OT116" s="1">
        <v>2863897969</v>
      </c>
      <c r="OU116" s="1">
        <v>25600</v>
      </c>
      <c r="OV116" s="1">
        <v>5000</v>
      </c>
      <c r="OW116" s="1">
        <v>3172</v>
      </c>
      <c r="OX116" s="1">
        <v>20105</v>
      </c>
      <c r="OY116" s="1">
        <v>1</v>
      </c>
      <c r="OZ116" s="1">
        <v>1</v>
      </c>
      <c r="PA116" s="1">
        <v>90</v>
      </c>
      <c r="PB116" s="1">
        <v>60003760</v>
      </c>
      <c r="PC116" s="1">
        <v>32767</v>
      </c>
      <c r="PD116" s="1">
        <v>0</v>
      </c>
      <c r="PF116" s="1">
        <v>2875709625</v>
      </c>
      <c r="PG116" s="1">
        <v>16670</v>
      </c>
      <c r="PH116" s="1">
        <v>5000000</v>
      </c>
      <c r="PI116" s="1">
        <v>5000000</v>
      </c>
      <c r="PJ116" s="1">
        <v>90.02</v>
      </c>
      <c r="PK116" s="1">
        <v>1</v>
      </c>
      <c r="PL116" s="1">
        <v>1</v>
      </c>
      <c r="PM116" s="1">
        <v>90</v>
      </c>
      <c r="PN116" s="1">
        <v>60003760</v>
      </c>
      <c r="PO116" s="1">
        <v>-1</v>
      </c>
      <c r="PP116" s="1">
        <v>0</v>
      </c>
      <c r="QD116"/>
      <c r="QE116"/>
      <c r="QF116"/>
      <c r="QG116"/>
      <c r="QH116"/>
      <c r="QI116"/>
      <c r="QJ116"/>
      <c r="QK116"/>
      <c r="QL116"/>
      <c r="QM116"/>
      <c r="QN116"/>
      <c r="RB116"/>
      <c r="RC116"/>
      <c r="RD116"/>
      <c r="RE116"/>
      <c r="RF116"/>
      <c r="RG116"/>
      <c r="RH116"/>
      <c r="RI116"/>
      <c r="RJ116"/>
      <c r="RK116"/>
      <c r="RL116"/>
      <c r="SX116" s="1">
        <v>2874915230</v>
      </c>
      <c r="SY116" s="1">
        <v>25595</v>
      </c>
      <c r="SZ116" s="1">
        <v>1178</v>
      </c>
      <c r="TA116" s="1">
        <v>1178</v>
      </c>
      <c r="TB116" s="1">
        <v>78900</v>
      </c>
      <c r="TC116" s="1">
        <v>1</v>
      </c>
      <c r="TD116" s="1">
        <v>0</v>
      </c>
      <c r="TE116" s="1">
        <v>90</v>
      </c>
      <c r="TF116" s="1">
        <v>60003760</v>
      </c>
      <c r="TG116" s="1">
        <v>32767</v>
      </c>
      <c r="TH116" s="1">
        <v>6</v>
      </c>
      <c r="TJ116" s="1">
        <v>2869411601</v>
      </c>
      <c r="TK116" s="1">
        <v>25606</v>
      </c>
      <c r="TL116" s="1">
        <v>1739</v>
      </c>
      <c r="TM116" s="1">
        <v>396</v>
      </c>
      <c r="TN116" s="1">
        <v>19004.009999999998</v>
      </c>
      <c r="TO116" s="1">
        <v>1</v>
      </c>
      <c r="TP116" s="1">
        <v>1</v>
      </c>
      <c r="TQ116" s="1">
        <v>90</v>
      </c>
      <c r="TR116" s="1">
        <v>60003760</v>
      </c>
      <c r="TS116" s="1">
        <v>32767</v>
      </c>
      <c r="TT116" s="1">
        <v>0</v>
      </c>
    </row>
    <row r="117" spans="2:540" x14ac:dyDescent="0.25">
      <c r="B117" s="1">
        <v>2799220151</v>
      </c>
      <c r="C117" s="1">
        <v>34</v>
      </c>
      <c r="D117" s="1">
        <v>728425484</v>
      </c>
      <c r="E117" s="1">
        <v>728425484</v>
      </c>
      <c r="F117" s="1">
        <v>6.18</v>
      </c>
      <c r="G117" s="1">
        <v>1</v>
      </c>
      <c r="H117" s="1">
        <v>0</v>
      </c>
      <c r="I117" s="1">
        <v>90</v>
      </c>
      <c r="J117" s="1">
        <v>60003760</v>
      </c>
      <c r="K117" s="1">
        <v>32767</v>
      </c>
      <c r="L117" s="1">
        <v>0</v>
      </c>
      <c r="N117" s="1">
        <v>2862646937</v>
      </c>
      <c r="O117" s="1">
        <v>35</v>
      </c>
      <c r="P117" s="1">
        <v>2909403</v>
      </c>
      <c r="Q117" s="1">
        <v>2909403</v>
      </c>
      <c r="R117" s="1">
        <v>15.25</v>
      </c>
      <c r="S117" s="1">
        <v>1</v>
      </c>
      <c r="T117" s="1">
        <v>0</v>
      </c>
      <c r="U117" s="1">
        <v>90</v>
      </c>
      <c r="V117" s="1">
        <v>60003760</v>
      </c>
      <c r="W117" s="1">
        <v>32767</v>
      </c>
      <c r="X117" s="1">
        <v>0</v>
      </c>
      <c r="Z117" s="1">
        <v>2841844566</v>
      </c>
      <c r="AA117" s="1">
        <v>36</v>
      </c>
      <c r="AB117" s="1">
        <v>1248100</v>
      </c>
      <c r="AC117" s="1">
        <v>1248100</v>
      </c>
      <c r="AD117" s="16">
        <v>51.59</v>
      </c>
      <c r="AE117" s="1">
        <v>1</v>
      </c>
      <c r="AF117" s="1">
        <v>0</v>
      </c>
      <c r="AG117" s="1">
        <v>90</v>
      </c>
      <c r="AH117" s="1">
        <v>60003760</v>
      </c>
      <c r="AI117" s="1">
        <v>32767</v>
      </c>
      <c r="AJ117" s="1">
        <v>11</v>
      </c>
      <c r="AL117" s="1">
        <v>2846197037</v>
      </c>
      <c r="AM117" s="1">
        <v>37</v>
      </c>
      <c r="AN117" s="1">
        <v>10542</v>
      </c>
      <c r="AO117" s="1">
        <v>10542</v>
      </c>
      <c r="AP117" s="16">
        <v>249.99</v>
      </c>
      <c r="AQ117" s="1">
        <v>1</v>
      </c>
      <c r="AR117" s="1">
        <v>0</v>
      </c>
      <c r="AS117" s="1">
        <v>90</v>
      </c>
      <c r="AT117" s="1">
        <v>60004210</v>
      </c>
      <c r="AU117" s="1">
        <v>32767</v>
      </c>
      <c r="AV117" s="1">
        <v>8</v>
      </c>
      <c r="AX117" s="1">
        <v>2878811235</v>
      </c>
      <c r="AY117" s="1">
        <v>38</v>
      </c>
      <c r="AZ117" s="1">
        <v>1165120</v>
      </c>
      <c r="BA117" s="1">
        <v>1162757</v>
      </c>
      <c r="BB117" s="1">
        <v>809.87</v>
      </c>
      <c r="BC117" s="1">
        <v>1</v>
      </c>
      <c r="BD117" s="1">
        <v>0</v>
      </c>
      <c r="BE117" s="1">
        <v>90</v>
      </c>
      <c r="BF117" s="1">
        <v>60003760</v>
      </c>
      <c r="BG117" s="1">
        <v>32767</v>
      </c>
      <c r="BH117" s="1">
        <v>5</v>
      </c>
      <c r="BJ117" s="1">
        <v>2878757188</v>
      </c>
      <c r="BK117" s="1">
        <v>39</v>
      </c>
      <c r="BL117" s="1">
        <v>4102</v>
      </c>
      <c r="BM117" s="1">
        <v>4102</v>
      </c>
      <c r="BN117" s="1">
        <v>809.93</v>
      </c>
      <c r="BO117" s="1">
        <v>1</v>
      </c>
      <c r="BP117" s="1">
        <v>0</v>
      </c>
      <c r="BQ117" s="1">
        <v>90</v>
      </c>
      <c r="BR117" s="1">
        <v>60003760</v>
      </c>
      <c r="BS117" s="1">
        <v>32767</v>
      </c>
      <c r="BT117" s="1">
        <v>5</v>
      </c>
      <c r="BV117" s="1">
        <v>2333679707</v>
      </c>
      <c r="BW117" s="1">
        <v>40</v>
      </c>
      <c r="BX117" s="1">
        <v>19638</v>
      </c>
      <c r="BY117" s="1">
        <v>13330</v>
      </c>
      <c r="BZ117" s="1">
        <v>3100</v>
      </c>
      <c r="CA117" s="1">
        <v>1</v>
      </c>
      <c r="CB117" s="1">
        <v>0</v>
      </c>
      <c r="CC117" s="1">
        <v>90</v>
      </c>
      <c r="CD117" s="1">
        <v>60010816</v>
      </c>
      <c r="CE117" s="1">
        <v>32767</v>
      </c>
      <c r="CF117" s="1">
        <v>15</v>
      </c>
      <c r="CH117" s="1">
        <v>2415192949</v>
      </c>
      <c r="CI117" s="1">
        <v>29668</v>
      </c>
      <c r="CJ117" s="1">
        <v>10</v>
      </c>
      <c r="CK117" s="1">
        <v>10</v>
      </c>
      <c r="CL117" s="1">
        <v>494979999.99000001</v>
      </c>
      <c r="CM117" s="1">
        <v>1</v>
      </c>
      <c r="CN117" s="1">
        <v>0</v>
      </c>
      <c r="CO117" s="1">
        <v>90</v>
      </c>
      <c r="CP117" s="1">
        <v>60003760</v>
      </c>
      <c r="CQ117" s="1">
        <v>32767</v>
      </c>
      <c r="CR117" s="1">
        <v>0</v>
      </c>
      <c r="CT117" s="1">
        <v>2415103716</v>
      </c>
      <c r="CU117" s="1">
        <v>16649</v>
      </c>
      <c r="CV117" s="1">
        <v>3031</v>
      </c>
      <c r="CW117" s="1">
        <v>3031</v>
      </c>
      <c r="CX117" s="1">
        <v>99006.13</v>
      </c>
      <c r="CY117" s="1">
        <v>1</v>
      </c>
      <c r="CZ117" s="1">
        <v>1</v>
      </c>
      <c r="DA117" s="1">
        <v>90</v>
      </c>
      <c r="DB117" s="1">
        <v>60003760</v>
      </c>
      <c r="DC117" s="1">
        <v>-1</v>
      </c>
      <c r="DD117" s="1">
        <v>0</v>
      </c>
      <c r="DF117" s="1">
        <v>2415261722</v>
      </c>
      <c r="DG117" s="1">
        <v>17887</v>
      </c>
      <c r="DH117" s="1">
        <v>132544</v>
      </c>
      <c r="DI117" s="1">
        <v>132544</v>
      </c>
      <c r="DJ117" s="1">
        <v>941.99</v>
      </c>
      <c r="DK117" s="1">
        <v>1</v>
      </c>
      <c r="DL117" s="1">
        <v>0</v>
      </c>
      <c r="DM117" s="1">
        <v>90</v>
      </c>
      <c r="DN117" s="1">
        <v>60003760</v>
      </c>
      <c r="DO117" s="1">
        <v>32767</v>
      </c>
      <c r="DP117" s="1">
        <v>0</v>
      </c>
      <c r="DR117" s="1">
        <v>2866852814</v>
      </c>
      <c r="DS117" s="1">
        <v>17888</v>
      </c>
      <c r="DT117" s="1">
        <v>1000000</v>
      </c>
      <c r="DU117" s="1">
        <v>1000000</v>
      </c>
      <c r="DV117" s="1">
        <v>348.87</v>
      </c>
      <c r="DW117" s="1">
        <v>1</v>
      </c>
      <c r="DX117" s="1">
        <v>0</v>
      </c>
      <c r="DY117" s="1">
        <v>90</v>
      </c>
      <c r="DZ117" s="1">
        <v>60003760</v>
      </c>
      <c r="EA117" s="1">
        <v>32767</v>
      </c>
      <c r="EB117" s="1">
        <v>8</v>
      </c>
      <c r="ED117" s="1">
        <v>2854215511</v>
      </c>
      <c r="EE117" s="1">
        <v>16273</v>
      </c>
      <c r="EF117" s="1">
        <v>43358</v>
      </c>
      <c r="EG117" s="1">
        <v>20900</v>
      </c>
      <c r="EH117" s="1">
        <v>420</v>
      </c>
      <c r="EI117" s="1">
        <v>1</v>
      </c>
      <c r="EJ117" s="1">
        <v>0</v>
      </c>
      <c r="EK117" s="1">
        <v>90</v>
      </c>
      <c r="EL117" s="1">
        <v>60013048</v>
      </c>
      <c r="EM117" s="1">
        <v>32767</v>
      </c>
      <c r="EN117" s="1">
        <v>9</v>
      </c>
      <c r="EP117"/>
      <c r="EQ117"/>
      <c r="ER117"/>
      <c r="ES117"/>
      <c r="ET117"/>
      <c r="EU117"/>
      <c r="EV117"/>
      <c r="EW117"/>
      <c r="EX117"/>
      <c r="EY117"/>
      <c r="EZ117"/>
      <c r="FB117" s="1">
        <v>2877919313</v>
      </c>
      <c r="FC117" s="1">
        <v>30259</v>
      </c>
      <c r="FD117" s="1">
        <v>400</v>
      </c>
      <c r="FE117" s="1">
        <v>400</v>
      </c>
      <c r="FF117" s="1">
        <v>5589506.0999999996</v>
      </c>
      <c r="FG117" s="1">
        <v>1</v>
      </c>
      <c r="FH117" s="1">
        <v>1</v>
      </c>
      <c r="FI117" s="1">
        <v>90</v>
      </c>
      <c r="FJ117" s="1">
        <v>60003760</v>
      </c>
      <c r="FK117" s="1">
        <v>-1</v>
      </c>
      <c r="FL117" s="1">
        <v>0</v>
      </c>
      <c r="FZ117" s="1">
        <v>2875846120</v>
      </c>
      <c r="GA117" s="1">
        <v>44</v>
      </c>
      <c r="GB117" s="1">
        <v>100000</v>
      </c>
      <c r="GC117" s="1">
        <v>100000</v>
      </c>
      <c r="GD117" s="1">
        <v>12302.03</v>
      </c>
      <c r="GE117" s="1">
        <v>1</v>
      </c>
      <c r="GF117" s="1">
        <v>1</v>
      </c>
      <c r="GG117" s="1">
        <v>90</v>
      </c>
      <c r="GH117" s="1">
        <v>60003760</v>
      </c>
      <c r="GI117" s="1">
        <v>-1</v>
      </c>
      <c r="GJ117" s="1">
        <v>0</v>
      </c>
      <c r="GL117" s="1">
        <v>2409704601</v>
      </c>
      <c r="GM117" s="1">
        <v>16681</v>
      </c>
      <c r="GN117" s="1">
        <v>66300</v>
      </c>
      <c r="GO117" s="1">
        <v>66300</v>
      </c>
      <c r="GP117" s="1">
        <v>6000</v>
      </c>
      <c r="GQ117" s="1">
        <v>66300</v>
      </c>
      <c r="GR117" s="1">
        <v>1</v>
      </c>
      <c r="GS117" s="1">
        <v>14</v>
      </c>
      <c r="GT117" s="1">
        <v>60002425</v>
      </c>
      <c r="GU117" s="1">
        <v>-1</v>
      </c>
      <c r="GV117" s="1">
        <v>0</v>
      </c>
      <c r="GX117"/>
      <c r="GY117"/>
      <c r="GZ117"/>
      <c r="HA117"/>
      <c r="HB117"/>
      <c r="HC117"/>
      <c r="HD117"/>
      <c r="HE117"/>
      <c r="HF117"/>
      <c r="HG117"/>
      <c r="HH117"/>
      <c r="HV117" s="1">
        <v>2826838100</v>
      </c>
      <c r="HW117" s="1">
        <v>16274</v>
      </c>
      <c r="HX117" s="1">
        <v>1053666</v>
      </c>
      <c r="HY117" s="1">
        <v>1053666</v>
      </c>
      <c r="HZ117" s="1">
        <v>284.72000000000003</v>
      </c>
      <c r="IA117" s="1">
        <v>35122</v>
      </c>
      <c r="IB117" s="1">
        <v>1</v>
      </c>
      <c r="IC117" s="1">
        <v>90</v>
      </c>
      <c r="ID117" s="1">
        <v>60003754</v>
      </c>
      <c r="IE117" s="1">
        <v>32767</v>
      </c>
      <c r="IF117" s="1">
        <v>0</v>
      </c>
      <c r="IT117" s="1">
        <v>2878678239</v>
      </c>
      <c r="IU117" s="1">
        <v>16679</v>
      </c>
      <c r="IV117" s="1">
        <v>200000</v>
      </c>
      <c r="IW117" s="1">
        <v>200000</v>
      </c>
      <c r="IX117" s="1">
        <v>1691.36</v>
      </c>
      <c r="IY117" s="1">
        <v>1</v>
      </c>
      <c r="IZ117" s="1">
        <v>1</v>
      </c>
      <c r="JA117" s="1">
        <v>90</v>
      </c>
      <c r="JB117" s="1">
        <v>60003760</v>
      </c>
      <c r="JC117" s="1">
        <v>-1</v>
      </c>
      <c r="JD117" s="1">
        <v>0</v>
      </c>
      <c r="JF117" s="1">
        <v>2828408899</v>
      </c>
      <c r="JG117" s="1">
        <v>16272</v>
      </c>
      <c r="JH117" s="1">
        <v>3000000</v>
      </c>
      <c r="JI117" s="1">
        <v>2988461</v>
      </c>
      <c r="JJ117" s="1">
        <v>47.99</v>
      </c>
      <c r="JK117" s="1">
        <v>1</v>
      </c>
      <c r="JL117" s="1">
        <v>1</v>
      </c>
      <c r="JM117" s="1">
        <v>90</v>
      </c>
      <c r="JN117" s="1">
        <v>60003760</v>
      </c>
      <c r="JO117" s="1">
        <v>10</v>
      </c>
      <c r="JP117" s="1">
        <v>0</v>
      </c>
      <c r="KD117"/>
      <c r="KE117"/>
      <c r="KF117"/>
      <c r="KG117"/>
      <c r="KH117"/>
      <c r="KI117"/>
      <c r="KJ117"/>
      <c r="KK117"/>
      <c r="KL117"/>
      <c r="KM117"/>
      <c r="KN117"/>
      <c r="KP117"/>
      <c r="KQ117"/>
      <c r="KR117"/>
      <c r="KS117"/>
      <c r="KT117"/>
      <c r="KU117"/>
      <c r="KV117"/>
      <c r="KW117"/>
      <c r="KX117"/>
      <c r="KY117"/>
      <c r="KZ117"/>
      <c r="LB117" s="1">
        <v>2879008978</v>
      </c>
      <c r="LC117" s="1">
        <v>9832</v>
      </c>
      <c r="LD117" s="1">
        <v>1422</v>
      </c>
      <c r="LE117" s="1">
        <v>1422</v>
      </c>
      <c r="LF117" s="1">
        <v>9489.81</v>
      </c>
      <c r="LG117" s="1">
        <v>1</v>
      </c>
      <c r="LH117" s="1">
        <v>0</v>
      </c>
      <c r="LI117" s="1">
        <v>90</v>
      </c>
      <c r="LJ117" s="1">
        <v>60003760</v>
      </c>
      <c r="LK117" s="1">
        <v>32767</v>
      </c>
      <c r="LL117" s="1">
        <v>0</v>
      </c>
      <c r="MX117"/>
      <c r="MY117"/>
      <c r="MZ117"/>
      <c r="NA117"/>
      <c r="NB117"/>
      <c r="NC117"/>
      <c r="ND117"/>
      <c r="NE117"/>
      <c r="NF117"/>
      <c r="NG117"/>
      <c r="NH117"/>
      <c r="NJ117" s="1">
        <v>2878663410</v>
      </c>
      <c r="NK117" s="1">
        <v>16673</v>
      </c>
      <c r="NL117" s="1">
        <v>225000</v>
      </c>
      <c r="NM117" s="1">
        <v>225000</v>
      </c>
      <c r="NN117" s="1">
        <v>95.39</v>
      </c>
      <c r="NO117" s="1">
        <v>1</v>
      </c>
      <c r="NP117" s="1">
        <v>1</v>
      </c>
      <c r="NQ117" s="1">
        <v>30</v>
      </c>
      <c r="NR117" s="1">
        <v>60003760</v>
      </c>
      <c r="NS117" s="1">
        <v>-1</v>
      </c>
      <c r="NT117" s="1">
        <v>0</v>
      </c>
      <c r="NV117" s="1">
        <v>2748758283</v>
      </c>
      <c r="NW117" s="1">
        <v>3689</v>
      </c>
      <c r="NX117" s="1">
        <v>10000</v>
      </c>
      <c r="NY117" s="1">
        <v>4924</v>
      </c>
      <c r="NZ117" s="1">
        <v>4700.0200000000004</v>
      </c>
      <c r="OA117" s="1">
        <v>1</v>
      </c>
      <c r="OB117" s="1">
        <v>1</v>
      </c>
      <c r="OC117" s="1">
        <v>90</v>
      </c>
      <c r="OD117" s="1">
        <v>60003760</v>
      </c>
      <c r="OE117" s="1">
        <v>32767</v>
      </c>
      <c r="OF117" s="1">
        <v>0</v>
      </c>
      <c r="OH117" s="1">
        <v>2878293217</v>
      </c>
      <c r="OI117" s="1">
        <v>25598</v>
      </c>
      <c r="OJ117" s="1">
        <v>113</v>
      </c>
      <c r="OK117" s="1">
        <v>113</v>
      </c>
      <c r="OL117" s="1">
        <v>139998.94</v>
      </c>
      <c r="OM117" s="1">
        <v>1</v>
      </c>
      <c r="ON117" s="1">
        <v>0</v>
      </c>
      <c r="OO117" s="1">
        <v>90</v>
      </c>
      <c r="OP117" s="1">
        <v>60003760</v>
      </c>
      <c r="OQ117" s="1">
        <v>32767</v>
      </c>
      <c r="OR117" s="1">
        <v>0</v>
      </c>
      <c r="OT117" s="1">
        <v>2861133494</v>
      </c>
      <c r="OU117" s="1">
        <v>25600</v>
      </c>
      <c r="OV117" s="1">
        <v>30000</v>
      </c>
      <c r="OW117" s="1">
        <v>28414</v>
      </c>
      <c r="OX117" s="1">
        <v>22530.560000000001</v>
      </c>
      <c r="OY117" s="1">
        <v>1</v>
      </c>
      <c r="OZ117" s="1">
        <v>1</v>
      </c>
      <c r="PA117" s="1">
        <v>90</v>
      </c>
      <c r="PB117" s="1">
        <v>60003760</v>
      </c>
      <c r="PC117" s="1">
        <v>4</v>
      </c>
      <c r="PD117" s="1">
        <v>0</v>
      </c>
      <c r="PF117" s="1">
        <v>2874802900</v>
      </c>
      <c r="PG117" s="1">
        <v>16670</v>
      </c>
      <c r="PH117" s="1">
        <v>100000</v>
      </c>
      <c r="PI117" s="1">
        <v>100000</v>
      </c>
      <c r="PJ117" s="1">
        <v>89.94</v>
      </c>
      <c r="PK117" s="1">
        <v>1000</v>
      </c>
      <c r="PL117" s="1">
        <v>1</v>
      </c>
      <c r="PM117" s="1">
        <v>30</v>
      </c>
      <c r="PN117" s="1">
        <v>60004063</v>
      </c>
      <c r="PO117" s="1">
        <v>3</v>
      </c>
      <c r="PP117" s="1">
        <v>0</v>
      </c>
      <c r="QD117"/>
      <c r="QE117"/>
      <c r="QF117"/>
      <c r="QG117"/>
      <c r="QH117"/>
      <c r="QI117"/>
      <c r="QJ117"/>
      <c r="QK117"/>
      <c r="QL117"/>
      <c r="QM117"/>
      <c r="QN117"/>
      <c r="RB117"/>
      <c r="RC117"/>
      <c r="RD117"/>
      <c r="RE117"/>
      <c r="RF117"/>
      <c r="RG117"/>
      <c r="RH117"/>
      <c r="RI117"/>
      <c r="RJ117"/>
      <c r="RK117"/>
      <c r="RL117"/>
      <c r="SX117" s="1">
        <v>2874774713</v>
      </c>
      <c r="SY117" s="1">
        <v>25595</v>
      </c>
      <c r="SZ117" s="1">
        <v>44</v>
      </c>
      <c r="TA117" s="1">
        <v>44</v>
      </c>
      <c r="TB117" s="1">
        <v>78997</v>
      </c>
      <c r="TC117" s="1">
        <v>1</v>
      </c>
      <c r="TD117" s="1">
        <v>0</v>
      </c>
      <c r="TE117" s="1">
        <v>3</v>
      </c>
      <c r="TF117" s="1">
        <v>60003760</v>
      </c>
      <c r="TG117" s="1">
        <v>32767</v>
      </c>
      <c r="TH117" s="1">
        <v>6</v>
      </c>
      <c r="TJ117" s="1">
        <v>2864696689</v>
      </c>
      <c r="TK117" s="1">
        <v>25606</v>
      </c>
      <c r="TL117" s="1">
        <v>2000</v>
      </c>
      <c r="TM117" s="1">
        <v>416</v>
      </c>
      <c r="TN117" s="1">
        <v>20305.61</v>
      </c>
      <c r="TO117" s="1">
        <v>1</v>
      </c>
      <c r="TP117" s="1">
        <v>1</v>
      </c>
      <c r="TQ117" s="1">
        <v>30</v>
      </c>
      <c r="TR117" s="1">
        <v>60003760</v>
      </c>
      <c r="TS117" s="1">
        <v>-1</v>
      </c>
      <c r="TT117" s="1">
        <v>0</v>
      </c>
    </row>
    <row r="118" spans="2:540" x14ac:dyDescent="0.25">
      <c r="B118" s="1">
        <v>2800018306</v>
      </c>
      <c r="C118" s="1">
        <v>34</v>
      </c>
      <c r="D118" s="1">
        <v>84268270</v>
      </c>
      <c r="E118" s="1">
        <v>84268270</v>
      </c>
      <c r="F118" s="1">
        <v>6.19</v>
      </c>
      <c r="G118" s="1">
        <v>1</v>
      </c>
      <c r="H118" s="1">
        <v>0</v>
      </c>
      <c r="I118" s="1">
        <v>90</v>
      </c>
      <c r="J118" s="1">
        <v>60003760</v>
      </c>
      <c r="K118" s="1">
        <v>32767</v>
      </c>
      <c r="L118" s="1">
        <v>0</v>
      </c>
      <c r="N118" s="1">
        <v>2860060018</v>
      </c>
      <c r="O118" s="1">
        <v>35</v>
      </c>
      <c r="P118" s="1">
        <v>240738</v>
      </c>
      <c r="Q118" s="1">
        <v>240738</v>
      </c>
      <c r="R118" s="1">
        <v>15.62</v>
      </c>
      <c r="S118" s="1">
        <v>1</v>
      </c>
      <c r="T118" s="1">
        <v>0</v>
      </c>
      <c r="U118" s="1">
        <v>90</v>
      </c>
      <c r="V118" s="1">
        <v>60003760</v>
      </c>
      <c r="W118" s="1">
        <v>32767</v>
      </c>
      <c r="X118" s="1">
        <v>0</v>
      </c>
      <c r="Z118" s="1">
        <v>2841291304</v>
      </c>
      <c r="AA118" s="1">
        <v>36</v>
      </c>
      <c r="AB118" s="1">
        <v>274510</v>
      </c>
      <c r="AC118" s="1">
        <v>274510</v>
      </c>
      <c r="AD118" s="16">
        <v>51.91</v>
      </c>
      <c r="AE118" s="1">
        <v>1</v>
      </c>
      <c r="AF118" s="1">
        <v>0</v>
      </c>
      <c r="AG118" s="1">
        <v>90</v>
      </c>
      <c r="AH118" s="1">
        <v>60003760</v>
      </c>
      <c r="AI118" s="1">
        <v>32767</v>
      </c>
      <c r="AJ118" s="1">
        <v>11</v>
      </c>
      <c r="AL118" s="1">
        <v>2748305490</v>
      </c>
      <c r="AM118" s="1">
        <v>37</v>
      </c>
      <c r="AN118" s="1">
        <v>600000</v>
      </c>
      <c r="AO118" s="1">
        <v>287686</v>
      </c>
      <c r="AP118" s="16">
        <v>341</v>
      </c>
      <c r="AQ118" s="1">
        <v>1</v>
      </c>
      <c r="AR118" s="1">
        <v>0</v>
      </c>
      <c r="AS118" s="1">
        <v>90</v>
      </c>
      <c r="AT118" s="1">
        <v>60010195</v>
      </c>
      <c r="AU118" s="1">
        <v>32767</v>
      </c>
      <c r="AV118" s="1">
        <v>5</v>
      </c>
      <c r="AX118" s="1">
        <v>2878816105</v>
      </c>
      <c r="AY118" s="1">
        <v>38</v>
      </c>
      <c r="AZ118" s="1">
        <v>13037</v>
      </c>
      <c r="BA118" s="1">
        <v>12817</v>
      </c>
      <c r="BB118" s="1">
        <v>802</v>
      </c>
      <c r="BC118" s="1">
        <v>1</v>
      </c>
      <c r="BD118" s="1">
        <v>0</v>
      </c>
      <c r="BE118" s="1">
        <v>1</v>
      </c>
      <c r="BF118" s="1">
        <v>60004063</v>
      </c>
      <c r="BG118" s="1">
        <v>32767</v>
      </c>
      <c r="BH118" s="1">
        <v>9</v>
      </c>
      <c r="BJ118" s="1">
        <v>2878512696</v>
      </c>
      <c r="BK118" s="1">
        <v>39</v>
      </c>
      <c r="BL118" s="1">
        <v>118609</v>
      </c>
      <c r="BM118" s="1">
        <v>109549</v>
      </c>
      <c r="BN118" s="1">
        <v>809.92</v>
      </c>
      <c r="BO118" s="1">
        <v>1</v>
      </c>
      <c r="BP118" s="1">
        <v>0</v>
      </c>
      <c r="BQ118" s="1">
        <v>90</v>
      </c>
      <c r="BR118" s="1">
        <v>60003760</v>
      </c>
      <c r="BS118" s="1">
        <v>32767</v>
      </c>
      <c r="BT118" s="1">
        <v>5</v>
      </c>
      <c r="BV118" s="1">
        <v>2399998598</v>
      </c>
      <c r="BW118" s="1">
        <v>40</v>
      </c>
      <c r="BX118" s="1">
        <v>81046</v>
      </c>
      <c r="BY118" s="1">
        <v>10663</v>
      </c>
      <c r="BZ118" s="1">
        <v>2720.34</v>
      </c>
      <c r="CA118" s="1">
        <v>1</v>
      </c>
      <c r="CB118" s="1">
        <v>0</v>
      </c>
      <c r="CC118" s="1">
        <v>30</v>
      </c>
      <c r="CD118" s="1">
        <v>60007585</v>
      </c>
      <c r="CE118" s="1">
        <v>32767</v>
      </c>
      <c r="CF118" s="1">
        <v>13</v>
      </c>
      <c r="CH118" s="1">
        <v>2415197577</v>
      </c>
      <c r="CI118" s="1">
        <v>29668</v>
      </c>
      <c r="CJ118" s="1">
        <v>11</v>
      </c>
      <c r="CK118" s="1">
        <v>11</v>
      </c>
      <c r="CL118" s="1">
        <v>494978995.98000002</v>
      </c>
      <c r="CM118" s="1">
        <v>1</v>
      </c>
      <c r="CN118" s="1">
        <v>0</v>
      </c>
      <c r="CO118" s="1">
        <v>90</v>
      </c>
      <c r="CP118" s="1">
        <v>60003760</v>
      </c>
      <c r="CQ118" s="1">
        <v>32767</v>
      </c>
      <c r="CR118" s="1">
        <v>0</v>
      </c>
      <c r="CT118" s="1">
        <v>2414103184</v>
      </c>
      <c r="CU118" s="1">
        <v>16649</v>
      </c>
      <c r="CV118" s="1">
        <v>1000</v>
      </c>
      <c r="CW118" s="1">
        <v>1000</v>
      </c>
      <c r="CX118" s="1">
        <v>99006.15</v>
      </c>
      <c r="CY118" s="1">
        <v>1</v>
      </c>
      <c r="CZ118" s="1">
        <v>1</v>
      </c>
      <c r="DA118" s="1">
        <v>3</v>
      </c>
      <c r="DB118" s="1">
        <v>60003760</v>
      </c>
      <c r="DC118" s="1">
        <v>-1</v>
      </c>
      <c r="DD118" s="1">
        <v>0</v>
      </c>
      <c r="DF118" s="1">
        <v>2399473502</v>
      </c>
      <c r="DG118" s="1">
        <v>17887</v>
      </c>
      <c r="DH118" s="1">
        <v>882782</v>
      </c>
      <c r="DI118" s="1">
        <v>882782</v>
      </c>
      <c r="DJ118" s="1">
        <v>1032.1500000000001</v>
      </c>
      <c r="DK118" s="1">
        <v>1</v>
      </c>
      <c r="DL118" s="1">
        <v>0</v>
      </c>
      <c r="DM118" s="1">
        <v>90</v>
      </c>
      <c r="DN118" s="1">
        <v>60003760</v>
      </c>
      <c r="DO118" s="1">
        <v>32767</v>
      </c>
      <c r="DP118" s="1">
        <v>0</v>
      </c>
      <c r="DR118" s="1">
        <v>2864932412</v>
      </c>
      <c r="DS118" s="1">
        <v>17888</v>
      </c>
      <c r="DT118" s="1">
        <v>470220</v>
      </c>
      <c r="DU118" s="1">
        <v>470220</v>
      </c>
      <c r="DV118" s="1">
        <v>397</v>
      </c>
      <c r="DW118" s="1">
        <v>1</v>
      </c>
      <c r="DX118" s="1">
        <v>0</v>
      </c>
      <c r="DY118" s="1">
        <v>90</v>
      </c>
      <c r="DZ118" s="1">
        <v>60003760</v>
      </c>
      <c r="EA118" s="1">
        <v>32767</v>
      </c>
      <c r="EB118" s="1">
        <v>8</v>
      </c>
      <c r="ED118" s="1">
        <v>2843503168</v>
      </c>
      <c r="EE118" s="1">
        <v>16273</v>
      </c>
      <c r="EF118" s="1">
        <v>5587</v>
      </c>
      <c r="EG118" s="1">
        <v>87</v>
      </c>
      <c r="EH118" s="1">
        <v>650</v>
      </c>
      <c r="EI118" s="1">
        <v>1</v>
      </c>
      <c r="EJ118" s="1">
        <v>0</v>
      </c>
      <c r="EK118" s="1">
        <v>90</v>
      </c>
      <c r="EL118" s="1">
        <v>60003178</v>
      </c>
      <c r="EM118" s="1">
        <v>32767</v>
      </c>
      <c r="EN118" s="1">
        <v>9</v>
      </c>
      <c r="EP118"/>
      <c r="EQ118"/>
      <c r="ER118"/>
      <c r="ES118"/>
      <c r="ET118"/>
      <c r="EU118"/>
      <c r="EV118"/>
      <c r="EW118"/>
      <c r="EX118"/>
      <c r="EY118"/>
      <c r="EZ118"/>
      <c r="FB118" s="1">
        <v>2877694202</v>
      </c>
      <c r="FC118" s="1">
        <v>30259</v>
      </c>
      <c r="FD118" s="1">
        <v>300</v>
      </c>
      <c r="FE118" s="1">
        <v>300</v>
      </c>
      <c r="FF118" s="1">
        <v>5589504</v>
      </c>
      <c r="FG118" s="1">
        <v>1</v>
      </c>
      <c r="FH118" s="1">
        <v>1</v>
      </c>
      <c r="FI118" s="1">
        <v>90</v>
      </c>
      <c r="FJ118" s="1">
        <v>60003760</v>
      </c>
      <c r="FK118" s="1">
        <v>-1</v>
      </c>
      <c r="FL118" s="1">
        <v>0</v>
      </c>
      <c r="FZ118" s="1">
        <v>2878304704</v>
      </c>
      <c r="GA118" s="1">
        <v>44</v>
      </c>
      <c r="GB118" s="1">
        <v>24000</v>
      </c>
      <c r="GC118" s="1">
        <v>18775</v>
      </c>
      <c r="GD118" s="1">
        <v>12354.05</v>
      </c>
      <c r="GE118" s="1">
        <v>1</v>
      </c>
      <c r="GF118" s="1">
        <v>1</v>
      </c>
      <c r="GG118" s="1">
        <v>90</v>
      </c>
      <c r="GH118" s="1">
        <v>60003760</v>
      </c>
      <c r="GI118" s="1">
        <v>-1</v>
      </c>
      <c r="GJ118" s="1">
        <v>0</v>
      </c>
      <c r="GL118" s="1">
        <v>1951220923</v>
      </c>
      <c r="GM118" s="1">
        <v>16681</v>
      </c>
      <c r="GN118" s="1">
        <v>10000</v>
      </c>
      <c r="GO118" s="1">
        <v>10000</v>
      </c>
      <c r="GP118" s="1">
        <v>110.01</v>
      </c>
      <c r="GQ118" s="1">
        <v>1</v>
      </c>
      <c r="GR118" s="1">
        <v>1</v>
      </c>
      <c r="GS118" s="1">
        <v>90</v>
      </c>
      <c r="GT118" s="1">
        <v>60000526</v>
      </c>
      <c r="GU118" s="1">
        <v>10</v>
      </c>
      <c r="GV118" s="1">
        <v>0</v>
      </c>
      <c r="GX118"/>
      <c r="GY118"/>
      <c r="GZ118"/>
      <c r="HA118"/>
      <c r="HB118"/>
      <c r="HC118"/>
      <c r="HD118"/>
      <c r="HE118"/>
      <c r="HF118"/>
      <c r="HG118"/>
      <c r="HH118"/>
      <c r="HV118" s="1">
        <v>2497884304</v>
      </c>
      <c r="HW118" s="1">
        <v>16274</v>
      </c>
      <c r="HX118" s="1">
        <v>1000000</v>
      </c>
      <c r="HY118" s="1">
        <v>963833</v>
      </c>
      <c r="HZ118" s="1">
        <v>38.979999999999997</v>
      </c>
      <c r="IA118" s="1">
        <v>1</v>
      </c>
      <c r="IB118" s="1">
        <v>1</v>
      </c>
      <c r="IC118" s="1">
        <v>90</v>
      </c>
      <c r="ID118" s="1">
        <v>60003136</v>
      </c>
      <c r="IE118" s="1">
        <v>10</v>
      </c>
      <c r="IF118" s="1">
        <v>0</v>
      </c>
      <c r="IT118" s="1">
        <v>2878662241</v>
      </c>
      <c r="IU118" s="1">
        <v>16679</v>
      </c>
      <c r="IV118" s="1">
        <v>7000</v>
      </c>
      <c r="IW118" s="1">
        <v>7000</v>
      </c>
      <c r="IX118" s="1">
        <v>1691.45</v>
      </c>
      <c r="IY118" s="1">
        <v>1</v>
      </c>
      <c r="IZ118" s="1">
        <v>1</v>
      </c>
      <c r="JA118" s="1">
        <v>30</v>
      </c>
      <c r="JB118" s="1">
        <v>60003760</v>
      </c>
      <c r="JC118" s="1">
        <v>-1</v>
      </c>
      <c r="JD118" s="1">
        <v>0</v>
      </c>
      <c r="JF118" s="1">
        <v>2828407775</v>
      </c>
      <c r="JG118" s="1">
        <v>16272</v>
      </c>
      <c r="JH118" s="1">
        <v>2000000</v>
      </c>
      <c r="JI118" s="1">
        <v>2000000</v>
      </c>
      <c r="JJ118" s="1">
        <v>45.06</v>
      </c>
      <c r="JK118" s="1">
        <v>1</v>
      </c>
      <c r="JL118" s="1">
        <v>1</v>
      </c>
      <c r="JM118" s="1">
        <v>90</v>
      </c>
      <c r="JN118" s="1">
        <v>60003760</v>
      </c>
      <c r="JO118" s="1">
        <v>20</v>
      </c>
      <c r="JP118" s="1">
        <v>0</v>
      </c>
      <c r="KD118"/>
      <c r="KE118"/>
      <c r="KF118"/>
      <c r="KG118"/>
      <c r="KH118"/>
      <c r="KI118"/>
      <c r="KJ118"/>
      <c r="KK118"/>
      <c r="KL118"/>
      <c r="KM118"/>
      <c r="KN118"/>
      <c r="KP118"/>
      <c r="KQ118"/>
      <c r="KR118"/>
      <c r="KS118"/>
      <c r="KT118"/>
      <c r="KU118"/>
      <c r="KV118"/>
      <c r="KW118"/>
      <c r="KX118"/>
      <c r="KY118"/>
      <c r="KZ118"/>
      <c r="LB118" s="1">
        <v>2879088259</v>
      </c>
      <c r="LC118" s="1">
        <v>9832</v>
      </c>
      <c r="LD118" s="1">
        <v>17117</v>
      </c>
      <c r="LE118" s="1">
        <v>17117</v>
      </c>
      <c r="LF118" s="1">
        <v>9497.6299999999992</v>
      </c>
      <c r="LG118" s="1">
        <v>1</v>
      </c>
      <c r="LH118" s="1">
        <v>0</v>
      </c>
      <c r="LI118" s="1">
        <v>7</v>
      </c>
      <c r="LJ118" s="1">
        <v>60003760</v>
      </c>
      <c r="LK118" s="1">
        <v>32767</v>
      </c>
      <c r="LL118" s="1">
        <v>0</v>
      </c>
      <c r="MX118"/>
      <c r="MY118"/>
      <c r="MZ118"/>
      <c r="NA118"/>
      <c r="NB118"/>
      <c r="NC118"/>
      <c r="ND118"/>
      <c r="NE118"/>
      <c r="NF118"/>
      <c r="NG118"/>
      <c r="NH118"/>
      <c r="NJ118" s="1">
        <v>2878971917</v>
      </c>
      <c r="NK118" s="1">
        <v>16673</v>
      </c>
      <c r="NL118" s="1">
        <v>1000000</v>
      </c>
      <c r="NM118" s="1">
        <v>627384</v>
      </c>
      <c r="NN118" s="1">
        <v>95.43</v>
      </c>
      <c r="NO118" s="1">
        <v>1</v>
      </c>
      <c r="NP118" s="1">
        <v>1</v>
      </c>
      <c r="NQ118" s="1">
        <v>90</v>
      </c>
      <c r="NR118" s="1">
        <v>60003760</v>
      </c>
      <c r="NS118" s="1">
        <v>-1</v>
      </c>
      <c r="NT118" s="1">
        <v>0</v>
      </c>
      <c r="NV118" s="1">
        <v>2873575329</v>
      </c>
      <c r="NW118" s="1">
        <v>3689</v>
      </c>
      <c r="NX118" s="1">
        <v>20000</v>
      </c>
      <c r="NY118" s="1">
        <v>17220</v>
      </c>
      <c r="NZ118" s="1">
        <v>7654</v>
      </c>
      <c r="OA118" s="1">
        <v>10</v>
      </c>
      <c r="OB118" s="1">
        <v>1</v>
      </c>
      <c r="OC118" s="1">
        <v>90</v>
      </c>
      <c r="OD118" s="1">
        <v>60003760</v>
      </c>
      <c r="OE118" s="1">
        <v>5</v>
      </c>
      <c r="OF118" s="1">
        <v>0</v>
      </c>
      <c r="OH118" s="1">
        <v>2878299328</v>
      </c>
      <c r="OI118" s="1">
        <v>25598</v>
      </c>
      <c r="OJ118" s="1">
        <v>108</v>
      </c>
      <c r="OK118" s="1">
        <v>108</v>
      </c>
      <c r="OL118" s="1">
        <v>139000</v>
      </c>
      <c r="OM118" s="1">
        <v>1</v>
      </c>
      <c r="ON118" s="1">
        <v>0</v>
      </c>
      <c r="OO118" s="1">
        <v>7</v>
      </c>
      <c r="OP118" s="1">
        <v>60003760</v>
      </c>
      <c r="OQ118" s="1">
        <v>32767</v>
      </c>
      <c r="OR118" s="1">
        <v>0</v>
      </c>
      <c r="OT118" s="1">
        <v>2860863535</v>
      </c>
      <c r="OU118" s="1">
        <v>25600</v>
      </c>
      <c r="OV118" s="1">
        <v>2160</v>
      </c>
      <c r="OW118" s="1">
        <v>2160</v>
      </c>
      <c r="OX118" s="1">
        <v>27000.04</v>
      </c>
      <c r="OY118" s="1">
        <v>1</v>
      </c>
      <c r="OZ118" s="1">
        <v>1</v>
      </c>
      <c r="PA118" s="1">
        <v>30</v>
      </c>
      <c r="PB118" s="1">
        <v>60003760</v>
      </c>
      <c r="PC118" s="1">
        <v>-1</v>
      </c>
      <c r="PD118" s="1">
        <v>0</v>
      </c>
      <c r="PF118" s="1">
        <v>2787685796</v>
      </c>
      <c r="PG118" s="1">
        <v>16670</v>
      </c>
      <c r="PH118" s="1">
        <v>1000000</v>
      </c>
      <c r="PI118" s="1">
        <v>368995</v>
      </c>
      <c r="PJ118" s="1">
        <v>89.93</v>
      </c>
      <c r="PK118" s="1">
        <v>1</v>
      </c>
      <c r="PL118" s="1">
        <v>1</v>
      </c>
      <c r="PM118" s="1">
        <v>90</v>
      </c>
      <c r="PN118" s="1">
        <v>60004459</v>
      </c>
      <c r="PO118" s="1">
        <v>10</v>
      </c>
      <c r="PP118" s="1">
        <v>0</v>
      </c>
      <c r="QD118"/>
      <c r="QE118"/>
      <c r="QF118"/>
      <c r="QG118"/>
      <c r="QH118"/>
      <c r="QI118"/>
      <c r="QJ118"/>
      <c r="QK118"/>
      <c r="QL118"/>
      <c r="QM118"/>
      <c r="QN118"/>
      <c r="RB118"/>
      <c r="RC118"/>
      <c r="RD118"/>
      <c r="RE118"/>
      <c r="RF118"/>
      <c r="RG118"/>
      <c r="RH118"/>
      <c r="RI118"/>
      <c r="RJ118"/>
      <c r="RK118"/>
      <c r="RL118"/>
      <c r="SX118" s="1">
        <v>2874902668</v>
      </c>
      <c r="SY118" s="1">
        <v>25595</v>
      </c>
      <c r="SZ118" s="1">
        <v>69</v>
      </c>
      <c r="TA118" s="1">
        <v>69</v>
      </c>
      <c r="TB118" s="1">
        <v>80000</v>
      </c>
      <c r="TC118" s="1">
        <v>1</v>
      </c>
      <c r="TD118" s="1">
        <v>0</v>
      </c>
      <c r="TE118" s="1">
        <v>90</v>
      </c>
      <c r="TF118" s="1">
        <v>60003760</v>
      </c>
      <c r="TG118" s="1">
        <v>32767</v>
      </c>
      <c r="TH118" s="1">
        <v>6</v>
      </c>
      <c r="TJ118" s="1">
        <v>2870866754</v>
      </c>
      <c r="TK118" s="1">
        <v>25606</v>
      </c>
      <c r="TL118" s="1">
        <v>3000</v>
      </c>
      <c r="TM118" s="1">
        <v>3000</v>
      </c>
      <c r="TN118" s="1">
        <v>17000</v>
      </c>
      <c r="TO118" s="1">
        <v>1</v>
      </c>
      <c r="TP118" s="1">
        <v>1</v>
      </c>
      <c r="TQ118" s="1">
        <v>30</v>
      </c>
      <c r="TR118" s="1">
        <v>60003760</v>
      </c>
      <c r="TS118" s="1">
        <v>5</v>
      </c>
      <c r="TT118" s="1">
        <v>0</v>
      </c>
    </row>
    <row r="119" spans="2:540" x14ac:dyDescent="0.25">
      <c r="B119" s="1">
        <v>2788953948</v>
      </c>
      <c r="C119" s="1">
        <v>34</v>
      </c>
      <c r="D119" s="1">
        <v>1</v>
      </c>
      <c r="E119" s="1">
        <v>1</v>
      </c>
      <c r="F119" s="1">
        <v>440000000</v>
      </c>
      <c r="G119" s="1">
        <v>1</v>
      </c>
      <c r="H119" s="1">
        <v>0</v>
      </c>
      <c r="I119" s="1">
        <v>90</v>
      </c>
      <c r="J119" s="1">
        <v>60003760</v>
      </c>
      <c r="K119" s="1">
        <v>32767</v>
      </c>
      <c r="L119" s="1">
        <v>0</v>
      </c>
      <c r="N119" s="1">
        <v>2860615723</v>
      </c>
      <c r="O119" s="1">
        <v>35</v>
      </c>
      <c r="P119" s="1">
        <v>200844754</v>
      </c>
      <c r="Q119" s="1">
        <v>139678911</v>
      </c>
      <c r="R119" s="1">
        <v>15.44</v>
      </c>
      <c r="S119" s="1">
        <v>1</v>
      </c>
      <c r="T119" s="1">
        <v>0</v>
      </c>
      <c r="U119" s="1">
        <v>90</v>
      </c>
      <c r="V119" s="1">
        <v>60003760</v>
      </c>
      <c r="W119" s="1">
        <v>32767</v>
      </c>
      <c r="X119" s="1">
        <v>0</v>
      </c>
      <c r="Z119" s="1">
        <v>2840507995</v>
      </c>
      <c r="AA119" s="1">
        <v>36</v>
      </c>
      <c r="AB119" s="1">
        <v>27520440</v>
      </c>
      <c r="AC119" s="1">
        <v>27520440</v>
      </c>
      <c r="AD119" s="16">
        <v>51.98</v>
      </c>
      <c r="AE119" s="1">
        <v>1</v>
      </c>
      <c r="AF119" s="1">
        <v>0</v>
      </c>
      <c r="AG119" s="1">
        <v>90</v>
      </c>
      <c r="AH119" s="1">
        <v>60003760</v>
      </c>
      <c r="AI119" s="1">
        <v>32767</v>
      </c>
      <c r="AJ119" s="1">
        <v>11</v>
      </c>
      <c r="AL119" s="1">
        <v>2829155182</v>
      </c>
      <c r="AM119" s="1">
        <v>37</v>
      </c>
      <c r="AN119" s="1">
        <v>93978</v>
      </c>
      <c r="AO119" s="1">
        <v>39478</v>
      </c>
      <c r="AP119" s="16">
        <v>187</v>
      </c>
      <c r="AQ119" s="1">
        <v>1</v>
      </c>
      <c r="AR119" s="1">
        <v>0</v>
      </c>
      <c r="AS119" s="1">
        <v>90</v>
      </c>
      <c r="AT119" s="1">
        <v>60010192</v>
      </c>
      <c r="AU119" s="1">
        <v>32767</v>
      </c>
      <c r="AV119" s="1">
        <v>6</v>
      </c>
      <c r="AX119" s="1">
        <v>2878820203</v>
      </c>
      <c r="AY119" s="1">
        <v>38</v>
      </c>
      <c r="AZ119" s="1">
        <v>6101</v>
      </c>
      <c r="BA119" s="1">
        <v>6101</v>
      </c>
      <c r="BB119" s="1">
        <v>808</v>
      </c>
      <c r="BC119" s="1">
        <v>1</v>
      </c>
      <c r="BD119" s="1">
        <v>0</v>
      </c>
      <c r="BE119" s="1">
        <v>90</v>
      </c>
      <c r="BF119" s="1">
        <v>60007591</v>
      </c>
      <c r="BG119" s="1">
        <v>32767</v>
      </c>
      <c r="BH119" s="1">
        <v>11</v>
      </c>
      <c r="BJ119" s="1">
        <v>2878797978</v>
      </c>
      <c r="BK119" s="1">
        <v>39</v>
      </c>
      <c r="BL119" s="1">
        <v>225</v>
      </c>
      <c r="BM119" s="1">
        <v>225</v>
      </c>
      <c r="BN119" s="1">
        <v>809.91</v>
      </c>
      <c r="BO119" s="1">
        <v>1</v>
      </c>
      <c r="BP119" s="1">
        <v>0</v>
      </c>
      <c r="BQ119" s="1">
        <v>90</v>
      </c>
      <c r="BR119" s="1">
        <v>60003760</v>
      </c>
      <c r="BS119" s="1">
        <v>32767</v>
      </c>
      <c r="BT119" s="1">
        <v>5</v>
      </c>
      <c r="BV119" s="1">
        <v>2368999440</v>
      </c>
      <c r="BW119" s="1">
        <v>40</v>
      </c>
      <c r="BX119" s="1">
        <v>159</v>
      </c>
      <c r="BY119" s="1">
        <v>159</v>
      </c>
      <c r="BZ119" s="1">
        <v>3500</v>
      </c>
      <c r="CA119" s="1">
        <v>1</v>
      </c>
      <c r="CB119" s="1">
        <v>0</v>
      </c>
      <c r="CC119" s="1">
        <v>90</v>
      </c>
      <c r="CD119" s="1">
        <v>60001621</v>
      </c>
      <c r="CE119" s="1">
        <v>32767</v>
      </c>
      <c r="CF119" s="1">
        <v>1</v>
      </c>
      <c r="CH119" s="1">
        <v>2415198298</v>
      </c>
      <c r="CI119" s="1">
        <v>29668</v>
      </c>
      <c r="CJ119" s="1">
        <v>10</v>
      </c>
      <c r="CK119" s="1">
        <v>9</v>
      </c>
      <c r="CL119" s="1">
        <v>494977999.99000001</v>
      </c>
      <c r="CM119" s="1">
        <v>1</v>
      </c>
      <c r="CN119" s="1">
        <v>0</v>
      </c>
      <c r="CO119" s="1">
        <v>90</v>
      </c>
      <c r="CP119" s="1">
        <v>60003760</v>
      </c>
      <c r="CQ119" s="1">
        <v>32767</v>
      </c>
      <c r="CR119" s="1">
        <v>0</v>
      </c>
      <c r="CT119" s="1">
        <v>2415479115</v>
      </c>
      <c r="CU119" s="1">
        <v>16649</v>
      </c>
      <c r="CV119" s="1">
        <v>2500</v>
      </c>
      <c r="CW119" s="1">
        <v>2500</v>
      </c>
      <c r="CX119" s="1">
        <v>99006.16</v>
      </c>
      <c r="CY119" s="1">
        <v>1</v>
      </c>
      <c r="CZ119" s="1">
        <v>1</v>
      </c>
      <c r="DA119" s="1">
        <v>90</v>
      </c>
      <c r="DB119" s="1">
        <v>60003760</v>
      </c>
      <c r="DC119" s="1">
        <v>-1</v>
      </c>
      <c r="DD119" s="1">
        <v>0</v>
      </c>
      <c r="DF119" s="1">
        <v>2414603837</v>
      </c>
      <c r="DG119" s="1">
        <v>17887</v>
      </c>
      <c r="DH119" s="1">
        <v>3000000</v>
      </c>
      <c r="DI119" s="1">
        <v>3000000</v>
      </c>
      <c r="DJ119" s="1">
        <v>941.83</v>
      </c>
      <c r="DK119" s="1">
        <v>1</v>
      </c>
      <c r="DL119" s="1">
        <v>0</v>
      </c>
      <c r="DM119" s="1">
        <v>90</v>
      </c>
      <c r="DN119" s="1">
        <v>60003760</v>
      </c>
      <c r="DO119" s="1">
        <v>32767</v>
      </c>
      <c r="DP119" s="1">
        <v>0</v>
      </c>
      <c r="DR119" s="1">
        <v>2864519535</v>
      </c>
      <c r="DS119" s="1">
        <v>17888</v>
      </c>
      <c r="DT119" s="1">
        <v>5635000</v>
      </c>
      <c r="DU119" s="1">
        <v>1124734</v>
      </c>
      <c r="DV119" s="1">
        <v>348.9</v>
      </c>
      <c r="DW119" s="1">
        <v>1</v>
      </c>
      <c r="DX119" s="1">
        <v>0</v>
      </c>
      <c r="DY119" s="1">
        <v>90</v>
      </c>
      <c r="DZ119" s="1">
        <v>60003760</v>
      </c>
      <c r="EA119" s="1">
        <v>32767</v>
      </c>
      <c r="EB119" s="1">
        <v>8</v>
      </c>
      <c r="ED119" s="1">
        <v>2825228269</v>
      </c>
      <c r="EE119" s="1">
        <v>16273</v>
      </c>
      <c r="EF119" s="1">
        <v>290729</v>
      </c>
      <c r="EG119" s="1">
        <v>217209</v>
      </c>
      <c r="EH119" s="1">
        <v>499</v>
      </c>
      <c r="EI119" s="1">
        <v>1</v>
      </c>
      <c r="EJ119" s="1">
        <v>0</v>
      </c>
      <c r="EK119" s="1">
        <v>90</v>
      </c>
      <c r="EL119" s="1">
        <v>60002374</v>
      </c>
      <c r="EM119" s="1">
        <v>32767</v>
      </c>
      <c r="EN119" s="1">
        <v>9</v>
      </c>
      <c r="EP119"/>
      <c r="EQ119"/>
      <c r="ER119"/>
      <c r="ES119"/>
      <c r="ET119"/>
      <c r="EU119"/>
      <c r="EV119"/>
      <c r="EW119"/>
      <c r="EX119"/>
      <c r="EY119"/>
      <c r="EZ119"/>
      <c r="FB119" s="1">
        <v>2877694470</v>
      </c>
      <c r="FC119" s="1">
        <v>30259</v>
      </c>
      <c r="FD119" s="1">
        <v>200</v>
      </c>
      <c r="FE119" s="1">
        <v>200</v>
      </c>
      <c r="FF119" s="1">
        <v>5589503.9699999997</v>
      </c>
      <c r="FG119" s="1">
        <v>1</v>
      </c>
      <c r="FH119" s="1">
        <v>1</v>
      </c>
      <c r="FI119" s="1">
        <v>90</v>
      </c>
      <c r="FJ119" s="1">
        <v>60003760</v>
      </c>
      <c r="FK119" s="1">
        <v>-1</v>
      </c>
      <c r="FL119" s="1">
        <v>0</v>
      </c>
      <c r="FZ119" s="1">
        <v>2543758791</v>
      </c>
      <c r="GA119" s="1">
        <v>44</v>
      </c>
      <c r="GB119" s="1">
        <v>3000</v>
      </c>
      <c r="GC119" s="1">
        <v>1185</v>
      </c>
      <c r="GD119" s="1">
        <v>1600.04</v>
      </c>
      <c r="GE119" s="1">
        <v>1</v>
      </c>
      <c r="GF119" s="1">
        <v>1</v>
      </c>
      <c r="GG119" s="1">
        <v>90</v>
      </c>
      <c r="GH119" s="1">
        <v>60003724</v>
      </c>
      <c r="GI119" s="1">
        <v>10</v>
      </c>
      <c r="GJ119" s="1">
        <v>0</v>
      </c>
      <c r="GL119" s="1">
        <v>2403153839</v>
      </c>
      <c r="GM119" s="1">
        <v>16681</v>
      </c>
      <c r="GN119" s="1">
        <v>200000</v>
      </c>
      <c r="GO119" s="1">
        <v>200000</v>
      </c>
      <c r="GP119" s="1">
        <v>5950</v>
      </c>
      <c r="GQ119" s="1">
        <v>1</v>
      </c>
      <c r="GR119" s="1">
        <v>1</v>
      </c>
      <c r="GS119" s="1">
        <v>90</v>
      </c>
      <c r="GT119" s="1">
        <v>60003760</v>
      </c>
      <c r="GU119" s="1">
        <v>-1</v>
      </c>
      <c r="GV119" s="1">
        <v>0</v>
      </c>
      <c r="GX119"/>
      <c r="GY119"/>
      <c r="GZ119"/>
      <c r="HA119"/>
      <c r="HB119"/>
      <c r="HC119"/>
      <c r="HD119"/>
      <c r="HE119"/>
      <c r="HF119"/>
      <c r="HG119"/>
      <c r="HH119"/>
      <c r="HV119" s="1">
        <v>2870170176</v>
      </c>
      <c r="HW119" s="1">
        <v>16274</v>
      </c>
      <c r="HX119" s="1">
        <v>50000</v>
      </c>
      <c r="HY119" s="1">
        <v>50000</v>
      </c>
      <c r="HZ119" s="1">
        <v>399</v>
      </c>
      <c r="IA119" s="1">
        <v>1</v>
      </c>
      <c r="IB119" s="1">
        <v>1</v>
      </c>
      <c r="IC119" s="1">
        <v>30</v>
      </c>
      <c r="ID119" s="1">
        <v>60000922</v>
      </c>
      <c r="IE119" s="1">
        <v>-1</v>
      </c>
      <c r="IF119" s="1">
        <v>0</v>
      </c>
      <c r="IT119" s="1">
        <v>2878844890</v>
      </c>
      <c r="IU119" s="1">
        <v>16679</v>
      </c>
      <c r="IV119" s="1">
        <v>20000</v>
      </c>
      <c r="IW119" s="1">
        <v>20000</v>
      </c>
      <c r="IX119" s="1">
        <v>1691.45</v>
      </c>
      <c r="IY119" s="1">
        <v>1</v>
      </c>
      <c r="IZ119" s="1">
        <v>1</v>
      </c>
      <c r="JA119" s="1">
        <v>90</v>
      </c>
      <c r="JB119" s="1">
        <v>60003760</v>
      </c>
      <c r="JC119" s="1">
        <v>-1</v>
      </c>
      <c r="JD119" s="1">
        <v>0</v>
      </c>
      <c r="JF119" s="1">
        <v>2825224379</v>
      </c>
      <c r="JG119" s="1">
        <v>16272</v>
      </c>
      <c r="JH119" s="1">
        <v>2000000</v>
      </c>
      <c r="JI119" s="1">
        <v>2000000</v>
      </c>
      <c r="JJ119" s="1">
        <v>65.58</v>
      </c>
      <c r="JK119" s="1">
        <v>1</v>
      </c>
      <c r="JL119" s="1">
        <v>1</v>
      </c>
      <c r="JM119" s="1">
        <v>90</v>
      </c>
      <c r="JN119" s="1">
        <v>60003760</v>
      </c>
      <c r="JO119" s="1">
        <v>-1</v>
      </c>
      <c r="JP119" s="1">
        <v>0</v>
      </c>
      <c r="KD119"/>
      <c r="KE119"/>
      <c r="KF119"/>
      <c r="KG119"/>
      <c r="KH119"/>
      <c r="KI119"/>
      <c r="KJ119"/>
      <c r="KK119"/>
      <c r="KL119"/>
      <c r="KM119"/>
      <c r="KN119"/>
      <c r="KP119"/>
      <c r="KQ119"/>
      <c r="KR119"/>
      <c r="KS119"/>
      <c r="KT119"/>
      <c r="KU119"/>
      <c r="KV119"/>
      <c r="KW119"/>
      <c r="KX119"/>
      <c r="KY119"/>
      <c r="KZ119"/>
      <c r="LB119" s="1">
        <v>2879011890</v>
      </c>
      <c r="LC119" s="1">
        <v>9832</v>
      </c>
      <c r="LD119" s="1">
        <v>10615</v>
      </c>
      <c r="LE119" s="1">
        <v>9615</v>
      </c>
      <c r="LF119" s="1">
        <v>9489.7900000000009</v>
      </c>
      <c r="LG119" s="1">
        <v>1</v>
      </c>
      <c r="LH119" s="1">
        <v>0</v>
      </c>
      <c r="LI119" s="1">
        <v>7</v>
      </c>
      <c r="LJ119" s="1">
        <v>60003760</v>
      </c>
      <c r="LK119" s="1">
        <v>32767</v>
      </c>
      <c r="LL119" s="1">
        <v>0</v>
      </c>
      <c r="MX119"/>
      <c r="MY119"/>
      <c r="MZ119"/>
      <c r="NA119"/>
      <c r="NB119"/>
      <c r="NC119"/>
      <c r="ND119"/>
      <c r="NE119"/>
      <c r="NF119"/>
      <c r="NG119"/>
      <c r="NH119"/>
      <c r="NJ119" s="1">
        <v>2879010602</v>
      </c>
      <c r="NK119" s="1">
        <v>16673</v>
      </c>
      <c r="NL119" s="1">
        <v>14000000</v>
      </c>
      <c r="NM119" s="1">
        <v>8419011</v>
      </c>
      <c r="NN119" s="1">
        <v>95.45</v>
      </c>
      <c r="NO119" s="1">
        <v>1</v>
      </c>
      <c r="NP119" s="1">
        <v>1</v>
      </c>
      <c r="NQ119" s="1">
        <v>90</v>
      </c>
      <c r="NR119" s="1">
        <v>60003760</v>
      </c>
      <c r="NS119" s="1">
        <v>-1</v>
      </c>
      <c r="NT119" s="1">
        <v>0</v>
      </c>
      <c r="NV119" s="1">
        <v>2873583600</v>
      </c>
      <c r="NW119" s="1">
        <v>3689</v>
      </c>
      <c r="NX119" s="1">
        <v>100000</v>
      </c>
      <c r="NY119" s="1">
        <v>95338</v>
      </c>
      <c r="NZ119" s="1">
        <v>9571.19</v>
      </c>
      <c r="OA119" s="1">
        <v>1</v>
      </c>
      <c r="OB119" s="1">
        <v>1</v>
      </c>
      <c r="OC119" s="1">
        <v>7</v>
      </c>
      <c r="OD119" s="1">
        <v>60003760</v>
      </c>
      <c r="OE119" s="1">
        <v>-1</v>
      </c>
      <c r="OF119" s="1">
        <v>0</v>
      </c>
      <c r="OH119" s="1">
        <v>2877870024</v>
      </c>
      <c r="OI119" s="1">
        <v>25598</v>
      </c>
      <c r="OJ119" s="1">
        <v>3724</v>
      </c>
      <c r="OK119" s="1">
        <v>724</v>
      </c>
      <c r="OL119" s="1">
        <v>140998</v>
      </c>
      <c r="OM119" s="1">
        <v>1</v>
      </c>
      <c r="ON119" s="1">
        <v>0</v>
      </c>
      <c r="OO119" s="1">
        <v>30</v>
      </c>
      <c r="OP119" s="1">
        <v>60003760</v>
      </c>
      <c r="OQ119" s="1">
        <v>32767</v>
      </c>
      <c r="OR119" s="1">
        <v>0</v>
      </c>
      <c r="OT119" s="1">
        <v>2862871875</v>
      </c>
      <c r="OU119" s="1">
        <v>25600</v>
      </c>
      <c r="OV119" s="1">
        <v>25000</v>
      </c>
      <c r="OW119" s="1">
        <v>9291</v>
      </c>
      <c r="OX119" s="1">
        <v>27300</v>
      </c>
      <c r="OY119" s="1">
        <v>1</v>
      </c>
      <c r="OZ119" s="1">
        <v>1</v>
      </c>
      <c r="PA119" s="1">
        <v>90</v>
      </c>
      <c r="PB119" s="1">
        <v>60003760</v>
      </c>
      <c r="PC119" s="1">
        <v>-1</v>
      </c>
      <c r="PD119" s="1">
        <v>0</v>
      </c>
      <c r="PF119" s="1">
        <v>1615602290</v>
      </c>
      <c r="PG119" s="1">
        <v>16670</v>
      </c>
      <c r="PH119" s="1">
        <v>100000</v>
      </c>
      <c r="PI119" s="1">
        <v>94272</v>
      </c>
      <c r="PJ119" s="1">
        <v>26.03</v>
      </c>
      <c r="PK119" s="1">
        <v>1</v>
      </c>
      <c r="PL119" s="1">
        <v>1</v>
      </c>
      <c r="PM119" s="1">
        <v>90</v>
      </c>
      <c r="PN119" s="1">
        <v>60001783</v>
      </c>
      <c r="PO119" s="1">
        <v>10</v>
      </c>
      <c r="PP119" s="1">
        <v>0</v>
      </c>
      <c r="QD119"/>
      <c r="QE119"/>
      <c r="QF119"/>
      <c r="QG119"/>
      <c r="QH119"/>
      <c r="QI119"/>
      <c r="QJ119"/>
      <c r="QK119"/>
      <c r="QL119"/>
      <c r="QM119"/>
      <c r="QN119"/>
      <c r="RB119"/>
      <c r="RC119"/>
      <c r="RD119"/>
      <c r="RE119"/>
      <c r="RF119"/>
      <c r="RG119"/>
      <c r="RH119"/>
      <c r="RI119"/>
      <c r="RJ119"/>
      <c r="RK119"/>
      <c r="RL119"/>
      <c r="SX119" s="1">
        <v>2875686530</v>
      </c>
      <c r="SY119" s="1">
        <v>25595</v>
      </c>
      <c r="SZ119" s="1">
        <v>49</v>
      </c>
      <c r="TA119" s="1">
        <v>49</v>
      </c>
      <c r="TB119" s="1">
        <v>80000</v>
      </c>
      <c r="TC119" s="1">
        <v>1</v>
      </c>
      <c r="TD119" s="1">
        <v>0</v>
      </c>
      <c r="TE119" s="1">
        <v>90</v>
      </c>
      <c r="TF119" s="1">
        <v>60003760</v>
      </c>
      <c r="TG119" s="1">
        <v>32767</v>
      </c>
      <c r="TH119" s="1">
        <v>6</v>
      </c>
      <c r="TJ119" s="1">
        <v>2870484050</v>
      </c>
      <c r="TK119" s="1">
        <v>25606</v>
      </c>
      <c r="TL119" s="1">
        <v>20000</v>
      </c>
      <c r="TM119" s="1">
        <v>20000</v>
      </c>
      <c r="TN119" s="1">
        <v>20005</v>
      </c>
      <c r="TO119" s="1">
        <v>1</v>
      </c>
      <c r="TP119" s="1">
        <v>1</v>
      </c>
      <c r="TQ119" s="1">
        <v>90</v>
      </c>
      <c r="TR119" s="1">
        <v>60003760</v>
      </c>
      <c r="TS119" s="1">
        <v>-1</v>
      </c>
      <c r="TT119" s="1">
        <v>0</v>
      </c>
    </row>
    <row r="120" spans="2:540" x14ac:dyDescent="0.25">
      <c r="B120" s="1">
        <v>2787428432</v>
      </c>
      <c r="C120" s="1">
        <v>34</v>
      </c>
      <c r="D120" s="1">
        <v>6496648</v>
      </c>
      <c r="E120" s="1">
        <v>6496648</v>
      </c>
      <c r="F120" s="1">
        <v>6.94</v>
      </c>
      <c r="G120" s="1">
        <v>1</v>
      </c>
      <c r="H120" s="1">
        <v>0</v>
      </c>
      <c r="I120" s="1">
        <v>90</v>
      </c>
      <c r="J120" s="1">
        <v>60003760</v>
      </c>
      <c r="K120" s="1">
        <v>32767</v>
      </c>
      <c r="L120" s="1">
        <v>0</v>
      </c>
      <c r="N120" s="1">
        <v>2860773974</v>
      </c>
      <c r="O120" s="1">
        <v>35</v>
      </c>
      <c r="P120" s="1">
        <v>25307801</v>
      </c>
      <c r="Q120" s="1">
        <v>25307801</v>
      </c>
      <c r="R120" s="1">
        <v>15.45</v>
      </c>
      <c r="S120" s="1">
        <v>1</v>
      </c>
      <c r="T120" s="1">
        <v>0</v>
      </c>
      <c r="U120" s="1">
        <v>90</v>
      </c>
      <c r="V120" s="1">
        <v>60003760</v>
      </c>
      <c r="W120" s="1">
        <v>32767</v>
      </c>
      <c r="X120" s="1">
        <v>0</v>
      </c>
      <c r="Z120" s="1">
        <v>2840385840</v>
      </c>
      <c r="AA120" s="1">
        <v>36</v>
      </c>
      <c r="AB120" s="1">
        <v>10714596</v>
      </c>
      <c r="AC120" s="1">
        <v>10714596</v>
      </c>
      <c r="AD120" s="16">
        <v>52.5</v>
      </c>
      <c r="AE120" s="1">
        <v>1</v>
      </c>
      <c r="AF120" s="1">
        <v>0</v>
      </c>
      <c r="AG120" s="1">
        <v>90</v>
      </c>
      <c r="AH120" s="1">
        <v>60003760</v>
      </c>
      <c r="AI120" s="1">
        <v>32767</v>
      </c>
      <c r="AJ120" s="1">
        <v>11</v>
      </c>
      <c r="AL120" s="1">
        <v>2748266682</v>
      </c>
      <c r="AM120" s="1">
        <v>37</v>
      </c>
      <c r="AN120" s="1">
        <v>600000</v>
      </c>
      <c r="AO120" s="1">
        <v>560876</v>
      </c>
      <c r="AP120" s="16">
        <v>340</v>
      </c>
      <c r="AQ120" s="1">
        <v>1</v>
      </c>
      <c r="AR120" s="1">
        <v>0</v>
      </c>
      <c r="AS120" s="1">
        <v>90</v>
      </c>
      <c r="AT120" s="1">
        <v>60010192</v>
      </c>
      <c r="AU120" s="1">
        <v>32767</v>
      </c>
      <c r="AV120" s="1">
        <v>6</v>
      </c>
      <c r="AX120" s="1">
        <v>2878839686</v>
      </c>
      <c r="AY120" s="1">
        <v>38</v>
      </c>
      <c r="AZ120" s="1">
        <v>13542</v>
      </c>
      <c r="BA120" s="1">
        <v>6578</v>
      </c>
      <c r="BB120" s="1">
        <v>803</v>
      </c>
      <c r="BC120" s="1">
        <v>1</v>
      </c>
      <c r="BD120" s="1">
        <v>0</v>
      </c>
      <c r="BE120" s="1">
        <v>30</v>
      </c>
      <c r="BF120" s="1">
        <v>60003937</v>
      </c>
      <c r="BG120" s="1">
        <v>32767</v>
      </c>
      <c r="BH120" s="1">
        <v>5</v>
      </c>
      <c r="BJ120" s="1">
        <v>2878810272</v>
      </c>
      <c r="BK120" s="1">
        <v>39</v>
      </c>
      <c r="BL120" s="1">
        <v>108735</v>
      </c>
      <c r="BM120" s="1">
        <v>108735</v>
      </c>
      <c r="BN120" s="1">
        <v>809.94</v>
      </c>
      <c r="BO120" s="1">
        <v>1</v>
      </c>
      <c r="BP120" s="1">
        <v>0</v>
      </c>
      <c r="BQ120" s="1">
        <v>90</v>
      </c>
      <c r="BR120" s="1">
        <v>60003760</v>
      </c>
      <c r="BS120" s="1">
        <v>32767</v>
      </c>
      <c r="BT120" s="1">
        <v>5</v>
      </c>
      <c r="BV120" s="1">
        <v>2368999870</v>
      </c>
      <c r="BW120" s="1">
        <v>40</v>
      </c>
      <c r="BX120" s="1">
        <v>23</v>
      </c>
      <c r="BY120" s="1">
        <v>11</v>
      </c>
      <c r="BZ120" s="1">
        <v>3500</v>
      </c>
      <c r="CA120" s="1">
        <v>1</v>
      </c>
      <c r="CB120" s="1">
        <v>0</v>
      </c>
      <c r="CC120" s="1">
        <v>90</v>
      </c>
      <c r="CD120" s="1">
        <v>60003175</v>
      </c>
      <c r="CE120" s="1">
        <v>32767</v>
      </c>
      <c r="CF120" s="1">
        <v>1</v>
      </c>
      <c r="CH120" s="1">
        <v>2415198912</v>
      </c>
      <c r="CI120" s="1">
        <v>29668</v>
      </c>
      <c r="CJ120" s="1">
        <v>10</v>
      </c>
      <c r="CK120" s="1">
        <v>10</v>
      </c>
      <c r="CL120" s="1">
        <v>494977999.98000002</v>
      </c>
      <c r="CM120" s="1">
        <v>1</v>
      </c>
      <c r="CN120" s="1">
        <v>0</v>
      </c>
      <c r="CO120" s="1">
        <v>90</v>
      </c>
      <c r="CP120" s="1">
        <v>60003760</v>
      </c>
      <c r="CQ120" s="1">
        <v>32767</v>
      </c>
      <c r="CR120" s="1">
        <v>0</v>
      </c>
      <c r="CT120" s="1">
        <v>2415099501</v>
      </c>
      <c r="CU120" s="1">
        <v>16649</v>
      </c>
      <c r="CV120" s="1">
        <v>24300</v>
      </c>
      <c r="CW120" s="1">
        <v>9167</v>
      </c>
      <c r="CX120" s="1">
        <v>99006.27</v>
      </c>
      <c r="CY120" s="1">
        <v>1</v>
      </c>
      <c r="CZ120" s="1">
        <v>1</v>
      </c>
      <c r="DA120" s="1">
        <v>90</v>
      </c>
      <c r="DB120" s="1">
        <v>60003760</v>
      </c>
      <c r="DC120" s="1">
        <v>-1</v>
      </c>
      <c r="DD120" s="1">
        <v>0</v>
      </c>
      <c r="DF120" s="1">
        <v>2415395253</v>
      </c>
      <c r="DG120" s="1">
        <v>17887</v>
      </c>
      <c r="DH120" s="1">
        <v>184906</v>
      </c>
      <c r="DI120" s="1">
        <v>184906</v>
      </c>
      <c r="DJ120" s="1">
        <v>941.8</v>
      </c>
      <c r="DK120" s="1">
        <v>1</v>
      </c>
      <c r="DL120" s="1">
        <v>0</v>
      </c>
      <c r="DM120" s="1">
        <v>1</v>
      </c>
      <c r="DN120" s="1">
        <v>60003760</v>
      </c>
      <c r="DO120" s="1">
        <v>32767</v>
      </c>
      <c r="DP120" s="1">
        <v>0</v>
      </c>
      <c r="DR120" s="1">
        <v>2864411783</v>
      </c>
      <c r="DS120" s="1">
        <v>17888</v>
      </c>
      <c r="DT120" s="1">
        <v>45441</v>
      </c>
      <c r="DU120" s="1">
        <v>45441</v>
      </c>
      <c r="DV120" s="1">
        <v>348.96</v>
      </c>
      <c r="DW120" s="1">
        <v>1</v>
      </c>
      <c r="DX120" s="1">
        <v>0</v>
      </c>
      <c r="DY120" s="1">
        <v>90</v>
      </c>
      <c r="DZ120" s="1">
        <v>60003760</v>
      </c>
      <c r="EA120" s="1">
        <v>32767</v>
      </c>
      <c r="EB120" s="1">
        <v>8</v>
      </c>
      <c r="ED120" s="1">
        <v>2797739693</v>
      </c>
      <c r="EE120" s="1">
        <v>16273</v>
      </c>
      <c r="EF120" s="1">
        <v>872614</v>
      </c>
      <c r="EG120" s="1">
        <v>721864</v>
      </c>
      <c r="EH120" s="1">
        <v>500.01</v>
      </c>
      <c r="EI120" s="1">
        <v>1</v>
      </c>
      <c r="EJ120" s="1">
        <v>0</v>
      </c>
      <c r="EK120" s="1">
        <v>90</v>
      </c>
      <c r="EL120" s="1">
        <v>60002374</v>
      </c>
      <c r="EM120" s="1">
        <v>32767</v>
      </c>
      <c r="EN120" s="1">
        <v>9</v>
      </c>
      <c r="EP120"/>
      <c r="EQ120"/>
      <c r="ER120"/>
      <c r="ES120"/>
      <c r="ET120"/>
      <c r="EU120"/>
      <c r="EV120"/>
      <c r="EW120"/>
      <c r="EX120"/>
      <c r="EY120"/>
      <c r="EZ120"/>
      <c r="FB120" s="1">
        <v>2877695084</v>
      </c>
      <c r="FC120" s="1">
        <v>30259</v>
      </c>
      <c r="FD120" s="1">
        <v>350</v>
      </c>
      <c r="FE120" s="1">
        <v>192</v>
      </c>
      <c r="FF120" s="1">
        <v>5589504.0199999996</v>
      </c>
      <c r="FG120" s="1">
        <v>1</v>
      </c>
      <c r="FH120" s="1">
        <v>1</v>
      </c>
      <c r="FI120" s="1">
        <v>90</v>
      </c>
      <c r="FJ120" s="1">
        <v>60003760</v>
      </c>
      <c r="FK120" s="1">
        <v>-1</v>
      </c>
      <c r="FL120" s="1">
        <v>0</v>
      </c>
      <c r="FZ120" s="1">
        <v>2786111464</v>
      </c>
      <c r="GA120" s="1">
        <v>44</v>
      </c>
      <c r="GB120" s="1">
        <v>50000</v>
      </c>
      <c r="GC120" s="1">
        <v>19714</v>
      </c>
      <c r="GD120" s="1">
        <v>7200</v>
      </c>
      <c r="GE120" s="1">
        <v>500</v>
      </c>
      <c r="GF120" s="1">
        <v>1</v>
      </c>
      <c r="GG120" s="1">
        <v>90</v>
      </c>
      <c r="GH120" s="1">
        <v>60004054</v>
      </c>
      <c r="GI120" s="1">
        <v>32767</v>
      </c>
      <c r="GJ120" s="1">
        <v>0</v>
      </c>
      <c r="GL120" s="1">
        <v>2415077363</v>
      </c>
      <c r="GM120" s="1">
        <v>16681</v>
      </c>
      <c r="GN120" s="1">
        <v>100000</v>
      </c>
      <c r="GO120" s="1">
        <v>100000</v>
      </c>
      <c r="GP120" s="1">
        <v>5988.05</v>
      </c>
      <c r="GQ120" s="1">
        <v>1</v>
      </c>
      <c r="GR120" s="1">
        <v>1</v>
      </c>
      <c r="GS120" s="1">
        <v>90</v>
      </c>
      <c r="GT120" s="1">
        <v>60003760</v>
      </c>
      <c r="GU120" s="1">
        <v>-1</v>
      </c>
      <c r="GV120" s="1">
        <v>0</v>
      </c>
      <c r="GX120"/>
      <c r="GY120"/>
      <c r="GZ120"/>
      <c r="HA120"/>
      <c r="HB120"/>
      <c r="HC120"/>
      <c r="HD120"/>
      <c r="HE120"/>
      <c r="HF120"/>
      <c r="HG120"/>
      <c r="HH120"/>
      <c r="HV120" s="1">
        <v>2759082254</v>
      </c>
      <c r="HW120" s="1">
        <v>16274</v>
      </c>
      <c r="HX120" s="1">
        <v>1500000</v>
      </c>
      <c r="HY120" s="1">
        <v>1500000</v>
      </c>
      <c r="HZ120" s="1">
        <v>290.22000000000003</v>
      </c>
      <c r="IA120" s="1">
        <v>1</v>
      </c>
      <c r="IB120" s="1">
        <v>1</v>
      </c>
      <c r="IC120" s="1">
        <v>90</v>
      </c>
      <c r="ID120" s="1">
        <v>60003760</v>
      </c>
      <c r="IE120" s="1">
        <v>-1</v>
      </c>
      <c r="IF120" s="1">
        <v>0</v>
      </c>
      <c r="IT120" s="1">
        <v>2878696654</v>
      </c>
      <c r="IU120" s="1">
        <v>16679</v>
      </c>
      <c r="IV120" s="1">
        <v>50000</v>
      </c>
      <c r="IW120" s="1">
        <v>50000</v>
      </c>
      <c r="IX120" s="1">
        <v>1691.52</v>
      </c>
      <c r="IY120" s="1">
        <v>1</v>
      </c>
      <c r="IZ120" s="1">
        <v>1</v>
      </c>
      <c r="JA120" s="1">
        <v>90</v>
      </c>
      <c r="JB120" s="1">
        <v>60003760</v>
      </c>
      <c r="JC120" s="1">
        <v>-1</v>
      </c>
      <c r="JD120" s="1">
        <v>0</v>
      </c>
      <c r="JF120" s="1">
        <v>2825482233</v>
      </c>
      <c r="JG120" s="1">
        <v>16272</v>
      </c>
      <c r="JH120" s="1">
        <v>50000000</v>
      </c>
      <c r="JI120" s="1">
        <v>50000000</v>
      </c>
      <c r="JJ120" s="1">
        <v>48.05</v>
      </c>
      <c r="JK120" s="1">
        <v>1</v>
      </c>
      <c r="JL120" s="1">
        <v>1</v>
      </c>
      <c r="JM120" s="1">
        <v>90</v>
      </c>
      <c r="JN120" s="1">
        <v>60003760</v>
      </c>
      <c r="JO120" s="1">
        <v>-1</v>
      </c>
      <c r="JP120" s="1">
        <v>0</v>
      </c>
      <c r="KD120"/>
      <c r="KE120"/>
      <c r="KF120"/>
      <c r="KG120"/>
      <c r="KH120"/>
      <c r="KI120"/>
      <c r="KJ120"/>
      <c r="KK120"/>
      <c r="KL120"/>
      <c r="KM120"/>
      <c r="KN120"/>
      <c r="KP120"/>
      <c r="KQ120"/>
      <c r="KR120"/>
      <c r="KS120"/>
      <c r="KT120"/>
      <c r="KU120"/>
      <c r="KV120"/>
      <c r="KW120"/>
      <c r="KX120"/>
      <c r="KY120"/>
      <c r="KZ120"/>
      <c r="LB120" s="1">
        <v>2878565107</v>
      </c>
      <c r="LC120" s="1">
        <v>9832</v>
      </c>
      <c r="LD120" s="1">
        <v>27188</v>
      </c>
      <c r="LE120" s="1">
        <v>27188</v>
      </c>
      <c r="LF120" s="1">
        <v>9489.7800000000007</v>
      </c>
      <c r="LG120" s="1">
        <v>1</v>
      </c>
      <c r="LH120" s="1">
        <v>0</v>
      </c>
      <c r="LI120" s="1">
        <v>90</v>
      </c>
      <c r="LJ120" s="1">
        <v>60003760</v>
      </c>
      <c r="LK120" s="1">
        <v>32767</v>
      </c>
      <c r="LL120" s="1">
        <v>0</v>
      </c>
      <c r="MX120"/>
      <c r="MY120"/>
      <c r="MZ120"/>
      <c r="NA120"/>
      <c r="NB120"/>
      <c r="NC120"/>
      <c r="ND120"/>
      <c r="NE120"/>
      <c r="NF120"/>
      <c r="NG120"/>
      <c r="NH120"/>
      <c r="NJ120" s="1">
        <v>2876963880</v>
      </c>
      <c r="NK120" s="1">
        <v>16673</v>
      </c>
      <c r="NL120" s="1">
        <v>1500000</v>
      </c>
      <c r="NM120" s="1">
        <v>200576</v>
      </c>
      <c r="NN120" s="1">
        <v>95.46</v>
      </c>
      <c r="NO120" s="1">
        <v>1</v>
      </c>
      <c r="NP120" s="1">
        <v>1</v>
      </c>
      <c r="NQ120" s="1">
        <v>7</v>
      </c>
      <c r="NR120" s="1">
        <v>60003760</v>
      </c>
      <c r="NS120" s="1">
        <v>-1</v>
      </c>
      <c r="NT120" s="1">
        <v>0</v>
      </c>
      <c r="NV120" s="1">
        <v>2872587435</v>
      </c>
      <c r="NW120" s="1">
        <v>3689</v>
      </c>
      <c r="NX120" s="1">
        <v>15000</v>
      </c>
      <c r="NY120" s="1">
        <v>15000</v>
      </c>
      <c r="NZ120" s="1">
        <v>7651.14</v>
      </c>
      <c r="OA120" s="1">
        <v>1</v>
      </c>
      <c r="OB120" s="1">
        <v>1</v>
      </c>
      <c r="OC120" s="1">
        <v>90</v>
      </c>
      <c r="OD120" s="1">
        <v>60003760</v>
      </c>
      <c r="OE120" s="1">
        <v>-1</v>
      </c>
      <c r="OF120" s="1">
        <v>0</v>
      </c>
      <c r="OH120" s="1">
        <v>2878026909</v>
      </c>
      <c r="OI120" s="1">
        <v>25598</v>
      </c>
      <c r="OJ120" s="1">
        <v>2525</v>
      </c>
      <c r="OK120" s="1">
        <v>2525</v>
      </c>
      <c r="OL120" s="1">
        <v>140000</v>
      </c>
      <c r="OM120" s="1">
        <v>1</v>
      </c>
      <c r="ON120" s="1">
        <v>0</v>
      </c>
      <c r="OO120" s="1">
        <v>3</v>
      </c>
      <c r="OP120" s="1">
        <v>60003760</v>
      </c>
      <c r="OQ120" s="1">
        <v>32767</v>
      </c>
      <c r="OR120" s="1">
        <v>0</v>
      </c>
      <c r="OT120" s="1">
        <v>2862398472</v>
      </c>
      <c r="OU120" s="1">
        <v>25600</v>
      </c>
      <c r="OV120" s="1">
        <v>12500</v>
      </c>
      <c r="OW120" s="1">
        <v>12074</v>
      </c>
      <c r="OX120" s="1">
        <v>22530.58</v>
      </c>
      <c r="OY120" s="1">
        <v>1</v>
      </c>
      <c r="OZ120" s="1">
        <v>1</v>
      </c>
      <c r="PA120" s="1">
        <v>90</v>
      </c>
      <c r="PB120" s="1">
        <v>60003760</v>
      </c>
      <c r="PC120" s="1">
        <v>5</v>
      </c>
      <c r="PD120" s="1">
        <v>0</v>
      </c>
      <c r="PF120" s="1">
        <v>2878469945</v>
      </c>
      <c r="PG120" s="1">
        <v>16670</v>
      </c>
      <c r="PH120" s="1">
        <v>3000000</v>
      </c>
      <c r="PI120" s="1">
        <v>2872000</v>
      </c>
      <c r="PJ120" s="1">
        <v>106.52</v>
      </c>
      <c r="PK120" s="1">
        <v>1</v>
      </c>
      <c r="PL120" s="1">
        <v>1</v>
      </c>
      <c r="PM120" s="1">
        <v>90</v>
      </c>
      <c r="PN120" s="1">
        <v>60003760</v>
      </c>
      <c r="PO120" s="1">
        <v>-1</v>
      </c>
      <c r="PP120" s="1">
        <v>0</v>
      </c>
      <c r="QD120"/>
      <c r="QE120"/>
      <c r="QF120"/>
      <c r="QG120"/>
      <c r="QH120"/>
      <c r="QI120"/>
      <c r="QJ120"/>
      <c r="QK120"/>
      <c r="QL120"/>
      <c r="QM120"/>
      <c r="QN120"/>
      <c r="RB120"/>
      <c r="RC120"/>
      <c r="RD120"/>
      <c r="RE120"/>
      <c r="RF120"/>
      <c r="RG120"/>
      <c r="RH120"/>
      <c r="RI120"/>
      <c r="RJ120"/>
      <c r="RK120"/>
      <c r="RL120"/>
      <c r="SX120" s="1">
        <v>2875820118</v>
      </c>
      <c r="SY120" s="1">
        <v>25595</v>
      </c>
      <c r="SZ120" s="1">
        <v>1452</v>
      </c>
      <c r="TA120" s="1">
        <v>1452</v>
      </c>
      <c r="TB120" s="1">
        <v>80000</v>
      </c>
      <c r="TC120" s="1">
        <v>1</v>
      </c>
      <c r="TD120" s="1">
        <v>0</v>
      </c>
      <c r="TE120" s="1">
        <v>90</v>
      </c>
      <c r="TF120" s="1">
        <v>60003469</v>
      </c>
      <c r="TG120" s="1">
        <v>32767</v>
      </c>
      <c r="TH120" s="1">
        <v>6</v>
      </c>
      <c r="TJ120" s="1">
        <v>2874174801</v>
      </c>
      <c r="TK120" s="1">
        <v>25606</v>
      </c>
      <c r="TL120" s="1">
        <v>10000</v>
      </c>
      <c r="TM120" s="1">
        <v>10000</v>
      </c>
      <c r="TN120" s="1">
        <v>225</v>
      </c>
      <c r="TO120" s="1">
        <v>1</v>
      </c>
      <c r="TP120" s="1">
        <v>1</v>
      </c>
      <c r="TQ120" s="1">
        <v>90</v>
      </c>
      <c r="TR120" s="1">
        <v>60003760</v>
      </c>
      <c r="TS120" s="1">
        <v>1</v>
      </c>
      <c r="TT120" s="1">
        <v>0</v>
      </c>
    </row>
    <row r="121" spans="2:540" x14ac:dyDescent="0.25">
      <c r="B121" s="1">
        <v>2783144090</v>
      </c>
      <c r="C121" s="1">
        <v>34</v>
      </c>
      <c r="D121" s="1">
        <v>387591</v>
      </c>
      <c r="E121" s="1">
        <v>387591</v>
      </c>
      <c r="F121" s="1">
        <v>6.88</v>
      </c>
      <c r="G121" s="1">
        <v>1</v>
      </c>
      <c r="H121" s="1">
        <v>0</v>
      </c>
      <c r="I121" s="1">
        <v>90</v>
      </c>
      <c r="J121" s="1">
        <v>60003760</v>
      </c>
      <c r="K121" s="1">
        <v>32767</v>
      </c>
      <c r="L121" s="1">
        <v>0</v>
      </c>
      <c r="N121" s="1">
        <v>2735953956</v>
      </c>
      <c r="O121" s="1">
        <v>35</v>
      </c>
      <c r="P121" s="1">
        <v>200000000</v>
      </c>
      <c r="Q121" s="1">
        <v>193000000</v>
      </c>
      <c r="R121" s="1">
        <v>18.989999999999998</v>
      </c>
      <c r="S121" s="1">
        <v>1</v>
      </c>
      <c r="T121" s="1">
        <v>0</v>
      </c>
      <c r="U121" s="1">
        <v>90</v>
      </c>
      <c r="V121" s="1">
        <v>60003760</v>
      </c>
      <c r="W121" s="1">
        <v>32767</v>
      </c>
      <c r="X121" s="1">
        <v>0</v>
      </c>
      <c r="Z121" s="1">
        <v>2840208708</v>
      </c>
      <c r="AA121" s="1">
        <v>36</v>
      </c>
      <c r="AB121" s="1">
        <v>975614</v>
      </c>
      <c r="AC121" s="1">
        <v>975614</v>
      </c>
      <c r="AD121" s="16">
        <v>54.25</v>
      </c>
      <c r="AE121" s="1">
        <v>1</v>
      </c>
      <c r="AF121" s="1">
        <v>0</v>
      </c>
      <c r="AG121" s="1">
        <v>30</v>
      </c>
      <c r="AH121" s="1">
        <v>60003760</v>
      </c>
      <c r="AI121" s="1">
        <v>32767</v>
      </c>
      <c r="AJ121" s="1">
        <v>11</v>
      </c>
      <c r="AL121" s="1">
        <v>2829176582</v>
      </c>
      <c r="AM121" s="1">
        <v>37</v>
      </c>
      <c r="AN121" s="1">
        <v>85000</v>
      </c>
      <c r="AO121" s="1">
        <v>58920</v>
      </c>
      <c r="AP121" s="16">
        <v>187</v>
      </c>
      <c r="AQ121" s="1">
        <v>1</v>
      </c>
      <c r="AR121" s="1">
        <v>0</v>
      </c>
      <c r="AS121" s="1">
        <v>90</v>
      </c>
      <c r="AT121" s="1">
        <v>60003049</v>
      </c>
      <c r="AU121" s="1">
        <v>32767</v>
      </c>
      <c r="AV121" s="1">
        <v>6</v>
      </c>
      <c r="AX121" s="1">
        <v>2878900673</v>
      </c>
      <c r="AY121" s="1">
        <v>38</v>
      </c>
      <c r="AZ121" s="1">
        <v>51960</v>
      </c>
      <c r="BA121" s="1">
        <v>45260</v>
      </c>
      <c r="BB121" s="1">
        <v>802.99</v>
      </c>
      <c r="BC121" s="1">
        <v>1</v>
      </c>
      <c r="BD121" s="1">
        <v>0</v>
      </c>
      <c r="BE121" s="1">
        <v>90</v>
      </c>
      <c r="BF121" s="1">
        <v>60003934</v>
      </c>
      <c r="BG121" s="1">
        <v>32767</v>
      </c>
      <c r="BH121" s="1">
        <v>5</v>
      </c>
      <c r="BJ121" s="1">
        <v>2878614336</v>
      </c>
      <c r="BK121" s="1">
        <v>39</v>
      </c>
      <c r="BL121" s="1">
        <v>2940388</v>
      </c>
      <c r="BM121" s="1">
        <v>2912388</v>
      </c>
      <c r="BN121" s="1">
        <v>809.9</v>
      </c>
      <c r="BO121" s="1">
        <v>1</v>
      </c>
      <c r="BP121" s="1">
        <v>0</v>
      </c>
      <c r="BQ121" s="1">
        <v>90</v>
      </c>
      <c r="BR121" s="1">
        <v>60003760</v>
      </c>
      <c r="BS121" s="1">
        <v>32767</v>
      </c>
      <c r="BT121" s="1">
        <v>5</v>
      </c>
      <c r="BV121" s="1">
        <v>2369000148</v>
      </c>
      <c r="BW121" s="1">
        <v>40</v>
      </c>
      <c r="BX121" s="1">
        <v>372</v>
      </c>
      <c r="BY121" s="1">
        <v>372</v>
      </c>
      <c r="BZ121" s="1">
        <v>3500</v>
      </c>
      <c r="CA121" s="1">
        <v>1</v>
      </c>
      <c r="CB121" s="1">
        <v>0</v>
      </c>
      <c r="CC121" s="1">
        <v>90</v>
      </c>
      <c r="CD121" s="1">
        <v>60001627</v>
      </c>
      <c r="CE121" s="1">
        <v>32767</v>
      </c>
      <c r="CF121" s="1">
        <v>1</v>
      </c>
      <c r="CH121" s="1">
        <v>2415286199</v>
      </c>
      <c r="CI121" s="1">
        <v>29668</v>
      </c>
      <c r="CJ121" s="1">
        <v>2</v>
      </c>
      <c r="CK121" s="1">
        <v>2</v>
      </c>
      <c r="CL121" s="1">
        <v>499999000</v>
      </c>
      <c r="CM121" s="1">
        <v>1</v>
      </c>
      <c r="CN121" s="1">
        <v>0</v>
      </c>
      <c r="CO121" s="1">
        <v>90</v>
      </c>
      <c r="CP121" s="1">
        <v>60003760</v>
      </c>
      <c r="CQ121" s="1">
        <v>32767</v>
      </c>
      <c r="CR121" s="1">
        <v>0</v>
      </c>
      <c r="CT121" s="1">
        <v>2411185844</v>
      </c>
      <c r="CU121" s="1">
        <v>16649</v>
      </c>
      <c r="CV121" s="1">
        <v>10000</v>
      </c>
      <c r="CW121" s="1">
        <v>10000</v>
      </c>
      <c r="CX121" s="1">
        <v>99007</v>
      </c>
      <c r="CY121" s="1">
        <v>1</v>
      </c>
      <c r="CZ121" s="1">
        <v>1</v>
      </c>
      <c r="DA121" s="1">
        <v>90</v>
      </c>
      <c r="DB121" s="1">
        <v>60003760</v>
      </c>
      <c r="DC121" s="1">
        <v>-1</v>
      </c>
      <c r="DD121" s="1">
        <v>0</v>
      </c>
      <c r="DF121" s="1">
        <v>2414010326</v>
      </c>
      <c r="DG121" s="1">
        <v>17887</v>
      </c>
      <c r="DH121" s="1">
        <v>500000</v>
      </c>
      <c r="DI121" s="1">
        <v>500000</v>
      </c>
      <c r="DJ121" s="1">
        <v>1140</v>
      </c>
      <c r="DK121" s="1">
        <v>1</v>
      </c>
      <c r="DL121" s="1">
        <v>0</v>
      </c>
      <c r="DM121" s="1">
        <v>90</v>
      </c>
      <c r="DN121" s="1">
        <v>60002233</v>
      </c>
      <c r="DO121" s="1">
        <v>32767</v>
      </c>
      <c r="DP121" s="1">
        <v>11</v>
      </c>
      <c r="DR121" s="1">
        <v>2864353426</v>
      </c>
      <c r="DS121" s="1">
        <v>17888</v>
      </c>
      <c r="DT121" s="1">
        <v>3000000</v>
      </c>
      <c r="DU121" s="1">
        <v>199296</v>
      </c>
      <c r="DV121" s="1">
        <v>348.96</v>
      </c>
      <c r="DW121" s="1">
        <v>1</v>
      </c>
      <c r="DX121" s="1">
        <v>0</v>
      </c>
      <c r="DY121" s="1">
        <v>90</v>
      </c>
      <c r="DZ121" s="1">
        <v>60003760</v>
      </c>
      <c r="EA121" s="1">
        <v>32767</v>
      </c>
      <c r="EB121" s="1">
        <v>8</v>
      </c>
      <c r="ED121" s="1">
        <v>2873749138</v>
      </c>
      <c r="EE121" s="1">
        <v>16273</v>
      </c>
      <c r="EF121" s="1">
        <v>10500</v>
      </c>
      <c r="EG121" s="1">
        <v>9250</v>
      </c>
      <c r="EH121" s="1">
        <v>650</v>
      </c>
      <c r="EI121" s="1">
        <v>1</v>
      </c>
      <c r="EJ121" s="1">
        <v>0</v>
      </c>
      <c r="EK121" s="1">
        <v>90</v>
      </c>
      <c r="EL121" s="1">
        <v>60007510</v>
      </c>
      <c r="EM121" s="1">
        <v>32767</v>
      </c>
      <c r="EN121" s="1">
        <v>10</v>
      </c>
      <c r="EP121"/>
      <c r="EQ121"/>
      <c r="ER121"/>
      <c r="ES121"/>
      <c r="ET121"/>
      <c r="EU121"/>
      <c r="EV121"/>
      <c r="EW121"/>
      <c r="EX121"/>
      <c r="EY121"/>
      <c r="EZ121"/>
      <c r="FB121" s="1">
        <v>2876629518</v>
      </c>
      <c r="FC121" s="1">
        <v>30259</v>
      </c>
      <c r="FD121" s="1">
        <v>1680</v>
      </c>
      <c r="FE121" s="1">
        <v>1680</v>
      </c>
      <c r="FF121" s="1">
        <v>5271000.03</v>
      </c>
      <c r="FG121" s="1">
        <v>1</v>
      </c>
      <c r="FH121" s="1">
        <v>1</v>
      </c>
      <c r="FI121" s="1">
        <v>90</v>
      </c>
      <c r="FJ121" s="1">
        <v>60003760</v>
      </c>
      <c r="FK121" s="1">
        <v>-1</v>
      </c>
      <c r="FL121" s="1">
        <v>0</v>
      </c>
      <c r="FZ121" s="1">
        <v>2791291379</v>
      </c>
      <c r="GA121" s="1">
        <v>44</v>
      </c>
      <c r="GB121" s="1">
        <v>5000</v>
      </c>
      <c r="GC121" s="1">
        <v>5000</v>
      </c>
      <c r="GD121" s="1">
        <v>12000</v>
      </c>
      <c r="GE121" s="1">
        <v>1</v>
      </c>
      <c r="GF121" s="1">
        <v>1</v>
      </c>
      <c r="GG121" s="1">
        <v>90</v>
      </c>
      <c r="GH121" s="1">
        <v>60002740</v>
      </c>
      <c r="GI121" s="1">
        <v>-1</v>
      </c>
      <c r="GJ121" s="1">
        <v>0</v>
      </c>
      <c r="GL121" s="1">
        <v>2415088111</v>
      </c>
      <c r="GM121" s="1">
        <v>16681</v>
      </c>
      <c r="GN121" s="1">
        <v>30000</v>
      </c>
      <c r="GO121" s="1">
        <v>30000</v>
      </c>
      <c r="GP121" s="1">
        <v>5998.1</v>
      </c>
      <c r="GQ121" s="1">
        <v>1</v>
      </c>
      <c r="GR121" s="1">
        <v>1</v>
      </c>
      <c r="GS121" s="1">
        <v>90</v>
      </c>
      <c r="GT121" s="1">
        <v>60003760</v>
      </c>
      <c r="GU121" s="1">
        <v>-1</v>
      </c>
      <c r="GV121" s="1">
        <v>0</v>
      </c>
      <c r="GX121"/>
      <c r="GY121"/>
      <c r="GZ121"/>
      <c r="HA121"/>
      <c r="HB121"/>
      <c r="HC121"/>
      <c r="HD121"/>
      <c r="HE121"/>
      <c r="HF121"/>
      <c r="HG121"/>
      <c r="HH121"/>
      <c r="HV121" s="1">
        <v>2879025205</v>
      </c>
      <c r="HW121" s="1">
        <v>16274</v>
      </c>
      <c r="HX121" s="1">
        <v>100000</v>
      </c>
      <c r="HY121" s="1">
        <v>100000</v>
      </c>
      <c r="HZ121" s="1">
        <v>330.22</v>
      </c>
      <c r="IA121" s="1">
        <v>1</v>
      </c>
      <c r="IB121" s="1">
        <v>1</v>
      </c>
      <c r="IC121" s="1">
        <v>7</v>
      </c>
      <c r="ID121" s="1">
        <v>60003760</v>
      </c>
      <c r="IE121" s="1">
        <v>-1</v>
      </c>
      <c r="IF121" s="1">
        <v>0</v>
      </c>
      <c r="IT121" s="1">
        <v>2878697053</v>
      </c>
      <c r="IU121" s="1">
        <v>16679</v>
      </c>
      <c r="IV121" s="1">
        <v>1000000</v>
      </c>
      <c r="IW121" s="1">
        <v>1000000</v>
      </c>
      <c r="IX121" s="1">
        <v>1691.55</v>
      </c>
      <c r="IY121" s="1">
        <v>1</v>
      </c>
      <c r="IZ121" s="1">
        <v>1</v>
      </c>
      <c r="JA121" s="1">
        <v>90</v>
      </c>
      <c r="JB121" s="1">
        <v>60003760</v>
      </c>
      <c r="JC121" s="1">
        <v>-1</v>
      </c>
      <c r="JD121" s="1">
        <v>0</v>
      </c>
      <c r="JF121" s="1">
        <v>2759649271</v>
      </c>
      <c r="JG121" s="1">
        <v>16272</v>
      </c>
      <c r="JH121" s="1">
        <v>1000000</v>
      </c>
      <c r="JI121" s="1">
        <v>587649</v>
      </c>
      <c r="JJ121" s="1">
        <v>48.2</v>
      </c>
      <c r="JK121" s="1">
        <v>1</v>
      </c>
      <c r="JL121" s="1">
        <v>1</v>
      </c>
      <c r="JM121" s="1">
        <v>90</v>
      </c>
      <c r="JN121" s="1">
        <v>60003760</v>
      </c>
      <c r="JO121" s="1">
        <v>3</v>
      </c>
      <c r="JP121" s="1">
        <v>0</v>
      </c>
      <c r="KD121"/>
      <c r="KE121"/>
      <c r="KF121"/>
      <c r="KG121"/>
      <c r="KH121"/>
      <c r="KI121"/>
      <c r="KJ121"/>
      <c r="KK121"/>
      <c r="KL121"/>
      <c r="KM121"/>
      <c r="KN121"/>
      <c r="KP121"/>
      <c r="KQ121"/>
      <c r="KR121"/>
      <c r="KS121"/>
      <c r="KT121"/>
      <c r="KU121"/>
      <c r="KV121"/>
      <c r="KW121"/>
      <c r="KX121"/>
      <c r="KY121"/>
      <c r="KZ121"/>
      <c r="LB121" s="1">
        <v>2876575188</v>
      </c>
      <c r="LC121" s="1">
        <v>9832</v>
      </c>
      <c r="LD121" s="1">
        <v>5376</v>
      </c>
      <c r="LE121" s="1">
        <v>3359</v>
      </c>
      <c r="LF121" s="1">
        <v>7510.01</v>
      </c>
      <c r="LG121" s="1">
        <v>1</v>
      </c>
      <c r="LH121" s="1">
        <v>1</v>
      </c>
      <c r="LI121" s="1">
        <v>90</v>
      </c>
      <c r="LJ121" s="1">
        <v>60003079</v>
      </c>
      <c r="LK121" s="1">
        <v>5</v>
      </c>
      <c r="LL121" s="1">
        <v>0</v>
      </c>
      <c r="NJ121" s="1">
        <v>2879121574</v>
      </c>
      <c r="NK121" s="1">
        <v>16673</v>
      </c>
      <c r="NL121" s="1">
        <v>11579160</v>
      </c>
      <c r="NM121" s="1">
        <v>11579160</v>
      </c>
      <c r="NN121" s="1">
        <v>95.37</v>
      </c>
      <c r="NO121" s="1">
        <v>1</v>
      </c>
      <c r="NP121" s="1">
        <v>1</v>
      </c>
      <c r="NQ121" s="1">
        <v>90</v>
      </c>
      <c r="NR121" s="1">
        <v>60003760</v>
      </c>
      <c r="NS121" s="1">
        <v>-1</v>
      </c>
      <c r="NT121" s="1">
        <v>0</v>
      </c>
      <c r="NV121" s="1">
        <v>2872538763</v>
      </c>
      <c r="NW121" s="1">
        <v>3689</v>
      </c>
      <c r="NX121" s="1">
        <v>1000</v>
      </c>
      <c r="NY121" s="1">
        <v>1000</v>
      </c>
      <c r="NZ121" s="1">
        <v>7202.09</v>
      </c>
      <c r="OA121" s="1">
        <v>1</v>
      </c>
      <c r="OB121" s="1">
        <v>1</v>
      </c>
      <c r="OC121" s="1">
        <v>90</v>
      </c>
      <c r="OD121" s="1">
        <v>60003760</v>
      </c>
      <c r="OE121" s="1">
        <v>-1</v>
      </c>
      <c r="OF121" s="1">
        <v>0</v>
      </c>
      <c r="OH121" s="1">
        <v>2877994259</v>
      </c>
      <c r="OI121" s="1">
        <v>25598</v>
      </c>
      <c r="OJ121" s="1">
        <v>1478</v>
      </c>
      <c r="OK121" s="1">
        <v>1478</v>
      </c>
      <c r="OL121" s="1">
        <v>140900</v>
      </c>
      <c r="OM121" s="1">
        <v>1</v>
      </c>
      <c r="ON121" s="1">
        <v>0</v>
      </c>
      <c r="OO121" s="1">
        <v>90</v>
      </c>
      <c r="OP121" s="1">
        <v>60003760</v>
      </c>
      <c r="OQ121" s="1">
        <v>32767</v>
      </c>
      <c r="OR121" s="1">
        <v>0</v>
      </c>
      <c r="OT121" s="1">
        <v>2729471326</v>
      </c>
      <c r="OU121" s="1">
        <v>25600</v>
      </c>
      <c r="OV121" s="1">
        <v>5000</v>
      </c>
      <c r="OW121" s="1">
        <v>2245</v>
      </c>
      <c r="OX121" s="1">
        <v>19601</v>
      </c>
      <c r="OY121" s="1">
        <v>1</v>
      </c>
      <c r="OZ121" s="1">
        <v>1</v>
      </c>
      <c r="PA121" s="1">
        <v>90</v>
      </c>
      <c r="PB121" s="1">
        <v>60003760</v>
      </c>
      <c r="PC121" s="1">
        <v>0</v>
      </c>
      <c r="PD121" s="1">
        <v>0</v>
      </c>
      <c r="PF121" s="1">
        <v>2878360061</v>
      </c>
      <c r="PG121" s="1">
        <v>16670</v>
      </c>
      <c r="PH121" s="1">
        <v>700000</v>
      </c>
      <c r="PI121" s="1">
        <v>700000</v>
      </c>
      <c r="PJ121" s="1">
        <v>106.56</v>
      </c>
      <c r="PK121" s="1">
        <v>1</v>
      </c>
      <c r="PL121" s="1">
        <v>1</v>
      </c>
      <c r="PM121" s="1">
        <v>3</v>
      </c>
      <c r="PN121" s="1">
        <v>60003760</v>
      </c>
      <c r="PO121" s="1">
        <v>-1</v>
      </c>
      <c r="PP121" s="1">
        <v>0</v>
      </c>
      <c r="QD121"/>
      <c r="QE121"/>
      <c r="QF121"/>
      <c r="QG121"/>
      <c r="QH121"/>
      <c r="QI121"/>
      <c r="QJ121"/>
      <c r="QK121"/>
      <c r="QL121"/>
      <c r="QM121"/>
      <c r="QN121"/>
      <c r="RB121"/>
      <c r="RC121"/>
      <c r="RD121"/>
      <c r="RE121"/>
      <c r="RF121"/>
      <c r="RG121"/>
      <c r="RH121"/>
      <c r="RI121"/>
      <c r="RJ121"/>
      <c r="RK121"/>
      <c r="RL121"/>
      <c r="SX121" s="1">
        <v>2878331762</v>
      </c>
      <c r="SY121" s="1">
        <v>25595</v>
      </c>
      <c r="SZ121" s="1">
        <v>121</v>
      </c>
      <c r="TA121" s="1">
        <v>121</v>
      </c>
      <c r="TB121" s="1">
        <v>82000</v>
      </c>
      <c r="TC121" s="1">
        <v>1</v>
      </c>
      <c r="TD121" s="1">
        <v>0</v>
      </c>
      <c r="TE121" s="1">
        <v>30</v>
      </c>
      <c r="TF121" s="1">
        <v>60003760</v>
      </c>
      <c r="TG121" s="1">
        <v>32767</v>
      </c>
      <c r="TH121" s="1">
        <v>6</v>
      </c>
      <c r="TJ121" s="1">
        <v>2873221264</v>
      </c>
      <c r="TK121" s="1">
        <v>25606</v>
      </c>
      <c r="TL121" s="1">
        <v>10000</v>
      </c>
      <c r="TM121" s="1">
        <v>9909</v>
      </c>
      <c r="TN121" s="1">
        <v>20500</v>
      </c>
      <c r="TO121" s="1">
        <v>1</v>
      </c>
      <c r="TP121" s="1">
        <v>1</v>
      </c>
      <c r="TQ121" s="1">
        <v>90</v>
      </c>
      <c r="TR121" s="1">
        <v>60003760</v>
      </c>
      <c r="TS121" s="1">
        <v>-1</v>
      </c>
      <c r="TT121" s="1">
        <v>0</v>
      </c>
    </row>
    <row r="122" spans="2:540" x14ac:dyDescent="0.25">
      <c r="B122" s="1">
        <v>2785483217</v>
      </c>
      <c r="C122" s="1">
        <v>34</v>
      </c>
      <c r="D122" s="1">
        <v>1</v>
      </c>
      <c r="E122" s="1">
        <v>1</v>
      </c>
      <c r="F122" s="1">
        <v>58</v>
      </c>
      <c r="G122" s="1">
        <v>1</v>
      </c>
      <c r="H122" s="1">
        <v>0</v>
      </c>
      <c r="I122" s="1">
        <v>90</v>
      </c>
      <c r="J122" s="1">
        <v>60003760</v>
      </c>
      <c r="K122" s="1">
        <v>32767</v>
      </c>
      <c r="L122" s="1">
        <v>0</v>
      </c>
      <c r="N122" s="1">
        <v>2869659370</v>
      </c>
      <c r="O122" s="1">
        <v>35</v>
      </c>
      <c r="P122" s="1">
        <v>44032770</v>
      </c>
      <c r="Q122" s="1">
        <v>22399022</v>
      </c>
      <c r="R122" s="1">
        <v>15.15</v>
      </c>
      <c r="S122" s="1">
        <v>1</v>
      </c>
      <c r="T122" s="1">
        <v>0</v>
      </c>
      <c r="U122" s="1">
        <v>90</v>
      </c>
      <c r="V122" s="1">
        <v>60003760</v>
      </c>
      <c r="W122" s="1">
        <v>32767</v>
      </c>
      <c r="X122" s="1">
        <v>0</v>
      </c>
      <c r="Z122" s="1">
        <v>2840211510</v>
      </c>
      <c r="AA122" s="1">
        <v>36</v>
      </c>
      <c r="AB122" s="1">
        <v>301664</v>
      </c>
      <c r="AC122" s="1">
        <v>301664</v>
      </c>
      <c r="AD122" s="16">
        <v>52</v>
      </c>
      <c r="AE122" s="1">
        <v>1</v>
      </c>
      <c r="AF122" s="1">
        <v>0</v>
      </c>
      <c r="AG122" s="1">
        <v>30</v>
      </c>
      <c r="AH122" s="1">
        <v>60003760</v>
      </c>
      <c r="AI122" s="1">
        <v>32767</v>
      </c>
      <c r="AJ122" s="1">
        <v>11</v>
      </c>
      <c r="AL122" s="1">
        <v>2815735670</v>
      </c>
      <c r="AM122" s="1">
        <v>37</v>
      </c>
      <c r="AN122" s="1">
        <v>2344279</v>
      </c>
      <c r="AO122" s="1">
        <v>394279</v>
      </c>
      <c r="AP122" s="16">
        <v>147</v>
      </c>
      <c r="AQ122" s="1">
        <v>1</v>
      </c>
      <c r="AR122" s="1">
        <v>0</v>
      </c>
      <c r="AS122" s="1">
        <v>90</v>
      </c>
      <c r="AT122" s="1">
        <v>60003046</v>
      </c>
      <c r="AU122" s="1">
        <v>32767</v>
      </c>
      <c r="AV122" s="1">
        <v>7</v>
      </c>
      <c r="AX122" s="1">
        <v>2878906538</v>
      </c>
      <c r="AY122" s="1">
        <v>38</v>
      </c>
      <c r="AZ122" s="1">
        <v>958836</v>
      </c>
      <c r="BA122" s="1">
        <v>336866</v>
      </c>
      <c r="BB122" s="1">
        <v>809.85</v>
      </c>
      <c r="BC122" s="1">
        <v>1</v>
      </c>
      <c r="BD122" s="1">
        <v>0</v>
      </c>
      <c r="BE122" s="1">
        <v>1</v>
      </c>
      <c r="BF122" s="1">
        <v>60003760</v>
      </c>
      <c r="BG122" s="1">
        <v>32767</v>
      </c>
      <c r="BH122" s="1">
        <v>5</v>
      </c>
      <c r="BJ122" s="1">
        <v>2878956109</v>
      </c>
      <c r="BK122" s="1">
        <v>39</v>
      </c>
      <c r="BL122" s="1">
        <v>13740</v>
      </c>
      <c r="BM122" s="1">
        <v>13740</v>
      </c>
      <c r="BN122" s="1">
        <v>809.89</v>
      </c>
      <c r="BO122" s="1">
        <v>1</v>
      </c>
      <c r="BP122" s="1">
        <v>0</v>
      </c>
      <c r="BQ122" s="1">
        <v>90</v>
      </c>
      <c r="BR122" s="1">
        <v>60003760</v>
      </c>
      <c r="BS122" s="1">
        <v>32767</v>
      </c>
      <c r="BT122" s="1">
        <v>0</v>
      </c>
      <c r="BV122" s="1">
        <v>2369000519</v>
      </c>
      <c r="BW122" s="1">
        <v>40</v>
      </c>
      <c r="BX122" s="1">
        <v>109</v>
      </c>
      <c r="BY122" s="1">
        <v>87</v>
      </c>
      <c r="BZ122" s="1">
        <v>3500</v>
      </c>
      <c r="CA122" s="1">
        <v>1</v>
      </c>
      <c r="CB122" s="1">
        <v>0</v>
      </c>
      <c r="CC122" s="1">
        <v>90</v>
      </c>
      <c r="CD122" s="1">
        <v>60001798</v>
      </c>
      <c r="CE122" s="1">
        <v>32767</v>
      </c>
      <c r="CF122" s="1">
        <v>0</v>
      </c>
      <c r="CH122" s="1">
        <v>2415568768</v>
      </c>
      <c r="CI122" s="1">
        <v>29668</v>
      </c>
      <c r="CJ122" s="1">
        <v>1</v>
      </c>
      <c r="CK122" s="1">
        <v>1</v>
      </c>
      <c r="CL122" s="1">
        <v>498889949.99000001</v>
      </c>
      <c r="CM122" s="1">
        <v>1</v>
      </c>
      <c r="CN122" s="1">
        <v>0</v>
      </c>
      <c r="CO122" s="1">
        <v>90</v>
      </c>
      <c r="CP122" s="1">
        <v>60003760</v>
      </c>
      <c r="CQ122" s="1">
        <v>32767</v>
      </c>
      <c r="CR122" s="1">
        <v>0</v>
      </c>
      <c r="CT122" s="1">
        <v>2415739193</v>
      </c>
      <c r="CU122" s="1">
        <v>16649</v>
      </c>
      <c r="CV122" s="1">
        <v>10000</v>
      </c>
      <c r="CW122" s="1">
        <v>10000</v>
      </c>
      <c r="CX122" s="1">
        <v>99007.01</v>
      </c>
      <c r="CY122" s="1">
        <v>1</v>
      </c>
      <c r="CZ122" s="1">
        <v>1</v>
      </c>
      <c r="DA122" s="1">
        <v>30</v>
      </c>
      <c r="DB122" s="1">
        <v>60003760</v>
      </c>
      <c r="DC122" s="1">
        <v>-1</v>
      </c>
      <c r="DD122" s="1">
        <v>0</v>
      </c>
      <c r="DF122" s="1">
        <v>2415584799</v>
      </c>
      <c r="DG122" s="1">
        <v>17887</v>
      </c>
      <c r="DH122" s="1">
        <v>100000</v>
      </c>
      <c r="DI122" s="1">
        <v>100000</v>
      </c>
      <c r="DJ122" s="1">
        <v>933</v>
      </c>
      <c r="DK122" s="1">
        <v>1</v>
      </c>
      <c r="DL122" s="1">
        <v>0</v>
      </c>
      <c r="DM122" s="1">
        <v>90</v>
      </c>
      <c r="DN122" s="1">
        <v>60003760</v>
      </c>
      <c r="DO122" s="1">
        <v>32767</v>
      </c>
      <c r="DP122" s="1">
        <v>0</v>
      </c>
      <c r="DR122" s="1">
        <v>2870527844</v>
      </c>
      <c r="DS122" s="1">
        <v>17888</v>
      </c>
      <c r="DT122" s="1">
        <v>863700</v>
      </c>
      <c r="DU122" s="1">
        <v>863700</v>
      </c>
      <c r="DV122" s="1">
        <v>350</v>
      </c>
      <c r="DW122" s="1">
        <v>1</v>
      </c>
      <c r="DX122" s="1">
        <v>0</v>
      </c>
      <c r="DY122" s="1">
        <v>90</v>
      </c>
      <c r="DZ122" s="1">
        <v>60003760</v>
      </c>
      <c r="EA122" s="1">
        <v>32767</v>
      </c>
      <c r="EB122" s="1">
        <v>8</v>
      </c>
      <c r="ED122" s="1">
        <v>2878139543</v>
      </c>
      <c r="EE122" s="1">
        <v>16273</v>
      </c>
      <c r="EF122" s="1">
        <v>10000</v>
      </c>
      <c r="EG122" s="1">
        <v>8950</v>
      </c>
      <c r="EH122" s="1">
        <v>400</v>
      </c>
      <c r="EI122" s="1">
        <v>1</v>
      </c>
      <c r="EJ122" s="1">
        <v>0</v>
      </c>
      <c r="EK122" s="1">
        <v>90</v>
      </c>
      <c r="EL122" s="1">
        <v>60004375</v>
      </c>
      <c r="EM122" s="1">
        <v>32767</v>
      </c>
      <c r="EN122" s="1">
        <v>10</v>
      </c>
      <c r="EP122"/>
      <c r="EQ122"/>
      <c r="ER122"/>
      <c r="ES122"/>
      <c r="ET122"/>
      <c r="EU122"/>
      <c r="EV122"/>
      <c r="EW122"/>
      <c r="EX122"/>
      <c r="EY122"/>
      <c r="EZ122"/>
      <c r="FB122" s="1">
        <v>2876423757</v>
      </c>
      <c r="FC122" s="1">
        <v>30259</v>
      </c>
      <c r="FD122" s="1">
        <v>1000</v>
      </c>
      <c r="FE122" s="1">
        <v>1000</v>
      </c>
      <c r="FF122" s="1">
        <v>5272000</v>
      </c>
      <c r="FG122" s="1">
        <v>1</v>
      </c>
      <c r="FH122" s="1">
        <v>1</v>
      </c>
      <c r="FI122" s="1">
        <v>90</v>
      </c>
      <c r="FJ122" s="1">
        <v>60003760</v>
      </c>
      <c r="FK122" s="1">
        <v>-1</v>
      </c>
      <c r="FL122" s="1">
        <v>0</v>
      </c>
      <c r="FZ122" s="1">
        <v>2871211070</v>
      </c>
      <c r="GA122" s="1">
        <v>44</v>
      </c>
      <c r="GB122" s="1">
        <v>15000</v>
      </c>
      <c r="GC122" s="1">
        <v>15000</v>
      </c>
      <c r="GD122" s="1">
        <v>8600</v>
      </c>
      <c r="GE122" s="1">
        <v>1</v>
      </c>
      <c r="GF122" s="1">
        <v>1</v>
      </c>
      <c r="GG122" s="1">
        <v>90</v>
      </c>
      <c r="GH122" s="1">
        <v>60003040</v>
      </c>
      <c r="GI122" s="1">
        <v>5</v>
      </c>
      <c r="GJ122" s="1">
        <v>0</v>
      </c>
      <c r="GL122" s="1">
        <v>2415110667</v>
      </c>
      <c r="GM122" s="1">
        <v>16681</v>
      </c>
      <c r="GN122" s="1">
        <v>165000</v>
      </c>
      <c r="GO122" s="1">
        <v>165000</v>
      </c>
      <c r="GP122" s="1">
        <v>6000.1</v>
      </c>
      <c r="GQ122" s="1">
        <v>1</v>
      </c>
      <c r="GR122" s="1">
        <v>1</v>
      </c>
      <c r="GS122" s="1">
        <v>90</v>
      </c>
      <c r="GT122" s="1">
        <v>60003760</v>
      </c>
      <c r="GU122" s="1">
        <v>-1</v>
      </c>
      <c r="GV122" s="1">
        <v>0</v>
      </c>
      <c r="HV122" s="1">
        <v>2878865178</v>
      </c>
      <c r="HW122" s="1">
        <v>16274</v>
      </c>
      <c r="HX122" s="1">
        <v>3000000</v>
      </c>
      <c r="HY122" s="1">
        <v>1803466</v>
      </c>
      <c r="HZ122" s="1">
        <v>330.23</v>
      </c>
      <c r="IA122" s="1">
        <v>1</v>
      </c>
      <c r="IB122" s="1">
        <v>1</v>
      </c>
      <c r="IC122" s="1">
        <v>7</v>
      </c>
      <c r="ID122" s="1">
        <v>60003760</v>
      </c>
      <c r="IE122" s="1">
        <v>-1</v>
      </c>
      <c r="IF122" s="1">
        <v>0</v>
      </c>
      <c r="IT122" s="1">
        <v>2878273264</v>
      </c>
      <c r="IU122" s="1">
        <v>16679</v>
      </c>
      <c r="IV122" s="1">
        <v>4162500</v>
      </c>
      <c r="IW122" s="1">
        <v>2490094</v>
      </c>
      <c r="IX122" s="1">
        <v>1691.57</v>
      </c>
      <c r="IY122" s="1">
        <v>1</v>
      </c>
      <c r="IZ122" s="1">
        <v>1</v>
      </c>
      <c r="JA122" s="1">
        <v>90</v>
      </c>
      <c r="JB122" s="1">
        <v>60003760</v>
      </c>
      <c r="JC122" s="1">
        <v>-1</v>
      </c>
      <c r="JD122" s="1">
        <v>0</v>
      </c>
      <c r="JF122" s="1">
        <v>2765984999</v>
      </c>
      <c r="JG122" s="1">
        <v>16272</v>
      </c>
      <c r="JH122" s="1">
        <v>300000</v>
      </c>
      <c r="JI122" s="1">
        <v>161194</v>
      </c>
      <c r="JJ122" s="1">
        <v>48.11</v>
      </c>
      <c r="JK122" s="1">
        <v>1</v>
      </c>
      <c r="JL122" s="1">
        <v>1</v>
      </c>
      <c r="JM122" s="1">
        <v>90</v>
      </c>
      <c r="JN122" s="1">
        <v>60003760</v>
      </c>
      <c r="JO122" s="1">
        <v>10</v>
      </c>
      <c r="JP122" s="1">
        <v>0</v>
      </c>
      <c r="KD122"/>
      <c r="KE122"/>
      <c r="KF122"/>
      <c r="KG122"/>
      <c r="KH122"/>
      <c r="KI122"/>
      <c r="KJ122"/>
      <c r="KK122"/>
      <c r="KL122"/>
      <c r="KM122"/>
      <c r="KN122"/>
      <c r="KP122"/>
      <c r="KQ122"/>
      <c r="KR122"/>
      <c r="KS122"/>
      <c r="KT122"/>
      <c r="KU122"/>
      <c r="KV122"/>
      <c r="KW122"/>
      <c r="KX122"/>
      <c r="KY122"/>
      <c r="KZ122"/>
      <c r="LB122" s="1">
        <v>2760660948</v>
      </c>
      <c r="LC122" s="1">
        <v>9832</v>
      </c>
      <c r="LD122" s="1">
        <v>8000</v>
      </c>
      <c r="LE122" s="1">
        <v>4134</v>
      </c>
      <c r="LF122" s="1">
        <v>7105.07</v>
      </c>
      <c r="LG122" s="1">
        <v>1</v>
      </c>
      <c r="LH122" s="1">
        <v>1</v>
      </c>
      <c r="LI122" s="1">
        <v>90</v>
      </c>
      <c r="LJ122" s="1">
        <v>60003760</v>
      </c>
      <c r="LK122" s="1">
        <v>5</v>
      </c>
      <c r="LL122" s="1">
        <v>0</v>
      </c>
      <c r="NJ122" s="1">
        <v>2877145319</v>
      </c>
      <c r="NK122" s="1">
        <v>16673</v>
      </c>
      <c r="NL122" s="1">
        <v>5000000</v>
      </c>
      <c r="NM122" s="1">
        <v>4998980</v>
      </c>
      <c r="NN122" s="1">
        <v>94.84</v>
      </c>
      <c r="NO122" s="1">
        <v>1</v>
      </c>
      <c r="NP122" s="1">
        <v>1</v>
      </c>
      <c r="NQ122" s="1">
        <v>90</v>
      </c>
      <c r="NR122" s="1">
        <v>60003760</v>
      </c>
      <c r="NS122" s="1">
        <v>-1</v>
      </c>
      <c r="NT122" s="1">
        <v>0</v>
      </c>
      <c r="NV122" s="1">
        <v>2872553109</v>
      </c>
      <c r="NW122" s="1">
        <v>3689</v>
      </c>
      <c r="NX122" s="1">
        <v>52800</v>
      </c>
      <c r="NY122" s="1">
        <v>52800</v>
      </c>
      <c r="NZ122" s="1">
        <v>7206.19</v>
      </c>
      <c r="OA122" s="1">
        <v>1</v>
      </c>
      <c r="OB122" s="1">
        <v>1</v>
      </c>
      <c r="OC122" s="1">
        <v>90</v>
      </c>
      <c r="OD122" s="1">
        <v>60003760</v>
      </c>
      <c r="OE122" s="1">
        <v>-1</v>
      </c>
      <c r="OF122" s="1">
        <v>0</v>
      </c>
      <c r="OH122" s="1">
        <v>2878075313</v>
      </c>
      <c r="OI122" s="1">
        <v>25598</v>
      </c>
      <c r="OJ122" s="1">
        <v>275</v>
      </c>
      <c r="OK122" s="1">
        <v>195</v>
      </c>
      <c r="OL122" s="1">
        <v>139998.96</v>
      </c>
      <c r="OM122" s="1">
        <v>1</v>
      </c>
      <c r="ON122" s="1">
        <v>0</v>
      </c>
      <c r="OO122" s="1">
        <v>30</v>
      </c>
      <c r="OP122" s="1">
        <v>60003760</v>
      </c>
      <c r="OQ122" s="1">
        <v>32767</v>
      </c>
      <c r="OR122" s="1">
        <v>0</v>
      </c>
      <c r="OT122" s="1">
        <v>2722111233</v>
      </c>
      <c r="OU122" s="1">
        <v>25600</v>
      </c>
      <c r="OV122" s="1">
        <v>12000</v>
      </c>
      <c r="OW122" s="1">
        <v>2286</v>
      </c>
      <c r="OX122" s="1">
        <v>19251.12</v>
      </c>
      <c r="OY122" s="1">
        <v>1</v>
      </c>
      <c r="OZ122" s="1">
        <v>1</v>
      </c>
      <c r="PA122" s="1">
        <v>90</v>
      </c>
      <c r="PB122" s="1">
        <v>60003760</v>
      </c>
      <c r="PC122" s="1">
        <v>-1</v>
      </c>
      <c r="PD122" s="1">
        <v>0</v>
      </c>
      <c r="PF122" s="1">
        <v>2878580852</v>
      </c>
      <c r="PG122" s="1">
        <v>16670</v>
      </c>
      <c r="PH122" s="1">
        <v>153471</v>
      </c>
      <c r="PI122" s="1">
        <v>153471</v>
      </c>
      <c r="PJ122" s="1">
        <v>108</v>
      </c>
      <c r="PK122" s="1">
        <v>1</v>
      </c>
      <c r="PL122" s="1">
        <v>1</v>
      </c>
      <c r="PM122" s="1">
        <v>30</v>
      </c>
      <c r="PN122" s="1">
        <v>60003760</v>
      </c>
      <c r="PO122" s="1">
        <v>-1</v>
      </c>
      <c r="PP122" s="1">
        <v>0</v>
      </c>
      <c r="QD122"/>
      <c r="QE122"/>
      <c r="QF122"/>
      <c r="QG122"/>
      <c r="QH122"/>
      <c r="QI122"/>
      <c r="QJ122"/>
      <c r="QK122"/>
      <c r="QL122"/>
      <c r="QM122"/>
      <c r="QN122"/>
      <c r="RB122"/>
      <c r="RC122"/>
      <c r="RD122"/>
      <c r="RE122"/>
      <c r="RF122"/>
      <c r="RG122"/>
      <c r="RH122"/>
      <c r="RI122"/>
      <c r="RJ122"/>
      <c r="RK122"/>
      <c r="RL122"/>
      <c r="SX122" s="1">
        <v>2878211930</v>
      </c>
      <c r="SY122" s="1">
        <v>25595</v>
      </c>
      <c r="SZ122" s="1">
        <v>4</v>
      </c>
      <c r="TA122" s="1">
        <v>4</v>
      </c>
      <c r="TB122" s="1">
        <v>100000</v>
      </c>
      <c r="TC122" s="1">
        <v>1</v>
      </c>
      <c r="TD122" s="1">
        <v>0</v>
      </c>
      <c r="TE122" s="1">
        <v>1</v>
      </c>
      <c r="TF122" s="1">
        <v>60003760</v>
      </c>
      <c r="TG122" s="1">
        <v>32767</v>
      </c>
      <c r="TH122" s="1">
        <v>6</v>
      </c>
      <c r="TJ122" s="1">
        <v>2877477355</v>
      </c>
      <c r="TK122" s="1">
        <v>25606</v>
      </c>
      <c r="TL122" s="1">
        <v>15000</v>
      </c>
      <c r="TM122" s="1">
        <v>2131</v>
      </c>
      <c r="TN122" s="1">
        <v>20502</v>
      </c>
      <c r="TO122" s="1">
        <v>1</v>
      </c>
      <c r="TP122" s="1">
        <v>1</v>
      </c>
      <c r="TQ122" s="1">
        <v>90</v>
      </c>
      <c r="TR122" s="1">
        <v>60003760</v>
      </c>
      <c r="TS122" s="1">
        <v>-1</v>
      </c>
      <c r="TT122" s="1">
        <v>0</v>
      </c>
    </row>
    <row r="123" spans="2:540" x14ac:dyDescent="0.25">
      <c r="B123" s="1">
        <v>2784242368</v>
      </c>
      <c r="C123" s="1">
        <v>34</v>
      </c>
      <c r="D123" s="1">
        <v>37320144</v>
      </c>
      <c r="E123" s="1">
        <v>37320144</v>
      </c>
      <c r="F123" s="1">
        <v>6.29</v>
      </c>
      <c r="G123" s="1">
        <v>1</v>
      </c>
      <c r="H123" s="1">
        <v>0</v>
      </c>
      <c r="I123" s="1">
        <v>90</v>
      </c>
      <c r="J123" s="1">
        <v>60003760</v>
      </c>
      <c r="K123" s="1">
        <v>32767</v>
      </c>
      <c r="L123" s="1">
        <v>0</v>
      </c>
      <c r="N123" s="1">
        <v>2869683636</v>
      </c>
      <c r="O123" s="1">
        <v>35</v>
      </c>
      <c r="P123" s="1">
        <v>1857422</v>
      </c>
      <c r="Q123" s="1">
        <v>1857422</v>
      </c>
      <c r="R123" s="1">
        <v>15.25</v>
      </c>
      <c r="S123" s="1">
        <v>1</v>
      </c>
      <c r="T123" s="1">
        <v>0</v>
      </c>
      <c r="U123" s="1">
        <v>7</v>
      </c>
      <c r="V123" s="1">
        <v>60003760</v>
      </c>
      <c r="W123" s="1">
        <v>32767</v>
      </c>
      <c r="X123" s="1">
        <v>0</v>
      </c>
      <c r="Z123" s="1">
        <v>2839926461</v>
      </c>
      <c r="AA123" s="1">
        <v>36</v>
      </c>
      <c r="AB123" s="1">
        <v>10000000</v>
      </c>
      <c r="AC123" s="1">
        <v>10000000</v>
      </c>
      <c r="AD123" s="16">
        <v>52</v>
      </c>
      <c r="AE123" s="1">
        <v>1</v>
      </c>
      <c r="AF123" s="1">
        <v>0</v>
      </c>
      <c r="AG123" s="1">
        <v>90</v>
      </c>
      <c r="AH123" s="1">
        <v>60003760</v>
      </c>
      <c r="AI123" s="1">
        <v>32767</v>
      </c>
      <c r="AJ123" s="1">
        <v>11</v>
      </c>
      <c r="AL123" s="1">
        <v>2863671859</v>
      </c>
      <c r="AM123" s="1">
        <v>37</v>
      </c>
      <c r="AN123" s="1">
        <v>385866</v>
      </c>
      <c r="AO123" s="1">
        <v>365192</v>
      </c>
      <c r="AP123" s="16">
        <v>146.4</v>
      </c>
      <c r="AQ123" s="1">
        <v>1</v>
      </c>
      <c r="AR123" s="1">
        <v>0</v>
      </c>
      <c r="AS123" s="1">
        <v>90</v>
      </c>
      <c r="AT123" s="1">
        <v>60004081</v>
      </c>
      <c r="AU123" s="1">
        <v>32767</v>
      </c>
      <c r="AV123" s="1">
        <v>7</v>
      </c>
      <c r="AX123" s="1">
        <v>2878933213</v>
      </c>
      <c r="AY123" s="1">
        <v>38</v>
      </c>
      <c r="AZ123" s="1">
        <v>19042</v>
      </c>
      <c r="BA123" s="1">
        <v>19042</v>
      </c>
      <c r="BB123" s="1">
        <v>809.98</v>
      </c>
      <c r="BC123" s="1">
        <v>1</v>
      </c>
      <c r="BD123" s="1">
        <v>0</v>
      </c>
      <c r="BE123" s="1">
        <v>90</v>
      </c>
      <c r="BF123" s="1">
        <v>60003760</v>
      </c>
      <c r="BG123" s="1">
        <v>32767</v>
      </c>
      <c r="BH123" s="1">
        <v>5</v>
      </c>
      <c r="BJ123" s="1">
        <v>2879051670</v>
      </c>
      <c r="BK123" s="1">
        <v>39</v>
      </c>
      <c r="BL123" s="1">
        <v>1</v>
      </c>
      <c r="BM123" s="1">
        <v>1</v>
      </c>
      <c r="BN123" s="1">
        <v>1000000</v>
      </c>
      <c r="BO123" s="1">
        <v>1</v>
      </c>
      <c r="BP123" s="1">
        <v>0</v>
      </c>
      <c r="BQ123" s="1">
        <v>90</v>
      </c>
      <c r="BR123" s="1">
        <v>60003760</v>
      </c>
      <c r="BS123" s="1">
        <v>32767</v>
      </c>
      <c r="BT123" s="1">
        <v>0</v>
      </c>
      <c r="BV123" s="1">
        <v>2369000737</v>
      </c>
      <c r="BW123" s="1">
        <v>40</v>
      </c>
      <c r="BX123" s="1">
        <v>273</v>
      </c>
      <c r="BY123" s="1">
        <v>273</v>
      </c>
      <c r="BZ123" s="1">
        <v>3500</v>
      </c>
      <c r="CA123" s="1">
        <v>1</v>
      </c>
      <c r="CB123" s="1">
        <v>0</v>
      </c>
      <c r="CC123" s="1">
        <v>90</v>
      </c>
      <c r="CD123" s="1">
        <v>60010456</v>
      </c>
      <c r="CE123" s="1">
        <v>32767</v>
      </c>
      <c r="CF123" s="1">
        <v>0</v>
      </c>
      <c r="CH123" s="1">
        <v>2415596281</v>
      </c>
      <c r="CI123" s="1">
        <v>29668</v>
      </c>
      <c r="CJ123" s="1">
        <v>4</v>
      </c>
      <c r="CK123" s="1">
        <v>4</v>
      </c>
      <c r="CL123" s="1">
        <v>496945950</v>
      </c>
      <c r="CM123" s="1">
        <v>1</v>
      </c>
      <c r="CN123" s="1">
        <v>0</v>
      </c>
      <c r="CO123" s="1">
        <v>90</v>
      </c>
      <c r="CP123" s="1">
        <v>60003760</v>
      </c>
      <c r="CQ123" s="1">
        <v>32767</v>
      </c>
      <c r="CR123" s="1">
        <v>0</v>
      </c>
      <c r="CT123" s="1">
        <v>2415744609</v>
      </c>
      <c r="CU123" s="1">
        <v>16649</v>
      </c>
      <c r="CV123" s="1">
        <v>9900</v>
      </c>
      <c r="CW123" s="1">
        <v>9900</v>
      </c>
      <c r="CX123" s="1">
        <v>99500</v>
      </c>
      <c r="CY123" s="1">
        <v>100</v>
      </c>
      <c r="CZ123" s="1">
        <v>1</v>
      </c>
      <c r="DA123" s="1">
        <v>90</v>
      </c>
      <c r="DB123" s="1">
        <v>60003760</v>
      </c>
      <c r="DC123" s="1">
        <v>-1</v>
      </c>
      <c r="DD123" s="1">
        <v>0</v>
      </c>
      <c r="DF123" s="1">
        <v>2415625424</v>
      </c>
      <c r="DG123" s="1">
        <v>17887</v>
      </c>
      <c r="DH123" s="1">
        <v>750123</v>
      </c>
      <c r="DI123" s="1">
        <v>232063</v>
      </c>
      <c r="DJ123" s="1">
        <v>932.86</v>
      </c>
      <c r="DK123" s="1">
        <v>1</v>
      </c>
      <c r="DL123" s="1">
        <v>0</v>
      </c>
      <c r="DM123" s="1">
        <v>30</v>
      </c>
      <c r="DN123" s="1">
        <v>60003760</v>
      </c>
      <c r="DO123" s="1">
        <v>32767</v>
      </c>
      <c r="DP123" s="1">
        <v>0</v>
      </c>
      <c r="DR123" s="1">
        <v>2870523714</v>
      </c>
      <c r="DS123" s="1">
        <v>17888</v>
      </c>
      <c r="DT123" s="1">
        <v>1094400</v>
      </c>
      <c r="DU123" s="1">
        <v>1094400</v>
      </c>
      <c r="DV123" s="1">
        <v>344.8</v>
      </c>
      <c r="DW123" s="1">
        <v>1</v>
      </c>
      <c r="DX123" s="1">
        <v>0</v>
      </c>
      <c r="DY123" s="1">
        <v>14</v>
      </c>
      <c r="DZ123" s="1">
        <v>60003760</v>
      </c>
      <c r="EA123" s="1">
        <v>32767</v>
      </c>
      <c r="EB123" s="1">
        <v>8</v>
      </c>
      <c r="ED123" s="1">
        <v>2821331867</v>
      </c>
      <c r="EE123" s="1">
        <v>16273</v>
      </c>
      <c r="EF123" s="1">
        <v>50000</v>
      </c>
      <c r="EG123" s="1">
        <v>5801</v>
      </c>
      <c r="EH123" s="1">
        <v>625</v>
      </c>
      <c r="EI123" s="1">
        <v>1</v>
      </c>
      <c r="EJ123" s="1">
        <v>0</v>
      </c>
      <c r="EK123" s="1">
        <v>90</v>
      </c>
      <c r="EL123" s="1">
        <v>60013045</v>
      </c>
      <c r="EM123" s="1">
        <v>32767</v>
      </c>
      <c r="EN123" s="1">
        <v>11</v>
      </c>
      <c r="EP123"/>
      <c r="EQ123"/>
      <c r="ER123"/>
      <c r="ES123"/>
      <c r="ET123"/>
      <c r="EU123"/>
      <c r="EV123"/>
      <c r="EW123"/>
      <c r="EX123"/>
      <c r="EY123"/>
      <c r="EZ123"/>
      <c r="FB123" s="1">
        <v>2876157449</v>
      </c>
      <c r="FC123" s="1">
        <v>30259</v>
      </c>
      <c r="FD123" s="1">
        <v>80</v>
      </c>
      <c r="FE123" s="1">
        <v>80</v>
      </c>
      <c r="FF123" s="1">
        <v>5585200.9699999997</v>
      </c>
      <c r="FG123" s="1">
        <v>1</v>
      </c>
      <c r="FH123" s="1">
        <v>1</v>
      </c>
      <c r="FI123" s="1">
        <v>7</v>
      </c>
      <c r="FJ123" s="1">
        <v>60003760</v>
      </c>
      <c r="FK123" s="1">
        <v>-1</v>
      </c>
      <c r="FL123" s="1">
        <v>0</v>
      </c>
      <c r="FZ123" s="1">
        <v>2865957640</v>
      </c>
      <c r="GA123" s="1">
        <v>44</v>
      </c>
      <c r="GB123" s="1">
        <v>25000</v>
      </c>
      <c r="GC123" s="1">
        <v>18830</v>
      </c>
      <c r="GD123" s="1">
        <v>8600</v>
      </c>
      <c r="GE123" s="1">
        <v>1</v>
      </c>
      <c r="GF123" s="1">
        <v>1</v>
      </c>
      <c r="GG123" s="1">
        <v>90</v>
      </c>
      <c r="GH123" s="1">
        <v>60002815</v>
      </c>
      <c r="GI123" s="1">
        <v>5</v>
      </c>
      <c r="GJ123" s="1">
        <v>0</v>
      </c>
      <c r="GL123" s="1">
        <v>2415140344</v>
      </c>
      <c r="GM123" s="1">
        <v>16681</v>
      </c>
      <c r="GN123" s="1">
        <v>49975</v>
      </c>
      <c r="GO123" s="1">
        <v>49975</v>
      </c>
      <c r="GP123" s="1">
        <v>6007.03</v>
      </c>
      <c r="GQ123" s="1">
        <v>1</v>
      </c>
      <c r="GR123" s="1">
        <v>1</v>
      </c>
      <c r="GS123" s="1">
        <v>90</v>
      </c>
      <c r="GT123" s="1">
        <v>60003760</v>
      </c>
      <c r="GU123" s="1">
        <v>-1</v>
      </c>
      <c r="GV123" s="1">
        <v>0</v>
      </c>
      <c r="HV123"/>
      <c r="HW123"/>
      <c r="HX123"/>
      <c r="HY123"/>
      <c r="HZ123"/>
      <c r="IA123"/>
      <c r="IB123"/>
      <c r="IC123"/>
      <c r="ID123"/>
      <c r="IE123"/>
      <c r="IF123"/>
      <c r="IT123" s="1">
        <v>2879060370</v>
      </c>
      <c r="IU123" s="1">
        <v>16679</v>
      </c>
      <c r="IV123" s="1">
        <v>360000</v>
      </c>
      <c r="IW123" s="1">
        <v>360000</v>
      </c>
      <c r="IX123" s="1">
        <v>1691.59</v>
      </c>
      <c r="IY123" s="1">
        <v>1</v>
      </c>
      <c r="IZ123" s="1">
        <v>1</v>
      </c>
      <c r="JA123" s="1">
        <v>90</v>
      </c>
      <c r="JB123" s="1">
        <v>60003760</v>
      </c>
      <c r="JC123" s="1">
        <v>-1</v>
      </c>
      <c r="JD123" s="1">
        <v>0</v>
      </c>
      <c r="JF123" s="1">
        <v>2781603354</v>
      </c>
      <c r="JG123" s="1">
        <v>16272</v>
      </c>
      <c r="JH123" s="1">
        <v>1000000</v>
      </c>
      <c r="JI123" s="1">
        <v>665013</v>
      </c>
      <c r="JJ123" s="1">
        <v>48.01</v>
      </c>
      <c r="JK123" s="1">
        <v>1</v>
      </c>
      <c r="JL123" s="1">
        <v>1</v>
      </c>
      <c r="JM123" s="1">
        <v>90</v>
      </c>
      <c r="JN123" s="1">
        <v>60003760</v>
      </c>
      <c r="JO123" s="1">
        <v>32767</v>
      </c>
      <c r="JP123" s="1">
        <v>0</v>
      </c>
      <c r="KD123"/>
      <c r="KE123"/>
      <c r="KF123"/>
      <c r="KG123"/>
      <c r="KH123"/>
      <c r="KI123"/>
      <c r="KJ123"/>
      <c r="KK123"/>
      <c r="KL123"/>
      <c r="KM123"/>
      <c r="KN123"/>
      <c r="KP123"/>
      <c r="KQ123"/>
      <c r="KR123"/>
      <c r="KS123"/>
      <c r="KT123"/>
      <c r="KU123"/>
      <c r="KV123"/>
      <c r="KW123"/>
      <c r="KX123"/>
      <c r="KY123"/>
      <c r="KZ123"/>
      <c r="LB123" s="1">
        <v>2807901106</v>
      </c>
      <c r="LC123" s="1">
        <v>9832</v>
      </c>
      <c r="LD123" s="1">
        <v>16000</v>
      </c>
      <c r="LE123" s="1">
        <v>13781</v>
      </c>
      <c r="LF123" s="1">
        <v>7002.04</v>
      </c>
      <c r="LG123" s="1">
        <v>1</v>
      </c>
      <c r="LH123" s="1">
        <v>1</v>
      </c>
      <c r="LI123" s="1">
        <v>90</v>
      </c>
      <c r="LJ123" s="1">
        <v>60003760</v>
      </c>
      <c r="LK123" s="1">
        <v>32767</v>
      </c>
      <c r="LL123" s="1">
        <v>0</v>
      </c>
      <c r="NV123" s="1">
        <v>2872607177</v>
      </c>
      <c r="NW123" s="1">
        <v>3689</v>
      </c>
      <c r="NX123" s="1">
        <v>38351</v>
      </c>
      <c r="NY123" s="1">
        <v>38351</v>
      </c>
      <c r="NZ123" s="1">
        <v>7778.29</v>
      </c>
      <c r="OA123" s="1">
        <v>1</v>
      </c>
      <c r="OB123" s="1">
        <v>1</v>
      </c>
      <c r="OC123" s="1">
        <v>90</v>
      </c>
      <c r="OD123" s="1">
        <v>60003760</v>
      </c>
      <c r="OE123" s="1">
        <v>-1</v>
      </c>
      <c r="OF123" s="1">
        <v>0</v>
      </c>
      <c r="OH123" s="1">
        <v>2878138261</v>
      </c>
      <c r="OI123" s="1">
        <v>25598</v>
      </c>
      <c r="OJ123" s="1">
        <v>144</v>
      </c>
      <c r="OK123" s="1">
        <v>96</v>
      </c>
      <c r="OL123" s="1">
        <v>139998.95000000001</v>
      </c>
      <c r="OM123" s="1">
        <v>1</v>
      </c>
      <c r="ON123" s="1">
        <v>0</v>
      </c>
      <c r="OO123" s="1">
        <v>90</v>
      </c>
      <c r="OP123" s="1">
        <v>60003760</v>
      </c>
      <c r="OQ123" s="1">
        <v>32767</v>
      </c>
      <c r="OR123" s="1">
        <v>0</v>
      </c>
      <c r="OT123" s="1">
        <v>2867714391</v>
      </c>
      <c r="OU123" s="1">
        <v>25600</v>
      </c>
      <c r="OV123" s="1">
        <v>20000</v>
      </c>
      <c r="OW123" s="1">
        <v>15096</v>
      </c>
      <c r="OX123" s="1">
        <v>27533.1</v>
      </c>
      <c r="OY123" s="1">
        <v>1</v>
      </c>
      <c r="OZ123" s="1">
        <v>1</v>
      </c>
      <c r="PA123" s="1">
        <v>90</v>
      </c>
      <c r="PB123" s="1">
        <v>60003760</v>
      </c>
      <c r="PC123" s="1">
        <v>-1</v>
      </c>
      <c r="PD123" s="1">
        <v>0</v>
      </c>
      <c r="PF123" s="1">
        <v>2878611880</v>
      </c>
      <c r="PG123" s="1">
        <v>16670</v>
      </c>
      <c r="PH123" s="1">
        <v>5000000</v>
      </c>
      <c r="PI123" s="1">
        <v>5000000</v>
      </c>
      <c r="PJ123" s="1">
        <v>108.05</v>
      </c>
      <c r="PK123" s="1">
        <v>1</v>
      </c>
      <c r="PL123" s="1">
        <v>1</v>
      </c>
      <c r="PM123" s="1">
        <v>90</v>
      </c>
      <c r="PN123" s="1">
        <v>60003760</v>
      </c>
      <c r="PO123" s="1">
        <v>-1</v>
      </c>
      <c r="PP123" s="1">
        <v>0</v>
      </c>
      <c r="QD123"/>
      <c r="QE123"/>
      <c r="QF123"/>
      <c r="QG123"/>
      <c r="QH123"/>
      <c r="QI123"/>
      <c r="QJ123"/>
      <c r="QK123"/>
      <c r="QL123"/>
      <c r="QM123"/>
      <c r="QN123"/>
      <c r="RB123"/>
      <c r="RC123"/>
      <c r="RD123"/>
      <c r="RE123"/>
      <c r="RF123"/>
      <c r="RG123"/>
      <c r="RH123"/>
      <c r="RI123"/>
      <c r="RJ123"/>
      <c r="RK123"/>
      <c r="RL123"/>
      <c r="SX123" s="1">
        <v>2878190317</v>
      </c>
      <c r="SY123" s="1">
        <v>25595</v>
      </c>
      <c r="SZ123" s="1">
        <v>48</v>
      </c>
      <c r="TA123" s="1">
        <v>48</v>
      </c>
      <c r="TB123" s="1">
        <v>85000.01</v>
      </c>
      <c r="TC123" s="1">
        <v>1</v>
      </c>
      <c r="TD123" s="1">
        <v>0</v>
      </c>
      <c r="TE123" s="1">
        <v>7</v>
      </c>
      <c r="TF123" s="1">
        <v>60003760</v>
      </c>
      <c r="TG123" s="1">
        <v>32767</v>
      </c>
      <c r="TH123" s="1">
        <v>6</v>
      </c>
      <c r="TJ123" s="1">
        <v>2877550948</v>
      </c>
      <c r="TK123" s="1">
        <v>25606</v>
      </c>
      <c r="TL123" s="1">
        <v>20000</v>
      </c>
      <c r="TM123" s="1">
        <v>19477</v>
      </c>
      <c r="TN123" s="1">
        <v>19200</v>
      </c>
      <c r="TO123" s="1">
        <v>1</v>
      </c>
      <c r="TP123" s="1">
        <v>1</v>
      </c>
      <c r="TQ123" s="1">
        <v>90</v>
      </c>
      <c r="TR123" s="1">
        <v>60003760</v>
      </c>
      <c r="TS123" s="1">
        <v>0</v>
      </c>
      <c r="TT123" s="1">
        <v>0</v>
      </c>
    </row>
    <row r="124" spans="2:540" x14ac:dyDescent="0.25">
      <c r="B124" s="1">
        <v>2791868246</v>
      </c>
      <c r="C124" s="1">
        <v>34</v>
      </c>
      <c r="D124" s="1">
        <v>305530653</v>
      </c>
      <c r="E124" s="1">
        <v>305530653</v>
      </c>
      <c r="F124" s="1">
        <v>6.18</v>
      </c>
      <c r="G124" s="1">
        <v>1</v>
      </c>
      <c r="H124" s="1">
        <v>0</v>
      </c>
      <c r="I124" s="1">
        <v>90</v>
      </c>
      <c r="J124" s="1">
        <v>60003760</v>
      </c>
      <c r="K124" s="1">
        <v>32767</v>
      </c>
      <c r="L124" s="1">
        <v>0</v>
      </c>
      <c r="N124" s="1">
        <v>2867313323</v>
      </c>
      <c r="O124" s="1">
        <v>35</v>
      </c>
      <c r="P124" s="1">
        <v>10333234</v>
      </c>
      <c r="Q124" s="1">
        <v>10333234</v>
      </c>
      <c r="R124" s="1">
        <v>15.2</v>
      </c>
      <c r="S124" s="1">
        <v>1</v>
      </c>
      <c r="T124" s="1">
        <v>0</v>
      </c>
      <c r="U124" s="1">
        <v>14</v>
      </c>
      <c r="V124" s="1">
        <v>60003760</v>
      </c>
      <c r="W124" s="1">
        <v>32767</v>
      </c>
      <c r="X124" s="1">
        <v>0</v>
      </c>
      <c r="Z124" s="1">
        <v>2839927162</v>
      </c>
      <c r="AA124" s="1">
        <v>36</v>
      </c>
      <c r="AB124" s="1">
        <v>10000000</v>
      </c>
      <c r="AC124" s="1">
        <v>10000000</v>
      </c>
      <c r="AD124" s="16">
        <v>54</v>
      </c>
      <c r="AE124" s="1">
        <v>1</v>
      </c>
      <c r="AF124" s="1">
        <v>0</v>
      </c>
      <c r="AG124" s="1">
        <v>90</v>
      </c>
      <c r="AH124" s="1">
        <v>60003760</v>
      </c>
      <c r="AI124" s="1">
        <v>32767</v>
      </c>
      <c r="AJ124" s="1">
        <v>11</v>
      </c>
      <c r="AL124" s="1">
        <v>2794807647</v>
      </c>
      <c r="AM124" s="1">
        <v>37</v>
      </c>
      <c r="AN124" s="1">
        <v>778763</v>
      </c>
      <c r="AO124" s="1">
        <v>693903</v>
      </c>
      <c r="AP124" s="16">
        <v>155</v>
      </c>
      <c r="AQ124" s="1">
        <v>1</v>
      </c>
      <c r="AR124" s="1">
        <v>0</v>
      </c>
      <c r="AS124" s="1">
        <v>90</v>
      </c>
      <c r="AT124" s="1">
        <v>60010198</v>
      </c>
      <c r="AU124" s="1">
        <v>32767</v>
      </c>
      <c r="AV124" s="1">
        <v>7</v>
      </c>
      <c r="AX124" s="1">
        <v>2878945608</v>
      </c>
      <c r="AY124" s="1">
        <v>38</v>
      </c>
      <c r="AZ124" s="1">
        <v>212</v>
      </c>
      <c r="BA124" s="1">
        <v>212</v>
      </c>
      <c r="BB124" s="1">
        <v>2400</v>
      </c>
      <c r="BC124" s="1">
        <v>1</v>
      </c>
      <c r="BD124" s="1">
        <v>0</v>
      </c>
      <c r="BE124" s="1">
        <v>1</v>
      </c>
      <c r="BF124" s="1">
        <v>60015027</v>
      </c>
      <c r="BG124" s="1">
        <v>32767</v>
      </c>
      <c r="BH124" s="1">
        <v>0</v>
      </c>
      <c r="BJ124" s="1">
        <v>2879051831</v>
      </c>
      <c r="BK124" s="1">
        <v>39</v>
      </c>
      <c r="BL124" s="1">
        <v>1</v>
      </c>
      <c r="BM124" s="1">
        <v>1</v>
      </c>
      <c r="BN124" s="1">
        <v>1000000</v>
      </c>
      <c r="BO124" s="1">
        <v>1</v>
      </c>
      <c r="BP124" s="1">
        <v>0</v>
      </c>
      <c r="BQ124" s="1">
        <v>90</v>
      </c>
      <c r="BR124" s="1">
        <v>60003760</v>
      </c>
      <c r="BS124" s="1">
        <v>32767</v>
      </c>
      <c r="BT124" s="1">
        <v>0</v>
      </c>
      <c r="BV124" s="1">
        <v>2369002779</v>
      </c>
      <c r="BW124" s="1">
        <v>40</v>
      </c>
      <c r="BX124" s="1">
        <v>38</v>
      </c>
      <c r="BY124" s="1">
        <v>38</v>
      </c>
      <c r="BZ124" s="1">
        <v>3500</v>
      </c>
      <c r="CA124" s="1">
        <v>1</v>
      </c>
      <c r="CB124" s="1">
        <v>0</v>
      </c>
      <c r="CC124" s="1">
        <v>90</v>
      </c>
      <c r="CD124" s="1">
        <v>60003172</v>
      </c>
      <c r="CE124" s="1">
        <v>32767</v>
      </c>
      <c r="CF124" s="1">
        <v>1</v>
      </c>
      <c r="CH124" s="1">
        <v>2415598154</v>
      </c>
      <c r="CI124" s="1">
        <v>29668</v>
      </c>
      <c r="CJ124" s="1">
        <v>1</v>
      </c>
      <c r="CK124" s="1">
        <v>1</v>
      </c>
      <c r="CL124" s="1">
        <v>500000000</v>
      </c>
      <c r="CM124" s="1">
        <v>1</v>
      </c>
      <c r="CN124" s="1">
        <v>0</v>
      </c>
      <c r="CO124" s="1">
        <v>7</v>
      </c>
      <c r="CP124" s="1">
        <v>60003760</v>
      </c>
      <c r="CQ124" s="1">
        <v>32767</v>
      </c>
      <c r="CR124" s="1">
        <v>0</v>
      </c>
      <c r="CT124" s="1">
        <v>2413742474</v>
      </c>
      <c r="CU124" s="1">
        <v>16649</v>
      </c>
      <c r="CV124" s="1">
        <v>183900</v>
      </c>
      <c r="CW124" s="1">
        <v>183900</v>
      </c>
      <c r="CX124" s="1">
        <v>99007.05</v>
      </c>
      <c r="CY124" s="1">
        <v>1</v>
      </c>
      <c r="CZ124" s="1">
        <v>1</v>
      </c>
      <c r="DA124" s="1">
        <v>3</v>
      </c>
      <c r="DB124" s="1">
        <v>60003760</v>
      </c>
      <c r="DC124" s="1">
        <v>-1</v>
      </c>
      <c r="DD124" s="1">
        <v>0</v>
      </c>
      <c r="DF124" s="1">
        <v>2415841763</v>
      </c>
      <c r="DG124" s="1">
        <v>17887</v>
      </c>
      <c r="DH124" s="1">
        <v>91095</v>
      </c>
      <c r="DI124" s="1">
        <v>91095</v>
      </c>
      <c r="DJ124" s="1">
        <v>932.79</v>
      </c>
      <c r="DK124" s="1">
        <v>1</v>
      </c>
      <c r="DL124" s="1">
        <v>0</v>
      </c>
      <c r="DM124" s="1">
        <v>90</v>
      </c>
      <c r="DN124" s="1">
        <v>60003760</v>
      </c>
      <c r="DO124" s="1">
        <v>32767</v>
      </c>
      <c r="DP124" s="1">
        <v>0</v>
      </c>
      <c r="DR124" s="1">
        <v>2873008973</v>
      </c>
      <c r="DS124" s="1">
        <v>17888</v>
      </c>
      <c r="DT124" s="1">
        <v>30746</v>
      </c>
      <c r="DU124" s="1">
        <v>30746</v>
      </c>
      <c r="DV124" s="1">
        <v>383</v>
      </c>
      <c r="DW124" s="1">
        <v>1</v>
      </c>
      <c r="DX124" s="1">
        <v>0</v>
      </c>
      <c r="DY124" s="1">
        <v>30</v>
      </c>
      <c r="DZ124" s="1">
        <v>60003760</v>
      </c>
      <c r="EA124" s="1">
        <v>32767</v>
      </c>
      <c r="EB124" s="1">
        <v>8</v>
      </c>
      <c r="ED124" s="1">
        <v>2813600295</v>
      </c>
      <c r="EE124" s="1">
        <v>16273</v>
      </c>
      <c r="EF124" s="1">
        <v>11834</v>
      </c>
      <c r="EG124" s="1">
        <v>6023</v>
      </c>
      <c r="EH124" s="1">
        <v>650</v>
      </c>
      <c r="EI124" s="1">
        <v>1</v>
      </c>
      <c r="EJ124" s="1">
        <v>0</v>
      </c>
      <c r="EK124" s="1">
        <v>90</v>
      </c>
      <c r="EL124" s="1">
        <v>60013045</v>
      </c>
      <c r="EM124" s="1">
        <v>32767</v>
      </c>
      <c r="EN124" s="1">
        <v>11</v>
      </c>
      <c r="EP124"/>
      <c r="EQ124"/>
      <c r="ER124"/>
      <c r="ES124"/>
      <c r="ET124"/>
      <c r="EU124"/>
      <c r="EV124"/>
      <c r="EW124"/>
      <c r="EX124"/>
      <c r="EY124"/>
      <c r="EZ124"/>
      <c r="FB124" s="1">
        <v>2877224737</v>
      </c>
      <c r="FC124" s="1">
        <v>30259</v>
      </c>
      <c r="FD124" s="1">
        <v>50</v>
      </c>
      <c r="FE124" s="1">
        <v>50</v>
      </c>
      <c r="FF124" s="1">
        <v>5588599.9900000002</v>
      </c>
      <c r="FG124" s="1">
        <v>1</v>
      </c>
      <c r="FH124" s="1">
        <v>1</v>
      </c>
      <c r="FI124" s="1">
        <v>90</v>
      </c>
      <c r="FJ124" s="1">
        <v>60003760</v>
      </c>
      <c r="FK124" s="1">
        <v>5</v>
      </c>
      <c r="FL124" s="1">
        <v>0</v>
      </c>
      <c r="FZ124" s="1">
        <v>2814715974</v>
      </c>
      <c r="GA124" s="1">
        <v>44</v>
      </c>
      <c r="GB124" s="1">
        <v>1000</v>
      </c>
      <c r="GC124" s="1">
        <v>1000</v>
      </c>
      <c r="GD124" s="1">
        <v>4000</v>
      </c>
      <c r="GE124" s="1">
        <v>1</v>
      </c>
      <c r="GF124" s="1">
        <v>1</v>
      </c>
      <c r="GG124" s="1">
        <v>90</v>
      </c>
      <c r="GH124" s="1">
        <v>60002284</v>
      </c>
      <c r="GI124" s="1">
        <v>1</v>
      </c>
      <c r="GJ124" s="1">
        <v>0</v>
      </c>
      <c r="GL124" s="1">
        <v>2415191288</v>
      </c>
      <c r="GM124" s="1">
        <v>16681</v>
      </c>
      <c r="GN124" s="1">
        <v>120000</v>
      </c>
      <c r="GO124" s="1">
        <v>120000</v>
      </c>
      <c r="GP124" s="1">
        <v>6007.39</v>
      </c>
      <c r="GQ124" s="1">
        <v>1</v>
      </c>
      <c r="GR124" s="1">
        <v>1</v>
      </c>
      <c r="GS124" s="1">
        <v>90</v>
      </c>
      <c r="GT124" s="1">
        <v>60003760</v>
      </c>
      <c r="GU124" s="1">
        <v>-1</v>
      </c>
      <c r="GV124" s="1">
        <v>0</v>
      </c>
      <c r="HV124"/>
      <c r="HW124"/>
      <c r="HX124"/>
      <c r="HY124"/>
      <c r="HZ124"/>
      <c r="IA124"/>
      <c r="IB124"/>
      <c r="IC124"/>
      <c r="ID124"/>
      <c r="IE124"/>
      <c r="IF124"/>
      <c r="IT124" s="1">
        <v>2878682048</v>
      </c>
      <c r="IU124" s="1">
        <v>16679</v>
      </c>
      <c r="IV124" s="1">
        <v>500000</v>
      </c>
      <c r="IW124" s="1">
        <v>500000</v>
      </c>
      <c r="IX124" s="1">
        <v>1691.6</v>
      </c>
      <c r="IY124" s="1">
        <v>1</v>
      </c>
      <c r="IZ124" s="1">
        <v>1</v>
      </c>
      <c r="JA124" s="1">
        <v>90</v>
      </c>
      <c r="JB124" s="1">
        <v>60003760</v>
      </c>
      <c r="JC124" s="1">
        <v>0</v>
      </c>
      <c r="JD124" s="1">
        <v>0</v>
      </c>
      <c r="JF124" s="1">
        <v>2834771656</v>
      </c>
      <c r="JG124" s="1">
        <v>16272</v>
      </c>
      <c r="JH124" s="1">
        <v>100000</v>
      </c>
      <c r="JI124" s="1">
        <v>100000</v>
      </c>
      <c r="JJ124" s="1">
        <v>60</v>
      </c>
      <c r="JK124" s="1">
        <v>1</v>
      </c>
      <c r="JL124" s="1">
        <v>1</v>
      </c>
      <c r="JM124" s="1">
        <v>30</v>
      </c>
      <c r="JN124" s="1">
        <v>60003760</v>
      </c>
      <c r="JO124" s="1">
        <v>-1</v>
      </c>
      <c r="JP124" s="1">
        <v>0</v>
      </c>
      <c r="KD124"/>
      <c r="KE124"/>
      <c r="KF124"/>
      <c r="KG124"/>
      <c r="KH124"/>
      <c r="KI124"/>
      <c r="KJ124"/>
      <c r="KK124"/>
      <c r="KL124"/>
      <c r="KM124"/>
      <c r="KN124"/>
      <c r="KP124"/>
      <c r="KQ124"/>
      <c r="KR124"/>
      <c r="KS124"/>
      <c r="KT124"/>
      <c r="KU124"/>
      <c r="KV124"/>
      <c r="KW124"/>
      <c r="KX124"/>
      <c r="KY124"/>
      <c r="KZ124"/>
      <c r="LB124" s="1">
        <v>2836537372</v>
      </c>
      <c r="LC124" s="1">
        <v>9832</v>
      </c>
      <c r="LD124" s="1">
        <v>9000</v>
      </c>
      <c r="LE124" s="1">
        <v>9000</v>
      </c>
      <c r="LF124" s="1">
        <v>6079.69</v>
      </c>
      <c r="LG124" s="1">
        <v>100</v>
      </c>
      <c r="LH124" s="1">
        <v>1</v>
      </c>
      <c r="LI124" s="1">
        <v>30</v>
      </c>
      <c r="LJ124" s="1">
        <v>60003760</v>
      </c>
      <c r="LK124" s="1">
        <v>10</v>
      </c>
      <c r="LL124" s="1">
        <v>0</v>
      </c>
      <c r="NV124" s="1">
        <v>2872637972</v>
      </c>
      <c r="NW124" s="1">
        <v>3689</v>
      </c>
      <c r="NX124" s="1">
        <v>4000</v>
      </c>
      <c r="NY124" s="1">
        <v>2835</v>
      </c>
      <c r="NZ124" s="1">
        <v>7217.16</v>
      </c>
      <c r="OA124" s="1">
        <v>1</v>
      </c>
      <c r="OB124" s="1">
        <v>1</v>
      </c>
      <c r="OC124" s="1">
        <v>90</v>
      </c>
      <c r="OD124" s="1">
        <v>60003760</v>
      </c>
      <c r="OE124" s="1">
        <v>-1</v>
      </c>
      <c r="OF124" s="1">
        <v>0</v>
      </c>
      <c r="OH124" s="1">
        <v>2876107691</v>
      </c>
      <c r="OI124" s="1">
        <v>25598</v>
      </c>
      <c r="OJ124" s="1">
        <v>126</v>
      </c>
      <c r="OK124" s="1">
        <v>126</v>
      </c>
      <c r="OL124" s="1">
        <v>146500</v>
      </c>
      <c r="OM124" s="1">
        <v>1</v>
      </c>
      <c r="ON124" s="1">
        <v>0</v>
      </c>
      <c r="OO124" s="1">
        <v>14</v>
      </c>
      <c r="OP124" s="1">
        <v>60003760</v>
      </c>
      <c r="OQ124" s="1">
        <v>32767</v>
      </c>
      <c r="OR124" s="1">
        <v>0</v>
      </c>
      <c r="OT124" s="1">
        <v>2867858546</v>
      </c>
      <c r="OU124" s="1">
        <v>25600</v>
      </c>
      <c r="OV124" s="1">
        <v>25000</v>
      </c>
      <c r="OW124" s="1">
        <v>24719</v>
      </c>
      <c r="OX124" s="1">
        <v>28000</v>
      </c>
      <c r="OY124" s="1">
        <v>1</v>
      </c>
      <c r="OZ124" s="1">
        <v>1</v>
      </c>
      <c r="PA124" s="1">
        <v>90</v>
      </c>
      <c r="PB124" s="1">
        <v>60003760</v>
      </c>
      <c r="PC124" s="1">
        <v>-1</v>
      </c>
      <c r="PD124" s="1">
        <v>0</v>
      </c>
      <c r="PF124" s="1">
        <v>2878617293</v>
      </c>
      <c r="PG124" s="1">
        <v>16670</v>
      </c>
      <c r="PH124" s="1">
        <v>84000</v>
      </c>
      <c r="PI124" s="1">
        <v>84000</v>
      </c>
      <c r="PJ124" s="1">
        <v>108.1</v>
      </c>
      <c r="PK124" s="1">
        <v>1</v>
      </c>
      <c r="PL124" s="1">
        <v>1</v>
      </c>
      <c r="PM124" s="1">
        <v>90</v>
      </c>
      <c r="PN124" s="1">
        <v>60003760</v>
      </c>
      <c r="PO124" s="1">
        <v>-1</v>
      </c>
      <c r="PP124" s="1">
        <v>0</v>
      </c>
      <c r="QD124"/>
      <c r="QE124"/>
      <c r="QF124"/>
      <c r="QG124"/>
      <c r="QH124"/>
      <c r="QI124"/>
      <c r="QJ124"/>
      <c r="QK124"/>
      <c r="QL124"/>
      <c r="QM124"/>
      <c r="QN124"/>
      <c r="RB124"/>
      <c r="RC124"/>
      <c r="RD124"/>
      <c r="RE124"/>
      <c r="RF124"/>
      <c r="RG124"/>
      <c r="RH124"/>
      <c r="RI124"/>
      <c r="RJ124"/>
      <c r="RK124"/>
      <c r="RL124"/>
      <c r="SX124" s="1">
        <v>2876380759</v>
      </c>
      <c r="SY124" s="1">
        <v>25595</v>
      </c>
      <c r="SZ124" s="1">
        <v>17</v>
      </c>
      <c r="TA124" s="1">
        <v>17</v>
      </c>
      <c r="TB124" s="1">
        <v>78999</v>
      </c>
      <c r="TC124" s="1">
        <v>1</v>
      </c>
      <c r="TD124" s="1">
        <v>0</v>
      </c>
      <c r="TE124" s="1">
        <v>14</v>
      </c>
      <c r="TF124" s="1">
        <v>60003760</v>
      </c>
      <c r="TG124" s="1">
        <v>32767</v>
      </c>
      <c r="TH124" s="1">
        <v>6</v>
      </c>
      <c r="TJ124" s="1">
        <v>2863033453</v>
      </c>
      <c r="TK124" s="1">
        <v>25606</v>
      </c>
      <c r="TL124" s="1">
        <v>500</v>
      </c>
      <c r="TM124" s="1">
        <v>471</v>
      </c>
      <c r="TN124" s="1">
        <v>15600.02</v>
      </c>
      <c r="TO124" s="1">
        <v>1</v>
      </c>
      <c r="TP124" s="1">
        <v>1</v>
      </c>
      <c r="TQ124" s="1">
        <v>90</v>
      </c>
      <c r="TR124" s="1">
        <v>60004054</v>
      </c>
      <c r="TS124" s="1">
        <v>2</v>
      </c>
      <c r="TT124" s="1">
        <v>0</v>
      </c>
    </row>
    <row r="125" spans="2:540" x14ac:dyDescent="0.25">
      <c r="B125" s="1">
        <v>2794466701</v>
      </c>
      <c r="C125" s="1">
        <v>34</v>
      </c>
      <c r="D125" s="1">
        <v>41974498</v>
      </c>
      <c r="E125" s="1">
        <v>41974498</v>
      </c>
      <c r="F125" s="1">
        <v>6.29</v>
      </c>
      <c r="G125" s="1">
        <v>1</v>
      </c>
      <c r="H125" s="1">
        <v>0</v>
      </c>
      <c r="I125" s="1">
        <v>90</v>
      </c>
      <c r="J125" s="1">
        <v>60003760</v>
      </c>
      <c r="K125" s="1">
        <v>32767</v>
      </c>
      <c r="L125" s="1">
        <v>0</v>
      </c>
      <c r="N125" s="1">
        <v>2866882152</v>
      </c>
      <c r="O125" s="1">
        <v>35</v>
      </c>
      <c r="P125" s="1">
        <v>41801768</v>
      </c>
      <c r="Q125" s="1">
        <v>41801768</v>
      </c>
      <c r="R125" s="1">
        <v>15.24</v>
      </c>
      <c r="S125" s="1">
        <v>1</v>
      </c>
      <c r="T125" s="1">
        <v>0</v>
      </c>
      <c r="U125" s="1">
        <v>30</v>
      </c>
      <c r="V125" s="1">
        <v>60003760</v>
      </c>
      <c r="W125" s="1">
        <v>32767</v>
      </c>
      <c r="X125" s="1">
        <v>0</v>
      </c>
      <c r="Z125" s="1">
        <v>2839927474</v>
      </c>
      <c r="AA125" s="1">
        <v>36</v>
      </c>
      <c r="AB125" s="1">
        <v>10000000</v>
      </c>
      <c r="AC125" s="1">
        <v>10000000</v>
      </c>
      <c r="AD125" s="16">
        <v>55</v>
      </c>
      <c r="AE125" s="1">
        <v>1</v>
      </c>
      <c r="AF125" s="1">
        <v>0</v>
      </c>
      <c r="AG125" s="1">
        <v>90</v>
      </c>
      <c r="AH125" s="1">
        <v>60003760</v>
      </c>
      <c r="AI125" s="1">
        <v>32767</v>
      </c>
      <c r="AJ125" s="1">
        <v>11</v>
      </c>
      <c r="AL125" s="1">
        <v>2851174336</v>
      </c>
      <c r="AM125" s="1">
        <v>37</v>
      </c>
      <c r="AN125" s="1">
        <v>83116</v>
      </c>
      <c r="AO125" s="1">
        <v>74116</v>
      </c>
      <c r="AP125" s="16">
        <v>200</v>
      </c>
      <c r="AQ125" s="1">
        <v>1</v>
      </c>
      <c r="AR125" s="1">
        <v>0</v>
      </c>
      <c r="AS125" s="1">
        <v>90</v>
      </c>
      <c r="AT125" s="1">
        <v>60010201</v>
      </c>
      <c r="AU125" s="1">
        <v>32767</v>
      </c>
      <c r="AV125" s="1">
        <v>8</v>
      </c>
      <c r="AX125" s="1">
        <v>2878250011</v>
      </c>
      <c r="AY125" s="1">
        <v>38</v>
      </c>
      <c r="AZ125" s="1">
        <v>53923</v>
      </c>
      <c r="BA125" s="1">
        <v>53923</v>
      </c>
      <c r="BB125" s="1">
        <v>809.84</v>
      </c>
      <c r="BC125" s="1">
        <v>1</v>
      </c>
      <c r="BD125" s="1">
        <v>0</v>
      </c>
      <c r="BE125" s="1">
        <v>14</v>
      </c>
      <c r="BF125" s="1">
        <v>60003760</v>
      </c>
      <c r="BG125" s="1">
        <v>32767</v>
      </c>
      <c r="BH125" s="1">
        <v>5</v>
      </c>
      <c r="BJ125" s="1">
        <v>2805244911</v>
      </c>
      <c r="BK125" s="1">
        <v>39</v>
      </c>
      <c r="BL125" s="1">
        <v>1000000</v>
      </c>
      <c r="BM125" s="1">
        <v>658253</v>
      </c>
      <c r="BN125" s="1">
        <v>780</v>
      </c>
      <c r="BO125" s="1">
        <v>1</v>
      </c>
      <c r="BP125" s="1">
        <v>1</v>
      </c>
      <c r="BQ125" s="1">
        <v>90</v>
      </c>
      <c r="BR125" s="1">
        <v>60004234</v>
      </c>
      <c r="BS125" s="1">
        <v>-1</v>
      </c>
      <c r="BT125" s="1">
        <v>0</v>
      </c>
      <c r="BV125" s="1">
        <v>2369002906</v>
      </c>
      <c r="BW125" s="1">
        <v>40</v>
      </c>
      <c r="BX125" s="1">
        <v>77</v>
      </c>
      <c r="BY125" s="1">
        <v>77</v>
      </c>
      <c r="BZ125" s="1">
        <v>3500</v>
      </c>
      <c r="CA125" s="1">
        <v>1</v>
      </c>
      <c r="CB125" s="1">
        <v>0</v>
      </c>
      <c r="CC125" s="1">
        <v>90</v>
      </c>
      <c r="CD125" s="1">
        <v>60003172</v>
      </c>
      <c r="CE125" s="1">
        <v>32767</v>
      </c>
      <c r="CF125" s="1">
        <v>1</v>
      </c>
      <c r="CH125" s="1">
        <v>2415653539</v>
      </c>
      <c r="CI125" s="1">
        <v>29668</v>
      </c>
      <c r="CJ125" s="1">
        <v>1</v>
      </c>
      <c r="CK125" s="1">
        <v>1</v>
      </c>
      <c r="CL125" s="1">
        <v>494980000</v>
      </c>
      <c r="CM125" s="1">
        <v>1</v>
      </c>
      <c r="CN125" s="1">
        <v>0</v>
      </c>
      <c r="CO125" s="1">
        <v>1</v>
      </c>
      <c r="CP125" s="1">
        <v>60003760</v>
      </c>
      <c r="CQ125" s="1">
        <v>32767</v>
      </c>
      <c r="CR125" s="1">
        <v>0</v>
      </c>
      <c r="CT125" s="1">
        <v>2415450461</v>
      </c>
      <c r="CU125" s="1">
        <v>16649</v>
      </c>
      <c r="CV125" s="1">
        <v>10000</v>
      </c>
      <c r="CW125" s="1">
        <v>10000</v>
      </c>
      <c r="CX125" s="1">
        <v>99500.11</v>
      </c>
      <c r="CY125" s="1">
        <v>1</v>
      </c>
      <c r="CZ125" s="1">
        <v>1</v>
      </c>
      <c r="DA125" s="1">
        <v>3</v>
      </c>
      <c r="DB125" s="1">
        <v>60003760</v>
      </c>
      <c r="DC125" s="1">
        <v>-1</v>
      </c>
      <c r="DD125" s="1">
        <v>0</v>
      </c>
      <c r="DF125" s="1">
        <v>2415813666</v>
      </c>
      <c r="DG125" s="1">
        <v>17887</v>
      </c>
      <c r="DH125" s="1">
        <v>2392359</v>
      </c>
      <c r="DI125" s="1">
        <v>1740959</v>
      </c>
      <c r="DJ125" s="1">
        <v>932.77</v>
      </c>
      <c r="DK125" s="1">
        <v>1</v>
      </c>
      <c r="DL125" s="1">
        <v>0</v>
      </c>
      <c r="DM125" s="1">
        <v>90</v>
      </c>
      <c r="DN125" s="1">
        <v>60003760</v>
      </c>
      <c r="DO125" s="1">
        <v>32767</v>
      </c>
      <c r="DP125" s="1">
        <v>0</v>
      </c>
      <c r="DR125" s="1">
        <v>2875387535</v>
      </c>
      <c r="DS125" s="1">
        <v>17888</v>
      </c>
      <c r="DT125" s="1">
        <v>20000000</v>
      </c>
      <c r="DU125" s="1">
        <v>14599686</v>
      </c>
      <c r="DV125" s="1">
        <v>340</v>
      </c>
      <c r="DW125" s="1">
        <v>1</v>
      </c>
      <c r="DX125" s="1">
        <v>0</v>
      </c>
      <c r="DY125" s="1">
        <v>90</v>
      </c>
      <c r="DZ125" s="1">
        <v>60003760</v>
      </c>
      <c r="EA125" s="1">
        <v>32767</v>
      </c>
      <c r="EB125" s="1">
        <v>8</v>
      </c>
      <c r="ED125" s="1">
        <v>2843991882</v>
      </c>
      <c r="EE125" s="1">
        <v>16273</v>
      </c>
      <c r="EF125" s="1">
        <v>19965</v>
      </c>
      <c r="EG125" s="1">
        <v>13755</v>
      </c>
      <c r="EH125" s="1">
        <v>650</v>
      </c>
      <c r="EI125" s="1">
        <v>1</v>
      </c>
      <c r="EJ125" s="1">
        <v>0</v>
      </c>
      <c r="EK125" s="1">
        <v>90</v>
      </c>
      <c r="EL125" s="1">
        <v>60000964</v>
      </c>
      <c r="EM125" s="1">
        <v>32767</v>
      </c>
      <c r="EN125" s="1">
        <v>11</v>
      </c>
      <c r="EP125"/>
      <c r="EQ125"/>
      <c r="ER125"/>
      <c r="ES125"/>
      <c r="ET125"/>
      <c r="EU125"/>
      <c r="EV125"/>
      <c r="EW125"/>
      <c r="EX125"/>
      <c r="EY125"/>
      <c r="EZ125"/>
      <c r="FB125" s="1">
        <v>2877225902</v>
      </c>
      <c r="FC125" s="1">
        <v>30259</v>
      </c>
      <c r="FD125" s="1">
        <v>50</v>
      </c>
      <c r="FE125" s="1">
        <v>50</v>
      </c>
      <c r="FF125" s="1">
        <v>5588599</v>
      </c>
      <c r="FG125" s="1">
        <v>1</v>
      </c>
      <c r="FH125" s="1">
        <v>1</v>
      </c>
      <c r="FI125" s="1">
        <v>90</v>
      </c>
      <c r="FJ125" s="1">
        <v>60003760</v>
      </c>
      <c r="FK125" s="1">
        <v>5</v>
      </c>
      <c r="FL125" s="1">
        <v>0</v>
      </c>
      <c r="FZ125" s="1">
        <v>2754072480</v>
      </c>
      <c r="GA125" s="1">
        <v>44</v>
      </c>
      <c r="GB125" s="1">
        <v>1000</v>
      </c>
      <c r="GC125" s="1">
        <v>1000</v>
      </c>
      <c r="GD125" s="1">
        <v>10000</v>
      </c>
      <c r="GE125" s="1">
        <v>1</v>
      </c>
      <c r="GF125" s="1">
        <v>1</v>
      </c>
      <c r="GG125" s="1">
        <v>90</v>
      </c>
      <c r="GH125" s="1">
        <v>60004063</v>
      </c>
      <c r="GI125" s="1">
        <v>-1</v>
      </c>
      <c r="GJ125" s="1">
        <v>0</v>
      </c>
      <c r="GL125" s="1">
        <v>2415042276</v>
      </c>
      <c r="GM125" s="1">
        <v>16681</v>
      </c>
      <c r="GN125" s="1">
        <v>100000</v>
      </c>
      <c r="GO125" s="1">
        <v>100000</v>
      </c>
      <c r="GP125" s="1">
        <v>6008.02</v>
      </c>
      <c r="GQ125" s="1">
        <v>1</v>
      </c>
      <c r="GR125" s="1">
        <v>1</v>
      </c>
      <c r="GS125" s="1">
        <v>90</v>
      </c>
      <c r="GT125" s="1">
        <v>60003760</v>
      </c>
      <c r="GU125" s="1">
        <v>-1</v>
      </c>
      <c r="GV125" s="1">
        <v>0</v>
      </c>
      <c r="HV125"/>
      <c r="HW125"/>
      <c r="HX125"/>
      <c r="HY125"/>
      <c r="HZ125"/>
      <c r="IA125"/>
      <c r="IB125"/>
      <c r="IC125"/>
      <c r="ID125"/>
      <c r="IE125"/>
      <c r="IF125"/>
      <c r="IT125" s="1">
        <v>2879125682</v>
      </c>
      <c r="IU125" s="1">
        <v>16679</v>
      </c>
      <c r="IV125" s="1">
        <v>308700</v>
      </c>
      <c r="IW125" s="1">
        <v>308700</v>
      </c>
      <c r="IX125" s="1">
        <v>1691.58</v>
      </c>
      <c r="IY125" s="1">
        <v>1</v>
      </c>
      <c r="IZ125" s="1">
        <v>1</v>
      </c>
      <c r="JA125" s="1">
        <v>90</v>
      </c>
      <c r="JB125" s="1">
        <v>60003760</v>
      </c>
      <c r="JC125" s="1">
        <v>-1</v>
      </c>
      <c r="JD125" s="1">
        <v>0</v>
      </c>
      <c r="JF125" s="1">
        <v>2832320043</v>
      </c>
      <c r="JG125" s="1">
        <v>16272</v>
      </c>
      <c r="JH125" s="1">
        <v>10000000</v>
      </c>
      <c r="JI125" s="1">
        <v>10000000</v>
      </c>
      <c r="JJ125" s="1">
        <v>65</v>
      </c>
      <c r="JK125" s="1">
        <v>1</v>
      </c>
      <c r="JL125" s="1">
        <v>1</v>
      </c>
      <c r="JM125" s="1">
        <v>90</v>
      </c>
      <c r="JN125" s="1">
        <v>60003760</v>
      </c>
      <c r="JO125" s="1">
        <v>-1</v>
      </c>
      <c r="JP125" s="1">
        <v>0</v>
      </c>
      <c r="KD125"/>
      <c r="KE125"/>
      <c r="KF125"/>
      <c r="KG125"/>
      <c r="KH125"/>
      <c r="KI125"/>
      <c r="KJ125"/>
      <c r="KK125"/>
      <c r="KL125"/>
      <c r="KM125"/>
      <c r="KN125"/>
      <c r="KP125"/>
      <c r="KQ125"/>
      <c r="KR125"/>
      <c r="KS125"/>
      <c r="KT125"/>
      <c r="KU125"/>
      <c r="KV125"/>
      <c r="KW125"/>
      <c r="KX125"/>
      <c r="KY125"/>
      <c r="KZ125"/>
      <c r="LB125" s="1">
        <v>2848306265</v>
      </c>
      <c r="LC125" s="1">
        <v>9832</v>
      </c>
      <c r="LD125" s="1">
        <v>50000</v>
      </c>
      <c r="LE125" s="1">
        <v>50000</v>
      </c>
      <c r="LF125" s="1">
        <v>8702</v>
      </c>
      <c r="LG125" s="1">
        <v>1</v>
      </c>
      <c r="LH125" s="1">
        <v>1</v>
      </c>
      <c r="LI125" s="1">
        <v>90</v>
      </c>
      <c r="LJ125" s="1">
        <v>60003760</v>
      </c>
      <c r="LK125" s="1">
        <v>-1</v>
      </c>
      <c r="LL125" s="1">
        <v>0</v>
      </c>
      <c r="NV125" s="1">
        <v>2872621869</v>
      </c>
      <c r="NW125" s="1">
        <v>3689</v>
      </c>
      <c r="NX125" s="1">
        <v>15000</v>
      </c>
      <c r="NY125" s="1">
        <v>14945</v>
      </c>
      <c r="NZ125" s="1">
        <v>7777.21</v>
      </c>
      <c r="OA125" s="1">
        <v>1</v>
      </c>
      <c r="OB125" s="1">
        <v>1</v>
      </c>
      <c r="OC125" s="1">
        <v>90</v>
      </c>
      <c r="OD125" s="1">
        <v>60003760</v>
      </c>
      <c r="OE125" s="1">
        <v>-1</v>
      </c>
      <c r="OF125" s="1">
        <v>0</v>
      </c>
      <c r="OH125" s="1">
        <v>2876150809</v>
      </c>
      <c r="OI125" s="1">
        <v>25598</v>
      </c>
      <c r="OJ125" s="1">
        <v>5</v>
      </c>
      <c r="OK125" s="1">
        <v>5</v>
      </c>
      <c r="OL125" s="1">
        <v>143204.15</v>
      </c>
      <c r="OM125" s="1">
        <v>1</v>
      </c>
      <c r="ON125" s="1">
        <v>0</v>
      </c>
      <c r="OO125" s="1">
        <v>7</v>
      </c>
      <c r="OP125" s="1">
        <v>60003760</v>
      </c>
      <c r="OQ125" s="1">
        <v>32767</v>
      </c>
      <c r="OR125" s="1">
        <v>0</v>
      </c>
      <c r="OT125" s="1">
        <v>2867838270</v>
      </c>
      <c r="OU125" s="1">
        <v>25600</v>
      </c>
      <c r="OV125" s="1">
        <v>25000</v>
      </c>
      <c r="OW125" s="1">
        <v>23303</v>
      </c>
      <c r="OX125" s="1">
        <v>27750</v>
      </c>
      <c r="OY125" s="1">
        <v>1</v>
      </c>
      <c r="OZ125" s="1">
        <v>1</v>
      </c>
      <c r="PA125" s="1">
        <v>90</v>
      </c>
      <c r="PB125" s="1">
        <v>60003760</v>
      </c>
      <c r="PC125" s="1">
        <v>-1</v>
      </c>
      <c r="PD125" s="1">
        <v>0</v>
      </c>
      <c r="PF125" s="1">
        <v>2878711857</v>
      </c>
      <c r="PG125" s="1">
        <v>16670</v>
      </c>
      <c r="PH125" s="1">
        <v>20000000</v>
      </c>
      <c r="PI125" s="1">
        <v>20000000</v>
      </c>
      <c r="PJ125" s="1">
        <v>108.12</v>
      </c>
      <c r="PK125" s="1">
        <v>1</v>
      </c>
      <c r="PL125" s="1">
        <v>1</v>
      </c>
      <c r="PM125" s="1">
        <v>90</v>
      </c>
      <c r="PN125" s="1">
        <v>60003760</v>
      </c>
      <c r="PO125" s="1">
        <v>-1</v>
      </c>
      <c r="PP125" s="1">
        <v>0</v>
      </c>
      <c r="QD125"/>
      <c r="QE125"/>
      <c r="QF125"/>
      <c r="QG125"/>
      <c r="QH125"/>
      <c r="QI125"/>
      <c r="QJ125"/>
      <c r="QK125"/>
      <c r="QL125"/>
      <c r="QM125"/>
      <c r="QN125"/>
      <c r="RB125"/>
      <c r="RC125"/>
      <c r="RD125"/>
      <c r="RE125"/>
      <c r="RF125"/>
      <c r="RG125"/>
      <c r="RH125"/>
      <c r="RI125"/>
      <c r="RJ125"/>
      <c r="RK125"/>
      <c r="RL125"/>
      <c r="SX125" s="1">
        <v>2876165699</v>
      </c>
      <c r="SY125" s="1">
        <v>25595</v>
      </c>
      <c r="SZ125" s="1">
        <v>361</v>
      </c>
      <c r="TA125" s="1">
        <v>67</v>
      </c>
      <c r="TB125" s="1">
        <v>78899.789999999994</v>
      </c>
      <c r="TC125" s="1">
        <v>1</v>
      </c>
      <c r="TD125" s="1">
        <v>0</v>
      </c>
      <c r="TE125" s="1">
        <v>30</v>
      </c>
      <c r="TF125" s="1">
        <v>60003760</v>
      </c>
      <c r="TG125" s="1">
        <v>32767</v>
      </c>
      <c r="TH125" s="1">
        <v>6</v>
      </c>
      <c r="TJ125" s="1">
        <v>2861498202</v>
      </c>
      <c r="TK125" s="1">
        <v>25606</v>
      </c>
      <c r="TL125" s="1">
        <v>100</v>
      </c>
      <c r="TM125" s="1">
        <v>43</v>
      </c>
      <c r="TN125" s="1">
        <v>20000.02</v>
      </c>
      <c r="TO125" s="1">
        <v>1</v>
      </c>
      <c r="TP125" s="1">
        <v>1</v>
      </c>
      <c r="TQ125" s="1">
        <v>30</v>
      </c>
      <c r="TR125" s="1">
        <v>60002434</v>
      </c>
      <c r="TS125" s="1">
        <v>0</v>
      </c>
      <c r="TT125" s="1">
        <v>0</v>
      </c>
    </row>
    <row r="126" spans="2:540" x14ac:dyDescent="0.25">
      <c r="B126" s="1">
        <v>2794361282</v>
      </c>
      <c r="C126" s="1">
        <v>34</v>
      </c>
      <c r="D126" s="1">
        <v>376000</v>
      </c>
      <c r="E126" s="1">
        <v>376000</v>
      </c>
      <c r="F126" s="1">
        <v>6.19</v>
      </c>
      <c r="G126" s="1">
        <v>1</v>
      </c>
      <c r="H126" s="1">
        <v>0</v>
      </c>
      <c r="I126" s="1">
        <v>90</v>
      </c>
      <c r="J126" s="1">
        <v>60003760</v>
      </c>
      <c r="K126" s="1">
        <v>32767</v>
      </c>
      <c r="L126" s="1">
        <v>0</v>
      </c>
      <c r="N126" s="1">
        <v>2865072106</v>
      </c>
      <c r="O126" s="1">
        <v>35</v>
      </c>
      <c r="P126" s="1">
        <v>3011044</v>
      </c>
      <c r="Q126" s="1">
        <v>3011044</v>
      </c>
      <c r="R126" s="1">
        <v>15.2</v>
      </c>
      <c r="S126" s="1">
        <v>1</v>
      </c>
      <c r="T126" s="1">
        <v>0</v>
      </c>
      <c r="U126" s="1">
        <v>90</v>
      </c>
      <c r="V126" s="1">
        <v>60003760</v>
      </c>
      <c r="W126" s="1">
        <v>32767</v>
      </c>
      <c r="X126" s="1">
        <v>0</v>
      </c>
      <c r="Z126" s="1">
        <v>2839934691</v>
      </c>
      <c r="AA126" s="1">
        <v>36</v>
      </c>
      <c r="AB126" s="1">
        <v>10000000</v>
      </c>
      <c r="AC126" s="1">
        <v>10000000</v>
      </c>
      <c r="AD126" s="16">
        <v>55.55</v>
      </c>
      <c r="AE126" s="1">
        <v>1</v>
      </c>
      <c r="AF126" s="1">
        <v>0</v>
      </c>
      <c r="AG126" s="1">
        <v>90</v>
      </c>
      <c r="AH126" s="1">
        <v>60003760</v>
      </c>
      <c r="AI126" s="1">
        <v>32767</v>
      </c>
      <c r="AJ126" s="1">
        <v>11</v>
      </c>
      <c r="AL126" s="1">
        <v>2789830924</v>
      </c>
      <c r="AM126" s="1">
        <v>37</v>
      </c>
      <c r="AN126" s="1">
        <v>133700</v>
      </c>
      <c r="AO126" s="1">
        <v>133700</v>
      </c>
      <c r="AP126" s="16">
        <v>178.8</v>
      </c>
      <c r="AQ126" s="1">
        <v>1</v>
      </c>
      <c r="AR126" s="1">
        <v>0</v>
      </c>
      <c r="AS126" s="1">
        <v>90</v>
      </c>
      <c r="AT126" s="1">
        <v>60014686</v>
      </c>
      <c r="AU126" s="1">
        <v>32767</v>
      </c>
      <c r="AV126" s="1">
        <v>7</v>
      </c>
      <c r="AX126" s="1">
        <v>2878993970</v>
      </c>
      <c r="AY126" s="1">
        <v>38</v>
      </c>
      <c r="AZ126" s="1">
        <v>311468</v>
      </c>
      <c r="BA126" s="1">
        <v>311468</v>
      </c>
      <c r="BB126" s="1">
        <v>817.88</v>
      </c>
      <c r="BC126" s="1">
        <v>1</v>
      </c>
      <c r="BD126" s="1">
        <v>0</v>
      </c>
      <c r="BE126" s="1">
        <v>30</v>
      </c>
      <c r="BF126" s="1">
        <v>60003760</v>
      </c>
      <c r="BG126" s="1">
        <v>32767</v>
      </c>
      <c r="BH126" s="1">
        <v>0</v>
      </c>
      <c r="BJ126" s="1">
        <v>2873343743</v>
      </c>
      <c r="BK126" s="1">
        <v>39</v>
      </c>
      <c r="BL126" s="1">
        <v>1000000</v>
      </c>
      <c r="BM126" s="1">
        <v>1000000</v>
      </c>
      <c r="BN126" s="1">
        <v>770</v>
      </c>
      <c r="BO126" s="1">
        <v>1</v>
      </c>
      <c r="BP126" s="1">
        <v>1</v>
      </c>
      <c r="BQ126" s="1">
        <v>90</v>
      </c>
      <c r="BR126" s="1">
        <v>60004234</v>
      </c>
      <c r="BS126" s="1">
        <v>-1</v>
      </c>
      <c r="BT126" s="1">
        <v>0</v>
      </c>
      <c r="BV126" s="1">
        <v>2414087969</v>
      </c>
      <c r="BW126" s="1">
        <v>40</v>
      </c>
      <c r="BX126" s="1">
        <v>25553</v>
      </c>
      <c r="BY126" s="1">
        <v>25553</v>
      </c>
      <c r="BZ126" s="1">
        <v>3000</v>
      </c>
      <c r="CA126" s="1">
        <v>1</v>
      </c>
      <c r="CB126" s="1">
        <v>0</v>
      </c>
      <c r="CC126" s="1">
        <v>90</v>
      </c>
      <c r="CD126" s="1">
        <v>60013042</v>
      </c>
      <c r="CE126" s="1">
        <v>32767</v>
      </c>
      <c r="CF126" s="1">
        <v>16</v>
      </c>
      <c r="CH126" s="1">
        <v>2415018943</v>
      </c>
      <c r="CI126" s="1">
        <v>29668</v>
      </c>
      <c r="CJ126" s="1">
        <v>1</v>
      </c>
      <c r="CK126" s="1">
        <v>1</v>
      </c>
      <c r="CL126" s="1">
        <v>494976200.55000001</v>
      </c>
      <c r="CM126" s="1">
        <v>1</v>
      </c>
      <c r="CN126" s="1">
        <v>0</v>
      </c>
      <c r="CO126" s="1">
        <v>90</v>
      </c>
      <c r="CP126" s="1">
        <v>60003760</v>
      </c>
      <c r="CQ126" s="1">
        <v>32767</v>
      </c>
      <c r="CR126" s="1">
        <v>0</v>
      </c>
      <c r="CT126" s="1">
        <v>2395280565</v>
      </c>
      <c r="CU126" s="1">
        <v>16649</v>
      </c>
      <c r="CV126" s="1">
        <v>18500</v>
      </c>
      <c r="CW126" s="1">
        <v>18500</v>
      </c>
      <c r="CX126" s="1">
        <v>99500.17</v>
      </c>
      <c r="CY126" s="1">
        <v>1</v>
      </c>
      <c r="CZ126" s="1">
        <v>1</v>
      </c>
      <c r="DA126" s="1">
        <v>90</v>
      </c>
      <c r="DB126" s="1">
        <v>60003760</v>
      </c>
      <c r="DC126" s="1">
        <v>-1</v>
      </c>
      <c r="DD126" s="1">
        <v>0</v>
      </c>
      <c r="DF126" s="1">
        <v>2415374495</v>
      </c>
      <c r="DG126" s="1">
        <v>17887</v>
      </c>
      <c r="DH126" s="1">
        <v>2177446</v>
      </c>
      <c r="DI126" s="1">
        <v>467866</v>
      </c>
      <c r="DJ126" s="1">
        <v>932.74</v>
      </c>
      <c r="DK126" s="1">
        <v>1</v>
      </c>
      <c r="DL126" s="1">
        <v>0</v>
      </c>
      <c r="DM126" s="1">
        <v>90</v>
      </c>
      <c r="DN126" s="1">
        <v>60003760</v>
      </c>
      <c r="DO126" s="1">
        <v>32767</v>
      </c>
      <c r="DP126" s="1">
        <v>0</v>
      </c>
      <c r="DR126" s="1">
        <v>2875749261</v>
      </c>
      <c r="DS126" s="1">
        <v>17888</v>
      </c>
      <c r="DT126" s="1">
        <v>10000</v>
      </c>
      <c r="DU126" s="1">
        <v>10000</v>
      </c>
      <c r="DV126" s="1">
        <v>339.91</v>
      </c>
      <c r="DW126" s="1">
        <v>1</v>
      </c>
      <c r="DX126" s="1">
        <v>0</v>
      </c>
      <c r="DY126" s="1">
        <v>90</v>
      </c>
      <c r="DZ126" s="1">
        <v>60003760</v>
      </c>
      <c r="EA126" s="1">
        <v>32767</v>
      </c>
      <c r="EB126" s="1">
        <v>8</v>
      </c>
      <c r="ED126" s="1">
        <v>2873752149</v>
      </c>
      <c r="EE126" s="1">
        <v>16273</v>
      </c>
      <c r="EF126" s="1">
        <v>10914</v>
      </c>
      <c r="EG126" s="1">
        <v>10914</v>
      </c>
      <c r="EH126" s="1">
        <v>620</v>
      </c>
      <c r="EI126" s="1">
        <v>1</v>
      </c>
      <c r="EJ126" s="1">
        <v>0</v>
      </c>
      <c r="EK126" s="1">
        <v>90</v>
      </c>
      <c r="EL126" s="1">
        <v>60007498</v>
      </c>
      <c r="EM126" s="1">
        <v>32767</v>
      </c>
      <c r="EN126" s="1">
        <v>11</v>
      </c>
      <c r="EP126"/>
      <c r="EQ126"/>
      <c r="ER126"/>
      <c r="ES126"/>
      <c r="ET126"/>
      <c r="EU126"/>
      <c r="EV126"/>
      <c r="EW126"/>
      <c r="EX126"/>
      <c r="EY126"/>
      <c r="EZ126"/>
      <c r="FB126" s="1">
        <v>2735288151</v>
      </c>
      <c r="FC126" s="1">
        <v>30259</v>
      </c>
      <c r="FD126" s="1">
        <v>100</v>
      </c>
      <c r="FE126" s="1">
        <v>100</v>
      </c>
      <c r="FF126" s="1">
        <v>207101.16</v>
      </c>
      <c r="FG126" s="1">
        <v>1</v>
      </c>
      <c r="FH126" s="1">
        <v>1</v>
      </c>
      <c r="FI126" s="1">
        <v>90</v>
      </c>
      <c r="FJ126" s="1">
        <v>60003136</v>
      </c>
      <c r="FK126" s="1">
        <v>10</v>
      </c>
      <c r="FL126" s="1">
        <v>0</v>
      </c>
      <c r="FZ126" s="1">
        <v>2862298698</v>
      </c>
      <c r="GA126" s="1">
        <v>44</v>
      </c>
      <c r="GB126" s="1">
        <v>5000</v>
      </c>
      <c r="GC126" s="1">
        <v>5000</v>
      </c>
      <c r="GD126" s="1">
        <v>10500</v>
      </c>
      <c r="GE126" s="1">
        <v>1</v>
      </c>
      <c r="GF126" s="1">
        <v>1</v>
      </c>
      <c r="GG126" s="1">
        <v>14</v>
      </c>
      <c r="GH126" s="1">
        <v>60004057</v>
      </c>
      <c r="GI126" s="1">
        <v>-1</v>
      </c>
      <c r="GJ126" s="1">
        <v>0</v>
      </c>
      <c r="GL126" s="1">
        <v>2414785863</v>
      </c>
      <c r="GM126" s="1">
        <v>16681</v>
      </c>
      <c r="GN126" s="1">
        <v>200000</v>
      </c>
      <c r="GO126" s="1">
        <v>191410</v>
      </c>
      <c r="GP126" s="1">
        <v>6003</v>
      </c>
      <c r="GQ126" s="1">
        <v>1</v>
      </c>
      <c r="GR126" s="1">
        <v>1</v>
      </c>
      <c r="GS126" s="1">
        <v>90</v>
      </c>
      <c r="GT126" s="1">
        <v>60003760</v>
      </c>
      <c r="GU126" s="1">
        <v>-1</v>
      </c>
      <c r="GV126" s="1">
        <v>0</v>
      </c>
      <c r="IT126"/>
      <c r="IU126"/>
      <c r="IV126"/>
      <c r="IW126"/>
      <c r="IX126"/>
      <c r="IY126"/>
      <c r="IZ126"/>
      <c r="JA126"/>
      <c r="JB126"/>
      <c r="JC126"/>
      <c r="JD126"/>
      <c r="JF126" s="1">
        <v>2421672842</v>
      </c>
      <c r="JG126" s="1">
        <v>16272</v>
      </c>
      <c r="JH126" s="1">
        <v>2000000</v>
      </c>
      <c r="JI126" s="1">
        <v>1945850</v>
      </c>
      <c r="JJ126" s="1">
        <v>52</v>
      </c>
      <c r="JK126" s="1">
        <v>1</v>
      </c>
      <c r="JL126" s="1">
        <v>1</v>
      </c>
      <c r="JM126" s="1">
        <v>90</v>
      </c>
      <c r="JN126" s="1">
        <v>60003760</v>
      </c>
      <c r="JO126" s="1">
        <v>-1</v>
      </c>
      <c r="JP126" s="1">
        <v>0</v>
      </c>
      <c r="KD126"/>
      <c r="KE126"/>
      <c r="KF126"/>
      <c r="KG126"/>
      <c r="KH126"/>
      <c r="KI126"/>
      <c r="KJ126"/>
      <c r="KK126"/>
      <c r="KL126"/>
      <c r="KM126"/>
      <c r="KN126"/>
      <c r="KP126"/>
      <c r="KQ126"/>
      <c r="KR126"/>
      <c r="KS126"/>
      <c r="KT126"/>
      <c r="KU126"/>
      <c r="KV126"/>
      <c r="KW126"/>
      <c r="KX126"/>
      <c r="KY126"/>
      <c r="KZ126"/>
      <c r="LB126" s="1">
        <v>2848844305</v>
      </c>
      <c r="LC126" s="1">
        <v>9832</v>
      </c>
      <c r="LD126" s="1">
        <v>20000</v>
      </c>
      <c r="LE126" s="1">
        <v>20000</v>
      </c>
      <c r="LF126" s="1">
        <v>8413.02</v>
      </c>
      <c r="LG126" s="1">
        <v>1</v>
      </c>
      <c r="LH126" s="1">
        <v>1</v>
      </c>
      <c r="LI126" s="1">
        <v>90</v>
      </c>
      <c r="LJ126" s="1">
        <v>60003760</v>
      </c>
      <c r="LK126" s="1">
        <v>-1</v>
      </c>
      <c r="LL126" s="1">
        <v>0</v>
      </c>
      <c r="NV126" s="1">
        <v>2872769040</v>
      </c>
      <c r="NW126" s="1">
        <v>3689</v>
      </c>
      <c r="NX126" s="1">
        <v>50000</v>
      </c>
      <c r="NY126" s="1">
        <v>35141</v>
      </c>
      <c r="NZ126" s="1">
        <v>7651.13</v>
      </c>
      <c r="OA126" s="1">
        <v>1</v>
      </c>
      <c r="OB126" s="1">
        <v>1</v>
      </c>
      <c r="OC126" s="1">
        <v>90</v>
      </c>
      <c r="OD126" s="1">
        <v>60003760</v>
      </c>
      <c r="OE126" s="1">
        <v>0</v>
      </c>
      <c r="OF126" s="1">
        <v>0</v>
      </c>
      <c r="OH126" s="1">
        <v>2815843577</v>
      </c>
      <c r="OI126" s="1">
        <v>25598</v>
      </c>
      <c r="OJ126" s="1">
        <v>11</v>
      </c>
      <c r="OK126" s="1">
        <v>11</v>
      </c>
      <c r="OL126" s="1">
        <v>156692</v>
      </c>
      <c r="OM126" s="1">
        <v>1</v>
      </c>
      <c r="ON126" s="1">
        <v>0</v>
      </c>
      <c r="OO126" s="1">
        <v>90</v>
      </c>
      <c r="OP126" s="1">
        <v>60003754</v>
      </c>
      <c r="OQ126" s="1">
        <v>32767</v>
      </c>
      <c r="OR126" s="1">
        <v>1</v>
      </c>
      <c r="OT126" s="1">
        <v>2867831941</v>
      </c>
      <c r="OU126" s="1">
        <v>25600</v>
      </c>
      <c r="OV126" s="1">
        <v>5000</v>
      </c>
      <c r="OW126" s="1">
        <v>5000</v>
      </c>
      <c r="OX126" s="1">
        <v>1</v>
      </c>
      <c r="OY126" s="1">
        <v>1</v>
      </c>
      <c r="OZ126" s="1">
        <v>1</v>
      </c>
      <c r="PA126" s="1">
        <v>30</v>
      </c>
      <c r="PB126" s="1">
        <v>60003760</v>
      </c>
      <c r="PC126" s="1">
        <v>-1</v>
      </c>
      <c r="PD126" s="1">
        <v>0</v>
      </c>
      <c r="PF126" s="1">
        <v>2878723917</v>
      </c>
      <c r="PG126" s="1">
        <v>16670</v>
      </c>
      <c r="PH126" s="1">
        <v>2500000</v>
      </c>
      <c r="PI126" s="1">
        <v>2500000</v>
      </c>
      <c r="PJ126" s="1">
        <v>108.13</v>
      </c>
      <c r="PK126" s="1">
        <v>1</v>
      </c>
      <c r="PL126" s="1">
        <v>1</v>
      </c>
      <c r="PM126" s="1">
        <v>90</v>
      </c>
      <c r="PN126" s="1">
        <v>60003760</v>
      </c>
      <c r="PO126" s="1">
        <v>-1</v>
      </c>
      <c r="PP126" s="1">
        <v>0</v>
      </c>
      <c r="QD126"/>
      <c r="QE126"/>
      <c r="QF126"/>
      <c r="QG126"/>
      <c r="QH126"/>
      <c r="QI126"/>
      <c r="QJ126"/>
      <c r="QK126"/>
      <c r="QL126"/>
      <c r="QM126"/>
      <c r="QN126"/>
      <c r="SX126" s="1">
        <v>2791608097</v>
      </c>
      <c r="SY126" s="1">
        <v>25595</v>
      </c>
      <c r="SZ126" s="1">
        <v>12</v>
      </c>
      <c r="TA126" s="1">
        <v>12</v>
      </c>
      <c r="TB126" s="1">
        <v>100000</v>
      </c>
      <c r="TC126" s="1">
        <v>1</v>
      </c>
      <c r="TD126" s="1">
        <v>0</v>
      </c>
      <c r="TE126" s="1">
        <v>90</v>
      </c>
      <c r="TF126" s="1">
        <v>60003457</v>
      </c>
      <c r="TG126" s="1">
        <v>32767</v>
      </c>
      <c r="TH126" s="1">
        <v>6</v>
      </c>
      <c r="TJ126" s="1">
        <v>2871915844</v>
      </c>
      <c r="TK126" s="1">
        <v>25606</v>
      </c>
      <c r="TL126" s="1">
        <v>500</v>
      </c>
      <c r="TM126" s="1">
        <v>230</v>
      </c>
      <c r="TN126" s="1">
        <v>19012</v>
      </c>
      <c r="TO126" s="1">
        <v>1</v>
      </c>
      <c r="TP126" s="1">
        <v>1</v>
      </c>
      <c r="TQ126" s="1">
        <v>90</v>
      </c>
      <c r="TR126" s="1">
        <v>60004210</v>
      </c>
      <c r="TS126" s="1">
        <v>3</v>
      </c>
      <c r="TT126" s="1">
        <v>0</v>
      </c>
    </row>
    <row r="127" spans="2:540" x14ac:dyDescent="0.25">
      <c r="B127" s="1">
        <v>2835742842</v>
      </c>
      <c r="C127" s="1">
        <v>34</v>
      </c>
      <c r="D127" s="1">
        <v>374585600</v>
      </c>
      <c r="E127" s="1">
        <v>374585600</v>
      </c>
      <c r="F127" s="1">
        <v>5.99</v>
      </c>
      <c r="G127" s="1">
        <v>1</v>
      </c>
      <c r="H127" s="1">
        <v>0</v>
      </c>
      <c r="I127" s="1">
        <v>90</v>
      </c>
      <c r="J127" s="1">
        <v>60003760</v>
      </c>
      <c r="K127" s="1">
        <v>32767</v>
      </c>
      <c r="L127" s="1">
        <v>0</v>
      </c>
      <c r="N127" s="1">
        <v>2864344320</v>
      </c>
      <c r="O127" s="1">
        <v>35</v>
      </c>
      <c r="P127" s="1">
        <v>904018</v>
      </c>
      <c r="Q127" s="1">
        <v>903018</v>
      </c>
      <c r="R127" s="1">
        <v>16.5</v>
      </c>
      <c r="S127" s="1">
        <v>1</v>
      </c>
      <c r="T127" s="1">
        <v>0</v>
      </c>
      <c r="U127" s="1">
        <v>30</v>
      </c>
      <c r="V127" s="1">
        <v>60003463</v>
      </c>
      <c r="W127" s="1">
        <v>32767</v>
      </c>
      <c r="X127" s="1">
        <v>0</v>
      </c>
      <c r="Z127" s="1">
        <v>2838950351</v>
      </c>
      <c r="AA127" s="1">
        <v>36</v>
      </c>
      <c r="AB127" s="1">
        <v>11300743</v>
      </c>
      <c r="AC127" s="1">
        <v>11300743</v>
      </c>
      <c r="AD127" s="16">
        <v>53.5</v>
      </c>
      <c r="AE127" s="1">
        <v>1</v>
      </c>
      <c r="AF127" s="1">
        <v>0</v>
      </c>
      <c r="AG127" s="1">
        <v>30</v>
      </c>
      <c r="AH127" s="1">
        <v>60003760</v>
      </c>
      <c r="AI127" s="1">
        <v>32767</v>
      </c>
      <c r="AJ127" s="1">
        <v>11</v>
      </c>
      <c r="AL127" s="1">
        <v>2855042270</v>
      </c>
      <c r="AM127" s="1">
        <v>37</v>
      </c>
      <c r="AN127" s="1">
        <v>1000000</v>
      </c>
      <c r="AO127" s="1">
        <v>740361</v>
      </c>
      <c r="AP127" s="16">
        <v>175</v>
      </c>
      <c r="AQ127" s="1">
        <v>1</v>
      </c>
      <c r="AR127" s="1">
        <v>0</v>
      </c>
      <c r="AS127" s="1">
        <v>90</v>
      </c>
      <c r="AT127" s="1">
        <v>60014686</v>
      </c>
      <c r="AU127" s="1">
        <v>32767</v>
      </c>
      <c r="AV127" s="1">
        <v>7</v>
      </c>
      <c r="AX127" s="1">
        <v>2879005950</v>
      </c>
      <c r="AY127" s="1">
        <v>38</v>
      </c>
      <c r="AZ127" s="1">
        <v>124705</v>
      </c>
      <c r="BA127" s="1">
        <v>72918</v>
      </c>
      <c r="BB127" s="1">
        <v>808.8</v>
      </c>
      <c r="BC127" s="1">
        <v>1</v>
      </c>
      <c r="BD127" s="1">
        <v>0</v>
      </c>
      <c r="BE127" s="1">
        <v>90</v>
      </c>
      <c r="BF127" s="1">
        <v>60003757</v>
      </c>
      <c r="BG127" s="1">
        <v>32767</v>
      </c>
      <c r="BH127" s="1">
        <v>0</v>
      </c>
      <c r="BJ127" s="1">
        <v>2729731653</v>
      </c>
      <c r="BK127" s="1">
        <v>39</v>
      </c>
      <c r="BL127" s="1">
        <v>500000</v>
      </c>
      <c r="BM127" s="1">
        <v>496234</v>
      </c>
      <c r="BN127" s="1">
        <v>687.01</v>
      </c>
      <c r="BO127" s="1">
        <v>1</v>
      </c>
      <c r="BP127" s="1">
        <v>1</v>
      </c>
      <c r="BQ127" s="1">
        <v>90</v>
      </c>
      <c r="BR127" s="1">
        <v>60004240</v>
      </c>
      <c r="BS127" s="1">
        <v>0</v>
      </c>
      <c r="BT127" s="1">
        <v>0</v>
      </c>
      <c r="BV127" s="1">
        <v>2408313844</v>
      </c>
      <c r="BW127" s="1">
        <v>40</v>
      </c>
      <c r="BX127" s="1">
        <v>1000</v>
      </c>
      <c r="BY127" s="1">
        <v>1000</v>
      </c>
      <c r="BZ127" s="1">
        <v>2750</v>
      </c>
      <c r="CA127" s="1">
        <v>1</v>
      </c>
      <c r="CB127" s="1">
        <v>0</v>
      </c>
      <c r="CC127" s="1">
        <v>90</v>
      </c>
      <c r="CD127" s="1">
        <v>60000493</v>
      </c>
      <c r="CE127" s="1">
        <v>32767</v>
      </c>
      <c r="CF127" s="1">
        <v>16</v>
      </c>
      <c r="CH127" s="1">
        <v>2415019458</v>
      </c>
      <c r="CI127" s="1">
        <v>29668</v>
      </c>
      <c r="CJ127" s="1">
        <v>1</v>
      </c>
      <c r="CK127" s="1">
        <v>1</v>
      </c>
      <c r="CL127" s="1">
        <v>494976200.55000001</v>
      </c>
      <c r="CM127" s="1">
        <v>1</v>
      </c>
      <c r="CN127" s="1">
        <v>0</v>
      </c>
      <c r="CO127" s="1">
        <v>90</v>
      </c>
      <c r="CP127" s="1">
        <v>60003760</v>
      </c>
      <c r="CQ127" s="1">
        <v>32767</v>
      </c>
      <c r="CR127" s="1">
        <v>0</v>
      </c>
      <c r="CT127" s="1">
        <v>2415193167</v>
      </c>
      <c r="CU127" s="1">
        <v>16649</v>
      </c>
      <c r="CV127" s="1">
        <v>20000</v>
      </c>
      <c r="CW127" s="1">
        <v>12300</v>
      </c>
      <c r="CX127" s="1">
        <v>99500.18</v>
      </c>
      <c r="CY127" s="1">
        <v>1</v>
      </c>
      <c r="CZ127" s="1">
        <v>1</v>
      </c>
      <c r="DA127" s="1">
        <v>90</v>
      </c>
      <c r="DB127" s="1">
        <v>60003760</v>
      </c>
      <c r="DC127" s="1">
        <v>-1</v>
      </c>
      <c r="DD127" s="1">
        <v>0</v>
      </c>
      <c r="DF127" s="1">
        <v>2415833228</v>
      </c>
      <c r="DG127" s="1">
        <v>17887</v>
      </c>
      <c r="DH127" s="1">
        <v>596651</v>
      </c>
      <c r="DI127" s="1">
        <v>198651</v>
      </c>
      <c r="DJ127" s="1">
        <v>932.73</v>
      </c>
      <c r="DK127" s="1">
        <v>1</v>
      </c>
      <c r="DL127" s="1">
        <v>0</v>
      </c>
      <c r="DM127" s="1">
        <v>90</v>
      </c>
      <c r="DN127" s="1">
        <v>60003760</v>
      </c>
      <c r="DO127" s="1">
        <v>32767</v>
      </c>
      <c r="DP127" s="1">
        <v>0</v>
      </c>
      <c r="DR127" s="1">
        <v>2877845437</v>
      </c>
      <c r="DS127" s="1">
        <v>17888</v>
      </c>
      <c r="DT127" s="1">
        <v>42447</v>
      </c>
      <c r="DU127" s="1">
        <v>42447</v>
      </c>
      <c r="DV127" s="1">
        <v>344.2</v>
      </c>
      <c r="DW127" s="1">
        <v>1</v>
      </c>
      <c r="DX127" s="1">
        <v>0</v>
      </c>
      <c r="DY127" s="1">
        <v>7</v>
      </c>
      <c r="DZ127" s="1">
        <v>60003760</v>
      </c>
      <c r="EA127" s="1">
        <v>32767</v>
      </c>
      <c r="EB127" s="1">
        <v>8</v>
      </c>
      <c r="ED127" s="1">
        <v>2854219797</v>
      </c>
      <c r="EE127" s="1">
        <v>16273</v>
      </c>
      <c r="EF127" s="1">
        <v>22332</v>
      </c>
      <c r="EG127" s="1">
        <v>22332</v>
      </c>
      <c r="EH127" s="1">
        <v>420</v>
      </c>
      <c r="EI127" s="1">
        <v>1</v>
      </c>
      <c r="EJ127" s="1">
        <v>0</v>
      </c>
      <c r="EK127" s="1">
        <v>90</v>
      </c>
      <c r="EL127" s="1">
        <v>60000490</v>
      </c>
      <c r="EM127" s="1">
        <v>32767</v>
      </c>
      <c r="EN127" s="1">
        <v>10</v>
      </c>
      <c r="EP127"/>
      <c r="EQ127"/>
      <c r="ER127"/>
      <c r="ES127"/>
      <c r="ET127"/>
      <c r="EU127"/>
      <c r="EV127"/>
      <c r="EW127"/>
      <c r="EX127"/>
      <c r="EY127"/>
      <c r="EZ127"/>
      <c r="FB127" s="1">
        <v>2878038222</v>
      </c>
      <c r="FC127" s="1">
        <v>30259</v>
      </c>
      <c r="FD127" s="1">
        <v>1000</v>
      </c>
      <c r="FE127" s="1">
        <v>1000</v>
      </c>
      <c r="FF127" s="1">
        <v>5589507.3899999997</v>
      </c>
      <c r="FG127" s="1">
        <v>1</v>
      </c>
      <c r="FH127" s="1">
        <v>1</v>
      </c>
      <c r="FI127" s="1">
        <v>30</v>
      </c>
      <c r="FJ127" s="1">
        <v>60003760</v>
      </c>
      <c r="FK127" s="1">
        <v>-1</v>
      </c>
      <c r="FL127" s="1">
        <v>0</v>
      </c>
      <c r="FZ127" s="1">
        <v>2870934051</v>
      </c>
      <c r="GA127" s="1">
        <v>44</v>
      </c>
      <c r="GB127" s="1">
        <v>5000</v>
      </c>
      <c r="GC127" s="1">
        <v>5000</v>
      </c>
      <c r="GD127" s="1">
        <v>8609.02</v>
      </c>
      <c r="GE127" s="1">
        <v>500</v>
      </c>
      <c r="GF127" s="1">
        <v>1</v>
      </c>
      <c r="GG127" s="1">
        <v>30</v>
      </c>
      <c r="GH127" s="1">
        <v>60004063</v>
      </c>
      <c r="GI127" s="1">
        <v>5</v>
      </c>
      <c r="GJ127" s="1">
        <v>0</v>
      </c>
      <c r="GL127" s="1">
        <v>2415270481</v>
      </c>
      <c r="GM127" s="1">
        <v>16681</v>
      </c>
      <c r="GN127" s="1">
        <v>28364</v>
      </c>
      <c r="GO127" s="1">
        <v>28364</v>
      </c>
      <c r="GP127" s="1">
        <v>6026</v>
      </c>
      <c r="GQ127" s="1">
        <v>1</v>
      </c>
      <c r="GR127" s="1">
        <v>1</v>
      </c>
      <c r="GS127" s="1">
        <v>90</v>
      </c>
      <c r="GT127" s="1">
        <v>60003760</v>
      </c>
      <c r="GU127" s="1">
        <v>-1</v>
      </c>
      <c r="GV127" s="1">
        <v>0</v>
      </c>
      <c r="IT127"/>
      <c r="IU127"/>
      <c r="IV127"/>
      <c r="IW127"/>
      <c r="IX127"/>
      <c r="IY127"/>
      <c r="IZ127"/>
      <c r="JA127"/>
      <c r="JB127"/>
      <c r="JC127"/>
      <c r="JD127"/>
      <c r="JF127" s="1">
        <v>2869508275</v>
      </c>
      <c r="JG127" s="1">
        <v>16272</v>
      </c>
      <c r="JH127" s="1">
        <v>1000000</v>
      </c>
      <c r="JI127" s="1">
        <v>982710</v>
      </c>
      <c r="JJ127" s="1">
        <v>69.09</v>
      </c>
      <c r="JK127" s="1">
        <v>1</v>
      </c>
      <c r="JL127" s="1">
        <v>1</v>
      </c>
      <c r="JM127" s="1">
        <v>90</v>
      </c>
      <c r="JN127" s="1">
        <v>60003760</v>
      </c>
      <c r="JO127" s="1">
        <v>-1</v>
      </c>
      <c r="JP127" s="1">
        <v>0</v>
      </c>
      <c r="KD127"/>
      <c r="KE127"/>
      <c r="KF127"/>
      <c r="KG127"/>
      <c r="KH127"/>
      <c r="KI127"/>
      <c r="KJ127"/>
      <c r="KK127"/>
      <c r="KL127"/>
      <c r="KM127"/>
      <c r="KN127"/>
      <c r="KP127"/>
      <c r="KQ127"/>
      <c r="KR127"/>
      <c r="KS127"/>
      <c r="KT127"/>
      <c r="KU127"/>
      <c r="KV127"/>
      <c r="KW127"/>
      <c r="KX127"/>
      <c r="KY127"/>
      <c r="KZ127"/>
      <c r="LB127" s="1">
        <v>2849357072</v>
      </c>
      <c r="LC127" s="1">
        <v>9832</v>
      </c>
      <c r="LD127" s="1">
        <v>20000</v>
      </c>
      <c r="LE127" s="1">
        <v>1192</v>
      </c>
      <c r="LF127" s="1">
        <v>8640.02</v>
      </c>
      <c r="LG127" s="1">
        <v>1</v>
      </c>
      <c r="LH127" s="1">
        <v>1</v>
      </c>
      <c r="LI127" s="1">
        <v>90</v>
      </c>
      <c r="LJ127" s="1">
        <v>60003760</v>
      </c>
      <c r="LK127" s="1">
        <v>-1</v>
      </c>
      <c r="LL127" s="1">
        <v>0</v>
      </c>
      <c r="NV127" s="1">
        <v>2872807888</v>
      </c>
      <c r="NW127" s="1">
        <v>3689</v>
      </c>
      <c r="NX127" s="1">
        <v>20000</v>
      </c>
      <c r="NY127" s="1">
        <v>20000</v>
      </c>
      <c r="NZ127" s="1">
        <v>7630.1</v>
      </c>
      <c r="OA127" s="1">
        <v>1</v>
      </c>
      <c r="OB127" s="1">
        <v>1</v>
      </c>
      <c r="OC127" s="1">
        <v>90</v>
      </c>
      <c r="OD127" s="1">
        <v>60003760</v>
      </c>
      <c r="OE127" s="1">
        <v>-1</v>
      </c>
      <c r="OF127" s="1">
        <v>0</v>
      </c>
      <c r="OH127" s="1">
        <v>2840825801</v>
      </c>
      <c r="OI127" s="1">
        <v>25598</v>
      </c>
      <c r="OJ127" s="1">
        <v>1</v>
      </c>
      <c r="OK127" s="1">
        <v>1</v>
      </c>
      <c r="OL127" s="1">
        <v>150000</v>
      </c>
      <c r="OM127" s="1">
        <v>1</v>
      </c>
      <c r="ON127" s="1">
        <v>0</v>
      </c>
      <c r="OO127" s="1">
        <v>30</v>
      </c>
      <c r="OP127" s="1">
        <v>60000685</v>
      </c>
      <c r="OQ127" s="1">
        <v>32767</v>
      </c>
      <c r="OR127" s="1">
        <v>1</v>
      </c>
      <c r="OT127" s="1">
        <v>2867832086</v>
      </c>
      <c r="OU127" s="1">
        <v>25600</v>
      </c>
      <c r="OV127" s="1">
        <v>5000</v>
      </c>
      <c r="OW127" s="1">
        <v>5000</v>
      </c>
      <c r="OX127" s="1">
        <v>1</v>
      </c>
      <c r="OY127" s="1">
        <v>1</v>
      </c>
      <c r="OZ127" s="1">
        <v>1</v>
      </c>
      <c r="PA127" s="1">
        <v>30</v>
      </c>
      <c r="PB127" s="1">
        <v>60003760</v>
      </c>
      <c r="PC127" s="1">
        <v>-1</v>
      </c>
      <c r="PD127" s="1">
        <v>0</v>
      </c>
      <c r="PF127" s="1">
        <v>2878591160</v>
      </c>
      <c r="PG127" s="1">
        <v>16670</v>
      </c>
      <c r="PH127" s="1">
        <v>1500000</v>
      </c>
      <c r="PI127" s="1">
        <v>1500000</v>
      </c>
      <c r="PJ127" s="1">
        <v>108.18</v>
      </c>
      <c r="PK127" s="1">
        <v>1</v>
      </c>
      <c r="PL127" s="1">
        <v>1</v>
      </c>
      <c r="PM127" s="1">
        <v>90</v>
      </c>
      <c r="PN127" s="1">
        <v>60003760</v>
      </c>
      <c r="PO127" s="1">
        <v>-1</v>
      </c>
      <c r="PP127" s="1">
        <v>0</v>
      </c>
      <c r="QD127"/>
      <c r="QE127"/>
      <c r="QF127"/>
      <c r="QG127"/>
      <c r="QH127"/>
      <c r="QI127"/>
      <c r="QJ127"/>
      <c r="QK127"/>
      <c r="QL127"/>
      <c r="QM127"/>
      <c r="QN127"/>
      <c r="SX127" s="1">
        <v>2878018718</v>
      </c>
      <c r="SY127" s="1">
        <v>25595</v>
      </c>
      <c r="SZ127" s="1">
        <v>2</v>
      </c>
      <c r="TA127" s="1">
        <v>2</v>
      </c>
      <c r="TB127" s="1">
        <v>70000</v>
      </c>
      <c r="TC127" s="1">
        <v>1</v>
      </c>
      <c r="TD127" s="1">
        <v>0</v>
      </c>
      <c r="TE127" s="1">
        <v>1</v>
      </c>
      <c r="TF127" s="1">
        <v>60003766</v>
      </c>
      <c r="TG127" s="1">
        <v>32767</v>
      </c>
      <c r="TH127" s="1">
        <v>6</v>
      </c>
      <c r="TJ127" s="1">
        <v>2870130931</v>
      </c>
      <c r="TK127" s="1">
        <v>25606</v>
      </c>
      <c r="TL127" s="1">
        <v>200</v>
      </c>
      <c r="TM127" s="1">
        <v>77</v>
      </c>
      <c r="TN127" s="1">
        <v>19011.03</v>
      </c>
      <c r="TO127" s="1">
        <v>1</v>
      </c>
      <c r="TP127" s="1">
        <v>1</v>
      </c>
      <c r="TQ127" s="1">
        <v>30</v>
      </c>
      <c r="TR127" s="1">
        <v>60004063</v>
      </c>
      <c r="TS127" s="1">
        <v>3</v>
      </c>
      <c r="TT127" s="1">
        <v>0</v>
      </c>
    </row>
    <row r="128" spans="2:540" x14ac:dyDescent="0.25">
      <c r="B128" s="1">
        <v>2836376237</v>
      </c>
      <c r="C128" s="1">
        <v>34</v>
      </c>
      <c r="D128" s="1">
        <v>9965361</v>
      </c>
      <c r="E128" s="1">
        <v>9965361</v>
      </c>
      <c r="F128" s="1">
        <v>6.15</v>
      </c>
      <c r="G128" s="1">
        <v>1</v>
      </c>
      <c r="H128" s="1">
        <v>0</v>
      </c>
      <c r="I128" s="1">
        <v>90</v>
      </c>
      <c r="J128" s="1">
        <v>60003760</v>
      </c>
      <c r="K128" s="1">
        <v>32767</v>
      </c>
      <c r="L128" s="1">
        <v>0</v>
      </c>
      <c r="N128" s="1">
        <v>2865259953</v>
      </c>
      <c r="O128" s="1">
        <v>35</v>
      </c>
      <c r="P128" s="1">
        <v>1056544</v>
      </c>
      <c r="Q128" s="1">
        <v>1056544</v>
      </c>
      <c r="R128" s="1">
        <v>15.69</v>
      </c>
      <c r="S128" s="1">
        <v>1</v>
      </c>
      <c r="T128" s="1">
        <v>0</v>
      </c>
      <c r="U128" s="1">
        <v>90</v>
      </c>
      <c r="V128" s="1">
        <v>60003760</v>
      </c>
      <c r="W128" s="1">
        <v>32767</v>
      </c>
      <c r="X128" s="1">
        <v>0</v>
      </c>
      <c r="Z128" s="1">
        <v>2839659068</v>
      </c>
      <c r="AA128" s="1">
        <v>36</v>
      </c>
      <c r="AB128" s="1">
        <v>777325</v>
      </c>
      <c r="AC128" s="1">
        <v>777325</v>
      </c>
      <c r="AD128" s="16">
        <v>52</v>
      </c>
      <c r="AE128" s="1">
        <v>1</v>
      </c>
      <c r="AF128" s="1">
        <v>0</v>
      </c>
      <c r="AG128" s="1">
        <v>30</v>
      </c>
      <c r="AH128" s="1">
        <v>60003760</v>
      </c>
      <c r="AI128" s="1">
        <v>32767</v>
      </c>
      <c r="AJ128" s="1">
        <v>11</v>
      </c>
      <c r="AL128" s="1">
        <v>2830465617</v>
      </c>
      <c r="AM128" s="1">
        <v>37</v>
      </c>
      <c r="AN128" s="1">
        <v>155704</v>
      </c>
      <c r="AO128" s="1">
        <v>62456</v>
      </c>
      <c r="AP128" s="16">
        <v>288.02999999999997</v>
      </c>
      <c r="AQ128" s="1">
        <v>1</v>
      </c>
      <c r="AR128" s="1">
        <v>0</v>
      </c>
      <c r="AS128" s="1">
        <v>90</v>
      </c>
      <c r="AT128" s="1">
        <v>60002281</v>
      </c>
      <c r="AU128" s="1">
        <v>32767</v>
      </c>
      <c r="AV128" s="1">
        <v>5</v>
      </c>
      <c r="AX128" s="1">
        <v>2879037308</v>
      </c>
      <c r="AY128" s="1">
        <v>38</v>
      </c>
      <c r="AZ128" s="1">
        <v>5637</v>
      </c>
      <c r="BA128" s="1">
        <v>5637</v>
      </c>
      <c r="BB128" s="1">
        <v>799.01</v>
      </c>
      <c r="BC128" s="1">
        <v>1</v>
      </c>
      <c r="BD128" s="1">
        <v>0</v>
      </c>
      <c r="BE128" s="1">
        <v>1</v>
      </c>
      <c r="BF128" s="1">
        <v>60010822</v>
      </c>
      <c r="BG128" s="1">
        <v>32767</v>
      </c>
      <c r="BH128" s="1">
        <v>0</v>
      </c>
      <c r="BJ128" s="1">
        <v>2857573060</v>
      </c>
      <c r="BK128" s="1">
        <v>39</v>
      </c>
      <c r="BL128" s="1">
        <v>1000</v>
      </c>
      <c r="BM128" s="1">
        <v>636</v>
      </c>
      <c r="BN128" s="1">
        <v>730.11</v>
      </c>
      <c r="BO128" s="1">
        <v>1</v>
      </c>
      <c r="BP128" s="1">
        <v>1</v>
      </c>
      <c r="BQ128" s="1">
        <v>30</v>
      </c>
      <c r="BR128" s="1">
        <v>60004237</v>
      </c>
      <c r="BS128" s="1">
        <v>3</v>
      </c>
      <c r="BT128" s="1">
        <v>0</v>
      </c>
      <c r="BV128" s="1">
        <v>2408313624</v>
      </c>
      <c r="BW128" s="1">
        <v>40</v>
      </c>
      <c r="BX128" s="1">
        <v>4402</v>
      </c>
      <c r="BY128" s="1">
        <v>4402</v>
      </c>
      <c r="BZ128" s="1">
        <v>2750</v>
      </c>
      <c r="CA128" s="1">
        <v>1</v>
      </c>
      <c r="CB128" s="1">
        <v>0</v>
      </c>
      <c r="CC128" s="1">
        <v>90</v>
      </c>
      <c r="CD128" s="1">
        <v>60000493</v>
      </c>
      <c r="CE128" s="1">
        <v>32767</v>
      </c>
      <c r="CF128" s="1">
        <v>16</v>
      </c>
      <c r="CH128" s="1">
        <v>2415681042</v>
      </c>
      <c r="CI128" s="1">
        <v>29668</v>
      </c>
      <c r="CJ128" s="1">
        <v>1</v>
      </c>
      <c r="CK128" s="1">
        <v>1</v>
      </c>
      <c r="CL128" s="1">
        <v>494949150.91000003</v>
      </c>
      <c r="CM128" s="1">
        <v>1</v>
      </c>
      <c r="CN128" s="1">
        <v>0</v>
      </c>
      <c r="CO128" s="1">
        <v>90</v>
      </c>
      <c r="CP128" s="1">
        <v>60003760</v>
      </c>
      <c r="CQ128" s="1">
        <v>32767</v>
      </c>
      <c r="CR128" s="1">
        <v>0</v>
      </c>
      <c r="CT128" s="1">
        <v>2415199811</v>
      </c>
      <c r="CU128" s="1">
        <v>16649</v>
      </c>
      <c r="CV128" s="1">
        <v>7500</v>
      </c>
      <c r="CW128" s="1">
        <v>7500</v>
      </c>
      <c r="CX128" s="1">
        <v>99500.22</v>
      </c>
      <c r="CY128" s="1">
        <v>1</v>
      </c>
      <c r="CZ128" s="1">
        <v>1</v>
      </c>
      <c r="DA128" s="1">
        <v>90</v>
      </c>
      <c r="DB128" s="1">
        <v>60003760</v>
      </c>
      <c r="DC128" s="1">
        <v>-1</v>
      </c>
      <c r="DD128" s="1">
        <v>0</v>
      </c>
      <c r="DF128" s="1">
        <v>2415867714</v>
      </c>
      <c r="DG128" s="1">
        <v>17887</v>
      </c>
      <c r="DH128" s="1">
        <v>480900</v>
      </c>
      <c r="DI128" s="1">
        <v>480900</v>
      </c>
      <c r="DJ128" s="1">
        <v>932.72</v>
      </c>
      <c r="DK128" s="1">
        <v>1</v>
      </c>
      <c r="DL128" s="1">
        <v>0</v>
      </c>
      <c r="DM128" s="1">
        <v>90</v>
      </c>
      <c r="DN128" s="1">
        <v>60003760</v>
      </c>
      <c r="DO128" s="1">
        <v>32767</v>
      </c>
      <c r="DP128" s="1">
        <v>0</v>
      </c>
      <c r="DR128" s="1">
        <v>2877898474</v>
      </c>
      <c r="DS128" s="1">
        <v>17888</v>
      </c>
      <c r="DT128" s="1">
        <v>701695</v>
      </c>
      <c r="DU128" s="1">
        <v>701695</v>
      </c>
      <c r="DV128" s="1">
        <v>340.98</v>
      </c>
      <c r="DW128" s="1">
        <v>1</v>
      </c>
      <c r="DX128" s="1">
        <v>0</v>
      </c>
      <c r="DY128" s="1">
        <v>90</v>
      </c>
      <c r="DZ128" s="1">
        <v>60003760</v>
      </c>
      <c r="EA128" s="1">
        <v>32767</v>
      </c>
      <c r="EB128" s="1">
        <v>8</v>
      </c>
      <c r="ED128" s="1">
        <v>2843492908</v>
      </c>
      <c r="EE128" s="1">
        <v>16273</v>
      </c>
      <c r="EF128" s="1">
        <v>7216</v>
      </c>
      <c r="EG128" s="1">
        <v>416</v>
      </c>
      <c r="EH128" s="1">
        <v>650</v>
      </c>
      <c r="EI128" s="1">
        <v>1</v>
      </c>
      <c r="EJ128" s="1">
        <v>0</v>
      </c>
      <c r="EK128" s="1">
        <v>90</v>
      </c>
      <c r="EL128" s="1">
        <v>60000967</v>
      </c>
      <c r="EM128" s="1">
        <v>32767</v>
      </c>
      <c r="EN128" s="1">
        <v>8</v>
      </c>
      <c r="EP128"/>
      <c r="EQ128"/>
      <c r="ER128"/>
      <c r="ES128"/>
      <c r="ET128"/>
      <c r="EU128"/>
      <c r="EV128"/>
      <c r="EW128"/>
      <c r="EX128"/>
      <c r="EY128"/>
      <c r="EZ128"/>
      <c r="FB128" s="1">
        <v>2876184499</v>
      </c>
      <c r="FC128" s="1">
        <v>30259</v>
      </c>
      <c r="FD128" s="1">
        <v>1500</v>
      </c>
      <c r="FE128" s="1">
        <v>1186</v>
      </c>
      <c r="FF128" s="1">
        <v>5592500.1900000004</v>
      </c>
      <c r="FG128" s="1">
        <v>1</v>
      </c>
      <c r="FH128" s="1">
        <v>1</v>
      </c>
      <c r="FI128" s="1">
        <v>30</v>
      </c>
      <c r="FJ128" s="1">
        <v>60003760</v>
      </c>
      <c r="FK128" s="1">
        <v>-1</v>
      </c>
      <c r="FL128" s="1">
        <v>0</v>
      </c>
      <c r="FZ128" s="1">
        <v>2807590774</v>
      </c>
      <c r="GA128" s="1">
        <v>44</v>
      </c>
      <c r="GB128" s="1">
        <v>20000</v>
      </c>
      <c r="GC128" s="1">
        <v>15393</v>
      </c>
      <c r="GD128" s="1">
        <v>7000.02</v>
      </c>
      <c r="GE128" s="1">
        <v>1</v>
      </c>
      <c r="GF128" s="1">
        <v>1</v>
      </c>
      <c r="GG128" s="1">
        <v>90</v>
      </c>
      <c r="GH128" s="1">
        <v>60004459</v>
      </c>
      <c r="GI128" s="1">
        <v>10</v>
      </c>
      <c r="GJ128" s="1">
        <v>0</v>
      </c>
      <c r="GL128" s="1">
        <v>2414913315</v>
      </c>
      <c r="GM128" s="1">
        <v>16681</v>
      </c>
      <c r="GN128" s="1">
        <v>100000</v>
      </c>
      <c r="GO128" s="1">
        <v>100000</v>
      </c>
      <c r="GP128" s="1">
        <v>6026.01</v>
      </c>
      <c r="GQ128" s="1">
        <v>1</v>
      </c>
      <c r="GR128" s="1">
        <v>1</v>
      </c>
      <c r="GS128" s="1">
        <v>90</v>
      </c>
      <c r="GT128" s="1">
        <v>60003760</v>
      </c>
      <c r="GU128" s="1">
        <v>-1</v>
      </c>
      <c r="GV128" s="1">
        <v>0</v>
      </c>
      <c r="IT128"/>
      <c r="IU128"/>
      <c r="IV128"/>
      <c r="IW128"/>
      <c r="IX128"/>
      <c r="IY128"/>
      <c r="IZ128"/>
      <c r="JA128"/>
      <c r="JB128"/>
      <c r="JC128"/>
      <c r="JD128"/>
      <c r="JF128" s="1">
        <v>2868955378</v>
      </c>
      <c r="JG128" s="1">
        <v>16272</v>
      </c>
      <c r="JH128" s="1">
        <v>19800000</v>
      </c>
      <c r="JI128" s="1">
        <v>19800000</v>
      </c>
      <c r="JJ128" s="1">
        <v>68.11</v>
      </c>
      <c r="JK128" s="1">
        <v>1</v>
      </c>
      <c r="JL128" s="1">
        <v>1</v>
      </c>
      <c r="JM128" s="1">
        <v>90</v>
      </c>
      <c r="JN128" s="1">
        <v>60003760</v>
      </c>
      <c r="JO128" s="1">
        <v>-1</v>
      </c>
      <c r="JP128" s="1">
        <v>0</v>
      </c>
      <c r="KD128"/>
      <c r="KE128"/>
      <c r="KF128"/>
      <c r="KG128"/>
      <c r="KH128"/>
      <c r="KI128"/>
      <c r="KJ128"/>
      <c r="KK128"/>
      <c r="KL128"/>
      <c r="KM128"/>
      <c r="KN128"/>
      <c r="KP128"/>
      <c r="KQ128"/>
      <c r="KR128"/>
      <c r="KS128"/>
      <c r="KT128"/>
      <c r="KU128"/>
      <c r="KV128"/>
      <c r="KW128"/>
      <c r="KX128"/>
      <c r="KY128"/>
      <c r="KZ128"/>
      <c r="LB128" s="1">
        <v>2848142354</v>
      </c>
      <c r="LC128" s="1">
        <v>9832</v>
      </c>
      <c r="LD128" s="1">
        <v>30000</v>
      </c>
      <c r="LE128" s="1">
        <v>30000</v>
      </c>
      <c r="LF128" s="1">
        <v>8007.01</v>
      </c>
      <c r="LG128" s="1">
        <v>1</v>
      </c>
      <c r="LH128" s="1">
        <v>1</v>
      </c>
      <c r="LI128" s="1">
        <v>90</v>
      </c>
      <c r="LJ128" s="1">
        <v>60003760</v>
      </c>
      <c r="LK128" s="1">
        <v>-1</v>
      </c>
      <c r="LL128" s="1">
        <v>0</v>
      </c>
      <c r="NV128" s="1">
        <v>2874940859</v>
      </c>
      <c r="NW128" s="1">
        <v>3689</v>
      </c>
      <c r="NX128" s="1">
        <v>2400</v>
      </c>
      <c r="NY128" s="1">
        <v>2400</v>
      </c>
      <c r="NZ128" s="1">
        <v>7778</v>
      </c>
      <c r="OA128" s="1">
        <v>1</v>
      </c>
      <c r="OB128" s="1">
        <v>1</v>
      </c>
      <c r="OC128" s="1">
        <v>90</v>
      </c>
      <c r="OD128" s="1">
        <v>60003760</v>
      </c>
      <c r="OE128" s="1">
        <v>-1</v>
      </c>
      <c r="OF128" s="1">
        <v>0</v>
      </c>
      <c r="OH128" s="1">
        <v>2813205232</v>
      </c>
      <c r="OI128" s="1">
        <v>25598</v>
      </c>
      <c r="OJ128" s="1">
        <v>49</v>
      </c>
      <c r="OK128" s="1">
        <v>49</v>
      </c>
      <c r="OL128" s="1">
        <v>139980</v>
      </c>
      <c r="OM128" s="1">
        <v>1</v>
      </c>
      <c r="ON128" s="1">
        <v>0</v>
      </c>
      <c r="OO128" s="1">
        <v>90</v>
      </c>
      <c r="OP128" s="1">
        <v>60000502</v>
      </c>
      <c r="OQ128" s="1">
        <v>32767</v>
      </c>
      <c r="OR128" s="1">
        <v>6</v>
      </c>
      <c r="OT128" s="1">
        <v>2867832184</v>
      </c>
      <c r="OU128" s="1">
        <v>25600</v>
      </c>
      <c r="OV128" s="1">
        <v>3000</v>
      </c>
      <c r="OW128" s="1">
        <v>3000</v>
      </c>
      <c r="OX128" s="1">
        <v>1</v>
      </c>
      <c r="OY128" s="1">
        <v>1</v>
      </c>
      <c r="OZ128" s="1">
        <v>1</v>
      </c>
      <c r="PA128" s="1">
        <v>30</v>
      </c>
      <c r="PB128" s="1">
        <v>60003760</v>
      </c>
      <c r="PC128" s="1">
        <v>-1</v>
      </c>
      <c r="PD128" s="1">
        <v>0</v>
      </c>
      <c r="PF128" s="1">
        <v>2878580931</v>
      </c>
      <c r="PG128" s="1">
        <v>16670</v>
      </c>
      <c r="PH128" s="1">
        <v>750000</v>
      </c>
      <c r="PI128" s="1">
        <v>750000</v>
      </c>
      <c r="PJ128" s="1">
        <v>108.2</v>
      </c>
      <c r="PK128" s="1">
        <v>1</v>
      </c>
      <c r="PL128" s="1">
        <v>1</v>
      </c>
      <c r="PM128" s="1">
        <v>90</v>
      </c>
      <c r="PN128" s="1">
        <v>60003760</v>
      </c>
      <c r="PO128" s="1">
        <v>-1</v>
      </c>
      <c r="PP128" s="1">
        <v>0</v>
      </c>
      <c r="SX128" s="1">
        <v>2791571630</v>
      </c>
      <c r="SY128" s="1">
        <v>25595</v>
      </c>
      <c r="SZ128" s="1">
        <v>1</v>
      </c>
      <c r="TA128" s="1">
        <v>1</v>
      </c>
      <c r="TB128" s="1">
        <v>99000</v>
      </c>
      <c r="TC128" s="1">
        <v>1</v>
      </c>
      <c r="TD128" s="1">
        <v>0</v>
      </c>
      <c r="TE128" s="1">
        <v>90</v>
      </c>
      <c r="TF128" s="1">
        <v>60003754</v>
      </c>
      <c r="TG128" s="1">
        <v>32767</v>
      </c>
      <c r="TH128" s="1">
        <v>7</v>
      </c>
      <c r="TJ128" s="1">
        <v>2873004340</v>
      </c>
      <c r="TK128" s="1">
        <v>25606</v>
      </c>
      <c r="TL128" s="1">
        <v>100</v>
      </c>
      <c r="TM128" s="1">
        <v>100</v>
      </c>
      <c r="TN128" s="1">
        <v>18000</v>
      </c>
      <c r="TO128" s="1">
        <v>1</v>
      </c>
      <c r="TP128" s="1">
        <v>1</v>
      </c>
      <c r="TQ128" s="1">
        <v>30</v>
      </c>
      <c r="TR128" s="1">
        <v>60002275</v>
      </c>
      <c r="TS128" s="1">
        <v>-1</v>
      </c>
      <c r="TT128" s="1">
        <v>0</v>
      </c>
    </row>
    <row r="129" spans="2:540" x14ac:dyDescent="0.25">
      <c r="B129" s="1">
        <v>2836738412</v>
      </c>
      <c r="C129" s="1">
        <v>34</v>
      </c>
      <c r="D129" s="1">
        <v>31901646</v>
      </c>
      <c r="E129" s="1">
        <v>31901646</v>
      </c>
      <c r="F129" s="1">
        <v>6</v>
      </c>
      <c r="G129" s="1">
        <v>1</v>
      </c>
      <c r="H129" s="1">
        <v>0</v>
      </c>
      <c r="I129" s="1">
        <v>90</v>
      </c>
      <c r="J129" s="1">
        <v>60003760</v>
      </c>
      <c r="K129" s="1">
        <v>32767</v>
      </c>
      <c r="L129" s="1">
        <v>0</v>
      </c>
      <c r="N129" s="1">
        <v>2865482314</v>
      </c>
      <c r="O129" s="1">
        <v>35</v>
      </c>
      <c r="P129" s="1">
        <v>10898718</v>
      </c>
      <c r="Q129" s="1">
        <v>10898718</v>
      </c>
      <c r="R129" s="1">
        <v>15.25</v>
      </c>
      <c r="S129" s="1">
        <v>1</v>
      </c>
      <c r="T129" s="1">
        <v>0</v>
      </c>
      <c r="U129" s="1">
        <v>14</v>
      </c>
      <c r="V129" s="1">
        <v>60003760</v>
      </c>
      <c r="W129" s="1">
        <v>32767</v>
      </c>
      <c r="X129" s="1">
        <v>0</v>
      </c>
      <c r="Z129" s="1">
        <v>2843190434</v>
      </c>
      <c r="AA129" s="1">
        <v>36</v>
      </c>
      <c r="AB129" s="1">
        <v>1161991</v>
      </c>
      <c r="AC129" s="1">
        <v>1161991</v>
      </c>
      <c r="AD129" s="16">
        <v>52</v>
      </c>
      <c r="AE129" s="1">
        <v>1</v>
      </c>
      <c r="AF129" s="1">
        <v>0</v>
      </c>
      <c r="AG129" s="1">
        <v>90</v>
      </c>
      <c r="AH129" s="1">
        <v>60003760</v>
      </c>
      <c r="AI129" s="1">
        <v>32767</v>
      </c>
      <c r="AJ129" s="1">
        <v>11</v>
      </c>
      <c r="AL129" s="1">
        <v>2779880011</v>
      </c>
      <c r="AM129" s="1">
        <v>37</v>
      </c>
      <c r="AN129" s="1">
        <v>2224272</v>
      </c>
      <c r="AO129" s="1">
        <v>1471709</v>
      </c>
      <c r="AP129" s="16">
        <v>175</v>
      </c>
      <c r="AQ129" s="1">
        <v>1</v>
      </c>
      <c r="AR129" s="1">
        <v>0</v>
      </c>
      <c r="AS129" s="1">
        <v>90</v>
      </c>
      <c r="AT129" s="1">
        <v>60012667</v>
      </c>
      <c r="AU129" s="1">
        <v>32767</v>
      </c>
      <c r="AV129" s="1">
        <v>9</v>
      </c>
      <c r="AX129" s="1">
        <v>2879045793</v>
      </c>
      <c r="AY129" s="1">
        <v>38</v>
      </c>
      <c r="AZ129" s="1">
        <v>3973382</v>
      </c>
      <c r="BA129" s="1">
        <v>3387601</v>
      </c>
      <c r="BB129" s="1">
        <v>809.8</v>
      </c>
      <c r="BC129" s="1">
        <v>1</v>
      </c>
      <c r="BD129" s="1">
        <v>0</v>
      </c>
      <c r="BE129" s="1">
        <v>90</v>
      </c>
      <c r="BF129" s="1">
        <v>60003760</v>
      </c>
      <c r="BG129" s="1">
        <v>32767</v>
      </c>
      <c r="BH129" s="1">
        <v>0</v>
      </c>
      <c r="BJ129" s="1">
        <v>2849871208</v>
      </c>
      <c r="BK129" s="1">
        <v>39</v>
      </c>
      <c r="BL129" s="1">
        <v>589</v>
      </c>
      <c r="BM129" s="1">
        <v>587</v>
      </c>
      <c r="BN129" s="1">
        <v>723.13</v>
      </c>
      <c r="BO129" s="1">
        <v>1</v>
      </c>
      <c r="BP129" s="1">
        <v>1</v>
      </c>
      <c r="BQ129" s="1">
        <v>30</v>
      </c>
      <c r="BR129" s="1">
        <v>60004237</v>
      </c>
      <c r="BS129" s="1">
        <v>3</v>
      </c>
      <c r="BT129" s="1">
        <v>0</v>
      </c>
      <c r="BV129" s="1">
        <v>2404109215</v>
      </c>
      <c r="BW129" s="1">
        <v>40</v>
      </c>
      <c r="BX129" s="1">
        <v>2240</v>
      </c>
      <c r="BY129" s="1">
        <v>969</v>
      </c>
      <c r="BZ129" s="1">
        <v>2629.99</v>
      </c>
      <c r="CA129" s="1">
        <v>1</v>
      </c>
      <c r="CB129" s="1">
        <v>0</v>
      </c>
      <c r="CC129" s="1">
        <v>90</v>
      </c>
      <c r="CD129" s="1">
        <v>60013045</v>
      </c>
      <c r="CE129" s="1">
        <v>32767</v>
      </c>
      <c r="CF129" s="1">
        <v>18</v>
      </c>
      <c r="CH129" s="1">
        <v>2415681288</v>
      </c>
      <c r="CI129" s="1">
        <v>29668</v>
      </c>
      <c r="CJ129" s="1">
        <v>1</v>
      </c>
      <c r="CK129" s="1">
        <v>1</v>
      </c>
      <c r="CL129" s="1">
        <v>494949150.91000003</v>
      </c>
      <c r="CM129" s="1">
        <v>1</v>
      </c>
      <c r="CN129" s="1">
        <v>0</v>
      </c>
      <c r="CO129" s="1">
        <v>90</v>
      </c>
      <c r="CP129" s="1">
        <v>60003760</v>
      </c>
      <c r="CQ129" s="1">
        <v>32767</v>
      </c>
      <c r="CR129" s="1">
        <v>0</v>
      </c>
      <c r="CT129" s="1">
        <v>2415756803</v>
      </c>
      <c r="CU129" s="1">
        <v>16649</v>
      </c>
      <c r="CV129" s="1">
        <v>20000</v>
      </c>
      <c r="CW129" s="1">
        <v>20000</v>
      </c>
      <c r="CX129" s="1">
        <v>99501.07</v>
      </c>
      <c r="CY129" s="1">
        <v>1</v>
      </c>
      <c r="CZ129" s="1">
        <v>1</v>
      </c>
      <c r="DA129" s="1">
        <v>90</v>
      </c>
      <c r="DB129" s="1">
        <v>60003760</v>
      </c>
      <c r="DC129" s="1">
        <v>-1</v>
      </c>
      <c r="DD129" s="1">
        <v>0</v>
      </c>
      <c r="DF129" s="1">
        <v>2400231392</v>
      </c>
      <c r="DG129" s="1">
        <v>17887</v>
      </c>
      <c r="DH129" s="1">
        <v>10000</v>
      </c>
      <c r="DI129" s="1">
        <v>10000</v>
      </c>
      <c r="DJ129" s="1">
        <v>400</v>
      </c>
      <c r="DK129" s="1">
        <v>1</v>
      </c>
      <c r="DL129" s="1">
        <v>1</v>
      </c>
      <c r="DM129" s="1">
        <v>90</v>
      </c>
      <c r="DN129" s="1">
        <v>60005608</v>
      </c>
      <c r="DO129" s="1">
        <v>32767</v>
      </c>
      <c r="DP129" s="1">
        <v>0</v>
      </c>
      <c r="DR129" s="1">
        <v>2877973674</v>
      </c>
      <c r="DS129" s="1">
        <v>17888</v>
      </c>
      <c r="DT129" s="1">
        <v>3628500</v>
      </c>
      <c r="DU129" s="1">
        <v>3628500</v>
      </c>
      <c r="DV129" s="1">
        <v>344</v>
      </c>
      <c r="DW129" s="1">
        <v>1</v>
      </c>
      <c r="DX129" s="1">
        <v>0</v>
      </c>
      <c r="DY129" s="1">
        <v>7</v>
      </c>
      <c r="DZ129" s="1">
        <v>60003760</v>
      </c>
      <c r="EA129" s="1">
        <v>32767</v>
      </c>
      <c r="EB129" s="1">
        <v>8</v>
      </c>
      <c r="ED129" s="1">
        <v>2854216207</v>
      </c>
      <c r="EE129" s="1">
        <v>16273</v>
      </c>
      <c r="EF129" s="1">
        <v>29884</v>
      </c>
      <c r="EG129" s="1">
        <v>16884</v>
      </c>
      <c r="EH129" s="1">
        <v>420</v>
      </c>
      <c r="EI129" s="1">
        <v>1</v>
      </c>
      <c r="EJ129" s="1">
        <v>0</v>
      </c>
      <c r="EK129" s="1">
        <v>90</v>
      </c>
      <c r="EL129" s="1">
        <v>60000967</v>
      </c>
      <c r="EM129" s="1">
        <v>32767</v>
      </c>
      <c r="EN129" s="1">
        <v>8</v>
      </c>
      <c r="EP129"/>
      <c r="EQ129"/>
      <c r="ER129"/>
      <c r="ES129"/>
      <c r="ET129"/>
      <c r="EU129"/>
      <c r="EV129"/>
      <c r="EW129"/>
      <c r="EX129"/>
      <c r="EY129"/>
      <c r="EZ129"/>
      <c r="FB129" s="1">
        <v>2877254287</v>
      </c>
      <c r="FC129" s="1">
        <v>30259</v>
      </c>
      <c r="FD129" s="1">
        <v>1000</v>
      </c>
      <c r="FE129" s="1">
        <v>284</v>
      </c>
      <c r="FF129" s="1">
        <v>5593307.6100000003</v>
      </c>
      <c r="FG129" s="1">
        <v>1</v>
      </c>
      <c r="FH129" s="1">
        <v>1</v>
      </c>
      <c r="FI129" s="1">
        <v>90</v>
      </c>
      <c r="FJ129" s="1">
        <v>60003760</v>
      </c>
      <c r="FK129" s="1">
        <v>-1</v>
      </c>
      <c r="FL129" s="1">
        <v>0</v>
      </c>
      <c r="FZ129" s="1">
        <v>2870475440</v>
      </c>
      <c r="GA129" s="1">
        <v>44</v>
      </c>
      <c r="GB129" s="1">
        <v>30000</v>
      </c>
      <c r="GC129" s="1">
        <v>1299</v>
      </c>
      <c r="GD129" s="1">
        <v>12500</v>
      </c>
      <c r="GE129" s="1">
        <v>1</v>
      </c>
      <c r="GF129" s="1">
        <v>1</v>
      </c>
      <c r="GG129" s="1">
        <v>90</v>
      </c>
      <c r="GH129" s="1">
        <v>60004474</v>
      </c>
      <c r="GI129" s="1">
        <v>0</v>
      </c>
      <c r="GJ129" s="1">
        <v>0</v>
      </c>
      <c r="GL129" s="1">
        <v>2415308170</v>
      </c>
      <c r="GM129" s="1">
        <v>16681</v>
      </c>
      <c r="GN129" s="1">
        <v>63300</v>
      </c>
      <c r="GO129" s="1">
        <v>63300</v>
      </c>
      <c r="GP129" s="1">
        <v>6026</v>
      </c>
      <c r="GQ129" s="1">
        <v>1</v>
      </c>
      <c r="GR129" s="1">
        <v>1</v>
      </c>
      <c r="GS129" s="1">
        <v>90</v>
      </c>
      <c r="GT129" s="1">
        <v>60003760</v>
      </c>
      <c r="GU129" s="1">
        <v>-1</v>
      </c>
      <c r="GV129" s="1">
        <v>0</v>
      </c>
      <c r="JF129" s="1">
        <v>2869986413</v>
      </c>
      <c r="JG129" s="1">
        <v>16272</v>
      </c>
      <c r="JH129" s="1">
        <v>83250</v>
      </c>
      <c r="JI129" s="1">
        <v>83250</v>
      </c>
      <c r="JJ129" s="1">
        <v>70.739999999999995</v>
      </c>
      <c r="JK129" s="1">
        <v>1</v>
      </c>
      <c r="JL129" s="1">
        <v>1</v>
      </c>
      <c r="JM129" s="1">
        <v>90</v>
      </c>
      <c r="JN129" s="1">
        <v>60003760</v>
      </c>
      <c r="JO129" s="1">
        <v>-1</v>
      </c>
      <c r="JP129" s="1">
        <v>0</v>
      </c>
      <c r="KD129"/>
      <c r="KE129"/>
      <c r="KF129"/>
      <c r="KG129"/>
      <c r="KH129"/>
      <c r="KI129"/>
      <c r="KJ129"/>
      <c r="KK129"/>
      <c r="KL129"/>
      <c r="KM129"/>
      <c r="KN129"/>
      <c r="KP129"/>
      <c r="KQ129"/>
      <c r="KR129"/>
      <c r="KS129"/>
      <c r="KT129"/>
      <c r="KU129"/>
      <c r="KV129"/>
      <c r="KW129"/>
      <c r="KX129"/>
      <c r="KY129"/>
      <c r="KZ129"/>
      <c r="LB129" s="1">
        <v>2848074438</v>
      </c>
      <c r="LC129" s="1">
        <v>9832</v>
      </c>
      <c r="LD129" s="1">
        <v>100000</v>
      </c>
      <c r="LE129" s="1">
        <v>96765</v>
      </c>
      <c r="LF129" s="1">
        <v>8211.16</v>
      </c>
      <c r="LG129" s="1">
        <v>1</v>
      </c>
      <c r="LH129" s="1">
        <v>1</v>
      </c>
      <c r="LI129" s="1">
        <v>90</v>
      </c>
      <c r="LJ129" s="1">
        <v>60003760</v>
      </c>
      <c r="LK129" s="1">
        <v>-1</v>
      </c>
      <c r="LL129" s="1">
        <v>0</v>
      </c>
      <c r="NV129" s="1">
        <v>2875846446</v>
      </c>
      <c r="NW129" s="1">
        <v>3689</v>
      </c>
      <c r="NX129" s="1">
        <v>100000</v>
      </c>
      <c r="NY129" s="1">
        <v>100000</v>
      </c>
      <c r="NZ129" s="1">
        <v>9351.09</v>
      </c>
      <c r="OA129" s="1">
        <v>1</v>
      </c>
      <c r="OB129" s="1">
        <v>1</v>
      </c>
      <c r="OC129" s="1">
        <v>90</v>
      </c>
      <c r="OD129" s="1">
        <v>60003760</v>
      </c>
      <c r="OE129" s="1">
        <v>-1</v>
      </c>
      <c r="OF129" s="1">
        <v>0</v>
      </c>
      <c r="OH129" s="1">
        <v>2815754917</v>
      </c>
      <c r="OI129" s="1">
        <v>25598</v>
      </c>
      <c r="OJ129" s="1">
        <v>72</v>
      </c>
      <c r="OK129" s="1">
        <v>72</v>
      </c>
      <c r="OL129" s="1">
        <v>139980</v>
      </c>
      <c r="OM129" s="1">
        <v>1</v>
      </c>
      <c r="ON129" s="1">
        <v>0</v>
      </c>
      <c r="OO129" s="1">
        <v>90</v>
      </c>
      <c r="OP129" s="1">
        <v>60004054</v>
      </c>
      <c r="OQ129" s="1">
        <v>32767</v>
      </c>
      <c r="OR129" s="1">
        <v>6</v>
      </c>
      <c r="OT129" s="1">
        <v>2867832304</v>
      </c>
      <c r="OU129" s="1">
        <v>25600</v>
      </c>
      <c r="OV129" s="1">
        <v>3000</v>
      </c>
      <c r="OW129" s="1">
        <v>3000</v>
      </c>
      <c r="OX129" s="1">
        <v>1</v>
      </c>
      <c r="OY129" s="1">
        <v>1</v>
      </c>
      <c r="OZ129" s="1">
        <v>1</v>
      </c>
      <c r="PA129" s="1">
        <v>30</v>
      </c>
      <c r="PB129" s="1">
        <v>60003760</v>
      </c>
      <c r="PC129" s="1">
        <v>-1</v>
      </c>
      <c r="PD129" s="1">
        <v>0</v>
      </c>
      <c r="PF129" s="1">
        <v>2878776105</v>
      </c>
      <c r="PG129" s="1">
        <v>16670</v>
      </c>
      <c r="PH129" s="1">
        <v>6000000</v>
      </c>
      <c r="PI129" s="1">
        <v>6000000</v>
      </c>
      <c r="PJ129" s="1">
        <v>108.21</v>
      </c>
      <c r="PK129" s="1">
        <v>1</v>
      </c>
      <c r="PL129" s="1">
        <v>1</v>
      </c>
      <c r="PM129" s="1">
        <v>14</v>
      </c>
      <c r="PN129" s="1">
        <v>60003760</v>
      </c>
      <c r="PO129" s="1">
        <v>-1</v>
      </c>
      <c r="PP129" s="1">
        <v>0</v>
      </c>
      <c r="SX129" s="1">
        <v>2877830611</v>
      </c>
      <c r="SY129" s="1">
        <v>25595</v>
      </c>
      <c r="SZ129" s="1">
        <v>3</v>
      </c>
      <c r="TA129" s="1">
        <v>3</v>
      </c>
      <c r="TB129" s="1">
        <v>70000</v>
      </c>
      <c r="TC129" s="1">
        <v>1</v>
      </c>
      <c r="TD129" s="1">
        <v>0</v>
      </c>
      <c r="TE129" s="1">
        <v>1</v>
      </c>
      <c r="TF129" s="1">
        <v>60003754</v>
      </c>
      <c r="TG129" s="1">
        <v>32767</v>
      </c>
      <c r="TH129" s="1">
        <v>7</v>
      </c>
      <c r="TJ129" s="1">
        <v>2867756450</v>
      </c>
      <c r="TK129" s="1">
        <v>25606</v>
      </c>
      <c r="TL129" s="1">
        <v>1000</v>
      </c>
      <c r="TM129" s="1">
        <v>574</v>
      </c>
      <c r="TN129" s="1">
        <v>21000</v>
      </c>
      <c r="TO129" s="1">
        <v>1</v>
      </c>
      <c r="TP129" s="1">
        <v>1</v>
      </c>
      <c r="TQ129" s="1">
        <v>30</v>
      </c>
      <c r="TR129" s="1">
        <v>60012667</v>
      </c>
      <c r="TS129" s="1">
        <v>-1</v>
      </c>
      <c r="TT129" s="1">
        <v>0</v>
      </c>
    </row>
    <row r="130" spans="2:540" x14ac:dyDescent="0.25">
      <c r="B130" s="1">
        <v>2834649010</v>
      </c>
      <c r="C130" s="1">
        <v>34</v>
      </c>
      <c r="D130" s="1">
        <v>137745069</v>
      </c>
      <c r="E130" s="1">
        <v>137745069</v>
      </c>
      <c r="F130" s="1">
        <v>6.11</v>
      </c>
      <c r="G130" s="1">
        <v>1</v>
      </c>
      <c r="H130" s="1">
        <v>0</v>
      </c>
      <c r="I130" s="1">
        <v>90</v>
      </c>
      <c r="J130" s="1">
        <v>60003760</v>
      </c>
      <c r="K130" s="1">
        <v>32767</v>
      </c>
      <c r="L130" s="1">
        <v>0</v>
      </c>
      <c r="N130" s="1">
        <v>2870963831</v>
      </c>
      <c r="O130" s="1">
        <v>35</v>
      </c>
      <c r="P130" s="1">
        <v>190030</v>
      </c>
      <c r="Q130" s="1">
        <v>190030</v>
      </c>
      <c r="R130" s="1">
        <v>15.23</v>
      </c>
      <c r="S130" s="1">
        <v>1</v>
      </c>
      <c r="T130" s="1">
        <v>0</v>
      </c>
      <c r="U130" s="1">
        <v>7</v>
      </c>
      <c r="V130" s="1">
        <v>60003760</v>
      </c>
      <c r="W130" s="1">
        <v>32767</v>
      </c>
      <c r="X130" s="1">
        <v>0</v>
      </c>
      <c r="Z130" s="1">
        <v>2843072358</v>
      </c>
      <c r="AA130" s="1">
        <v>36</v>
      </c>
      <c r="AB130" s="1">
        <v>7815650</v>
      </c>
      <c r="AC130" s="1">
        <v>7815650</v>
      </c>
      <c r="AD130" s="16">
        <v>51.99</v>
      </c>
      <c r="AE130" s="1">
        <v>1</v>
      </c>
      <c r="AF130" s="1">
        <v>0</v>
      </c>
      <c r="AG130" s="1">
        <v>90</v>
      </c>
      <c r="AH130" s="1">
        <v>60003760</v>
      </c>
      <c r="AI130" s="1">
        <v>32767</v>
      </c>
      <c r="AJ130" s="1">
        <v>11</v>
      </c>
      <c r="AL130" s="1">
        <v>2779887229</v>
      </c>
      <c r="AM130" s="1">
        <v>37</v>
      </c>
      <c r="AN130" s="1">
        <v>2224272</v>
      </c>
      <c r="AO130" s="1">
        <v>399425</v>
      </c>
      <c r="AP130" s="16">
        <v>175</v>
      </c>
      <c r="AQ130" s="1">
        <v>1</v>
      </c>
      <c r="AR130" s="1">
        <v>0</v>
      </c>
      <c r="AS130" s="1">
        <v>90</v>
      </c>
      <c r="AT130" s="1">
        <v>60003073</v>
      </c>
      <c r="AU130" s="1">
        <v>32767</v>
      </c>
      <c r="AV130" s="1">
        <v>9</v>
      </c>
      <c r="AX130" s="1">
        <v>2879096512</v>
      </c>
      <c r="AY130" s="1">
        <v>38</v>
      </c>
      <c r="AZ130" s="1">
        <v>786764</v>
      </c>
      <c r="BA130" s="1">
        <v>563168</v>
      </c>
      <c r="BB130" s="1">
        <v>809.79</v>
      </c>
      <c r="BC130" s="1">
        <v>1</v>
      </c>
      <c r="BD130" s="1">
        <v>0</v>
      </c>
      <c r="BE130" s="1">
        <v>90</v>
      </c>
      <c r="BF130" s="1">
        <v>60003760</v>
      </c>
      <c r="BG130" s="1">
        <v>32767</v>
      </c>
      <c r="BH130" s="1">
        <v>0</v>
      </c>
      <c r="BJ130" s="1">
        <v>2781153893</v>
      </c>
      <c r="BK130" s="1">
        <v>39</v>
      </c>
      <c r="BL130" s="1">
        <v>5000</v>
      </c>
      <c r="BM130" s="1">
        <v>4586</v>
      </c>
      <c r="BN130" s="1">
        <v>750</v>
      </c>
      <c r="BO130" s="1">
        <v>1</v>
      </c>
      <c r="BP130" s="1">
        <v>1</v>
      </c>
      <c r="BQ130" s="1">
        <v>90</v>
      </c>
      <c r="BR130" s="1">
        <v>60004231</v>
      </c>
      <c r="BS130" s="1">
        <v>-1</v>
      </c>
      <c r="BT130" s="1">
        <v>0</v>
      </c>
      <c r="BV130" s="1">
        <v>2414966612</v>
      </c>
      <c r="BW130" s="1">
        <v>40</v>
      </c>
      <c r="BX130" s="1">
        <v>1000</v>
      </c>
      <c r="BY130" s="1">
        <v>1000</v>
      </c>
      <c r="BZ130" s="1">
        <v>2731</v>
      </c>
      <c r="CA130" s="1">
        <v>1</v>
      </c>
      <c r="CB130" s="1">
        <v>0</v>
      </c>
      <c r="CC130" s="1">
        <v>3</v>
      </c>
      <c r="CD130" s="1">
        <v>60003760</v>
      </c>
      <c r="CE130" s="1">
        <v>32767</v>
      </c>
      <c r="CF130" s="1">
        <v>13</v>
      </c>
      <c r="CH130" s="1">
        <v>2415665451</v>
      </c>
      <c r="CI130" s="1">
        <v>29668</v>
      </c>
      <c r="CJ130" s="1">
        <v>5</v>
      </c>
      <c r="CK130" s="1">
        <v>2</v>
      </c>
      <c r="CL130" s="1">
        <v>494967996.97000003</v>
      </c>
      <c r="CM130" s="1">
        <v>1</v>
      </c>
      <c r="CN130" s="1">
        <v>0</v>
      </c>
      <c r="CO130" s="1">
        <v>1</v>
      </c>
      <c r="CP130" s="1">
        <v>60003760</v>
      </c>
      <c r="CQ130" s="1">
        <v>32767</v>
      </c>
      <c r="CR130" s="1">
        <v>0</v>
      </c>
      <c r="CT130" s="1">
        <v>2415273896</v>
      </c>
      <c r="CU130" s="1">
        <v>16649</v>
      </c>
      <c r="CV130" s="1">
        <v>54698</v>
      </c>
      <c r="CW130" s="1">
        <v>54698</v>
      </c>
      <c r="CX130" s="1">
        <v>99501.08</v>
      </c>
      <c r="CY130" s="1">
        <v>1</v>
      </c>
      <c r="CZ130" s="1">
        <v>1</v>
      </c>
      <c r="DA130" s="1">
        <v>90</v>
      </c>
      <c r="DB130" s="1">
        <v>60003760</v>
      </c>
      <c r="DC130" s="1">
        <v>-1</v>
      </c>
      <c r="DD130" s="1">
        <v>0</v>
      </c>
      <c r="DF130" s="1">
        <v>2412815139</v>
      </c>
      <c r="DG130" s="1">
        <v>17887</v>
      </c>
      <c r="DH130" s="1">
        <v>1000000</v>
      </c>
      <c r="DI130" s="1">
        <v>1000000</v>
      </c>
      <c r="DJ130" s="1">
        <v>878.5</v>
      </c>
      <c r="DK130" s="1">
        <v>1</v>
      </c>
      <c r="DL130" s="1">
        <v>1</v>
      </c>
      <c r="DM130" s="1">
        <v>90</v>
      </c>
      <c r="DN130" s="1">
        <v>60003760</v>
      </c>
      <c r="DO130" s="1">
        <v>-1</v>
      </c>
      <c r="DP130" s="1">
        <v>0</v>
      </c>
      <c r="DR130" s="1">
        <v>2878209206</v>
      </c>
      <c r="DS130" s="1">
        <v>17888</v>
      </c>
      <c r="DT130" s="1">
        <v>300000</v>
      </c>
      <c r="DU130" s="1">
        <v>300000</v>
      </c>
      <c r="DV130" s="1">
        <v>339.95</v>
      </c>
      <c r="DW130" s="1">
        <v>1</v>
      </c>
      <c r="DX130" s="1">
        <v>0</v>
      </c>
      <c r="DY130" s="1">
        <v>90</v>
      </c>
      <c r="DZ130" s="1">
        <v>60003760</v>
      </c>
      <c r="EA130" s="1">
        <v>32767</v>
      </c>
      <c r="EB130" s="1">
        <v>8</v>
      </c>
      <c r="ED130" s="1">
        <v>2873730877</v>
      </c>
      <c r="EE130" s="1">
        <v>16273</v>
      </c>
      <c r="EF130" s="1">
        <v>9805</v>
      </c>
      <c r="EG130" s="1">
        <v>4551</v>
      </c>
      <c r="EH130" s="1">
        <v>419</v>
      </c>
      <c r="EI130" s="1">
        <v>1</v>
      </c>
      <c r="EJ130" s="1">
        <v>0</v>
      </c>
      <c r="EK130" s="1">
        <v>90</v>
      </c>
      <c r="EL130" s="1">
        <v>60000967</v>
      </c>
      <c r="EM130" s="1">
        <v>32767</v>
      </c>
      <c r="EN130" s="1">
        <v>8</v>
      </c>
      <c r="EP130"/>
      <c r="EQ130"/>
      <c r="ER130"/>
      <c r="ES130"/>
      <c r="ET130"/>
      <c r="EU130"/>
      <c r="EV130"/>
      <c r="EW130"/>
      <c r="EX130"/>
      <c r="EY130"/>
      <c r="EZ130"/>
      <c r="FB130" s="1">
        <v>2876986458</v>
      </c>
      <c r="FC130" s="1">
        <v>30259</v>
      </c>
      <c r="FD130" s="1">
        <v>600</v>
      </c>
      <c r="FE130" s="1">
        <v>506</v>
      </c>
      <c r="FF130" s="1">
        <v>5593307.6200000001</v>
      </c>
      <c r="FG130" s="1">
        <v>1</v>
      </c>
      <c r="FH130" s="1">
        <v>1</v>
      </c>
      <c r="FI130" s="1">
        <v>90</v>
      </c>
      <c r="FJ130" s="1">
        <v>60003760</v>
      </c>
      <c r="FK130" s="1">
        <v>-1</v>
      </c>
      <c r="FL130" s="1">
        <v>0</v>
      </c>
      <c r="FZ130" s="1">
        <v>2845573475</v>
      </c>
      <c r="GA130" s="1">
        <v>44</v>
      </c>
      <c r="GB130" s="1">
        <v>5000</v>
      </c>
      <c r="GC130" s="1">
        <v>4990</v>
      </c>
      <c r="GD130" s="1">
        <v>8600</v>
      </c>
      <c r="GE130" s="1">
        <v>1</v>
      </c>
      <c r="GF130" s="1">
        <v>1</v>
      </c>
      <c r="GG130" s="1">
        <v>90</v>
      </c>
      <c r="GH130" s="1">
        <v>60015027</v>
      </c>
      <c r="GI130" s="1">
        <v>-1</v>
      </c>
      <c r="GJ130" s="1">
        <v>0</v>
      </c>
      <c r="GL130" s="1">
        <v>2415337496</v>
      </c>
      <c r="GM130" s="1">
        <v>16681</v>
      </c>
      <c r="GN130" s="1">
        <v>2115</v>
      </c>
      <c r="GO130" s="1">
        <v>2115</v>
      </c>
      <c r="GP130" s="1">
        <v>6026</v>
      </c>
      <c r="GQ130" s="1">
        <v>1</v>
      </c>
      <c r="GR130" s="1">
        <v>1</v>
      </c>
      <c r="GS130" s="1">
        <v>90</v>
      </c>
      <c r="GT130" s="1">
        <v>60003760</v>
      </c>
      <c r="GU130" s="1">
        <v>-1</v>
      </c>
      <c r="GV130" s="1">
        <v>0</v>
      </c>
      <c r="JF130" s="1">
        <v>2870049943</v>
      </c>
      <c r="JG130" s="1">
        <v>16272</v>
      </c>
      <c r="JH130" s="1">
        <v>20000000</v>
      </c>
      <c r="JI130" s="1">
        <v>16614092</v>
      </c>
      <c r="JJ130" s="1">
        <v>48.57</v>
      </c>
      <c r="JK130" s="1">
        <v>1</v>
      </c>
      <c r="JL130" s="1">
        <v>1</v>
      </c>
      <c r="JM130" s="1">
        <v>90</v>
      </c>
      <c r="JN130" s="1">
        <v>60003760</v>
      </c>
      <c r="JO130" s="1">
        <v>32767</v>
      </c>
      <c r="JP130" s="1">
        <v>0</v>
      </c>
      <c r="KD130"/>
      <c r="KE130"/>
      <c r="KF130"/>
      <c r="KG130"/>
      <c r="KH130"/>
      <c r="KI130"/>
      <c r="KJ130"/>
      <c r="KK130"/>
      <c r="KL130"/>
      <c r="KM130"/>
      <c r="KN130"/>
      <c r="KP130"/>
      <c r="KQ130"/>
      <c r="KR130"/>
      <c r="KS130"/>
      <c r="KT130"/>
      <c r="KU130"/>
      <c r="KV130"/>
      <c r="KW130"/>
      <c r="KX130"/>
      <c r="KY130"/>
      <c r="KZ130"/>
      <c r="LB130" s="1">
        <v>2861753525</v>
      </c>
      <c r="LC130" s="1">
        <v>9832</v>
      </c>
      <c r="LD130" s="1">
        <v>260000</v>
      </c>
      <c r="LE130" s="1">
        <v>181232</v>
      </c>
      <c r="LF130" s="1">
        <v>8625.23</v>
      </c>
      <c r="LG130" s="1">
        <v>1</v>
      </c>
      <c r="LH130" s="1">
        <v>1</v>
      </c>
      <c r="LI130" s="1">
        <v>90</v>
      </c>
      <c r="LJ130" s="1">
        <v>60003760</v>
      </c>
      <c r="LK130" s="1">
        <v>-1</v>
      </c>
      <c r="LL130" s="1">
        <v>0</v>
      </c>
      <c r="NV130" s="1">
        <v>2627238038</v>
      </c>
      <c r="NW130" s="1">
        <v>3689</v>
      </c>
      <c r="NX130" s="1">
        <v>10000</v>
      </c>
      <c r="NY130" s="1">
        <v>9791</v>
      </c>
      <c r="NZ130" s="1">
        <v>1402.09</v>
      </c>
      <c r="OA130" s="1">
        <v>1</v>
      </c>
      <c r="OB130" s="1">
        <v>1</v>
      </c>
      <c r="OC130" s="1">
        <v>90</v>
      </c>
      <c r="OD130" s="1">
        <v>60003136</v>
      </c>
      <c r="OE130" s="1">
        <v>10</v>
      </c>
      <c r="OF130" s="1">
        <v>0</v>
      </c>
      <c r="OH130" s="1">
        <v>2851276213</v>
      </c>
      <c r="OI130" s="1">
        <v>25598</v>
      </c>
      <c r="OJ130" s="1">
        <v>221</v>
      </c>
      <c r="OK130" s="1">
        <v>221</v>
      </c>
      <c r="OL130" s="1">
        <v>159000</v>
      </c>
      <c r="OM130" s="1">
        <v>1</v>
      </c>
      <c r="ON130" s="1">
        <v>0</v>
      </c>
      <c r="OO130" s="1">
        <v>90</v>
      </c>
      <c r="OP130" s="1">
        <v>60004054</v>
      </c>
      <c r="OQ130" s="1">
        <v>32767</v>
      </c>
      <c r="OR130" s="1">
        <v>6</v>
      </c>
      <c r="OT130" s="1">
        <v>2869670490</v>
      </c>
      <c r="OU130" s="1">
        <v>25600</v>
      </c>
      <c r="OV130" s="1">
        <v>15000</v>
      </c>
      <c r="OW130" s="1">
        <v>13676</v>
      </c>
      <c r="OX130" s="1">
        <v>28013.75</v>
      </c>
      <c r="OY130" s="1">
        <v>1</v>
      </c>
      <c r="OZ130" s="1">
        <v>1</v>
      </c>
      <c r="PA130" s="1">
        <v>14</v>
      </c>
      <c r="PB130" s="1">
        <v>60003760</v>
      </c>
      <c r="PC130" s="1">
        <v>-1</v>
      </c>
      <c r="PD130" s="1">
        <v>0</v>
      </c>
      <c r="PF130" s="1">
        <v>2878271812</v>
      </c>
      <c r="PG130" s="1">
        <v>16670</v>
      </c>
      <c r="PH130" s="1">
        <v>22769000</v>
      </c>
      <c r="PI130" s="1">
        <v>20397575</v>
      </c>
      <c r="PJ130" s="1">
        <v>108.23</v>
      </c>
      <c r="PK130" s="1">
        <v>1</v>
      </c>
      <c r="PL130" s="1">
        <v>1</v>
      </c>
      <c r="PM130" s="1">
        <v>90</v>
      </c>
      <c r="PN130" s="1">
        <v>60003760</v>
      </c>
      <c r="PO130" s="1">
        <v>-1</v>
      </c>
      <c r="PP130" s="1">
        <v>0</v>
      </c>
      <c r="SX130" s="1">
        <v>2878140543</v>
      </c>
      <c r="SY130" s="1">
        <v>25595</v>
      </c>
      <c r="SZ130" s="1">
        <v>133</v>
      </c>
      <c r="TA130" s="1">
        <v>133</v>
      </c>
      <c r="TB130" s="1">
        <v>80000</v>
      </c>
      <c r="TC130" s="1">
        <v>1</v>
      </c>
      <c r="TD130" s="1">
        <v>0</v>
      </c>
      <c r="TE130" s="1">
        <v>90</v>
      </c>
      <c r="TF130" s="1">
        <v>60002956</v>
      </c>
      <c r="TG130" s="1">
        <v>32767</v>
      </c>
      <c r="TH130" s="1">
        <v>7</v>
      </c>
      <c r="TJ130" s="1">
        <v>2875098128</v>
      </c>
      <c r="TK130" s="1">
        <v>25606</v>
      </c>
      <c r="TL130" s="1">
        <v>3000</v>
      </c>
      <c r="TM130" s="1">
        <v>2453</v>
      </c>
      <c r="TN130" s="1">
        <v>20000</v>
      </c>
      <c r="TO130" s="1">
        <v>1</v>
      </c>
      <c r="TP130" s="1">
        <v>1</v>
      </c>
      <c r="TQ130" s="1">
        <v>90</v>
      </c>
      <c r="TR130" s="1">
        <v>60015027</v>
      </c>
      <c r="TS130" s="1">
        <v>3</v>
      </c>
      <c r="TT130" s="1">
        <v>0</v>
      </c>
    </row>
    <row r="131" spans="2:540" x14ac:dyDescent="0.25">
      <c r="B131" s="1">
        <v>2834980789</v>
      </c>
      <c r="C131" s="1">
        <v>34</v>
      </c>
      <c r="D131" s="1">
        <v>4806543</v>
      </c>
      <c r="E131" s="1">
        <v>4806543</v>
      </c>
      <c r="F131" s="1">
        <v>6.1</v>
      </c>
      <c r="G131" s="1">
        <v>1</v>
      </c>
      <c r="H131" s="1">
        <v>0</v>
      </c>
      <c r="I131" s="1">
        <v>90</v>
      </c>
      <c r="J131" s="1">
        <v>60003760</v>
      </c>
      <c r="K131" s="1">
        <v>32767</v>
      </c>
      <c r="L131" s="1">
        <v>0</v>
      </c>
      <c r="N131" s="1">
        <v>2871027987</v>
      </c>
      <c r="O131" s="1">
        <v>35</v>
      </c>
      <c r="P131" s="1">
        <v>85393</v>
      </c>
      <c r="Q131" s="1">
        <v>85393</v>
      </c>
      <c r="R131" s="1">
        <v>15.24</v>
      </c>
      <c r="S131" s="1">
        <v>1</v>
      </c>
      <c r="T131" s="1">
        <v>0</v>
      </c>
      <c r="U131" s="1">
        <v>7</v>
      </c>
      <c r="V131" s="1">
        <v>60003760</v>
      </c>
      <c r="W131" s="1">
        <v>32767</v>
      </c>
      <c r="X131" s="1">
        <v>0</v>
      </c>
      <c r="Z131" s="1">
        <v>2843440174</v>
      </c>
      <c r="AA131" s="1">
        <v>36</v>
      </c>
      <c r="AB131" s="1">
        <v>7962188</v>
      </c>
      <c r="AC131" s="1">
        <v>7962188</v>
      </c>
      <c r="AD131" s="16">
        <v>54</v>
      </c>
      <c r="AE131" s="1">
        <v>1</v>
      </c>
      <c r="AF131" s="1">
        <v>0</v>
      </c>
      <c r="AG131" s="1">
        <v>90</v>
      </c>
      <c r="AH131" s="1">
        <v>60003760</v>
      </c>
      <c r="AI131" s="1">
        <v>32767</v>
      </c>
      <c r="AJ131" s="1">
        <v>11</v>
      </c>
      <c r="AL131" s="1">
        <v>2817594778</v>
      </c>
      <c r="AM131" s="1">
        <v>37</v>
      </c>
      <c r="AN131" s="1">
        <v>1496056</v>
      </c>
      <c r="AO131" s="1">
        <v>1420956</v>
      </c>
      <c r="AP131" s="16">
        <v>270</v>
      </c>
      <c r="AQ131" s="1">
        <v>1</v>
      </c>
      <c r="AR131" s="1">
        <v>0</v>
      </c>
      <c r="AS131" s="1">
        <v>90</v>
      </c>
      <c r="AT131" s="1">
        <v>60004474</v>
      </c>
      <c r="AU131" s="1">
        <v>32767</v>
      </c>
      <c r="AV131" s="1">
        <v>2</v>
      </c>
      <c r="AX131" s="1">
        <v>2878753866</v>
      </c>
      <c r="AY131" s="1">
        <v>38</v>
      </c>
      <c r="AZ131" s="1">
        <v>935299</v>
      </c>
      <c r="BA131" s="1">
        <v>935299</v>
      </c>
      <c r="BB131" s="1">
        <v>809.79</v>
      </c>
      <c r="BC131" s="1">
        <v>1</v>
      </c>
      <c r="BD131" s="1">
        <v>0</v>
      </c>
      <c r="BE131" s="1">
        <v>90</v>
      </c>
      <c r="BF131" s="1">
        <v>60003760</v>
      </c>
      <c r="BG131" s="1">
        <v>32767</v>
      </c>
      <c r="BH131" s="1">
        <v>5</v>
      </c>
      <c r="BJ131" s="1">
        <v>2684511203</v>
      </c>
      <c r="BK131" s="1">
        <v>39</v>
      </c>
      <c r="BL131" s="1">
        <v>1000000</v>
      </c>
      <c r="BM131" s="1">
        <v>701561</v>
      </c>
      <c r="BN131" s="1">
        <v>555.97</v>
      </c>
      <c r="BO131" s="1">
        <v>1</v>
      </c>
      <c r="BP131" s="1">
        <v>1</v>
      </c>
      <c r="BQ131" s="1">
        <v>90</v>
      </c>
      <c r="BR131" s="1">
        <v>60003007</v>
      </c>
      <c r="BS131" s="1">
        <v>20</v>
      </c>
      <c r="BT131" s="1">
        <v>0</v>
      </c>
      <c r="BV131" s="1">
        <v>2415004847</v>
      </c>
      <c r="BW131" s="1">
        <v>40</v>
      </c>
      <c r="BX131" s="1">
        <v>3242</v>
      </c>
      <c r="BY131" s="1">
        <v>3242</v>
      </c>
      <c r="BZ131" s="1">
        <v>2699.99</v>
      </c>
      <c r="CA131" s="1">
        <v>1</v>
      </c>
      <c r="CB131" s="1">
        <v>0</v>
      </c>
      <c r="CC131" s="1">
        <v>1</v>
      </c>
      <c r="CD131" s="1">
        <v>60004369</v>
      </c>
      <c r="CE131" s="1">
        <v>32767</v>
      </c>
      <c r="CF131" s="1">
        <v>16</v>
      </c>
      <c r="CH131" s="1">
        <v>2415677313</v>
      </c>
      <c r="CI131" s="1">
        <v>29668</v>
      </c>
      <c r="CJ131" s="1">
        <v>1</v>
      </c>
      <c r="CK131" s="1">
        <v>1</v>
      </c>
      <c r="CL131" s="1">
        <v>494945150.91000003</v>
      </c>
      <c r="CM131" s="1">
        <v>1</v>
      </c>
      <c r="CN131" s="1">
        <v>0</v>
      </c>
      <c r="CO131" s="1">
        <v>90</v>
      </c>
      <c r="CP131" s="1">
        <v>60003760</v>
      </c>
      <c r="CQ131" s="1">
        <v>32767</v>
      </c>
      <c r="CR131" s="1">
        <v>0</v>
      </c>
      <c r="CT131" s="1">
        <v>2411852081</v>
      </c>
      <c r="CU131" s="1">
        <v>16649</v>
      </c>
      <c r="CV131" s="1">
        <v>14400</v>
      </c>
      <c r="CW131" s="1">
        <v>14399</v>
      </c>
      <c r="CX131" s="1">
        <v>95512.8</v>
      </c>
      <c r="CY131" s="1">
        <v>1</v>
      </c>
      <c r="CZ131" s="1">
        <v>1</v>
      </c>
      <c r="DA131" s="1">
        <v>90</v>
      </c>
      <c r="DB131" s="1">
        <v>60003760</v>
      </c>
      <c r="DC131" s="1">
        <v>-1</v>
      </c>
      <c r="DD131" s="1">
        <v>0</v>
      </c>
      <c r="DF131" s="1">
        <v>2412140442</v>
      </c>
      <c r="DG131" s="1">
        <v>17887</v>
      </c>
      <c r="DH131" s="1">
        <v>500000</v>
      </c>
      <c r="DI131" s="1">
        <v>466391</v>
      </c>
      <c r="DJ131" s="1">
        <v>751.15</v>
      </c>
      <c r="DK131" s="1">
        <v>1</v>
      </c>
      <c r="DL131" s="1">
        <v>1</v>
      </c>
      <c r="DM131" s="1">
        <v>90</v>
      </c>
      <c r="DN131" s="1">
        <v>60003760</v>
      </c>
      <c r="DO131" s="1">
        <v>32767</v>
      </c>
      <c r="DP131" s="1">
        <v>0</v>
      </c>
      <c r="DR131" s="1">
        <v>2878188538</v>
      </c>
      <c r="DS131" s="1">
        <v>17888</v>
      </c>
      <c r="DT131" s="1">
        <v>161165</v>
      </c>
      <c r="DU131" s="1">
        <v>94499</v>
      </c>
      <c r="DV131" s="1">
        <v>339.97</v>
      </c>
      <c r="DW131" s="1">
        <v>1</v>
      </c>
      <c r="DX131" s="1">
        <v>0</v>
      </c>
      <c r="DY131" s="1">
        <v>90</v>
      </c>
      <c r="DZ131" s="1">
        <v>60003760</v>
      </c>
      <c r="EA131" s="1">
        <v>32767</v>
      </c>
      <c r="EB131" s="1">
        <v>8</v>
      </c>
      <c r="ED131" s="1">
        <v>2878383763</v>
      </c>
      <c r="EE131" s="1">
        <v>16273</v>
      </c>
      <c r="EF131" s="1">
        <v>1356001</v>
      </c>
      <c r="EG131" s="1">
        <v>1356001</v>
      </c>
      <c r="EH131" s="1">
        <v>371.76</v>
      </c>
      <c r="EI131" s="1">
        <v>1</v>
      </c>
      <c r="EJ131" s="1">
        <v>0</v>
      </c>
      <c r="EK131" s="1">
        <v>90</v>
      </c>
      <c r="EL131" s="1">
        <v>60003760</v>
      </c>
      <c r="EM131" s="1">
        <v>32767</v>
      </c>
      <c r="EN131" s="1">
        <v>6</v>
      </c>
      <c r="EP131"/>
      <c r="EQ131"/>
      <c r="ER131"/>
      <c r="ES131"/>
      <c r="ET131"/>
      <c r="EU131"/>
      <c r="EV131"/>
      <c r="EW131"/>
      <c r="EX131"/>
      <c r="EY131"/>
      <c r="EZ131"/>
      <c r="FB131" s="1">
        <v>2871276509</v>
      </c>
      <c r="FC131" s="1">
        <v>30259</v>
      </c>
      <c r="FD131" s="1">
        <v>50</v>
      </c>
      <c r="FE131" s="1">
        <v>50</v>
      </c>
      <c r="FF131" s="1">
        <v>4630002.0199999996</v>
      </c>
      <c r="FG131" s="1">
        <v>1</v>
      </c>
      <c r="FH131" s="1">
        <v>1</v>
      </c>
      <c r="FI131" s="1">
        <v>90</v>
      </c>
      <c r="FJ131" s="1">
        <v>60003760</v>
      </c>
      <c r="FK131" s="1">
        <v>10</v>
      </c>
      <c r="FL131" s="1">
        <v>0</v>
      </c>
      <c r="FZ131" s="1">
        <v>2783900197</v>
      </c>
      <c r="GA131" s="1">
        <v>44</v>
      </c>
      <c r="GB131" s="1">
        <v>100000</v>
      </c>
      <c r="GC131" s="1">
        <v>90915</v>
      </c>
      <c r="GD131" s="1">
        <v>9514</v>
      </c>
      <c r="GE131" s="1">
        <v>1</v>
      </c>
      <c r="GF131" s="1">
        <v>1</v>
      </c>
      <c r="GG131" s="1">
        <v>90</v>
      </c>
      <c r="GH131" s="1">
        <v>60003760</v>
      </c>
      <c r="GI131" s="1">
        <v>-1</v>
      </c>
      <c r="GJ131" s="1">
        <v>0</v>
      </c>
      <c r="GL131" s="1">
        <v>2415371625</v>
      </c>
      <c r="GM131" s="1">
        <v>16681</v>
      </c>
      <c r="GN131" s="1">
        <v>3500</v>
      </c>
      <c r="GO131" s="1">
        <v>3500</v>
      </c>
      <c r="GP131" s="1">
        <v>6028.05</v>
      </c>
      <c r="GQ131" s="1">
        <v>100</v>
      </c>
      <c r="GR131" s="1">
        <v>1</v>
      </c>
      <c r="GS131" s="1">
        <v>3</v>
      </c>
      <c r="GT131" s="1">
        <v>60003760</v>
      </c>
      <c r="GU131" s="1">
        <v>-1</v>
      </c>
      <c r="GV131" s="1">
        <v>0</v>
      </c>
      <c r="JF131" s="1">
        <v>2865082963</v>
      </c>
      <c r="JG131" s="1">
        <v>16272</v>
      </c>
      <c r="JH131" s="1">
        <v>7000000</v>
      </c>
      <c r="JI131" s="1">
        <v>6740800</v>
      </c>
      <c r="JJ131" s="1">
        <v>67.540000000000006</v>
      </c>
      <c r="JK131" s="1">
        <v>1</v>
      </c>
      <c r="JL131" s="1">
        <v>1</v>
      </c>
      <c r="JM131" s="1">
        <v>90</v>
      </c>
      <c r="JN131" s="1">
        <v>60003760</v>
      </c>
      <c r="JO131" s="1">
        <v>-1</v>
      </c>
      <c r="JP131" s="1">
        <v>0</v>
      </c>
      <c r="KD131"/>
      <c r="KE131"/>
      <c r="KF131"/>
      <c r="KG131"/>
      <c r="KH131"/>
      <c r="KI131"/>
      <c r="KJ131"/>
      <c r="KK131"/>
      <c r="KL131"/>
      <c r="KM131"/>
      <c r="KN131"/>
      <c r="KP131"/>
      <c r="KQ131"/>
      <c r="KR131"/>
      <c r="KS131"/>
      <c r="KT131"/>
      <c r="KU131"/>
      <c r="KV131"/>
      <c r="KW131"/>
      <c r="KX131"/>
      <c r="KY131"/>
      <c r="KZ131"/>
      <c r="LB131" s="1">
        <v>2861918410</v>
      </c>
      <c r="LC131" s="1">
        <v>9832</v>
      </c>
      <c r="LD131" s="1">
        <v>10000</v>
      </c>
      <c r="LE131" s="1">
        <v>4035</v>
      </c>
      <c r="LF131" s="1">
        <v>8641.73</v>
      </c>
      <c r="LG131" s="1">
        <v>1</v>
      </c>
      <c r="LH131" s="1">
        <v>1</v>
      </c>
      <c r="LI131" s="1">
        <v>90</v>
      </c>
      <c r="LJ131" s="1">
        <v>60003760</v>
      </c>
      <c r="LK131" s="1">
        <v>-1</v>
      </c>
      <c r="LL131" s="1">
        <v>0</v>
      </c>
      <c r="NV131" s="1">
        <v>2814717369</v>
      </c>
      <c r="NW131" s="1">
        <v>3689</v>
      </c>
      <c r="NX131" s="1">
        <v>1000</v>
      </c>
      <c r="NY131" s="1">
        <v>1000</v>
      </c>
      <c r="NZ131" s="1">
        <v>1500</v>
      </c>
      <c r="OA131" s="1">
        <v>1</v>
      </c>
      <c r="OB131" s="1">
        <v>1</v>
      </c>
      <c r="OC131" s="1">
        <v>90</v>
      </c>
      <c r="OD131" s="1">
        <v>60002284</v>
      </c>
      <c r="OE131" s="1">
        <v>1</v>
      </c>
      <c r="OF131" s="1">
        <v>0</v>
      </c>
      <c r="OH131" s="1">
        <v>2874583071</v>
      </c>
      <c r="OI131" s="1">
        <v>25598</v>
      </c>
      <c r="OJ131" s="1">
        <v>270</v>
      </c>
      <c r="OK131" s="1">
        <v>270</v>
      </c>
      <c r="OL131" s="1">
        <v>137000</v>
      </c>
      <c r="OM131" s="1">
        <v>1</v>
      </c>
      <c r="ON131" s="1">
        <v>0</v>
      </c>
      <c r="OO131" s="1">
        <v>7</v>
      </c>
      <c r="OP131" s="1">
        <v>60004054</v>
      </c>
      <c r="OQ131" s="1">
        <v>32767</v>
      </c>
      <c r="OR131" s="1">
        <v>6</v>
      </c>
      <c r="OT131" s="1">
        <v>2864694871</v>
      </c>
      <c r="OU131" s="1">
        <v>25600</v>
      </c>
      <c r="OV131" s="1">
        <v>7000</v>
      </c>
      <c r="OW131" s="1">
        <v>1134</v>
      </c>
      <c r="OX131" s="1">
        <v>27289.39</v>
      </c>
      <c r="OY131" s="1">
        <v>1</v>
      </c>
      <c r="OZ131" s="1">
        <v>1</v>
      </c>
      <c r="PA131" s="1">
        <v>30</v>
      </c>
      <c r="PB131" s="1">
        <v>60003760</v>
      </c>
      <c r="PC131" s="1">
        <v>-1</v>
      </c>
      <c r="PD131" s="1">
        <v>0</v>
      </c>
      <c r="PF131" s="1">
        <v>2878774757</v>
      </c>
      <c r="PG131" s="1">
        <v>16670</v>
      </c>
      <c r="PH131" s="1">
        <v>8458391</v>
      </c>
      <c r="PI131" s="1">
        <v>1604631</v>
      </c>
      <c r="PJ131" s="1">
        <v>108.24</v>
      </c>
      <c r="PK131" s="1">
        <v>1</v>
      </c>
      <c r="PL131" s="1">
        <v>1</v>
      </c>
      <c r="PM131" s="1">
        <v>90</v>
      </c>
      <c r="PN131" s="1">
        <v>60003760</v>
      </c>
      <c r="PO131" s="1">
        <v>-1</v>
      </c>
      <c r="PP131" s="1">
        <v>0</v>
      </c>
      <c r="SX131" s="1">
        <v>2875533071</v>
      </c>
      <c r="SY131" s="1">
        <v>25595</v>
      </c>
      <c r="SZ131" s="1">
        <v>28</v>
      </c>
      <c r="TA131" s="1">
        <v>28</v>
      </c>
      <c r="TB131" s="1">
        <v>75000</v>
      </c>
      <c r="TC131" s="1">
        <v>1</v>
      </c>
      <c r="TD131" s="1">
        <v>0</v>
      </c>
      <c r="TE131" s="1">
        <v>7</v>
      </c>
      <c r="TF131" s="1">
        <v>60004054</v>
      </c>
      <c r="TG131" s="1">
        <v>32767</v>
      </c>
      <c r="TH131" s="1">
        <v>6</v>
      </c>
      <c r="TJ131" s="1">
        <v>2878384275</v>
      </c>
      <c r="TK131" s="1">
        <v>25606</v>
      </c>
      <c r="TL131" s="1">
        <v>200</v>
      </c>
      <c r="TM131" s="1">
        <v>200</v>
      </c>
      <c r="TN131" s="1">
        <v>10000</v>
      </c>
      <c r="TO131" s="1">
        <v>1</v>
      </c>
      <c r="TP131" s="1">
        <v>1</v>
      </c>
      <c r="TQ131" s="1">
        <v>1</v>
      </c>
      <c r="TR131" s="1">
        <v>60004366</v>
      </c>
      <c r="TS131" s="1">
        <v>0</v>
      </c>
      <c r="TT131" s="1">
        <v>0</v>
      </c>
    </row>
    <row r="132" spans="2:540" x14ac:dyDescent="0.25">
      <c r="B132" s="1">
        <v>2835009383</v>
      </c>
      <c r="C132" s="1">
        <v>34</v>
      </c>
      <c r="D132" s="1">
        <v>362003872</v>
      </c>
      <c r="E132" s="1">
        <v>362003872</v>
      </c>
      <c r="F132" s="1">
        <v>5.98</v>
      </c>
      <c r="G132" s="1">
        <v>1</v>
      </c>
      <c r="H132" s="1">
        <v>0</v>
      </c>
      <c r="I132" s="1">
        <v>90</v>
      </c>
      <c r="J132" s="1">
        <v>60003760</v>
      </c>
      <c r="K132" s="1">
        <v>32767</v>
      </c>
      <c r="L132" s="1">
        <v>0</v>
      </c>
      <c r="N132" s="1">
        <v>2872394677</v>
      </c>
      <c r="O132" s="1">
        <v>35</v>
      </c>
      <c r="P132" s="1">
        <v>3562625</v>
      </c>
      <c r="Q132" s="1">
        <v>3562625</v>
      </c>
      <c r="R132" s="1">
        <v>15.3</v>
      </c>
      <c r="S132" s="1">
        <v>1</v>
      </c>
      <c r="T132" s="1">
        <v>0</v>
      </c>
      <c r="U132" s="1">
        <v>90</v>
      </c>
      <c r="V132" s="1">
        <v>60003760</v>
      </c>
      <c r="W132" s="1">
        <v>32767</v>
      </c>
      <c r="X132" s="1">
        <v>0</v>
      </c>
      <c r="Z132" s="1">
        <v>2843373703</v>
      </c>
      <c r="AA132" s="1">
        <v>36</v>
      </c>
      <c r="AB132" s="1">
        <v>2136485</v>
      </c>
      <c r="AC132" s="1">
        <v>2136485</v>
      </c>
      <c r="AD132" s="16">
        <v>51.59</v>
      </c>
      <c r="AE132" s="1">
        <v>1</v>
      </c>
      <c r="AF132" s="1">
        <v>0</v>
      </c>
      <c r="AG132" s="1">
        <v>90</v>
      </c>
      <c r="AH132" s="1">
        <v>60003760</v>
      </c>
      <c r="AI132" s="1">
        <v>32767</v>
      </c>
      <c r="AJ132" s="1">
        <v>11</v>
      </c>
      <c r="AL132" s="1">
        <v>2748202687</v>
      </c>
      <c r="AM132" s="1">
        <v>37</v>
      </c>
      <c r="AN132" s="1">
        <v>400000</v>
      </c>
      <c r="AO132" s="1">
        <v>228044</v>
      </c>
      <c r="AP132" s="16">
        <v>341</v>
      </c>
      <c r="AQ132" s="1">
        <v>1</v>
      </c>
      <c r="AR132" s="1">
        <v>0</v>
      </c>
      <c r="AS132" s="1">
        <v>90</v>
      </c>
      <c r="AT132" s="1">
        <v>60002236</v>
      </c>
      <c r="AU132" s="1">
        <v>32767</v>
      </c>
      <c r="AV132" s="1">
        <v>2</v>
      </c>
      <c r="AX132" s="1">
        <v>2879107524</v>
      </c>
      <c r="AY132" s="1">
        <v>38</v>
      </c>
      <c r="AZ132" s="1">
        <v>7696</v>
      </c>
      <c r="BA132" s="1">
        <v>7696</v>
      </c>
      <c r="BB132" s="1">
        <v>800</v>
      </c>
      <c r="BC132" s="1">
        <v>1</v>
      </c>
      <c r="BD132" s="1">
        <v>0</v>
      </c>
      <c r="BE132" s="1">
        <v>1</v>
      </c>
      <c r="BF132" s="1">
        <v>60003934</v>
      </c>
      <c r="BG132" s="1">
        <v>32767</v>
      </c>
      <c r="BH132" s="1">
        <v>0</v>
      </c>
      <c r="BJ132" s="1">
        <v>2779271236</v>
      </c>
      <c r="BK132" s="1">
        <v>39</v>
      </c>
      <c r="BL132" s="1">
        <v>750000</v>
      </c>
      <c r="BM132" s="1">
        <v>212539</v>
      </c>
      <c r="BN132" s="1">
        <v>730.31</v>
      </c>
      <c r="BO132" s="1">
        <v>1</v>
      </c>
      <c r="BP132" s="1">
        <v>1</v>
      </c>
      <c r="BQ132" s="1">
        <v>90</v>
      </c>
      <c r="BR132" s="1">
        <v>60003337</v>
      </c>
      <c r="BS132" s="1">
        <v>10</v>
      </c>
      <c r="BT132" s="1">
        <v>0</v>
      </c>
      <c r="BV132" s="1">
        <v>2415055176</v>
      </c>
      <c r="BW132" s="1">
        <v>40</v>
      </c>
      <c r="BX132" s="1">
        <v>16</v>
      </c>
      <c r="BY132" s="1">
        <v>16</v>
      </c>
      <c r="BZ132" s="1">
        <v>2502.0100000000002</v>
      </c>
      <c r="CA132" s="1">
        <v>1</v>
      </c>
      <c r="CB132" s="1">
        <v>0</v>
      </c>
      <c r="CC132" s="1">
        <v>1</v>
      </c>
      <c r="CD132" s="1">
        <v>60015027</v>
      </c>
      <c r="CE132" s="1">
        <v>32767</v>
      </c>
      <c r="CF132" s="1">
        <v>14</v>
      </c>
      <c r="CH132" s="1">
        <v>2415676783</v>
      </c>
      <c r="CI132" s="1">
        <v>29668</v>
      </c>
      <c r="CJ132" s="1">
        <v>1</v>
      </c>
      <c r="CK132" s="1">
        <v>1</v>
      </c>
      <c r="CL132" s="1">
        <v>494944150.91000003</v>
      </c>
      <c r="CM132" s="1">
        <v>1</v>
      </c>
      <c r="CN132" s="1">
        <v>0</v>
      </c>
      <c r="CO132" s="1">
        <v>90</v>
      </c>
      <c r="CP132" s="1">
        <v>60003760</v>
      </c>
      <c r="CQ132" s="1">
        <v>32767</v>
      </c>
      <c r="CR132" s="1">
        <v>0</v>
      </c>
      <c r="CT132" s="1">
        <v>2415392397</v>
      </c>
      <c r="CU132" s="1">
        <v>16649</v>
      </c>
      <c r="CV132" s="1">
        <v>10000</v>
      </c>
      <c r="CW132" s="1">
        <v>10000</v>
      </c>
      <c r="CX132" s="1">
        <v>99501.11</v>
      </c>
      <c r="CY132" s="1">
        <v>1</v>
      </c>
      <c r="CZ132" s="1">
        <v>1</v>
      </c>
      <c r="DA132" s="1">
        <v>90</v>
      </c>
      <c r="DB132" s="1">
        <v>60003760</v>
      </c>
      <c r="DC132" s="1">
        <v>-1</v>
      </c>
      <c r="DD132" s="1">
        <v>0</v>
      </c>
      <c r="DF132" s="1">
        <v>2414650383</v>
      </c>
      <c r="DG132" s="1">
        <v>17887</v>
      </c>
      <c r="DH132" s="1">
        <v>100000</v>
      </c>
      <c r="DI132" s="1">
        <v>100000</v>
      </c>
      <c r="DJ132" s="1">
        <v>882.85</v>
      </c>
      <c r="DK132" s="1">
        <v>1</v>
      </c>
      <c r="DL132" s="1">
        <v>1</v>
      </c>
      <c r="DM132" s="1">
        <v>90</v>
      </c>
      <c r="DN132" s="1">
        <v>60003760</v>
      </c>
      <c r="DO132" s="1">
        <v>-1</v>
      </c>
      <c r="DP132" s="1">
        <v>0</v>
      </c>
      <c r="DR132" s="1">
        <v>2878194219</v>
      </c>
      <c r="DS132" s="1">
        <v>17888</v>
      </c>
      <c r="DT132" s="1">
        <v>308100</v>
      </c>
      <c r="DU132" s="1">
        <v>41300</v>
      </c>
      <c r="DV132" s="1">
        <v>339.95</v>
      </c>
      <c r="DW132" s="1">
        <v>1</v>
      </c>
      <c r="DX132" s="1">
        <v>0</v>
      </c>
      <c r="DY132" s="1">
        <v>90</v>
      </c>
      <c r="DZ132" s="1">
        <v>60003760</v>
      </c>
      <c r="EA132" s="1">
        <v>32767</v>
      </c>
      <c r="EB132" s="1">
        <v>8</v>
      </c>
      <c r="ED132" s="1">
        <v>2878407929</v>
      </c>
      <c r="EE132" s="1">
        <v>16273</v>
      </c>
      <c r="EF132" s="1">
        <v>179083</v>
      </c>
      <c r="EG132" s="1">
        <v>179083</v>
      </c>
      <c r="EH132" s="1">
        <v>371.7</v>
      </c>
      <c r="EI132" s="1">
        <v>1</v>
      </c>
      <c r="EJ132" s="1">
        <v>0</v>
      </c>
      <c r="EK132" s="1">
        <v>90</v>
      </c>
      <c r="EL132" s="1">
        <v>60003760</v>
      </c>
      <c r="EM132" s="1">
        <v>32767</v>
      </c>
      <c r="EN132" s="1">
        <v>6</v>
      </c>
      <c r="EP132"/>
      <c r="EQ132"/>
      <c r="ER132"/>
      <c r="ES132"/>
      <c r="ET132"/>
      <c r="EU132"/>
      <c r="EV132"/>
      <c r="EW132"/>
      <c r="EX132"/>
      <c r="EY132"/>
      <c r="EZ132"/>
      <c r="FB132" s="1">
        <v>2877300537</v>
      </c>
      <c r="FC132" s="1">
        <v>30259</v>
      </c>
      <c r="FD132" s="1">
        <v>1320</v>
      </c>
      <c r="FE132" s="1">
        <v>1259</v>
      </c>
      <c r="FF132" s="1">
        <v>5593400.3899999997</v>
      </c>
      <c r="FG132" s="1">
        <v>1</v>
      </c>
      <c r="FH132" s="1">
        <v>1</v>
      </c>
      <c r="FI132" s="1">
        <v>90</v>
      </c>
      <c r="FJ132" s="1">
        <v>60003760</v>
      </c>
      <c r="FK132" s="1">
        <v>-1</v>
      </c>
      <c r="FL132" s="1">
        <v>0</v>
      </c>
      <c r="FZ132" s="1">
        <v>2876570342</v>
      </c>
      <c r="GA132" s="1">
        <v>44</v>
      </c>
      <c r="GB132" s="1">
        <v>2688</v>
      </c>
      <c r="GC132" s="1">
        <v>2688</v>
      </c>
      <c r="GD132" s="1">
        <v>9750</v>
      </c>
      <c r="GE132" s="1">
        <v>1</v>
      </c>
      <c r="GF132" s="1">
        <v>1</v>
      </c>
      <c r="GG132" s="1">
        <v>90</v>
      </c>
      <c r="GH132" s="1">
        <v>60003079</v>
      </c>
      <c r="GI132" s="1">
        <v>5</v>
      </c>
      <c r="GJ132" s="1">
        <v>0</v>
      </c>
      <c r="GL132" s="1">
        <v>2414618673</v>
      </c>
      <c r="GM132" s="1">
        <v>16681</v>
      </c>
      <c r="GN132" s="1">
        <v>269617</v>
      </c>
      <c r="GO132" s="1">
        <v>261843</v>
      </c>
      <c r="GP132" s="1">
        <v>6029</v>
      </c>
      <c r="GQ132" s="1">
        <v>1</v>
      </c>
      <c r="GR132" s="1">
        <v>1</v>
      </c>
      <c r="GS132" s="1">
        <v>90</v>
      </c>
      <c r="GT132" s="1">
        <v>60003760</v>
      </c>
      <c r="GU132" s="1">
        <v>-1</v>
      </c>
      <c r="GV132" s="1">
        <v>0</v>
      </c>
      <c r="JF132" s="1">
        <v>2865559785</v>
      </c>
      <c r="JG132" s="1">
        <v>16272</v>
      </c>
      <c r="JH132" s="1">
        <v>5000000</v>
      </c>
      <c r="JI132" s="1">
        <v>3196068</v>
      </c>
      <c r="JJ132" s="1">
        <v>68.12</v>
      </c>
      <c r="JK132" s="1">
        <v>1</v>
      </c>
      <c r="JL132" s="1">
        <v>1</v>
      </c>
      <c r="JM132" s="1">
        <v>90</v>
      </c>
      <c r="JN132" s="1">
        <v>60003760</v>
      </c>
      <c r="JO132" s="1">
        <v>-1</v>
      </c>
      <c r="JP132" s="1">
        <v>0</v>
      </c>
      <c r="KD132"/>
      <c r="KE132"/>
      <c r="KF132"/>
      <c r="KG132"/>
      <c r="KH132"/>
      <c r="KI132"/>
      <c r="KJ132"/>
      <c r="KK132"/>
      <c r="KL132"/>
      <c r="KM132"/>
      <c r="KN132"/>
      <c r="KP132"/>
      <c r="KQ132"/>
      <c r="KR132"/>
      <c r="KS132"/>
      <c r="KT132"/>
      <c r="KU132"/>
      <c r="KV132"/>
      <c r="KW132"/>
      <c r="KX132"/>
      <c r="KY132"/>
      <c r="KZ132"/>
      <c r="LB132" s="1">
        <v>2617119612</v>
      </c>
      <c r="LC132" s="1">
        <v>9832</v>
      </c>
      <c r="LD132" s="1">
        <v>1000000</v>
      </c>
      <c r="LE132" s="1">
        <v>998457</v>
      </c>
      <c r="LF132" s="1">
        <v>8212</v>
      </c>
      <c r="LG132" s="1">
        <v>1</v>
      </c>
      <c r="LH132" s="1">
        <v>1</v>
      </c>
      <c r="LI132" s="1">
        <v>90</v>
      </c>
      <c r="LJ132" s="1">
        <v>60003760</v>
      </c>
      <c r="LK132" s="1">
        <v>-1</v>
      </c>
      <c r="LL132" s="1">
        <v>0</v>
      </c>
      <c r="NV132" s="1">
        <v>2788550887</v>
      </c>
      <c r="NW132" s="1">
        <v>3689</v>
      </c>
      <c r="NX132" s="1">
        <v>18720</v>
      </c>
      <c r="NY132" s="1">
        <v>18720</v>
      </c>
      <c r="NZ132" s="1">
        <v>1161.17</v>
      </c>
      <c r="OA132" s="1">
        <v>16</v>
      </c>
      <c r="OB132" s="1">
        <v>1</v>
      </c>
      <c r="OC132" s="1">
        <v>90</v>
      </c>
      <c r="OD132" s="1">
        <v>60015025</v>
      </c>
      <c r="OE132" s="1">
        <v>2</v>
      </c>
      <c r="OF132" s="1">
        <v>0</v>
      </c>
      <c r="OH132" s="1">
        <v>2875532620</v>
      </c>
      <c r="OI132" s="1">
        <v>25598</v>
      </c>
      <c r="OJ132" s="1">
        <v>31</v>
      </c>
      <c r="OK132" s="1">
        <v>31</v>
      </c>
      <c r="OL132" s="1">
        <v>137000</v>
      </c>
      <c r="OM132" s="1">
        <v>1</v>
      </c>
      <c r="ON132" s="1">
        <v>0</v>
      </c>
      <c r="OO132" s="1">
        <v>7</v>
      </c>
      <c r="OP132" s="1">
        <v>60004054</v>
      </c>
      <c r="OQ132" s="1">
        <v>32767</v>
      </c>
      <c r="OR132" s="1">
        <v>6</v>
      </c>
      <c r="OT132" s="1">
        <v>2870858821</v>
      </c>
      <c r="OU132" s="1">
        <v>25600</v>
      </c>
      <c r="OV132" s="1">
        <v>2000</v>
      </c>
      <c r="OW132" s="1">
        <v>2000</v>
      </c>
      <c r="OX132" s="1">
        <v>22000</v>
      </c>
      <c r="OY132" s="1">
        <v>1</v>
      </c>
      <c r="OZ132" s="1">
        <v>1</v>
      </c>
      <c r="PA132" s="1">
        <v>30</v>
      </c>
      <c r="PB132" s="1">
        <v>60003760</v>
      </c>
      <c r="PC132" s="1">
        <v>5</v>
      </c>
      <c r="PD132" s="1">
        <v>0</v>
      </c>
      <c r="PF132" s="1">
        <v>2878965964</v>
      </c>
      <c r="PG132" s="1">
        <v>16670</v>
      </c>
      <c r="PH132" s="1">
        <v>2000000</v>
      </c>
      <c r="PI132" s="1">
        <v>2000000</v>
      </c>
      <c r="PJ132" s="1">
        <v>108.25</v>
      </c>
      <c r="PK132" s="1">
        <v>1</v>
      </c>
      <c r="PL132" s="1">
        <v>1</v>
      </c>
      <c r="PM132" s="1">
        <v>90</v>
      </c>
      <c r="PN132" s="1">
        <v>60003760</v>
      </c>
      <c r="PO132" s="1">
        <v>-1</v>
      </c>
      <c r="PP132" s="1">
        <v>0</v>
      </c>
      <c r="SX132" s="1">
        <v>2875941070</v>
      </c>
      <c r="SY132" s="1">
        <v>25595</v>
      </c>
      <c r="SZ132" s="1">
        <v>15</v>
      </c>
      <c r="TA132" s="1">
        <v>15</v>
      </c>
      <c r="TB132" s="1">
        <v>73009</v>
      </c>
      <c r="TC132" s="1">
        <v>1</v>
      </c>
      <c r="TD132" s="1">
        <v>0</v>
      </c>
      <c r="TE132" s="1">
        <v>30</v>
      </c>
      <c r="TF132" s="1">
        <v>60003934</v>
      </c>
      <c r="TG132" s="1">
        <v>32767</v>
      </c>
      <c r="TH132" s="1">
        <v>3</v>
      </c>
      <c r="TJ132" s="1">
        <v>2862714615</v>
      </c>
      <c r="TK132" s="1">
        <v>25606</v>
      </c>
      <c r="TL132" s="1">
        <v>40000</v>
      </c>
      <c r="TM132" s="1">
        <v>2048</v>
      </c>
      <c r="TN132" s="1">
        <v>20503</v>
      </c>
      <c r="TO132" s="1">
        <v>1</v>
      </c>
      <c r="TP132" s="1">
        <v>1</v>
      </c>
      <c r="TQ132" s="1">
        <v>30</v>
      </c>
      <c r="TR132" s="1">
        <v>60003760</v>
      </c>
      <c r="TS132" s="1">
        <v>-1</v>
      </c>
      <c r="TT132" s="1">
        <v>0</v>
      </c>
    </row>
    <row r="133" spans="2:540" x14ac:dyDescent="0.25">
      <c r="B133" s="1">
        <v>2838629879</v>
      </c>
      <c r="C133" s="1">
        <v>34</v>
      </c>
      <c r="D133" s="1">
        <v>365763665</v>
      </c>
      <c r="E133" s="1">
        <v>365763665</v>
      </c>
      <c r="F133" s="1">
        <v>5.99</v>
      </c>
      <c r="G133" s="1">
        <v>1</v>
      </c>
      <c r="H133" s="1">
        <v>0</v>
      </c>
      <c r="I133" s="1">
        <v>90</v>
      </c>
      <c r="J133" s="1">
        <v>60003760</v>
      </c>
      <c r="K133" s="1">
        <v>32767</v>
      </c>
      <c r="L133" s="1">
        <v>0</v>
      </c>
      <c r="N133" s="1">
        <v>2873853428</v>
      </c>
      <c r="O133" s="1">
        <v>35</v>
      </c>
      <c r="P133" s="1">
        <v>343590</v>
      </c>
      <c r="Q133" s="1">
        <v>343590</v>
      </c>
      <c r="R133" s="1">
        <v>48</v>
      </c>
      <c r="S133" s="1">
        <v>1</v>
      </c>
      <c r="T133" s="1">
        <v>0</v>
      </c>
      <c r="U133" s="1">
        <v>90</v>
      </c>
      <c r="V133" s="1">
        <v>60003760</v>
      </c>
      <c r="W133" s="1">
        <v>32767</v>
      </c>
      <c r="X133" s="1">
        <v>0</v>
      </c>
      <c r="Z133" s="1">
        <v>2843526455</v>
      </c>
      <c r="AA133" s="1">
        <v>36</v>
      </c>
      <c r="AB133" s="1">
        <v>168688</v>
      </c>
      <c r="AC133" s="1">
        <v>168688</v>
      </c>
      <c r="AD133" s="16">
        <v>51.32</v>
      </c>
      <c r="AE133" s="1">
        <v>1</v>
      </c>
      <c r="AF133" s="1">
        <v>0</v>
      </c>
      <c r="AG133" s="1">
        <v>30</v>
      </c>
      <c r="AH133" s="1">
        <v>60003760</v>
      </c>
      <c r="AI133" s="1">
        <v>32767</v>
      </c>
      <c r="AJ133" s="1">
        <v>11</v>
      </c>
      <c r="AL133" s="1">
        <v>2869655245</v>
      </c>
      <c r="AM133" s="1">
        <v>37</v>
      </c>
      <c r="AN133" s="1">
        <v>29999</v>
      </c>
      <c r="AO133" s="1">
        <v>20000</v>
      </c>
      <c r="AP133" s="16">
        <v>180</v>
      </c>
      <c r="AQ133" s="1">
        <v>1</v>
      </c>
      <c r="AR133" s="1">
        <v>0</v>
      </c>
      <c r="AS133" s="1">
        <v>7</v>
      </c>
      <c r="AT133" s="1">
        <v>60001588</v>
      </c>
      <c r="AU133" s="1">
        <v>32767</v>
      </c>
      <c r="AV133" s="1">
        <v>5</v>
      </c>
      <c r="AX133" s="1">
        <v>2879114737</v>
      </c>
      <c r="AY133" s="1">
        <v>38</v>
      </c>
      <c r="AZ133" s="1">
        <v>98600</v>
      </c>
      <c r="BA133" s="1">
        <v>98600</v>
      </c>
      <c r="BB133" s="1">
        <v>808.79</v>
      </c>
      <c r="BC133" s="1">
        <v>1</v>
      </c>
      <c r="BD133" s="1">
        <v>0</v>
      </c>
      <c r="BE133" s="1">
        <v>30</v>
      </c>
      <c r="BF133" s="1">
        <v>60003760</v>
      </c>
      <c r="BG133" s="1">
        <v>32767</v>
      </c>
      <c r="BH133" s="1">
        <v>0</v>
      </c>
      <c r="BJ133" s="1">
        <v>2826656409</v>
      </c>
      <c r="BK133" s="1">
        <v>39</v>
      </c>
      <c r="BL133" s="1">
        <v>100000000</v>
      </c>
      <c r="BM133" s="1">
        <v>100000000</v>
      </c>
      <c r="BN133" s="1">
        <v>1.01</v>
      </c>
      <c r="BO133" s="1">
        <v>10000</v>
      </c>
      <c r="BP133" s="1">
        <v>1</v>
      </c>
      <c r="BQ133" s="1">
        <v>90</v>
      </c>
      <c r="BR133" s="1">
        <v>60003760</v>
      </c>
      <c r="BS133" s="1">
        <v>32767</v>
      </c>
      <c r="BT133" s="1">
        <v>0</v>
      </c>
      <c r="BV133" s="1">
        <v>2415106354</v>
      </c>
      <c r="BW133" s="1">
        <v>40</v>
      </c>
      <c r="BX133" s="1">
        <v>816903</v>
      </c>
      <c r="BY133" s="1">
        <v>816903</v>
      </c>
      <c r="BZ133" s="1">
        <v>2687.98</v>
      </c>
      <c r="CA133" s="1">
        <v>1</v>
      </c>
      <c r="CB133" s="1">
        <v>0</v>
      </c>
      <c r="CC133" s="1">
        <v>30</v>
      </c>
      <c r="CD133" s="1">
        <v>60003760</v>
      </c>
      <c r="CE133" s="1">
        <v>32767</v>
      </c>
      <c r="CF133" s="1">
        <v>13</v>
      </c>
      <c r="CH133" s="1">
        <v>2415684938</v>
      </c>
      <c r="CI133" s="1">
        <v>29668</v>
      </c>
      <c r="CJ133" s="1">
        <v>4</v>
      </c>
      <c r="CK133" s="1">
        <v>1</v>
      </c>
      <c r="CL133" s="1">
        <v>494435000</v>
      </c>
      <c r="CM133" s="1">
        <v>1</v>
      </c>
      <c r="CN133" s="1">
        <v>0</v>
      </c>
      <c r="CO133" s="1">
        <v>90</v>
      </c>
      <c r="CP133" s="1">
        <v>60003760</v>
      </c>
      <c r="CQ133" s="1">
        <v>32767</v>
      </c>
      <c r="CR133" s="1">
        <v>0</v>
      </c>
      <c r="CT133" s="1">
        <v>2415519188</v>
      </c>
      <c r="CU133" s="1">
        <v>16649</v>
      </c>
      <c r="CV133" s="1">
        <v>90000</v>
      </c>
      <c r="CW133" s="1">
        <v>42900</v>
      </c>
      <c r="CX133" s="1">
        <v>99501.2</v>
      </c>
      <c r="CY133" s="1">
        <v>1</v>
      </c>
      <c r="CZ133" s="1">
        <v>1</v>
      </c>
      <c r="DA133" s="1">
        <v>90</v>
      </c>
      <c r="DB133" s="1">
        <v>60003760</v>
      </c>
      <c r="DC133" s="1">
        <v>-1</v>
      </c>
      <c r="DD133" s="1">
        <v>0</v>
      </c>
      <c r="DF133" s="1">
        <v>2414646628</v>
      </c>
      <c r="DG133" s="1">
        <v>17887</v>
      </c>
      <c r="DH133" s="1">
        <v>300000</v>
      </c>
      <c r="DI133" s="1">
        <v>300000</v>
      </c>
      <c r="DJ133" s="1">
        <v>882.85</v>
      </c>
      <c r="DK133" s="1">
        <v>1</v>
      </c>
      <c r="DL133" s="1">
        <v>1</v>
      </c>
      <c r="DM133" s="1">
        <v>90</v>
      </c>
      <c r="DN133" s="1">
        <v>60003760</v>
      </c>
      <c r="DO133" s="1">
        <v>-1</v>
      </c>
      <c r="DP133" s="1">
        <v>0</v>
      </c>
      <c r="DR133" s="1">
        <v>2877496031</v>
      </c>
      <c r="DS133" s="1">
        <v>17888</v>
      </c>
      <c r="DT133" s="1">
        <v>37924</v>
      </c>
      <c r="DU133" s="1">
        <v>37924</v>
      </c>
      <c r="DV133" s="1">
        <v>344</v>
      </c>
      <c r="DW133" s="1">
        <v>1</v>
      </c>
      <c r="DX133" s="1">
        <v>0</v>
      </c>
      <c r="DY133" s="1">
        <v>7</v>
      </c>
      <c r="DZ133" s="1">
        <v>60003760</v>
      </c>
      <c r="EA133" s="1">
        <v>32767</v>
      </c>
      <c r="EB133" s="1">
        <v>8</v>
      </c>
      <c r="ED133" s="1">
        <v>2878458815</v>
      </c>
      <c r="EE133" s="1">
        <v>16273</v>
      </c>
      <c r="EF133" s="1">
        <v>512713</v>
      </c>
      <c r="EG133" s="1">
        <v>502713</v>
      </c>
      <c r="EH133" s="1">
        <v>371.47</v>
      </c>
      <c r="EI133" s="1">
        <v>1</v>
      </c>
      <c r="EJ133" s="1">
        <v>0</v>
      </c>
      <c r="EK133" s="1">
        <v>90</v>
      </c>
      <c r="EL133" s="1">
        <v>60003760</v>
      </c>
      <c r="EM133" s="1">
        <v>32767</v>
      </c>
      <c r="EN133" s="1">
        <v>6</v>
      </c>
      <c r="EP133"/>
      <c r="EQ133"/>
      <c r="ER133"/>
      <c r="ES133"/>
      <c r="ET133"/>
      <c r="EU133"/>
      <c r="EV133"/>
      <c r="EW133"/>
      <c r="EX133"/>
      <c r="EY133"/>
      <c r="EZ133"/>
      <c r="FB133" s="1">
        <v>2875434888</v>
      </c>
      <c r="FC133" s="1">
        <v>30259</v>
      </c>
      <c r="FD133" s="1">
        <v>1300</v>
      </c>
      <c r="FE133" s="1">
        <v>1277</v>
      </c>
      <c r="FF133" s="1">
        <v>5593400.4199999999</v>
      </c>
      <c r="FG133" s="1">
        <v>1</v>
      </c>
      <c r="FH133" s="1">
        <v>1</v>
      </c>
      <c r="FI133" s="1">
        <v>90</v>
      </c>
      <c r="FJ133" s="1">
        <v>60003760</v>
      </c>
      <c r="FK133" s="1">
        <v>-1</v>
      </c>
      <c r="FL133" s="1">
        <v>0</v>
      </c>
      <c r="FZ133" s="1">
        <v>2878626344</v>
      </c>
      <c r="GA133" s="1">
        <v>44</v>
      </c>
      <c r="GB133" s="1">
        <v>160000</v>
      </c>
      <c r="GC133" s="1">
        <v>160000</v>
      </c>
      <c r="GD133" s="1">
        <v>12354.12</v>
      </c>
      <c r="GE133" s="1">
        <v>1</v>
      </c>
      <c r="GF133" s="1">
        <v>1</v>
      </c>
      <c r="GG133" s="1">
        <v>3</v>
      </c>
      <c r="GH133" s="1">
        <v>60003760</v>
      </c>
      <c r="GI133" s="1">
        <v>-1</v>
      </c>
      <c r="GJ133" s="1">
        <v>0</v>
      </c>
      <c r="GL133" s="1">
        <v>2415160230</v>
      </c>
      <c r="GM133" s="1">
        <v>16681</v>
      </c>
      <c r="GN133" s="1">
        <v>100000</v>
      </c>
      <c r="GO133" s="1">
        <v>99946</v>
      </c>
      <c r="GP133" s="1">
        <v>6029.05</v>
      </c>
      <c r="GQ133" s="1">
        <v>1</v>
      </c>
      <c r="GR133" s="1">
        <v>1</v>
      </c>
      <c r="GS133" s="1">
        <v>90</v>
      </c>
      <c r="GT133" s="1">
        <v>60003760</v>
      </c>
      <c r="GU133" s="1">
        <v>-1</v>
      </c>
      <c r="GV133" s="1">
        <v>0</v>
      </c>
      <c r="JF133" s="1">
        <v>2870163761</v>
      </c>
      <c r="JG133" s="1">
        <v>16272</v>
      </c>
      <c r="JH133" s="1">
        <v>50000000</v>
      </c>
      <c r="JI133" s="1">
        <v>50000000</v>
      </c>
      <c r="JJ133" s="1">
        <v>70.97</v>
      </c>
      <c r="JK133" s="1">
        <v>1</v>
      </c>
      <c r="JL133" s="1">
        <v>1</v>
      </c>
      <c r="JM133" s="1">
        <v>90</v>
      </c>
      <c r="JN133" s="1">
        <v>60003760</v>
      </c>
      <c r="JO133" s="1">
        <v>-1</v>
      </c>
      <c r="JP133" s="1">
        <v>0</v>
      </c>
      <c r="KD133"/>
      <c r="KE133"/>
      <c r="KF133"/>
      <c r="KG133"/>
      <c r="KH133"/>
      <c r="KI133"/>
      <c r="KJ133"/>
      <c r="KK133"/>
      <c r="KL133"/>
      <c r="KM133"/>
      <c r="KN133"/>
      <c r="KP133"/>
      <c r="KQ133"/>
      <c r="KR133"/>
      <c r="KS133"/>
      <c r="KT133"/>
      <c r="KU133"/>
      <c r="KV133"/>
      <c r="KW133"/>
      <c r="KX133"/>
      <c r="KY133"/>
      <c r="KZ133"/>
      <c r="LB133" s="1">
        <v>2643191806</v>
      </c>
      <c r="LC133" s="1">
        <v>9832</v>
      </c>
      <c r="LD133" s="1">
        <v>100000</v>
      </c>
      <c r="LE133" s="1">
        <v>99800</v>
      </c>
      <c r="LF133" s="1">
        <v>2200.29</v>
      </c>
      <c r="LG133" s="1">
        <v>1</v>
      </c>
      <c r="LH133" s="1">
        <v>1</v>
      </c>
      <c r="LI133" s="1">
        <v>90</v>
      </c>
      <c r="LJ133" s="1">
        <v>60003760</v>
      </c>
      <c r="LK133" s="1">
        <v>20</v>
      </c>
      <c r="LL133" s="1">
        <v>0</v>
      </c>
      <c r="NV133" s="1">
        <v>2872615042</v>
      </c>
      <c r="NW133" s="1">
        <v>3689</v>
      </c>
      <c r="NX133" s="1">
        <v>73600</v>
      </c>
      <c r="NY133" s="1">
        <v>43245</v>
      </c>
      <c r="NZ133" s="1">
        <v>9171.1</v>
      </c>
      <c r="OA133" s="1">
        <v>1</v>
      </c>
      <c r="OB133" s="1">
        <v>1</v>
      </c>
      <c r="OC133" s="1">
        <v>90</v>
      </c>
      <c r="OD133" s="1">
        <v>60003760</v>
      </c>
      <c r="OE133" s="1">
        <v>-1</v>
      </c>
      <c r="OF133" s="1">
        <v>0</v>
      </c>
      <c r="OH133" s="1">
        <v>2872941316</v>
      </c>
      <c r="OI133" s="1">
        <v>25598</v>
      </c>
      <c r="OJ133" s="1">
        <v>14</v>
      </c>
      <c r="OK133" s="1">
        <v>14</v>
      </c>
      <c r="OL133" s="1">
        <v>138099.54999999999</v>
      </c>
      <c r="OM133" s="1">
        <v>1</v>
      </c>
      <c r="ON133" s="1">
        <v>0</v>
      </c>
      <c r="OO133" s="1">
        <v>30</v>
      </c>
      <c r="OP133" s="1">
        <v>60004054</v>
      </c>
      <c r="OQ133" s="1">
        <v>32767</v>
      </c>
      <c r="OR133" s="1">
        <v>6</v>
      </c>
      <c r="OT133" s="1">
        <v>2870201857</v>
      </c>
      <c r="OU133" s="1">
        <v>25600</v>
      </c>
      <c r="OV133" s="1">
        <v>10000</v>
      </c>
      <c r="OW133" s="1">
        <v>10000</v>
      </c>
      <c r="OX133" s="1">
        <v>1</v>
      </c>
      <c r="OY133" s="1">
        <v>1</v>
      </c>
      <c r="OZ133" s="1">
        <v>1</v>
      </c>
      <c r="PA133" s="1">
        <v>90</v>
      </c>
      <c r="PB133" s="1">
        <v>60003760</v>
      </c>
      <c r="PC133" s="1">
        <v>32767</v>
      </c>
      <c r="PD133" s="1">
        <v>0</v>
      </c>
      <c r="SX133" s="1">
        <v>2873974805</v>
      </c>
      <c r="SY133" s="1">
        <v>25595</v>
      </c>
      <c r="SZ133" s="1">
        <v>2</v>
      </c>
      <c r="TA133" s="1">
        <v>2</v>
      </c>
      <c r="TB133" s="1">
        <v>73000</v>
      </c>
      <c r="TC133" s="1">
        <v>1</v>
      </c>
      <c r="TD133" s="1">
        <v>0</v>
      </c>
      <c r="TE133" s="1">
        <v>90</v>
      </c>
      <c r="TF133" s="1">
        <v>60003037</v>
      </c>
      <c r="TG133" s="1">
        <v>32767</v>
      </c>
      <c r="TH133" s="1">
        <v>4</v>
      </c>
      <c r="TJ133" s="1">
        <v>2879134279</v>
      </c>
      <c r="TK133" s="1">
        <v>25606</v>
      </c>
      <c r="TL133" s="1">
        <v>800</v>
      </c>
      <c r="TM133" s="1">
        <v>787</v>
      </c>
      <c r="TN133" s="1">
        <v>20503.009999999998</v>
      </c>
      <c r="TO133" s="1">
        <v>1</v>
      </c>
      <c r="TP133" s="1">
        <v>1</v>
      </c>
      <c r="TQ133" s="1">
        <v>30</v>
      </c>
      <c r="TR133" s="1">
        <v>60003760</v>
      </c>
      <c r="TS133" s="1">
        <v>0</v>
      </c>
      <c r="TT133" s="1">
        <v>0</v>
      </c>
    </row>
    <row r="134" spans="2:540" x14ac:dyDescent="0.25">
      <c r="B134" s="1">
        <v>2837147986</v>
      </c>
      <c r="C134" s="1">
        <v>34</v>
      </c>
      <c r="D134" s="1">
        <v>19535029</v>
      </c>
      <c r="E134" s="1">
        <v>19535029</v>
      </c>
      <c r="F134" s="1">
        <v>6</v>
      </c>
      <c r="G134" s="1">
        <v>1</v>
      </c>
      <c r="H134" s="1">
        <v>0</v>
      </c>
      <c r="I134" s="1">
        <v>90</v>
      </c>
      <c r="J134" s="1">
        <v>60003760</v>
      </c>
      <c r="K134" s="1">
        <v>32767</v>
      </c>
      <c r="L134" s="1">
        <v>0</v>
      </c>
      <c r="N134" s="1">
        <v>2873489750</v>
      </c>
      <c r="O134" s="1">
        <v>35</v>
      </c>
      <c r="P134" s="1">
        <v>12164357</v>
      </c>
      <c r="Q134" s="1">
        <v>12164357</v>
      </c>
      <c r="R134" s="1">
        <v>17.73</v>
      </c>
      <c r="S134" s="1">
        <v>1</v>
      </c>
      <c r="T134" s="1">
        <v>0</v>
      </c>
      <c r="U134" s="1">
        <v>90</v>
      </c>
      <c r="V134" s="1">
        <v>60003760</v>
      </c>
      <c r="W134" s="1">
        <v>32767</v>
      </c>
      <c r="X134" s="1">
        <v>0</v>
      </c>
      <c r="Z134" s="1">
        <v>2843642442</v>
      </c>
      <c r="AA134" s="1">
        <v>36</v>
      </c>
      <c r="AB134" s="1">
        <v>5000000</v>
      </c>
      <c r="AC134" s="1">
        <v>5000000</v>
      </c>
      <c r="AD134" s="16">
        <v>51.32</v>
      </c>
      <c r="AE134" s="1">
        <v>1</v>
      </c>
      <c r="AF134" s="1">
        <v>0</v>
      </c>
      <c r="AG134" s="1">
        <v>90</v>
      </c>
      <c r="AH134" s="1">
        <v>60003760</v>
      </c>
      <c r="AI134" s="1">
        <v>32767</v>
      </c>
      <c r="AJ134" s="1">
        <v>11</v>
      </c>
      <c r="AL134" s="1">
        <v>2770274784</v>
      </c>
      <c r="AM134" s="1">
        <v>37</v>
      </c>
      <c r="AN134" s="1">
        <v>4062885</v>
      </c>
      <c r="AO134" s="1">
        <v>3718706</v>
      </c>
      <c r="AP134" s="16">
        <v>153</v>
      </c>
      <c r="AQ134" s="1">
        <v>1</v>
      </c>
      <c r="AR134" s="1">
        <v>0</v>
      </c>
      <c r="AS134" s="1">
        <v>90</v>
      </c>
      <c r="AT134" s="1">
        <v>60001795</v>
      </c>
      <c r="AU134" s="1">
        <v>32767</v>
      </c>
      <c r="AV134" s="1">
        <v>11</v>
      </c>
      <c r="AX134" s="1">
        <v>2879118776</v>
      </c>
      <c r="AY134" s="1">
        <v>38</v>
      </c>
      <c r="AZ134" s="1">
        <v>13160</v>
      </c>
      <c r="BA134" s="1">
        <v>13160</v>
      </c>
      <c r="BB134" s="1">
        <v>801</v>
      </c>
      <c r="BC134" s="1">
        <v>1</v>
      </c>
      <c r="BD134" s="1">
        <v>0</v>
      </c>
      <c r="BE134" s="1">
        <v>1</v>
      </c>
      <c r="BF134" s="1">
        <v>60000517</v>
      </c>
      <c r="BG134" s="1">
        <v>32767</v>
      </c>
      <c r="BH134" s="1">
        <v>0</v>
      </c>
      <c r="BJ134" s="1">
        <v>2767436795</v>
      </c>
      <c r="BK134" s="1">
        <v>39</v>
      </c>
      <c r="BL134" s="1">
        <v>1</v>
      </c>
      <c r="BM134" s="1">
        <v>1</v>
      </c>
      <c r="BN134" s="1">
        <v>610</v>
      </c>
      <c r="BO134" s="1">
        <v>1</v>
      </c>
      <c r="BP134" s="1">
        <v>1</v>
      </c>
      <c r="BQ134" s="1">
        <v>90</v>
      </c>
      <c r="BR134" s="1">
        <v>60003760</v>
      </c>
      <c r="BS134" s="1">
        <v>-1</v>
      </c>
      <c r="BT134" s="1">
        <v>0</v>
      </c>
      <c r="BV134" s="1">
        <v>2413083435</v>
      </c>
      <c r="BW134" s="1">
        <v>40</v>
      </c>
      <c r="BX134" s="1">
        <v>1595019</v>
      </c>
      <c r="BY134" s="1">
        <v>198625</v>
      </c>
      <c r="BZ134" s="1">
        <v>2687.98</v>
      </c>
      <c r="CA134" s="1">
        <v>1</v>
      </c>
      <c r="CB134" s="1">
        <v>0</v>
      </c>
      <c r="CC134" s="1">
        <v>30</v>
      </c>
      <c r="CD134" s="1">
        <v>60003760</v>
      </c>
      <c r="CE134" s="1">
        <v>32767</v>
      </c>
      <c r="CF134" s="1">
        <v>13</v>
      </c>
      <c r="CH134" s="1">
        <v>2415678066</v>
      </c>
      <c r="CI134" s="1">
        <v>29668</v>
      </c>
      <c r="CJ134" s="1">
        <v>5</v>
      </c>
      <c r="CK134" s="1">
        <v>4</v>
      </c>
      <c r="CL134" s="1">
        <v>494000000</v>
      </c>
      <c r="CM134" s="1">
        <v>1</v>
      </c>
      <c r="CN134" s="1">
        <v>0</v>
      </c>
      <c r="CO134" s="1">
        <v>3</v>
      </c>
      <c r="CP134" s="1">
        <v>60003760</v>
      </c>
      <c r="CQ134" s="1">
        <v>32767</v>
      </c>
      <c r="CR134" s="1">
        <v>0</v>
      </c>
      <c r="CT134" s="1">
        <v>2411565293</v>
      </c>
      <c r="CU134" s="1">
        <v>16649</v>
      </c>
      <c r="CV134" s="1">
        <v>5000</v>
      </c>
      <c r="CW134" s="1">
        <v>5000</v>
      </c>
      <c r="CX134" s="1">
        <v>95013.21</v>
      </c>
      <c r="CY134" s="1">
        <v>1</v>
      </c>
      <c r="CZ134" s="1">
        <v>1</v>
      </c>
      <c r="DA134" s="1">
        <v>90</v>
      </c>
      <c r="DB134" s="1">
        <v>60003760</v>
      </c>
      <c r="DC134" s="1">
        <v>-1</v>
      </c>
      <c r="DD134" s="1">
        <v>0</v>
      </c>
      <c r="DF134" s="1">
        <v>2414572185</v>
      </c>
      <c r="DG134" s="1">
        <v>17887</v>
      </c>
      <c r="DH134" s="1">
        <v>3000000</v>
      </c>
      <c r="DI134" s="1">
        <v>2954240</v>
      </c>
      <c r="DJ134" s="1">
        <v>885.22</v>
      </c>
      <c r="DK134" s="1">
        <v>1</v>
      </c>
      <c r="DL134" s="1">
        <v>1</v>
      </c>
      <c r="DM134" s="1">
        <v>90</v>
      </c>
      <c r="DN134" s="1">
        <v>60003760</v>
      </c>
      <c r="DO134" s="1">
        <v>-1</v>
      </c>
      <c r="DP134" s="1">
        <v>0</v>
      </c>
      <c r="DR134" s="1">
        <v>2877387659</v>
      </c>
      <c r="DS134" s="1">
        <v>17888</v>
      </c>
      <c r="DT134" s="1">
        <v>985415</v>
      </c>
      <c r="DU134" s="1">
        <v>108566</v>
      </c>
      <c r="DV134" s="1">
        <v>341.3</v>
      </c>
      <c r="DW134" s="1">
        <v>1</v>
      </c>
      <c r="DX134" s="1">
        <v>0</v>
      </c>
      <c r="DY134" s="1">
        <v>90</v>
      </c>
      <c r="DZ134" s="1">
        <v>60003760</v>
      </c>
      <c r="EA134" s="1">
        <v>32767</v>
      </c>
      <c r="EB134" s="1">
        <v>8</v>
      </c>
      <c r="ED134" s="1">
        <v>2878384834</v>
      </c>
      <c r="EE134" s="1">
        <v>16273</v>
      </c>
      <c r="EF134" s="1">
        <v>131271</v>
      </c>
      <c r="EG134" s="1">
        <v>131271</v>
      </c>
      <c r="EH134" s="1">
        <v>371.34</v>
      </c>
      <c r="EI134" s="1">
        <v>1</v>
      </c>
      <c r="EJ134" s="1">
        <v>0</v>
      </c>
      <c r="EK134" s="1">
        <v>30</v>
      </c>
      <c r="EL134" s="1">
        <v>60003760</v>
      </c>
      <c r="EM134" s="1">
        <v>32767</v>
      </c>
      <c r="EN134" s="1">
        <v>6</v>
      </c>
      <c r="EP134"/>
      <c r="EQ134"/>
      <c r="ER134"/>
      <c r="ES134"/>
      <c r="ET134"/>
      <c r="EU134"/>
      <c r="EV134"/>
      <c r="EW134"/>
      <c r="EX134"/>
      <c r="EY134"/>
      <c r="EZ134"/>
      <c r="FB134" s="1">
        <v>2878743568</v>
      </c>
      <c r="FC134" s="1">
        <v>30259</v>
      </c>
      <c r="FD134" s="1">
        <v>1000</v>
      </c>
      <c r="FE134" s="1">
        <v>1000</v>
      </c>
      <c r="FF134" s="1">
        <v>5593407.5199999996</v>
      </c>
      <c r="FG134" s="1">
        <v>1</v>
      </c>
      <c r="FH134" s="1">
        <v>1</v>
      </c>
      <c r="FI134" s="1">
        <v>7</v>
      </c>
      <c r="FJ134" s="1">
        <v>60005593</v>
      </c>
      <c r="FK134" s="1">
        <v>0</v>
      </c>
      <c r="FL134" s="1">
        <v>0</v>
      </c>
      <c r="FZ134" s="1">
        <v>2877079504</v>
      </c>
      <c r="GA134" s="1">
        <v>44</v>
      </c>
      <c r="GB134" s="1">
        <v>25600</v>
      </c>
      <c r="GC134" s="1">
        <v>24290</v>
      </c>
      <c r="GD134" s="1">
        <v>12355.52</v>
      </c>
      <c r="GE134" s="1">
        <v>1</v>
      </c>
      <c r="GF134" s="1">
        <v>1</v>
      </c>
      <c r="GG134" s="1">
        <v>90</v>
      </c>
      <c r="GH134" s="1">
        <v>60003760</v>
      </c>
      <c r="GI134" s="1">
        <v>-1</v>
      </c>
      <c r="GJ134" s="1">
        <v>0</v>
      </c>
      <c r="GL134" s="1">
        <v>2411985252</v>
      </c>
      <c r="GM134" s="1">
        <v>16681</v>
      </c>
      <c r="GN134" s="1">
        <v>35000</v>
      </c>
      <c r="GO134" s="1">
        <v>35000</v>
      </c>
      <c r="GP134" s="1">
        <v>5935</v>
      </c>
      <c r="GQ134" s="1">
        <v>1000</v>
      </c>
      <c r="GR134" s="1">
        <v>1</v>
      </c>
      <c r="GS134" s="1">
        <v>30</v>
      </c>
      <c r="GT134" s="1">
        <v>60003760</v>
      </c>
      <c r="GU134" s="1">
        <v>0</v>
      </c>
      <c r="GV134" s="1">
        <v>0</v>
      </c>
      <c r="JF134" s="1">
        <v>2871733600</v>
      </c>
      <c r="JG134" s="1">
        <v>16272</v>
      </c>
      <c r="JH134" s="1">
        <v>10800000</v>
      </c>
      <c r="JI134" s="1">
        <v>10800000</v>
      </c>
      <c r="JJ134" s="1">
        <v>70</v>
      </c>
      <c r="JK134" s="1">
        <v>1</v>
      </c>
      <c r="JL134" s="1">
        <v>1</v>
      </c>
      <c r="JM134" s="1">
        <v>90</v>
      </c>
      <c r="JN134" s="1">
        <v>60003760</v>
      </c>
      <c r="JO134" s="1">
        <v>-1</v>
      </c>
      <c r="JP134" s="1">
        <v>0</v>
      </c>
      <c r="KD134"/>
      <c r="KE134"/>
      <c r="KF134"/>
      <c r="KG134"/>
      <c r="KH134"/>
      <c r="KI134"/>
      <c r="KJ134"/>
      <c r="KK134"/>
      <c r="KL134"/>
      <c r="KM134"/>
      <c r="KN134"/>
      <c r="KP134"/>
      <c r="KQ134"/>
      <c r="KR134"/>
      <c r="KS134"/>
      <c r="KT134"/>
      <c r="KU134"/>
      <c r="KV134"/>
      <c r="KW134"/>
      <c r="KX134"/>
      <c r="KY134"/>
      <c r="KZ134"/>
      <c r="LB134" s="1">
        <v>2736254473</v>
      </c>
      <c r="LC134" s="1">
        <v>9832</v>
      </c>
      <c r="LD134" s="1">
        <v>10000</v>
      </c>
      <c r="LE134" s="1">
        <v>3559</v>
      </c>
      <c r="LF134" s="1">
        <v>5302.04</v>
      </c>
      <c r="LG134" s="1">
        <v>1</v>
      </c>
      <c r="LH134" s="1">
        <v>1</v>
      </c>
      <c r="LI134" s="1">
        <v>90</v>
      </c>
      <c r="LJ134" s="1">
        <v>60003760</v>
      </c>
      <c r="LK134" s="1">
        <v>32767</v>
      </c>
      <c r="LL134" s="1">
        <v>0</v>
      </c>
      <c r="NV134" s="1">
        <v>2878612680</v>
      </c>
      <c r="NW134" s="1">
        <v>3689</v>
      </c>
      <c r="NX134" s="1">
        <v>43672</v>
      </c>
      <c r="NY134" s="1">
        <v>43672</v>
      </c>
      <c r="NZ134" s="1">
        <v>7778.79</v>
      </c>
      <c r="OA134" s="1">
        <v>1</v>
      </c>
      <c r="OB134" s="1">
        <v>1</v>
      </c>
      <c r="OC134" s="1">
        <v>90</v>
      </c>
      <c r="OD134" s="1">
        <v>60003760</v>
      </c>
      <c r="OE134" s="1">
        <v>-1</v>
      </c>
      <c r="OF134" s="1">
        <v>0</v>
      </c>
      <c r="OH134" s="1">
        <v>2864896479</v>
      </c>
      <c r="OI134" s="1">
        <v>25598</v>
      </c>
      <c r="OJ134" s="1">
        <v>105</v>
      </c>
      <c r="OK134" s="1">
        <v>46</v>
      </c>
      <c r="OL134" s="1">
        <v>138399</v>
      </c>
      <c r="OM134" s="1">
        <v>1</v>
      </c>
      <c r="ON134" s="1">
        <v>0</v>
      </c>
      <c r="OO134" s="1">
        <v>14</v>
      </c>
      <c r="OP134" s="1">
        <v>60000511</v>
      </c>
      <c r="OQ134" s="1">
        <v>32767</v>
      </c>
      <c r="OR134" s="1">
        <v>7</v>
      </c>
      <c r="OT134" s="1">
        <v>2870482294</v>
      </c>
      <c r="OU134" s="1">
        <v>25600</v>
      </c>
      <c r="OV134" s="1">
        <v>20000</v>
      </c>
      <c r="OW134" s="1">
        <v>20000</v>
      </c>
      <c r="OX134" s="1">
        <v>26025</v>
      </c>
      <c r="OY134" s="1">
        <v>1</v>
      </c>
      <c r="OZ134" s="1">
        <v>1</v>
      </c>
      <c r="PA134" s="1">
        <v>90</v>
      </c>
      <c r="PB134" s="1">
        <v>60003760</v>
      </c>
      <c r="PC134" s="1">
        <v>-1</v>
      </c>
      <c r="PD134" s="1">
        <v>0</v>
      </c>
      <c r="SX134" s="1">
        <v>2791939775</v>
      </c>
      <c r="SY134" s="1">
        <v>25595</v>
      </c>
      <c r="SZ134" s="1">
        <v>5</v>
      </c>
      <c r="TA134" s="1">
        <v>5</v>
      </c>
      <c r="TB134" s="1">
        <v>100000</v>
      </c>
      <c r="TC134" s="1">
        <v>1</v>
      </c>
      <c r="TD134" s="1">
        <v>0</v>
      </c>
      <c r="TE134" s="1">
        <v>90</v>
      </c>
      <c r="TF134" s="1">
        <v>60004075</v>
      </c>
      <c r="TG134" s="1">
        <v>32767</v>
      </c>
      <c r="TH134" s="1">
        <v>6</v>
      </c>
      <c r="TJ134"/>
      <c r="TK134"/>
      <c r="TL134"/>
      <c r="TM134"/>
      <c r="TN134"/>
      <c r="TO134"/>
      <c r="TP134"/>
      <c r="TQ134"/>
      <c r="TR134"/>
      <c r="TS134"/>
      <c r="TT134"/>
    </row>
    <row r="135" spans="2:540" x14ac:dyDescent="0.25">
      <c r="B135" s="1">
        <v>2836858061</v>
      </c>
      <c r="C135" s="1">
        <v>34</v>
      </c>
      <c r="D135" s="1">
        <v>120489082</v>
      </c>
      <c r="E135" s="1">
        <v>120489082</v>
      </c>
      <c r="F135" s="1">
        <v>5.98</v>
      </c>
      <c r="G135" s="1">
        <v>1</v>
      </c>
      <c r="H135" s="1">
        <v>0</v>
      </c>
      <c r="I135" s="1">
        <v>90</v>
      </c>
      <c r="J135" s="1">
        <v>60003760</v>
      </c>
      <c r="K135" s="1">
        <v>32767</v>
      </c>
      <c r="L135" s="1">
        <v>0</v>
      </c>
      <c r="N135" s="1">
        <v>2874114408</v>
      </c>
      <c r="O135" s="1">
        <v>35</v>
      </c>
      <c r="P135" s="1">
        <v>14209808</v>
      </c>
      <c r="Q135" s="1">
        <v>14209808</v>
      </c>
      <c r="R135" s="1">
        <v>15.2</v>
      </c>
      <c r="S135" s="1">
        <v>1</v>
      </c>
      <c r="T135" s="1">
        <v>0</v>
      </c>
      <c r="U135" s="1">
        <v>7</v>
      </c>
      <c r="V135" s="1">
        <v>60003760</v>
      </c>
      <c r="W135" s="1">
        <v>32767</v>
      </c>
      <c r="X135" s="1">
        <v>0</v>
      </c>
      <c r="Z135" s="1">
        <v>2843655211</v>
      </c>
      <c r="AA135" s="1">
        <v>36</v>
      </c>
      <c r="AB135" s="1">
        <v>5071153</v>
      </c>
      <c r="AC135" s="1">
        <v>5071153</v>
      </c>
      <c r="AD135" s="16">
        <v>51.32</v>
      </c>
      <c r="AE135" s="1">
        <v>1</v>
      </c>
      <c r="AF135" s="1">
        <v>0</v>
      </c>
      <c r="AG135" s="1">
        <v>90</v>
      </c>
      <c r="AH135" s="1">
        <v>60003760</v>
      </c>
      <c r="AI135" s="1">
        <v>32767</v>
      </c>
      <c r="AJ135" s="1">
        <v>11</v>
      </c>
      <c r="AL135" s="1">
        <v>2851173457</v>
      </c>
      <c r="AM135" s="1">
        <v>37</v>
      </c>
      <c r="AN135" s="1">
        <v>44882</v>
      </c>
      <c r="AO135" s="1">
        <v>44882</v>
      </c>
      <c r="AP135" s="16">
        <v>200</v>
      </c>
      <c r="AQ135" s="1">
        <v>1</v>
      </c>
      <c r="AR135" s="1">
        <v>0</v>
      </c>
      <c r="AS135" s="1">
        <v>90</v>
      </c>
      <c r="AT135" s="1">
        <v>60003172</v>
      </c>
      <c r="AU135" s="1">
        <v>32767</v>
      </c>
      <c r="AV135" s="1">
        <v>11</v>
      </c>
      <c r="AX135" s="1">
        <v>2879122721</v>
      </c>
      <c r="AY135" s="1">
        <v>38</v>
      </c>
      <c r="AZ135" s="1">
        <v>87064</v>
      </c>
      <c r="BA135" s="1">
        <v>87064</v>
      </c>
      <c r="BB135" s="1">
        <v>809.78</v>
      </c>
      <c r="BC135" s="1">
        <v>1</v>
      </c>
      <c r="BD135" s="1">
        <v>0</v>
      </c>
      <c r="BE135" s="1">
        <v>90</v>
      </c>
      <c r="BF135" s="1">
        <v>60003760</v>
      </c>
      <c r="BG135" s="1">
        <v>32767</v>
      </c>
      <c r="BH135" s="1">
        <v>0</v>
      </c>
      <c r="BJ135" s="1">
        <v>2769874938</v>
      </c>
      <c r="BK135" s="1">
        <v>39</v>
      </c>
      <c r="BL135" s="1">
        <v>350000</v>
      </c>
      <c r="BM135" s="1">
        <v>350000</v>
      </c>
      <c r="BN135" s="1">
        <v>657.31</v>
      </c>
      <c r="BO135" s="1">
        <v>1</v>
      </c>
      <c r="BP135" s="1">
        <v>1</v>
      </c>
      <c r="BQ135" s="1">
        <v>90</v>
      </c>
      <c r="BR135" s="1">
        <v>60003760</v>
      </c>
      <c r="BS135" s="1">
        <v>-1</v>
      </c>
      <c r="BT135" s="1">
        <v>0</v>
      </c>
      <c r="BV135" s="1">
        <v>2415513853</v>
      </c>
      <c r="BW135" s="1">
        <v>40</v>
      </c>
      <c r="BX135" s="1">
        <v>60</v>
      </c>
      <c r="BY135" s="1">
        <v>16</v>
      </c>
      <c r="BZ135" s="1">
        <v>2603</v>
      </c>
      <c r="CA135" s="1">
        <v>1</v>
      </c>
      <c r="CB135" s="1">
        <v>0</v>
      </c>
      <c r="CC135" s="1">
        <v>1</v>
      </c>
      <c r="CD135" s="1">
        <v>60003076</v>
      </c>
      <c r="CE135" s="1">
        <v>32767</v>
      </c>
      <c r="CF135" s="1">
        <v>5</v>
      </c>
      <c r="CH135" s="1">
        <v>2415696622</v>
      </c>
      <c r="CI135" s="1">
        <v>29668</v>
      </c>
      <c r="CJ135" s="1">
        <v>15</v>
      </c>
      <c r="CK135" s="1">
        <v>15</v>
      </c>
      <c r="CL135" s="1">
        <v>494434000</v>
      </c>
      <c r="CM135" s="1">
        <v>1</v>
      </c>
      <c r="CN135" s="1">
        <v>0</v>
      </c>
      <c r="CO135" s="1">
        <v>90</v>
      </c>
      <c r="CP135" s="1">
        <v>60003760</v>
      </c>
      <c r="CQ135" s="1">
        <v>32767</v>
      </c>
      <c r="CR135" s="1">
        <v>0</v>
      </c>
      <c r="CT135" s="1">
        <v>2411565431</v>
      </c>
      <c r="CU135" s="1">
        <v>16649</v>
      </c>
      <c r="CV135" s="1">
        <v>5000</v>
      </c>
      <c r="CW135" s="1">
        <v>5000</v>
      </c>
      <c r="CX135" s="1">
        <v>95013.22</v>
      </c>
      <c r="CY135" s="1">
        <v>1</v>
      </c>
      <c r="CZ135" s="1">
        <v>1</v>
      </c>
      <c r="DA135" s="1">
        <v>90</v>
      </c>
      <c r="DB135" s="1">
        <v>60003760</v>
      </c>
      <c r="DC135" s="1">
        <v>-1</v>
      </c>
      <c r="DD135" s="1">
        <v>0</v>
      </c>
      <c r="DF135" s="1">
        <v>2414839469</v>
      </c>
      <c r="DG135" s="1">
        <v>17887</v>
      </c>
      <c r="DH135" s="1">
        <v>225000</v>
      </c>
      <c r="DI135" s="1">
        <v>225000</v>
      </c>
      <c r="DJ135" s="1">
        <v>885.06</v>
      </c>
      <c r="DK135" s="1">
        <v>1</v>
      </c>
      <c r="DL135" s="1">
        <v>1</v>
      </c>
      <c r="DM135" s="1">
        <v>90</v>
      </c>
      <c r="DN135" s="1">
        <v>60003760</v>
      </c>
      <c r="DO135" s="1">
        <v>-1</v>
      </c>
      <c r="DP135" s="1">
        <v>0</v>
      </c>
      <c r="DR135" s="1">
        <v>2772572375</v>
      </c>
      <c r="DS135" s="1">
        <v>17888</v>
      </c>
      <c r="DT135" s="1">
        <v>42001</v>
      </c>
      <c r="DU135" s="1">
        <v>42001</v>
      </c>
      <c r="DV135" s="1">
        <v>450</v>
      </c>
      <c r="DW135" s="1">
        <v>1</v>
      </c>
      <c r="DX135" s="1">
        <v>0</v>
      </c>
      <c r="DY135" s="1">
        <v>90</v>
      </c>
      <c r="DZ135" s="1">
        <v>60002743</v>
      </c>
      <c r="EA135" s="1">
        <v>32767</v>
      </c>
      <c r="EB135" s="1">
        <v>8</v>
      </c>
      <c r="ED135" s="1">
        <v>2878384320</v>
      </c>
      <c r="EE135" s="1">
        <v>16273</v>
      </c>
      <c r="EF135" s="1">
        <v>75000</v>
      </c>
      <c r="EG135" s="1">
        <v>75000</v>
      </c>
      <c r="EH135" s="1">
        <v>371.34</v>
      </c>
      <c r="EI135" s="1">
        <v>1</v>
      </c>
      <c r="EJ135" s="1">
        <v>0</v>
      </c>
      <c r="EK135" s="1">
        <v>14</v>
      </c>
      <c r="EL135" s="1">
        <v>60003760</v>
      </c>
      <c r="EM135" s="1">
        <v>32767</v>
      </c>
      <c r="EN135" s="1">
        <v>6</v>
      </c>
      <c r="EP135"/>
      <c r="EQ135"/>
      <c r="ER135"/>
      <c r="ES135"/>
      <c r="ET135"/>
      <c r="EU135"/>
      <c r="EV135"/>
      <c r="EW135"/>
      <c r="EX135"/>
      <c r="EY135"/>
      <c r="EZ135"/>
      <c r="FB135" s="1">
        <v>2878795538</v>
      </c>
      <c r="FC135" s="1">
        <v>30259</v>
      </c>
      <c r="FD135" s="1">
        <v>100</v>
      </c>
      <c r="FE135" s="1">
        <v>100</v>
      </c>
      <c r="FF135" s="1">
        <v>5593417.71</v>
      </c>
      <c r="FG135" s="1">
        <v>1</v>
      </c>
      <c r="FH135" s="1">
        <v>1</v>
      </c>
      <c r="FI135" s="1">
        <v>90</v>
      </c>
      <c r="FJ135" s="1">
        <v>60003760</v>
      </c>
      <c r="FK135" s="1">
        <v>-1</v>
      </c>
      <c r="FL135" s="1">
        <v>0</v>
      </c>
      <c r="FZ135" s="1">
        <v>2878803151</v>
      </c>
      <c r="GA135" s="1">
        <v>44</v>
      </c>
      <c r="GB135" s="1">
        <v>96000</v>
      </c>
      <c r="GC135" s="1">
        <v>90106</v>
      </c>
      <c r="GD135" s="1">
        <v>12355.55</v>
      </c>
      <c r="GE135" s="1">
        <v>1</v>
      </c>
      <c r="GF135" s="1">
        <v>1</v>
      </c>
      <c r="GG135" s="1">
        <v>90</v>
      </c>
      <c r="GH135" s="1">
        <v>60003760</v>
      </c>
      <c r="GI135" s="1">
        <v>-1</v>
      </c>
      <c r="GJ135" s="1">
        <v>0</v>
      </c>
      <c r="GL135" s="1">
        <v>2415316311</v>
      </c>
      <c r="GM135" s="1">
        <v>16681</v>
      </c>
      <c r="GN135" s="1">
        <v>27720</v>
      </c>
      <c r="GO135" s="1">
        <v>26820</v>
      </c>
      <c r="GP135" s="1">
        <v>6029.12</v>
      </c>
      <c r="GQ135" s="1">
        <v>1</v>
      </c>
      <c r="GR135" s="1">
        <v>1</v>
      </c>
      <c r="GS135" s="1">
        <v>14</v>
      </c>
      <c r="GT135" s="1">
        <v>60003760</v>
      </c>
      <c r="GU135" s="1">
        <v>-1</v>
      </c>
      <c r="GV135" s="1">
        <v>0</v>
      </c>
      <c r="JF135" s="1">
        <v>2874938947</v>
      </c>
      <c r="JG135" s="1">
        <v>16272</v>
      </c>
      <c r="JH135" s="1">
        <v>90000</v>
      </c>
      <c r="JI135" s="1">
        <v>90000</v>
      </c>
      <c r="JJ135" s="1">
        <v>71</v>
      </c>
      <c r="JK135" s="1">
        <v>1</v>
      </c>
      <c r="JL135" s="1">
        <v>1</v>
      </c>
      <c r="JM135" s="1">
        <v>90</v>
      </c>
      <c r="JN135" s="1">
        <v>60003760</v>
      </c>
      <c r="JO135" s="1">
        <v>-1</v>
      </c>
      <c r="JP135" s="1">
        <v>0</v>
      </c>
      <c r="KD135"/>
      <c r="KE135"/>
      <c r="KF135"/>
      <c r="KG135"/>
      <c r="KH135"/>
      <c r="KI135"/>
      <c r="KJ135"/>
      <c r="KK135"/>
      <c r="KL135"/>
      <c r="KM135"/>
      <c r="KN135"/>
      <c r="KP135"/>
      <c r="KQ135"/>
      <c r="KR135"/>
      <c r="KS135"/>
      <c r="KT135"/>
      <c r="KU135"/>
      <c r="KV135"/>
      <c r="KW135"/>
      <c r="KX135"/>
      <c r="KY135"/>
      <c r="KZ135"/>
      <c r="LB135" s="1">
        <v>2751060472</v>
      </c>
      <c r="LC135" s="1">
        <v>9832</v>
      </c>
      <c r="LD135" s="1">
        <v>50000</v>
      </c>
      <c r="LE135" s="1">
        <v>48830</v>
      </c>
      <c r="LF135" s="1">
        <v>6097.01</v>
      </c>
      <c r="LG135" s="1">
        <v>1</v>
      </c>
      <c r="LH135" s="1">
        <v>1</v>
      </c>
      <c r="LI135" s="1">
        <v>90</v>
      </c>
      <c r="LJ135" s="1">
        <v>60003760</v>
      </c>
      <c r="LK135" s="1">
        <v>0</v>
      </c>
      <c r="LL135" s="1">
        <v>0</v>
      </c>
      <c r="NV135" s="1">
        <v>2878804526</v>
      </c>
      <c r="NW135" s="1">
        <v>3689</v>
      </c>
      <c r="NX135" s="1">
        <v>96000</v>
      </c>
      <c r="NY135" s="1">
        <v>87536</v>
      </c>
      <c r="NZ135" s="1">
        <v>9721.17</v>
      </c>
      <c r="OA135" s="1">
        <v>1</v>
      </c>
      <c r="OB135" s="1">
        <v>1</v>
      </c>
      <c r="OC135" s="1">
        <v>90</v>
      </c>
      <c r="OD135" s="1">
        <v>60003760</v>
      </c>
      <c r="OE135" s="1">
        <v>-1</v>
      </c>
      <c r="OF135" s="1">
        <v>0</v>
      </c>
      <c r="OH135" s="1">
        <v>2813205402</v>
      </c>
      <c r="OI135" s="1">
        <v>25598</v>
      </c>
      <c r="OJ135" s="1">
        <v>35</v>
      </c>
      <c r="OK135" s="1">
        <v>23</v>
      </c>
      <c r="OL135" s="1">
        <v>139980</v>
      </c>
      <c r="OM135" s="1">
        <v>1</v>
      </c>
      <c r="ON135" s="1">
        <v>0</v>
      </c>
      <c r="OO135" s="1">
        <v>90</v>
      </c>
      <c r="OP135" s="1">
        <v>60003670</v>
      </c>
      <c r="OQ135" s="1">
        <v>32767</v>
      </c>
      <c r="OR135" s="1">
        <v>7</v>
      </c>
      <c r="OT135" s="1">
        <v>2873331163</v>
      </c>
      <c r="OU135" s="1">
        <v>25600</v>
      </c>
      <c r="OV135" s="1">
        <v>10000</v>
      </c>
      <c r="OW135" s="1">
        <v>4867</v>
      </c>
      <c r="OX135" s="1">
        <v>25000</v>
      </c>
      <c r="OY135" s="1">
        <v>1</v>
      </c>
      <c r="OZ135" s="1">
        <v>1</v>
      </c>
      <c r="PA135" s="1">
        <v>90</v>
      </c>
      <c r="PB135" s="1">
        <v>60003760</v>
      </c>
      <c r="PC135" s="1">
        <v>0</v>
      </c>
      <c r="PD135" s="1">
        <v>0</v>
      </c>
      <c r="SX135" s="1">
        <v>2794444279</v>
      </c>
      <c r="SY135" s="1">
        <v>25595</v>
      </c>
      <c r="SZ135" s="1">
        <v>45</v>
      </c>
      <c r="TA135" s="1">
        <v>1</v>
      </c>
      <c r="TB135" s="1">
        <v>97251</v>
      </c>
      <c r="TC135" s="1">
        <v>1</v>
      </c>
      <c r="TD135" s="1">
        <v>0</v>
      </c>
      <c r="TE135" s="1">
        <v>90</v>
      </c>
      <c r="TF135" s="1">
        <v>60004057</v>
      </c>
      <c r="TG135" s="1">
        <v>32767</v>
      </c>
      <c r="TH135" s="1">
        <v>9</v>
      </c>
      <c r="TJ135"/>
      <c r="TK135"/>
      <c r="TL135"/>
      <c r="TM135"/>
      <c r="TN135"/>
      <c r="TO135"/>
      <c r="TP135"/>
      <c r="TQ135"/>
      <c r="TR135"/>
      <c r="TS135"/>
      <c r="TT135"/>
    </row>
    <row r="136" spans="2:540" x14ac:dyDescent="0.25">
      <c r="B136" s="1">
        <v>2837646297</v>
      </c>
      <c r="C136" s="1">
        <v>34</v>
      </c>
      <c r="D136" s="1">
        <v>11926248</v>
      </c>
      <c r="E136" s="1">
        <v>11926248</v>
      </c>
      <c r="F136" s="1">
        <v>6</v>
      </c>
      <c r="G136" s="1">
        <v>1</v>
      </c>
      <c r="H136" s="1">
        <v>0</v>
      </c>
      <c r="I136" s="1">
        <v>30</v>
      </c>
      <c r="J136" s="1">
        <v>60003760</v>
      </c>
      <c r="K136" s="1">
        <v>32767</v>
      </c>
      <c r="L136" s="1">
        <v>0</v>
      </c>
      <c r="N136" s="1">
        <v>2872949234</v>
      </c>
      <c r="O136" s="1">
        <v>35</v>
      </c>
      <c r="P136" s="1">
        <v>116631</v>
      </c>
      <c r="Q136" s="1">
        <v>116631</v>
      </c>
      <c r="R136" s="1">
        <v>15.21</v>
      </c>
      <c r="S136" s="1">
        <v>1</v>
      </c>
      <c r="T136" s="1">
        <v>0</v>
      </c>
      <c r="U136" s="1">
        <v>90</v>
      </c>
      <c r="V136" s="1">
        <v>60003760</v>
      </c>
      <c r="W136" s="1">
        <v>32767</v>
      </c>
      <c r="X136" s="1">
        <v>0</v>
      </c>
      <c r="Z136" s="1">
        <v>2843770461</v>
      </c>
      <c r="AA136" s="1">
        <v>36</v>
      </c>
      <c r="AB136" s="1">
        <v>2811779</v>
      </c>
      <c r="AC136" s="1">
        <v>2811779</v>
      </c>
      <c r="AD136" s="16">
        <v>51.19</v>
      </c>
      <c r="AE136" s="1">
        <v>1</v>
      </c>
      <c r="AF136" s="1">
        <v>0</v>
      </c>
      <c r="AG136" s="1">
        <v>90</v>
      </c>
      <c r="AH136" s="1">
        <v>60003760</v>
      </c>
      <c r="AI136" s="1">
        <v>32767</v>
      </c>
      <c r="AJ136" s="1">
        <v>11</v>
      </c>
      <c r="AL136" s="1">
        <v>2829754523</v>
      </c>
      <c r="AM136" s="1">
        <v>37</v>
      </c>
      <c r="AN136" s="1">
        <v>65993</v>
      </c>
      <c r="AO136" s="1">
        <v>48993</v>
      </c>
      <c r="AP136" s="16">
        <v>148.88999999999999</v>
      </c>
      <c r="AQ136" s="1">
        <v>1</v>
      </c>
      <c r="AR136" s="1">
        <v>0</v>
      </c>
      <c r="AS136" s="1">
        <v>90</v>
      </c>
      <c r="AT136" s="1">
        <v>60002374</v>
      </c>
      <c r="AU136" s="1">
        <v>32767</v>
      </c>
      <c r="AV136" s="1">
        <v>6</v>
      </c>
      <c r="AX136" s="1">
        <v>2663778261</v>
      </c>
      <c r="AY136" s="1">
        <v>38</v>
      </c>
      <c r="AZ136" s="1">
        <v>100000</v>
      </c>
      <c r="BA136" s="1">
        <v>98189</v>
      </c>
      <c r="BB136" s="1">
        <v>703</v>
      </c>
      <c r="BC136" s="1">
        <v>1</v>
      </c>
      <c r="BD136" s="1">
        <v>1</v>
      </c>
      <c r="BE136" s="1">
        <v>90</v>
      </c>
      <c r="BF136" s="1">
        <v>60001543</v>
      </c>
      <c r="BG136" s="1">
        <v>-1</v>
      </c>
      <c r="BH136" s="1">
        <v>0</v>
      </c>
      <c r="BJ136" s="1">
        <v>2813210802</v>
      </c>
      <c r="BK136" s="1">
        <v>39</v>
      </c>
      <c r="BL136" s="1">
        <v>1000000</v>
      </c>
      <c r="BM136" s="1">
        <v>992354</v>
      </c>
      <c r="BN136" s="1">
        <v>730.14</v>
      </c>
      <c r="BO136" s="1">
        <v>5000</v>
      </c>
      <c r="BP136" s="1">
        <v>1</v>
      </c>
      <c r="BQ136" s="1">
        <v>90</v>
      </c>
      <c r="BR136" s="1">
        <v>60003760</v>
      </c>
      <c r="BS136" s="1">
        <v>5</v>
      </c>
      <c r="BT136" s="1">
        <v>0</v>
      </c>
      <c r="BV136" s="1">
        <v>2415580485</v>
      </c>
      <c r="BW136" s="1">
        <v>40</v>
      </c>
      <c r="BX136" s="1">
        <v>22</v>
      </c>
      <c r="BY136" s="1">
        <v>22</v>
      </c>
      <c r="BZ136" s="1">
        <v>2500</v>
      </c>
      <c r="CA136" s="1">
        <v>1</v>
      </c>
      <c r="CB136" s="1">
        <v>0</v>
      </c>
      <c r="CC136" s="1">
        <v>30</v>
      </c>
      <c r="CD136" s="1">
        <v>60015027</v>
      </c>
      <c r="CE136" s="1">
        <v>32767</v>
      </c>
      <c r="CF136" s="1">
        <v>14</v>
      </c>
      <c r="CH136" s="1">
        <v>2415702499</v>
      </c>
      <c r="CI136" s="1">
        <v>29668</v>
      </c>
      <c r="CJ136" s="1">
        <v>7</v>
      </c>
      <c r="CK136" s="1">
        <v>7</v>
      </c>
      <c r="CL136" s="1">
        <v>496000100.08999997</v>
      </c>
      <c r="CM136" s="1">
        <v>1</v>
      </c>
      <c r="CN136" s="1">
        <v>0</v>
      </c>
      <c r="CO136" s="1">
        <v>90</v>
      </c>
      <c r="CP136" s="1">
        <v>60003760</v>
      </c>
      <c r="CQ136" s="1">
        <v>32767</v>
      </c>
      <c r="CR136" s="1">
        <v>0</v>
      </c>
      <c r="CT136" s="1">
        <v>2411565566</v>
      </c>
      <c r="CU136" s="1">
        <v>16649</v>
      </c>
      <c r="CV136" s="1">
        <v>5000</v>
      </c>
      <c r="CW136" s="1">
        <v>5000</v>
      </c>
      <c r="CX136" s="1">
        <v>95013.29</v>
      </c>
      <c r="CY136" s="1">
        <v>1</v>
      </c>
      <c r="CZ136" s="1">
        <v>1</v>
      </c>
      <c r="DA136" s="1">
        <v>90</v>
      </c>
      <c r="DB136" s="1">
        <v>60003760</v>
      </c>
      <c r="DC136" s="1">
        <v>-1</v>
      </c>
      <c r="DD136" s="1">
        <v>0</v>
      </c>
      <c r="DF136" s="1">
        <v>2414296570</v>
      </c>
      <c r="DG136" s="1">
        <v>17887</v>
      </c>
      <c r="DH136" s="1">
        <v>100000</v>
      </c>
      <c r="DI136" s="1">
        <v>100000</v>
      </c>
      <c r="DJ136" s="1">
        <v>880.22</v>
      </c>
      <c r="DK136" s="1">
        <v>1</v>
      </c>
      <c r="DL136" s="1">
        <v>1</v>
      </c>
      <c r="DM136" s="1">
        <v>90</v>
      </c>
      <c r="DN136" s="1">
        <v>60003760</v>
      </c>
      <c r="DO136" s="1">
        <v>-1</v>
      </c>
      <c r="DP136" s="1">
        <v>0</v>
      </c>
      <c r="DR136" s="1">
        <v>2855606560</v>
      </c>
      <c r="DS136" s="1">
        <v>17888</v>
      </c>
      <c r="DT136" s="1">
        <v>326000</v>
      </c>
      <c r="DU136" s="1">
        <v>320684</v>
      </c>
      <c r="DV136" s="1">
        <v>341.99</v>
      </c>
      <c r="DW136" s="1">
        <v>1</v>
      </c>
      <c r="DX136" s="1">
        <v>0</v>
      </c>
      <c r="DY136" s="1">
        <v>30</v>
      </c>
      <c r="DZ136" s="1">
        <v>60002743</v>
      </c>
      <c r="EA136" s="1">
        <v>32767</v>
      </c>
      <c r="EB136" s="1">
        <v>8</v>
      </c>
      <c r="ED136" s="1">
        <v>2764628847</v>
      </c>
      <c r="EE136" s="1">
        <v>16273</v>
      </c>
      <c r="EF136" s="1">
        <v>10000</v>
      </c>
      <c r="EG136" s="1">
        <v>9300</v>
      </c>
      <c r="EH136" s="1">
        <v>371</v>
      </c>
      <c r="EI136" s="1">
        <v>1</v>
      </c>
      <c r="EJ136" s="1">
        <v>0</v>
      </c>
      <c r="EK136" s="1">
        <v>90</v>
      </c>
      <c r="EL136" s="1">
        <v>60003760</v>
      </c>
      <c r="EM136" s="1">
        <v>32767</v>
      </c>
      <c r="EN136" s="1">
        <v>6</v>
      </c>
      <c r="EP136"/>
      <c r="EQ136"/>
      <c r="ER136"/>
      <c r="ES136"/>
      <c r="ET136"/>
      <c r="EU136"/>
      <c r="EV136"/>
      <c r="EW136"/>
      <c r="EX136"/>
      <c r="EY136"/>
      <c r="EZ136"/>
      <c r="FB136" s="1">
        <v>2878780682</v>
      </c>
      <c r="FC136" s="1">
        <v>30259</v>
      </c>
      <c r="FD136" s="1">
        <v>400</v>
      </c>
      <c r="FE136" s="1">
        <v>400</v>
      </c>
      <c r="FF136" s="1">
        <v>5593418.0999999996</v>
      </c>
      <c r="FG136" s="1">
        <v>1</v>
      </c>
      <c r="FH136" s="1">
        <v>1</v>
      </c>
      <c r="FI136" s="1">
        <v>90</v>
      </c>
      <c r="FJ136" s="1">
        <v>60003760</v>
      </c>
      <c r="FK136" s="1">
        <v>0</v>
      </c>
      <c r="FL136" s="1">
        <v>0</v>
      </c>
      <c r="FZ136" s="1">
        <v>2878921520</v>
      </c>
      <c r="GA136" s="1">
        <v>44</v>
      </c>
      <c r="GB136" s="1">
        <v>53600</v>
      </c>
      <c r="GC136" s="1">
        <v>53600</v>
      </c>
      <c r="GD136" s="1">
        <v>12355.59</v>
      </c>
      <c r="GE136" s="1">
        <v>1</v>
      </c>
      <c r="GF136" s="1">
        <v>1</v>
      </c>
      <c r="GG136" s="1">
        <v>7</v>
      </c>
      <c r="GH136" s="1">
        <v>60003760</v>
      </c>
      <c r="GI136" s="1">
        <v>-1</v>
      </c>
      <c r="GJ136" s="1">
        <v>0</v>
      </c>
      <c r="GL136" s="1">
        <v>2415062109</v>
      </c>
      <c r="GM136" s="1">
        <v>16681</v>
      </c>
      <c r="GN136" s="1">
        <v>222000</v>
      </c>
      <c r="GO136" s="1">
        <v>187547</v>
      </c>
      <c r="GP136" s="1">
        <v>6030</v>
      </c>
      <c r="GQ136" s="1">
        <v>1</v>
      </c>
      <c r="GR136" s="1">
        <v>1</v>
      </c>
      <c r="GS136" s="1">
        <v>90</v>
      </c>
      <c r="GT136" s="1">
        <v>60003760</v>
      </c>
      <c r="GU136" s="1">
        <v>-1</v>
      </c>
      <c r="GV136" s="1">
        <v>0</v>
      </c>
      <c r="JF136" s="1">
        <v>2875677888</v>
      </c>
      <c r="JG136" s="1">
        <v>16272</v>
      </c>
      <c r="JH136" s="1">
        <v>2500000</v>
      </c>
      <c r="JI136" s="1">
        <v>2500000</v>
      </c>
      <c r="JJ136" s="1">
        <v>71.16</v>
      </c>
      <c r="JK136" s="1">
        <v>1</v>
      </c>
      <c r="JL136" s="1">
        <v>1</v>
      </c>
      <c r="JM136" s="1">
        <v>90</v>
      </c>
      <c r="JN136" s="1">
        <v>60003760</v>
      </c>
      <c r="JO136" s="1">
        <v>-1</v>
      </c>
      <c r="JP136" s="1">
        <v>0</v>
      </c>
      <c r="KD136"/>
      <c r="KE136"/>
      <c r="KF136"/>
      <c r="KG136"/>
      <c r="KH136"/>
      <c r="KI136"/>
      <c r="KJ136"/>
      <c r="KK136"/>
      <c r="KL136"/>
      <c r="KM136"/>
      <c r="KN136"/>
      <c r="KP136"/>
      <c r="KQ136"/>
      <c r="KR136"/>
      <c r="KS136"/>
      <c r="KT136"/>
      <c r="KU136"/>
      <c r="KV136"/>
      <c r="KW136"/>
      <c r="KX136"/>
      <c r="KY136"/>
      <c r="KZ136"/>
      <c r="LB136" s="1">
        <v>2751060768</v>
      </c>
      <c r="LC136" s="1">
        <v>9832</v>
      </c>
      <c r="LD136" s="1">
        <v>50000</v>
      </c>
      <c r="LE136" s="1">
        <v>24716</v>
      </c>
      <c r="LF136" s="1">
        <v>6097.01</v>
      </c>
      <c r="LG136" s="1">
        <v>1</v>
      </c>
      <c r="LH136" s="1">
        <v>1</v>
      </c>
      <c r="LI136" s="1">
        <v>90</v>
      </c>
      <c r="LJ136" s="1">
        <v>60003760</v>
      </c>
      <c r="LK136" s="1">
        <v>0</v>
      </c>
      <c r="LL136" s="1">
        <v>0</v>
      </c>
      <c r="NV136" s="1">
        <v>2876899003</v>
      </c>
      <c r="NW136" s="1">
        <v>3689</v>
      </c>
      <c r="NX136" s="1">
        <v>9000</v>
      </c>
      <c r="NY136" s="1">
        <v>2505</v>
      </c>
      <c r="NZ136" s="1">
        <v>9721.2000000000007</v>
      </c>
      <c r="OA136" s="1">
        <v>1</v>
      </c>
      <c r="OB136" s="1">
        <v>1</v>
      </c>
      <c r="OC136" s="1">
        <v>90</v>
      </c>
      <c r="OD136" s="1">
        <v>60003760</v>
      </c>
      <c r="OE136" s="1">
        <v>0</v>
      </c>
      <c r="OF136" s="1">
        <v>0</v>
      </c>
      <c r="OH136" s="1">
        <v>2849672458</v>
      </c>
      <c r="OI136" s="1">
        <v>25598</v>
      </c>
      <c r="OJ136" s="1">
        <v>32</v>
      </c>
      <c r="OK136" s="1">
        <v>32</v>
      </c>
      <c r="OL136" s="1">
        <v>145004.01999999999</v>
      </c>
      <c r="OM136" s="1">
        <v>1</v>
      </c>
      <c r="ON136" s="1">
        <v>0</v>
      </c>
      <c r="OO136" s="1">
        <v>30</v>
      </c>
      <c r="OP136" s="1">
        <v>60000646</v>
      </c>
      <c r="OQ136" s="1">
        <v>32767</v>
      </c>
      <c r="OR136" s="1">
        <v>7</v>
      </c>
      <c r="OT136" s="1">
        <v>2859972120</v>
      </c>
      <c r="OU136" s="1">
        <v>25600</v>
      </c>
      <c r="OV136" s="1">
        <v>1000</v>
      </c>
      <c r="OW136" s="1">
        <v>821</v>
      </c>
      <c r="OX136" s="1">
        <v>20000.02</v>
      </c>
      <c r="OY136" s="1">
        <v>1</v>
      </c>
      <c r="OZ136" s="1">
        <v>1</v>
      </c>
      <c r="PA136" s="1">
        <v>90</v>
      </c>
      <c r="PB136" s="1">
        <v>60004054</v>
      </c>
      <c r="PC136" s="1">
        <v>2</v>
      </c>
      <c r="PD136" s="1">
        <v>0</v>
      </c>
      <c r="SX136" s="1">
        <v>2867728834</v>
      </c>
      <c r="SY136" s="1">
        <v>25595</v>
      </c>
      <c r="SZ136" s="1">
        <v>29</v>
      </c>
      <c r="TA136" s="1">
        <v>1</v>
      </c>
      <c r="TB136" s="1">
        <v>80400</v>
      </c>
      <c r="TC136" s="1">
        <v>1</v>
      </c>
      <c r="TD136" s="1">
        <v>0</v>
      </c>
      <c r="TE136" s="1">
        <v>90</v>
      </c>
      <c r="TF136" s="1">
        <v>60004057</v>
      </c>
      <c r="TG136" s="1">
        <v>32767</v>
      </c>
      <c r="TH136" s="1">
        <v>9</v>
      </c>
      <c r="TJ136"/>
      <c r="TK136"/>
      <c r="TL136"/>
      <c r="TM136"/>
      <c r="TN136"/>
      <c r="TO136"/>
      <c r="TP136"/>
      <c r="TQ136"/>
      <c r="TR136"/>
      <c r="TS136"/>
      <c r="TT136"/>
    </row>
    <row r="137" spans="2:540" x14ac:dyDescent="0.25">
      <c r="B137" s="1">
        <v>2837553639</v>
      </c>
      <c r="C137" s="1">
        <v>34</v>
      </c>
      <c r="D137" s="1">
        <v>70000000</v>
      </c>
      <c r="E137" s="1">
        <v>70000000</v>
      </c>
      <c r="F137" s="1">
        <v>7.15</v>
      </c>
      <c r="G137" s="1">
        <v>1</v>
      </c>
      <c r="H137" s="1">
        <v>0</v>
      </c>
      <c r="I137" s="1">
        <v>90</v>
      </c>
      <c r="J137" s="1">
        <v>60003760</v>
      </c>
      <c r="K137" s="1">
        <v>32767</v>
      </c>
      <c r="L137" s="1">
        <v>0</v>
      </c>
      <c r="N137" s="1">
        <v>2873158663</v>
      </c>
      <c r="O137" s="1">
        <v>35</v>
      </c>
      <c r="P137" s="1">
        <v>176183230</v>
      </c>
      <c r="Q137" s="1">
        <v>176183230</v>
      </c>
      <c r="R137" s="1">
        <v>15.44</v>
      </c>
      <c r="S137" s="1">
        <v>1</v>
      </c>
      <c r="T137" s="1">
        <v>0</v>
      </c>
      <c r="U137" s="1">
        <v>90</v>
      </c>
      <c r="V137" s="1">
        <v>60003760</v>
      </c>
      <c r="W137" s="1">
        <v>32767</v>
      </c>
      <c r="X137" s="1">
        <v>0</v>
      </c>
      <c r="Z137" s="1">
        <v>2844219786</v>
      </c>
      <c r="AA137" s="1">
        <v>36</v>
      </c>
      <c r="AB137" s="1">
        <v>2893406</v>
      </c>
      <c r="AC137" s="1">
        <v>2893406</v>
      </c>
      <c r="AD137" s="16">
        <v>52</v>
      </c>
      <c r="AE137" s="1">
        <v>1</v>
      </c>
      <c r="AF137" s="1">
        <v>0</v>
      </c>
      <c r="AG137" s="1">
        <v>90</v>
      </c>
      <c r="AH137" s="1">
        <v>60003760</v>
      </c>
      <c r="AI137" s="1">
        <v>32767</v>
      </c>
      <c r="AJ137" s="1">
        <v>11</v>
      </c>
      <c r="AL137" s="1">
        <v>2824561464</v>
      </c>
      <c r="AM137" s="1">
        <v>37</v>
      </c>
      <c r="AN137" s="1">
        <v>9</v>
      </c>
      <c r="AO137" s="1">
        <v>9</v>
      </c>
      <c r="AP137" s="16">
        <v>383</v>
      </c>
      <c r="AQ137" s="1">
        <v>1</v>
      </c>
      <c r="AR137" s="1">
        <v>0</v>
      </c>
      <c r="AS137" s="1">
        <v>90</v>
      </c>
      <c r="AT137" s="1">
        <v>60015027</v>
      </c>
      <c r="AU137" s="1">
        <v>32767</v>
      </c>
      <c r="AV137" s="1">
        <v>10</v>
      </c>
      <c r="AX137" s="1">
        <v>2793454638</v>
      </c>
      <c r="AY137" s="1">
        <v>38</v>
      </c>
      <c r="AZ137" s="1">
        <v>1500000</v>
      </c>
      <c r="BA137" s="1">
        <v>514916</v>
      </c>
      <c r="BB137" s="1">
        <v>728.66</v>
      </c>
      <c r="BC137" s="1">
        <v>1</v>
      </c>
      <c r="BD137" s="1">
        <v>1</v>
      </c>
      <c r="BE137" s="1">
        <v>90</v>
      </c>
      <c r="BF137" s="1">
        <v>60000283</v>
      </c>
      <c r="BG137" s="1">
        <v>2</v>
      </c>
      <c r="BH137" s="1">
        <v>0</v>
      </c>
      <c r="BJ137" s="1">
        <v>2813118563</v>
      </c>
      <c r="BK137" s="1">
        <v>39</v>
      </c>
      <c r="BL137" s="1">
        <v>25000</v>
      </c>
      <c r="BM137" s="1">
        <v>25000</v>
      </c>
      <c r="BN137" s="1">
        <v>715</v>
      </c>
      <c r="BO137" s="1">
        <v>1</v>
      </c>
      <c r="BP137" s="1">
        <v>1</v>
      </c>
      <c r="BQ137" s="1">
        <v>90</v>
      </c>
      <c r="BR137" s="1">
        <v>60003760</v>
      </c>
      <c r="BS137" s="1">
        <v>-1</v>
      </c>
      <c r="BT137" s="1">
        <v>0</v>
      </c>
      <c r="BV137" s="1">
        <v>2415594186</v>
      </c>
      <c r="BW137" s="1">
        <v>40</v>
      </c>
      <c r="BX137" s="1">
        <v>23</v>
      </c>
      <c r="BY137" s="1">
        <v>23</v>
      </c>
      <c r="BZ137" s="1">
        <v>2500</v>
      </c>
      <c r="CA137" s="1">
        <v>1</v>
      </c>
      <c r="CB137" s="1">
        <v>0</v>
      </c>
      <c r="CC137" s="1">
        <v>7</v>
      </c>
      <c r="CD137" s="1">
        <v>60015027</v>
      </c>
      <c r="CE137" s="1">
        <v>32767</v>
      </c>
      <c r="CF137" s="1">
        <v>14</v>
      </c>
      <c r="CH137" s="1">
        <v>2415706651</v>
      </c>
      <c r="CI137" s="1">
        <v>29668</v>
      </c>
      <c r="CJ137" s="1">
        <v>1</v>
      </c>
      <c r="CK137" s="1">
        <v>1</v>
      </c>
      <c r="CL137" s="1">
        <v>493999999.98000002</v>
      </c>
      <c r="CM137" s="1">
        <v>1</v>
      </c>
      <c r="CN137" s="1">
        <v>0</v>
      </c>
      <c r="CO137" s="1">
        <v>90</v>
      </c>
      <c r="CP137" s="1">
        <v>60003760</v>
      </c>
      <c r="CQ137" s="1">
        <v>32767</v>
      </c>
      <c r="CR137" s="1">
        <v>0</v>
      </c>
      <c r="CT137" s="1">
        <v>2415856769</v>
      </c>
      <c r="CU137" s="1">
        <v>16649</v>
      </c>
      <c r="CV137" s="1">
        <v>4200</v>
      </c>
      <c r="CW137" s="1">
        <v>4200</v>
      </c>
      <c r="CX137" s="1">
        <v>99602</v>
      </c>
      <c r="CY137" s="1">
        <v>1</v>
      </c>
      <c r="CZ137" s="1">
        <v>1</v>
      </c>
      <c r="DA137" s="1">
        <v>1</v>
      </c>
      <c r="DB137" s="1">
        <v>60003760</v>
      </c>
      <c r="DC137" s="1">
        <v>-1</v>
      </c>
      <c r="DD137" s="1">
        <v>0</v>
      </c>
      <c r="DF137" s="1">
        <v>2414191895</v>
      </c>
      <c r="DG137" s="1">
        <v>17887</v>
      </c>
      <c r="DH137" s="1">
        <v>100000</v>
      </c>
      <c r="DI137" s="1">
        <v>100000</v>
      </c>
      <c r="DJ137" s="1">
        <v>880</v>
      </c>
      <c r="DK137" s="1">
        <v>1</v>
      </c>
      <c r="DL137" s="1">
        <v>1</v>
      </c>
      <c r="DM137" s="1">
        <v>30</v>
      </c>
      <c r="DN137" s="1">
        <v>60003760</v>
      </c>
      <c r="DO137" s="1">
        <v>-1</v>
      </c>
      <c r="DP137" s="1">
        <v>0</v>
      </c>
      <c r="DR137" s="1">
        <v>2790902724</v>
      </c>
      <c r="DS137" s="1">
        <v>17888</v>
      </c>
      <c r="DT137" s="1">
        <v>325088</v>
      </c>
      <c r="DU137" s="1">
        <v>88</v>
      </c>
      <c r="DV137" s="1">
        <v>340</v>
      </c>
      <c r="DW137" s="1">
        <v>1</v>
      </c>
      <c r="DX137" s="1">
        <v>0</v>
      </c>
      <c r="DY137" s="1">
        <v>90</v>
      </c>
      <c r="DZ137" s="1">
        <v>60000511</v>
      </c>
      <c r="EA137" s="1">
        <v>32767</v>
      </c>
      <c r="EB137" s="1">
        <v>9</v>
      </c>
      <c r="ED137" s="1">
        <v>2878593933</v>
      </c>
      <c r="EE137" s="1">
        <v>16273</v>
      </c>
      <c r="EF137" s="1">
        <v>252090</v>
      </c>
      <c r="EG137" s="1">
        <v>136440</v>
      </c>
      <c r="EH137" s="1">
        <v>370.92</v>
      </c>
      <c r="EI137" s="1">
        <v>1</v>
      </c>
      <c r="EJ137" s="1">
        <v>0</v>
      </c>
      <c r="EK137" s="1">
        <v>30</v>
      </c>
      <c r="EL137" s="1">
        <v>60003760</v>
      </c>
      <c r="EM137" s="1">
        <v>32767</v>
      </c>
      <c r="EN137" s="1">
        <v>6</v>
      </c>
      <c r="EP137"/>
      <c r="EQ137"/>
      <c r="ER137"/>
      <c r="ES137"/>
      <c r="ET137"/>
      <c r="EU137"/>
      <c r="EV137"/>
      <c r="EW137"/>
      <c r="EX137"/>
      <c r="EY137"/>
      <c r="EZ137"/>
      <c r="FB137" s="1">
        <v>2877964454</v>
      </c>
      <c r="FC137" s="1">
        <v>30259</v>
      </c>
      <c r="FD137" s="1">
        <v>1000</v>
      </c>
      <c r="FE137" s="1">
        <v>104</v>
      </c>
      <c r="FF137" s="1">
        <v>5593418.2699999996</v>
      </c>
      <c r="FG137" s="1">
        <v>1</v>
      </c>
      <c r="FH137" s="1">
        <v>1</v>
      </c>
      <c r="FI137" s="1">
        <v>90</v>
      </c>
      <c r="FJ137" s="1">
        <v>60003760</v>
      </c>
      <c r="FK137" s="1">
        <v>-1</v>
      </c>
      <c r="FL137" s="1">
        <v>0</v>
      </c>
      <c r="FZ137" s="1">
        <v>2877023027</v>
      </c>
      <c r="GA137" s="1">
        <v>44</v>
      </c>
      <c r="GB137" s="1">
        <v>120000</v>
      </c>
      <c r="GC137" s="1">
        <v>33086</v>
      </c>
      <c r="GD137" s="1">
        <v>12355.63</v>
      </c>
      <c r="GE137" s="1">
        <v>1</v>
      </c>
      <c r="GF137" s="1">
        <v>1</v>
      </c>
      <c r="GG137" s="1">
        <v>90</v>
      </c>
      <c r="GH137" s="1">
        <v>60003760</v>
      </c>
      <c r="GI137" s="1">
        <v>-1</v>
      </c>
      <c r="GJ137" s="1">
        <v>0</v>
      </c>
      <c r="GL137" s="1">
        <v>2414705460</v>
      </c>
      <c r="GM137" s="1">
        <v>16681</v>
      </c>
      <c r="GN137" s="1">
        <v>450000</v>
      </c>
      <c r="GO137" s="1">
        <v>254750</v>
      </c>
      <c r="GP137" s="1">
        <v>6030.02</v>
      </c>
      <c r="GQ137" s="1">
        <v>1</v>
      </c>
      <c r="GR137" s="1">
        <v>1</v>
      </c>
      <c r="GS137" s="1">
        <v>90</v>
      </c>
      <c r="GT137" s="1">
        <v>60003760</v>
      </c>
      <c r="GU137" s="1">
        <v>-1</v>
      </c>
      <c r="GV137" s="1">
        <v>0</v>
      </c>
      <c r="JF137" s="1">
        <v>2786866466</v>
      </c>
      <c r="JG137" s="1">
        <v>16272</v>
      </c>
      <c r="JH137" s="1">
        <v>1000000</v>
      </c>
      <c r="JI137" s="1">
        <v>937079</v>
      </c>
      <c r="JJ137" s="1">
        <v>50.02</v>
      </c>
      <c r="JK137" s="1">
        <v>1</v>
      </c>
      <c r="JL137" s="1">
        <v>1</v>
      </c>
      <c r="JM137" s="1">
        <v>90</v>
      </c>
      <c r="JN137" s="1">
        <v>60012667</v>
      </c>
      <c r="JO137" s="1">
        <v>0</v>
      </c>
      <c r="JP137" s="1">
        <v>0</v>
      </c>
      <c r="KD137"/>
      <c r="KE137"/>
      <c r="KF137"/>
      <c r="KG137"/>
      <c r="KH137"/>
      <c r="KI137"/>
      <c r="KJ137"/>
      <c r="KK137"/>
      <c r="KL137"/>
      <c r="KM137"/>
      <c r="KN137"/>
      <c r="KP137"/>
      <c r="KQ137"/>
      <c r="KR137"/>
      <c r="KS137"/>
      <c r="KT137"/>
      <c r="KU137"/>
      <c r="KV137"/>
      <c r="KW137"/>
      <c r="KX137"/>
      <c r="KY137"/>
      <c r="KZ137"/>
      <c r="LB137" s="1">
        <v>2872175494</v>
      </c>
      <c r="LC137" s="1">
        <v>9832</v>
      </c>
      <c r="LD137" s="1">
        <v>10000</v>
      </c>
      <c r="LE137" s="1">
        <v>10000</v>
      </c>
      <c r="LF137" s="1">
        <v>8641.01</v>
      </c>
      <c r="LG137" s="1">
        <v>1</v>
      </c>
      <c r="LH137" s="1">
        <v>1</v>
      </c>
      <c r="LI137" s="1">
        <v>7</v>
      </c>
      <c r="LJ137" s="1">
        <v>60003760</v>
      </c>
      <c r="LK137" s="1">
        <v>-1</v>
      </c>
      <c r="LL137" s="1">
        <v>0</v>
      </c>
      <c r="NV137" s="1">
        <v>2878922083</v>
      </c>
      <c r="NW137" s="1">
        <v>3689</v>
      </c>
      <c r="NX137" s="1">
        <v>53600</v>
      </c>
      <c r="NY137" s="1">
        <v>41545</v>
      </c>
      <c r="NZ137" s="1">
        <v>9721.27</v>
      </c>
      <c r="OA137" s="1">
        <v>1</v>
      </c>
      <c r="OB137" s="1">
        <v>1</v>
      </c>
      <c r="OC137" s="1">
        <v>7</v>
      </c>
      <c r="OD137" s="1">
        <v>60003760</v>
      </c>
      <c r="OE137" s="1">
        <v>-1</v>
      </c>
      <c r="OF137" s="1">
        <v>0</v>
      </c>
      <c r="OH137" s="1">
        <v>2877942356</v>
      </c>
      <c r="OI137" s="1">
        <v>25598</v>
      </c>
      <c r="OJ137" s="1">
        <v>1</v>
      </c>
      <c r="OK137" s="1">
        <v>1</v>
      </c>
      <c r="OL137" s="1">
        <v>140000</v>
      </c>
      <c r="OM137" s="1">
        <v>1</v>
      </c>
      <c r="ON137" s="1">
        <v>0</v>
      </c>
      <c r="OO137" s="1">
        <v>30</v>
      </c>
      <c r="OP137" s="1">
        <v>60004213</v>
      </c>
      <c r="OQ137" s="1">
        <v>32767</v>
      </c>
      <c r="OR137" s="1">
        <v>3</v>
      </c>
      <c r="OT137" s="1">
        <v>2864795609</v>
      </c>
      <c r="OU137" s="1">
        <v>25600</v>
      </c>
      <c r="OV137" s="1">
        <v>1000</v>
      </c>
      <c r="OW137" s="1">
        <v>979</v>
      </c>
      <c r="OX137" s="1">
        <v>22531.01</v>
      </c>
      <c r="OY137" s="1">
        <v>1</v>
      </c>
      <c r="OZ137" s="1">
        <v>1</v>
      </c>
      <c r="PA137" s="1">
        <v>30</v>
      </c>
      <c r="PB137" s="1">
        <v>60002434</v>
      </c>
      <c r="PC137" s="1">
        <v>0</v>
      </c>
      <c r="PD137" s="1">
        <v>0</v>
      </c>
      <c r="SX137" s="1">
        <v>2845895130</v>
      </c>
      <c r="SY137" s="1">
        <v>25595</v>
      </c>
      <c r="SZ137" s="1">
        <v>44</v>
      </c>
      <c r="TA137" s="1">
        <v>27</v>
      </c>
      <c r="TB137" s="1">
        <v>84999.99</v>
      </c>
      <c r="TC137" s="1">
        <v>1</v>
      </c>
      <c r="TD137" s="1">
        <v>0</v>
      </c>
      <c r="TE137" s="1">
        <v>90</v>
      </c>
      <c r="TF137" s="1">
        <v>60002845</v>
      </c>
      <c r="TG137" s="1">
        <v>32767</v>
      </c>
      <c r="TH137" s="1">
        <v>10</v>
      </c>
      <c r="TJ137"/>
      <c r="TK137"/>
      <c r="TL137"/>
      <c r="TM137"/>
      <c r="TN137"/>
      <c r="TO137"/>
      <c r="TP137"/>
      <c r="TQ137"/>
      <c r="TR137"/>
      <c r="TS137"/>
      <c r="TT137"/>
    </row>
    <row r="138" spans="2:540" x14ac:dyDescent="0.25">
      <c r="B138" s="1">
        <v>2833121207</v>
      </c>
      <c r="C138" s="1">
        <v>34</v>
      </c>
      <c r="D138" s="1">
        <v>83924798</v>
      </c>
      <c r="E138" s="1">
        <v>83924798</v>
      </c>
      <c r="F138" s="1">
        <v>5.75</v>
      </c>
      <c r="G138" s="1">
        <v>1</v>
      </c>
      <c r="H138" s="1">
        <v>0</v>
      </c>
      <c r="I138" s="1">
        <v>90</v>
      </c>
      <c r="J138" s="1">
        <v>60003760</v>
      </c>
      <c r="K138" s="1">
        <v>32767</v>
      </c>
      <c r="L138" s="1">
        <v>0</v>
      </c>
      <c r="N138" s="1">
        <v>2875537830</v>
      </c>
      <c r="O138" s="1">
        <v>35</v>
      </c>
      <c r="P138" s="1">
        <v>691503</v>
      </c>
      <c r="Q138" s="1">
        <v>691503</v>
      </c>
      <c r="R138" s="1">
        <v>15.6</v>
      </c>
      <c r="S138" s="1">
        <v>1</v>
      </c>
      <c r="T138" s="1">
        <v>0</v>
      </c>
      <c r="U138" s="1">
        <v>30</v>
      </c>
      <c r="V138" s="1">
        <v>60003760</v>
      </c>
      <c r="W138" s="1">
        <v>32767</v>
      </c>
      <c r="X138" s="1">
        <v>0</v>
      </c>
      <c r="Z138" s="1">
        <v>2844473984</v>
      </c>
      <c r="AA138" s="1">
        <v>36</v>
      </c>
      <c r="AB138" s="1">
        <v>2312</v>
      </c>
      <c r="AC138" s="1">
        <v>2312</v>
      </c>
      <c r="AD138" s="16">
        <v>51.3</v>
      </c>
      <c r="AE138" s="1">
        <v>1</v>
      </c>
      <c r="AF138" s="1">
        <v>0</v>
      </c>
      <c r="AG138" s="1">
        <v>90</v>
      </c>
      <c r="AH138" s="1">
        <v>60003760</v>
      </c>
      <c r="AI138" s="1">
        <v>32767</v>
      </c>
      <c r="AJ138" s="1">
        <v>11</v>
      </c>
      <c r="AL138" s="1">
        <v>2817946632</v>
      </c>
      <c r="AM138" s="1">
        <v>37</v>
      </c>
      <c r="AN138" s="1">
        <v>30000</v>
      </c>
      <c r="AO138" s="1">
        <v>4784</v>
      </c>
      <c r="AP138" s="16">
        <v>381</v>
      </c>
      <c r="AQ138" s="1">
        <v>1</v>
      </c>
      <c r="AR138" s="1">
        <v>0</v>
      </c>
      <c r="AS138" s="1">
        <v>90</v>
      </c>
      <c r="AT138" s="1">
        <v>60015027</v>
      </c>
      <c r="AU138" s="1">
        <v>32767</v>
      </c>
      <c r="AV138" s="1">
        <v>10</v>
      </c>
      <c r="AX138" s="1">
        <v>2769076616</v>
      </c>
      <c r="AY138" s="1">
        <v>38</v>
      </c>
      <c r="AZ138" s="1">
        <v>500000</v>
      </c>
      <c r="BA138" s="1">
        <v>500000</v>
      </c>
      <c r="BB138" s="1">
        <v>550</v>
      </c>
      <c r="BC138" s="1">
        <v>1</v>
      </c>
      <c r="BD138" s="1">
        <v>1</v>
      </c>
      <c r="BE138" s="1">
        <v>90</v>
      </c>
      <c r="BF138" s="1">
        <v>60003064</v>
      </c>
      <c r="BG138" s="1">
        <v>-1</v>
      </c>
      <c r="BH138" s="1">
        <v>0</v>
      </c>
      <c r="BJ138" s="1">
        <v>2790224235</v>
      </c>
      <c r="BK138" s="1">
        <v>39</v>
      </c>
      <c r="BL138" s="1">
        <v>1000000</v>
      </c>
      <c r="BM138" s="1">
        <v>832861</v>
      </c>
      <c r="BN138" s="1">
        <v>732</v>
      </c>
      <c r="BO138" s="1">
        <v>5000</v>
      </c>
      <c r="BP138" s="1">
        <v>1</v>
      </c>
      <c r="BQ138" s="1">
        <v>90</v>
      </c>
      <c r="BR138" s="1">
        <v>60003760</v>
      </c>
      <c r="BS138" s="1">
        <v>5</v>
      </c>
      <c r="BT138" s="1">
        <v>0</v>
      </c>
      <c r="BV138" s="1">
        <v>2415614471</v>
      </c>
      <c r="BW138" s="1">
        <v>40</v>
      </c>
      <c r="BX138" s="1">
        <v>412499</v>
      </c>
      <c r="BY138" s="1">
        <v>412499</v>
      </c>
      <c r="BZ138" s="1">
        <v>2687.98</v>
      </c>
      <c r="CA138" s="1">
        <v>1</v>
      </c>
      <c r="CB138" s="1">
        <v>0</v>
      </c>
      <c r="CC138" s="1">
        <v>30</v>
      </c>
      <c r="CD138" s="1">
        <v>60003760</v>
      </c>
      <c r="CE138" s="1">
        <v>32767</v>
      </c>
      <c r="CF138" s="1">
        <v>13</v>
      </c>
      <c r="CH138" s="1">
        <v>2415697033</v>
      </c>
      <c r="CI138" s="1">
        <v>29668</v>
      </c>
      <c r="CJ138" s="1">
        <v>1</v>
      </c>
      <c r="CK138" s="1">
        <v>1</v>
      </c>
      <c r="CL138" s="1">
        <v>493989999.99000001</v>
      </c>
      <c r="CM138" s="1">
        <v>1</v>
      </c>
      <c r="CN138" s="1">
        <v>0</v>
      </c>
      <c r="CO138" s="1">
        <v>90</v>
      </c>
      <c r="CP138" s="1">
        <v>60003760</v>
      </c>
      <c r="CQ138" s="1">
        <v>32767</v>
      </c>
      <c r="CR138" s="1">
        <v>0</v>
      </c>
      <c r="CT138"/>
      <c r="CU138"/>
      <c r="CV138"/>
      <c r="CW138"/>
      <c r="CX138"/>
      <c r="CY138"/>
      <c r="CZ138"/>
      <c r="DA138"/>
      <c r="DB138"/>
      <c r="DC138"/>
      <c r="DD138"/>
      <c r="DF138" s="1">
        <v>2414898867</v>
      </c>
      <c r="DG138" s="1">
        <v>17887</v>
      </c>
      <c r="DH138" s="1">
        <v>200000</v>
      </c>
      <c r="DI138" s="1">
        <v>200000</v>
      </c>
      <c r="DJ138" s="1">
        <v>885.37</v>
      </c>
      <c r="DK138" s="1">
        <v>1</v>
      </c>
      <c r="DL138" s="1">
        <v>1</v>
      </c>
      <c r="DM138" s="1">
        <v>90</v>
      </c>
      <c r="DN138" s="1">
        <v>60003760</v>
      </c>
      <c r="DO138" s="1">
        <v>-1</v>
      </c>
      <c r="DP138" s="1">
        <v>0</v>
      </c>
      <c r="DR138" s="1">
        <v>2808284682</v>
      </c>
      <c r="DS138" s="1">
        <v>17888</v>
      </c>
      <c r="DT138" s="1">
        <v>422100</v>
      </c>
      <c r="DU138" s="1">
        <v>422100</v>
      </c>
      <c r="DV138" s="1">
        <v>411.99</v>
      </c>
      <c r="DW138" s="1">
        <v>1</v>
      </c>
      <c r="DX138" s="1">
        <v>0</v>
      </c>
      <c r="DY138" s="1">
        <v>90</v>
      </c>
      <c r="DZ138" s="1">
        <v>60000511</v>
      </c>
      <c r="EA138" s="1">
        <v>32767</v>
      </c>
      <c r="EB138" s="1">
        <v>9</v>
      </c>
      <c r="ED138" s="1">
        <v>2878686422</v>
      </c>
      <c r="EE138" s="1">
        <v>16273</v>
      </c>
      <c r="EF138" s="1">
        <v>7457</v>
      </c>
      <c r="EG138" s="1">
        <v>7457</v>
      </c>
      <c r="EH138" s="1">
        <v>370.9</v>
      </c>
      <c r="EI138" s="1">
        <v>1</v>
      </c>
      <c r="EJ138" s="1">
        <v>0</v>
      </c>
      <c r="EK138" s="1">
        <v>90</v>
      </c>
      <c r="EL138" s="1">
        <v>60003760</v>
      </c>
      <c r="EM138" s="1">
        <v>32767</v>
      </c>
      <c r="EN138" s="1">
        <v>6</v>
      </c>
      <c r="EP138"/>
      <c r="EQ138"/>
      <c r="ER138"/>
      <c r="ES138"/>
      <c r="ET138"/>
      <c r="EU138"/>
      <c r="EV138"/>
      <c r="EW138"/>
      <c r="EX138"/>
      <c r="EY138"/>
      <c r="EZ138"/>
      <c r="FB138" s="1">
        <v>2878748423</v>
      </c>
      <c r="FC138" s="1">
        <v>30259</v>
      </c>
      <c r="FD138" s="1">
        <v>1000</v>
      </c>
      <c r="FE138" s="1">
        <v>723</v>
      </c>
      <c r="FF138" s="1">
        <v>5593418.3200000003</v>
      </c>
      <c r="FG138" s="1">
        <v>1</v>
      </c>
      <c r="FH138" s="1">
        <v>1</v>
      </c>
      <c r="FI138" s="1">
        <v>90</v>
      </c>
      <c r="FJ138" s="1">
        <v>60003760</v>
      </c>
      <c r="FK138" s="1">
        <v>-1</v>
      </c>
      <c r="FL138" s="1">
        <v>0</v>
      </c>
      <c r="FZ138" s="1">
        <v>2877478817</v>
      </c>
      <c r="GA138" s="1">
        <v>44</v>
      </c>
      <c r="GB138" s="1">
        <v>52800</v>
      </c>
      <c r="GC138" s="1">
        <v>27340</v>
      </c>
      <c r="GD138" s="1">
        <v>12355.66</v>
      </c>
      <c r="GE138" s="1">
        <v>1</v>
      </c>
      <c r="GF138" s="1">
        <v>1</v>
      </c>
      <c r="GG138" s="1">
        <v>90</v>
      </c>
      <c r="GH138" s="1">
        <v>60003760</v>
      </c>
      <c r="GI138" s="1">
        <v>-1</v>
      </c>
      <c r="GJ138" s="1">
        <v>0</v>
      </c>
      <c r="GL138" s="1">
        <v>2415709430</v>
      </c>
      <c r="GM138" s="1">
        <v>16681</v>
      </c>
      <c r="GN138" s="1">
        <v>200000</v>
      </c>
      <c r="GO138" s="1">
        <v>200000</v>
      </c>
      <c r="GP138" s="1">
        <v>6030.03</v>
      </c>
      <c r="GQ138" s="1">
        <v>1</v>
      </c>
      <c r="GR138" s="1">
        <v>1</v>
      </c>
      <c r="GS138" s="1">
        <v>90</v>
      </c>
      <c r="GT138" s="1">
        <v>60003760</v>
      </c>
      <c r="GU138" s="1">
        <v>-1</v>
      </c>
      <c r="GV138" s="1">
        <v>0</v>
      </c>
      <c r="JF138" s="1">
        <v>1681252967</v>
      </c>
      <c r="JG138" s="1">
        <v>16272</v>
      </c>
      <c r="JH138" s="1">
        <v>1000000</v>
      </c>
      <c r="JI138" s="1">
        <v>399250</v>
      </c>
      <c r="JJ138" s="1">
        <v>2.21</v>
      </c>
      <c r="JK138" s="1">
        <v>1</v>
      </c>
      <c r="JL138" s="1">
        <v>1</v>
      </c>
      <c r="JM138" s="1">
        <v>90</v>
      </c>
      <c r="JN138" s="1">
        <v>60001783</v>
      </c>
      <c r="JO138" s="1">
        <v>10</v>
      </c>
      <c r="JP138" s="1">
        <v>0</v>
      </c>
      <c r="KD138"/>
      <c r="KE138"/>
      <c r="KF138"/>
      <c r="KG138"/>
      <c r="KH138"/>
      <c r="KI138"/>
      <c r="KJ138"/>
      <c r="KK138"/>
      <c r="KL138"/>
      <c r="KM138"/>
      <c r="KN138"/>
      <c r="KP138"/>
      <c r="KQ138"/>
      <c r="KR138"/>
      <c r="KS138"/>
      <c r="KT138"/>
      <c r="KU138"/>
      <c r="KV138"/>
      <c r="KW138"/>
      <c r="KX138"/>
      <c r="KY138"/>
      <c r="KZ138"/>
      <c r="LB138" s="1">
        <v>2872338296</v>
      </c>
      <c r="LC138" s="1">
        <v>9832</v>
      </c>
      <c r="LD138" s="1">
        <v>100000</v>
      </c>
      <c r="LE138" s="1">
        <v>98989</v>
      </c>
      <c r="LF138" s="1">
        <v>9105.26</v>
      </c>
      <c r="LG138" s="1">
        <v>1</v>
      </c>
      <c r="LH138" s="1">
        <v>1</v>
      </c>
      <c r="LI138" s="1">
        <v>90</v>
      </c>
      <c r="LJ138" s="1">
        <v>60003760</v>
      </c>
      <c r="LK138" s="1">
        <v>-1</v>
      </c>
      <c r="LL138" s="1">
        <v>0</v>
      </c>
      <c r="NV138" s="1">
        <v>2879012891</v>
      </c>
      <c r="NW138" s="1">
        <v>3689</v>
      </c>
      <c r="NX138" s="1">
        <v>17000</v>
      </c>
      <c r="NY138" s="1">
        <v>17000</v>
      </c>
      <c r="NZ138" s="1">
        <v>9721.31</v>
      </c>
      <c r="OA138" s="1">
        <v>1</v>
      </c>
      <c r="OB138" s="1">
        <v>1</v>
      </c>
      <c r="OC138" s="1">
        <v>90</v>
      </c>
      <c r="OD138" s="1">
        <v>60003760</v>
      </c>
      <c r="OE138" s="1">
        <v>-1</v>
      </c>
      <c r="OF138" s="1">
        <v>0</v>
      </c>
      <c r="OH138" s="1">
        <v>2878289746</v>
      </c>
      <c r="OI138" s="1">
        <v>25598</v>
      </c>
      <c r="OJ138" s="1">
        <v>73</v>
      </c>
      <c r="OK138" s="1">
        <v>73</v>
      </c>
      <c r="OL138" s="1">
        <v>135114</v>
      </c>
      <c r="OM138" s="1">
        <v>1</v>
      </c>
      <c r="ON138" s="1">
        <v>0</v>
      </c>
      <c r="OO138" s="1">
        <v>14</v>
      </c>
      <c r="OP138" s="1">
        <v>60002809</v>
      </c>
      <c r="OQ138" s="1">
        <v>32767</v>
      </c>
      <c r="OR138" s="1">
        <v>3</v>
      </c>
      <c r="OT138" s="1">
        <v>2670125106</v>
      </c>
      <c r="OU138" s="1">
        <v>25600</v>
      </c>
      <c r="OV138" s="1">
        <v>20000</v>
      </c>
      <c r="OW138" s="1">
        <v>19303</v>
      </c>
      <c r="OX138" s="1">
        <v>18806.13</v>
      </c>
      <c r="OY138" s="1">
        <v>1</v>
      </c>
      <c r="OZ138" s="1">
        <v>1</v>
      </c>
      <c r="PA138" s="1">
        <v>90</v>
      </c>
      <c r="PB138" s="1">
        <v>60004210</v>
      </c>
      <c r="PC138" s="1">
        <v>4</v>
      </c>
      <c r="PD138" s="1">
        <v>0</v>
      </c>
      <c r="SX138" s="1">
        <v>2794403560</v>
      </c>
      <c r="SY138" s="1">
        <v>25595</v>
      </c>
      <c r="SZ138" s="1">
        <v>12</v>
      </c>
      <c r="TA138" s="1">
        <v>12</v>
      </c>
      <c r="TB138" s="1">
        <v>85000</v>
      </c>
      <c r="TC138" s="1">
        <v>1</v>
      </c>
      <c r="TD138" s="1">
        <v>0</v>
      </c>
      <c r="TE138" s="1">
        <v>90</v>
      </c>
      <c r="TF138" s="1">
        <v>60012667</v>
      </c>
      <c r="TG138" s="1">
        <v>32767</v>
      </c>
      <c r="TH138" s="1">
        <v>0</v>
      </c>
      <c r="TJ138"/>
      <c r="TK138"/>
      <c r="TL138"/>
      <c r="TM138"/>
      <c r="TN138"/>
      <c r="TO138"/>
      <c r="TP138"/>
      <c r="TQ138"/>
      <c r="TR138"/>
      <c r="TS138"/>
      <c r="TT138"/>
    </row>
    <row r="139" spans="2:540" x14ac:dyDescent="0.25">
      <c r="B139" s="1">
        <v>2833179813</v>
      </c>
      <c r="C139" s="1">
        <v>34</v>
      </c>
      <c r="D139" s="1">
        <v>280765</v>
      </c>
      <c r="E139" s="1">
        <v>280765</v>
      </c>
      <c r="F139" s="1">
        <v>5.94</v>
      </c>
      <c r="G139" s="1">
        <v>1</v>
      </c>
      <c r="H139" s="1">
        <v>0</v>
      </c>
      <c r="I139" s="1">
        <v>90</v>
      </c>
      <c r="J139" s="1">
        <v>60003760</v>
      </c>
      <c r="K139" s="1">
        <v>32767</v>
      </c>
      <c r="L139" s="1">
        <v>0</v>
      </c>
      <c r="N139" s="1">
        <v>2874542432</v>
      </c>
      <c r="O139" s="1">
        <v>35</v>
      </c>
      <c r="P139" s="1">
        <v>4662594</v>
      </c>
      <c r="Q139" s="1">
        <v>4662594</v>
      </c>
      <c r="R139" s="1">
        <v>15.3</v>
      </c>
      <c r="S139" s="1">
        <v>1</v>
      </c>
      <c r="T139" s="1">
        <v>0</v>
      </c>
      <c r="U139" s="1">
        <v>90</v>
      </c>
      <c r="V139" s="1">
        <v>60003760</v>
      </c>
      <c r="W139" s="1">
        <v>32767</v>
      </c>
      <c r="X139" s="1">
        <v>0</v>
      </c>
      <c r="Z139" s="1">
        <v>2844530244</v>
      </c>
      <c r="AA139" s="1">
        <v>36</v>
      </c>
      <c r="AB139" s="1">
        <v>16029979</v>
      </c>
      <c r="AC139" s="1">
        <v>16029979</v>
      </c>
      <c r="AD139" s="16">
        <v>51.72</v>
      </c>
      <c r="AE139" s="1">
        <v>1</v>
      </c>
      <c r="AF139" s="1">
        <v>0</v>
      </c>
      <c r="AG139" s="1">
        <v>30</v>
      </c>
      <c r="AH139" s="1">
        <v>60003760</v>
      </c>
      <c r="AI139" s="1">
        <v>32767</v>
      </c>
      <c r="AJ139" s="1">
        <v>11</v>
      </c>
      <c r="AL139" s="1">
        <v>2849479112</v>
      </c>
      <c r="AM139" s="1">
        <v>37</v>
      </c>
      <c r="AN139" s="1">
        <v>60000</v>
      </c>
      <c r="AO139" s="1">
        <v>57805</v>
      </c>
      <c r="AP139" s="16">
        <v>165</v>
      </c>
      <c r="AQ139" s="1">
        <v>1</v>
      </c>
      <c r="AR139" s="1">
        <v>0</v>
      </c>
      <c r="AS139" s="1">
        <v>90</v>
      </c>
      <c r="AT139" s="1">
        <v>60015027</v>
      </c>
      <c r="AU139" s="1">
        <v>32767</v>
      </c>
      <c r="AV139" s="1">
        <v>10</v>
      </c>
      <c r="AX139" s="1">
        <v>2854632542</v>
      </c>
      <c r="AY139" s="1">
        <v>38</v>
      </c>
      <c r="AZ139" s="1">
        <v>3000</v>
      </c>
      <c r="BA139" s="1">
        <v>3000</v>
      </c>
      <c r="BB139" s="1">
        <v>300</v>
      </c>
      <c r="BC139" s="1">
        <v>1</v>
      </c>
      <c r="BD139" s="1">
        <v>1</v>
      </c>
      <c r="BE139" s="1">
        <v>30</v>
      </c>
      <c r="BF139" s="1">
        <v>60003244</v>
      </c>
      <c r="BG139" s="1">
        <v>0</v>
      </c>
      <c r="BH139" s="1">
        <v>0</v>
      </c>
      <c r="BJ139" s="1">
        <v>2790761206</v>
      </c>
      <c r="BK139" s="1">
        <v>39</v>
      </c>
      <c r="BL139" s="1">
        <v>940000</v>
      </c>
      <c r="BM139" s="1">
        <v>939995</v>
      </c>
      <c r="BN139" s="1">
        <v>689</v>
      </c>
      <c r="BO139" s="1">
        <v>1</v>
      </c>
      <c r="BP139" s="1">
        <v>1</v>
      </c>
      <c r="BQ139" s="1">
        <v>90</v>
      </c>
      <c r="BR139" s="1">
        <v>60003760</v>
      </c>
      <c r="BS139" s="1">
        <v>-1</v>
      </c>
      <c r="BT139" s="1">
        <v>0</v>
      </c>
      <c r="BV139" s="1">
        <v>2413198647</v>
      </c>
      <c r="BW139" s="1">
        <v>40</v>
      </c>
      <c r="BX139" s="1">
        <v>30000</v>
      </c>
      <c r="BY139" s="1">
        <v>29649</v>
      </c>
      <c r="BZ139" s="1">
        <v>2455</v>
      </c>
      <c r="CA139" s="1">
        <v>1</v>
      </c>
      <c r="CB139" s="1">
        <v>1</v>
      </c>
      <c r="CC139" s="1">
        <v>30</v>
      </c>
      <c r="CD139" s="1">
        <v>60004462</v>
      </c>
      <c r="CE139" s="1">
        <v>1</v>
      </c>
      <c r="CF139" s="1">
        <v>0</v>
      </c>
      <c r="CH139" s="1">
        <v>2415741464</v>
      </c>
      <c r="CI139" s="1">
        <v>29668</v>
      </c>
      <c r="CJ139" s="1">
        <v>1</v>
      </c>
      <c r="CK139" s="1">
        <v>1</v>
      </c>
      <c r="CL139" s="1">
        <v>493949999</v>
      </c>
      <c r="CM139" s="1">
        <v>1</v>
      </c>
      <c r="CN139" s="1">
        <v>0</v>
      </c>
      <c r="CO139" s="1">
        <v>90</v>
      </c>
      <c r="CP139" s="1">
        <v>60003760</v>
      </c>
      <c r="CQ139" s="1">
        <v>32767</v>
      </c>
      <c r="CR139" s="1">
        <v>0</v>
      </c>
      <c r="CT139"/>
      <c r="CU139"/>
      <c r="CV139"/>
      <c r="CW139"/>
      <c r="CX139"/>
      <c r="CY139"/>
      <c r="CZ139"/>
      <c r="DA139"/>
      <c r="DB139"/>
      <c r="DC139"/>
      <c r="DD139"/>
      <c r="DF139" s="1">
        <v>2396221477</v>
      </c>
      <c r="DG139" s="1">
        <v>17887</v>
      </c>
      <c r="DH139" s="1">
        <v>150000</v>
      </c>
      <c r="DI139" s="1">
        <v>150000</v>
      </c>
      <c r="DJ139" s="1">
        <v>874.21</v>
      </c>
      <c r="DK139" s="1">
        <v>1</v>
      </c>
      <c r="DL139" s="1">
        <v>1</v>
      </c>
      <c r="DM139" s="1">
        <v>90</v>
      </c>
      <c r="DN139" s="1">
        <v>60003760</v>
      </c>
      <c r="DO139" s="1">
        <v>-1</v>
      </c>
      <c r="DP139" s="1">
        <v>0</v>
      </c>
      <c r="DR139" s="1">
        <v>2772468856</v>
      </c>
      <c r="DS139" s="1">
        <v>17888</v>
      </c>
      <c r="DT139" s="1">
        <v>4175</v>
      </c>
      <c r="DU139" s="1">
        <v>4175</v>
      </c>
      <c r="DV139" s="1">
        <v>415</v>
      </c>
      <c r="DW139" s="1">
        <v>1</v>
      </c>
      <c r="DX139" s="1">
        <v>0</v>
      </c>
      <c r="DY139" s="1">
        <v>90</v>
      </c>
      <c r="DZ139" s="1">
        <v>60000511</v>
      </c>
      <c r="EA139" s="1">
        <v>32767</v>
      </c>
      <c r="EB139" s="1">
        <v>9</v>
      </c>
      <c r="ED139" s="1">
        <v>2878689323</v>
      </c>
      <c r="EE139" s="1">
        <v>16273</v>
      </c>
      <c r="EF139" s="1">
        <v>20625</v>
      </c>
      <c r="EG139" s="1">
        <v>20625</v>
      </c>
      <c r="EH139" s="1">
        <v>370</v>
      </c>
      <c r="EI139" s="1">
        <v>1</v>
      </c>
      <c r="EJ139" s="1">
        <v>0</v>
      </c>
      <c r="EK139" s="1">
        <v>90</v>
      </c>
      <c r="EL139" s="1">
        <v>60003760</v>
      </c>
      <c r="EM139" s="1">
        <v>32767</v>
      </c>
      <c r="EN139" s="1">
        <v>6</v>
      </c>
      <c r="EP139"/>
      <c r="EQ139"/>
      <c r="ER139"/>
      <c r="ES139"/>
      <c r="ET139"/>
      <c r="EU139"/>
      <c r="EV139"/>
      <c r="EW139"/>
      <c r="EX139"/>
      <c r="EY139"/>
      <c r="EZ139"/>
      <c r="FB139" s="1">
        <v>2878433121</v>
      </c>
      <c r="FC139" s="1">
        <v>30259</v>
      </c>
      <c r="FD139" s="1">
        <v>333</v>
      </c>
      <c r="FE139" s="1">
        <v>302</v>
      </c>
      <c r="FF139" s="1">
        <v>5593700</v>
      </c>
      <c r="FG139" s="1">
        <v>1</v>
      </c>
      <c r="FH139" s="1">
        <v>1</v>
      </c>
      <c r="FI139" s="1">
        <v>30</v>
      </c>
      <c r="FJ139" s="1">
        <v>60003760</v>
      </c>
      <c r="FK139" s="1">
        <v>-1</v>
      </c>
      <c r="FL139" s="1">
        <v>0</v>
      </c>
      <c r="FZ139" s="1">
        <v>2878683804</v>
      </c>
      <c r="GA139" s="1">
        <v>44</v>
      </c>
      <c r="GB139" s="1">
        <v>51840</v>
      </c>
      <c r="GC139" s="1">
        <v>42099</v>
      </c>
      <c r="GD139" s="1">
        <v>12355.67</v>
      </c>
      <c r="GE139" s="1">
        <v>1</v>
      </c>
      <c r="GF139" s="1">
        <v>1</v>
      </c>
      <c r="GG139" s="1">
        <v>90</v>
      </c>
      <c r="GH139" s="1">
        <v>60003760</v>
      </c>
      <c r="GI139" s="1">
        <v>-1</v>
      </c>
      <c r="GJ139" s="1">
        <v>0</v>
      </c>
      <c r="GL139" s="1">
        <v>2415786909</v>
      </c>
      <c r="GM139" s="1">
        <v>16681</v>
      </c>
      <c r="GN139" s="1">
        <v>3189</v>
      </c>
      <c r="GO139" s="1">
        <v>3181</v>
      </c>
      <c r="GP139" s="1">
        <v>6030.04</v>
      </c>
      <c r="GQ139" s="1">
        <v>1</v>
      </c>
      <c r="GR139" s="1">
        <v>1</v>
      </c>
      <c r="GS139" s="1">
        <v>1</v>
      </c>
      <c r="GT139" s="1">
        <v>60003760</v>
      </c>
      <c r="GU139" s="1">
        <v>-1</v>
      </c>
      <c r="GV139" s="1">
        <v>0</v>
      </c>
      <c r="JF139" s="1">
        <v>2855996087</v>
      </c>
      <c r="JG139" s="1">
        <v>16272</v>
      </c>
      <c r="JH139" s="1">
        <v>2000000</v>
      </c>
      <c r="JI139" s="1">
        <v>1981616</v>
      </c>
      <c r="JJ139" s="1">
        <v>50.03</v>
      </c>
      <c r="JK139" s="1">
        <v>1</v>
      </c>
      <c r="JL139" s="1">
        <v>1</v>
      </c>
      <c r="JM139" s="1">
        <v>30</v>
      </c>
      <c r="JN139" s="1">
        <v>60013291</v>
      </c>
      <c r="JO139" s="1">
        <v>1</v>
      </c>
      <c r="JP139" s="1">
        <v>0</v>
      </c>
      <c r="KD139"/>
      <c r="KE139"/>
      <c r="KF139"/>
      <c r="KG139"/>
      <c r="KH139"/>
      <c r="KI139"/>
      <c r="KJ139"/>
      <c r="KK139"/>
      <c r="KL139"/>
      <c r="KM139"/>
      <c r="KN139"/>
      <c r="KP139"/>
      <c r="KQ139"/>
      <c r="KR139"/>
      <c r="KS139"/>
      <c r="KT139"/>
      <c r="KU139"/>
      <c r="KV139"/>
      <c r="KW139"/>
      <c r="KX139"/>
      <c r="KY139"/>
      <c r="KZ139"/>
      <c r="LB139" s="1">
        <v>2873035549</v>
      </c>
      <c r="LC139" s="1">
        <v>9832</v>
      </c>
      <c r="LD139" s="1">
        <v>30000</v>
      </c>
      <c r="LE139" s="1">
        <v>30000</v>
      </c>
      <c r="LF139" s="1">
        <v>9000.19</v>
      </c>
      <c r="LG139" s="1">
        <v>1</v>
      </c>
      <c r="LH139" s="1">
        <v>1</v>
      </c>
      <c r="LI139" s="1">
        <v>30</v>
      </c>
      <c r="LJ139" s="1">
        <v>60003760</v>
      </c>
      <c r="LK139" s="1">
        <v>-1</v>
      </c>
      <c r="LL139" s="1">
        <v>0</v>
      </c>
      <c r="NV139" s="1">
        <v>2878684204</v>
      </c>
      <c r="NW139" s="1">
        <v>3689</v>
      </c>
      <c r="NX139" s="1">
        <v>51840</v>
      </c>
      <c r="NY139" s="1">
        <v>22218</v>
      </c>
      <c r="NZ139" s="1">
        <v>9721.32</v>
      </c>
      <c r="OA139" s="1">
        <v>1</v>
      </c>
      <c r="OB139" s="1">
        <v>1</v>
      </c>
      <c r="OC139" s="1">
        <v>90</v>
      </c>
      <c r="OD139" s="1">
        <v>60003760</v>
      </c>
      <c r="OE139" s="1">
        <v>-1</v>
      </c>
      <c r="OF139" s="1">
        <v>0</v>
      </c>
      <c r="OH139" s="1">
        <v>2843024512</v>
      </c>
      <c r="OI139" s="1">
        <v>25598</v>
      </c>
      <c r="OJ139" s="1">
        <v>2</v>
      </c>
      <c r="OK139" s="1">
        <v>2</v>
      </c>
      <c r="OL139" s="1">
        <v>146500</v>
      </c>
      <c r="OM139" s="1">
        <v>1</v>
      </c>
      <c r="ON139" s="1">
        <v>0</v>
      </c>
      <c r="OO139" s="1">
        <v>90</v>
      </c>
      <c r="OP139" s="1">
        <v>60002812</v>
      </c>
      <c r="OQ139" s="1">
        <v>32767</v>
      </c>
      <c r="OR139" s="1">
        <v>3</v>
      </c>
      <c r="OT139" s="1">
        <v>2757489814</v>
      </c>
      <c r="OU139" s="1">
        <v>25600</v>
      </c>
      <c r="OV139" s="1">
        <v>6000</v>
      </c>
      <c r="OW139" s="1">
        <v>3560</v>
      </c>
      <c r="OX139" s="1">
        <v>20000</v>
      </c>
      <c r="OY139" s="1">
        <v>1</v>
      </c>
      <c r="OZ139" s="1">
        <v>1</v>
      </c>
      <c r="PA139" s="1">
        <v>90</v>
      </c>
      <c r="PB139" s="1">
        <v>60003049</v>
      </c>
      <c r="PC139" s="1">
        <v>2</v>
      </c>
      <c r="PD139" s="1">
        <v>0</v>
      </c>
      <c r="SX139" s="1">
        <v>2798286357</v>
      </c>
      <c r="SY139" s="1">
        <v>25595</v>
      </c>
      <c r="SZ139" s="1">
        <v>123</v>
      </c>
      <c r="TA139" s="1">
        <v>123</v>
      </c>
      <c r="TB139" s="1">
        <v>102000</v>
      </c>
      <c r="TC139" s="1">
        <v>1</v>
      </c>
      <c r="TD139" s="1">
        <v>0</v>
      </c>
      <c r="TE139" s="1">
        <v>90</v>
      </c>
      <c r="TF139" s="1">
        <v>60012667</v>
      </c>
      <c r="TG139" s="1">
        <v>32767</v>
      </c>
      <c r="TH139" s="1">
        <v>0</v>
      </c>
      <c r="TJ139"/>
      <c r="TK139"/>
      <c r="TL139"/>
      <c r="TM139"/>
      <c r="TN139"/>
      <c r="TO139"/>
      <c r="TP139"/>
      <c r="TQ139"/>
      <c r="TR139"/>
      <c r="TS139"/>
      <c r="TT139"/>
    </row>
    <row r="140" spans="2:540" x14ac:dyDescent="0.25">
      <c r="B140" s="1">
        <v>2833006925</v>
      </c>
      <c r="C140" s="1">
        <v>34</v>
      </c>
      <c r="D140" s="1">
        <v>849093772</v>
      </c>
      <c r="E140" s="1">
        <v>849093772</v>
      </c>
      <c r="F140" s="1">
        <v>5.98</v>
      </c>
      <c r="G140" s="1">
        <v>1</v>
      </c>
      <c r="H140" s="1">
        <v>0</v>
      </c>
      <c r="I140" s="1">
        <v>90</v>
      </c>
      <c r="J140" s="1">
        <v>60003760</v>
      </c>
      <c r="K140" s="1">
        <v>32767</v>
      </c>
      <c r="L140" s="1">
        <v>0</v>
      </c>
      <c r="N140" s="1">
        <v>2878299153</v>
      </c>
      <c r="O140" s="1">
        <v>35</v>
      </c>
      <c r="P140" s="1">
        <v>11564486</v>
      </c>
      <c r="Q140" s="1">
        <v>11564486</v>
      </c>
      <c r="R140" s="1">
        <v>15.2</v>
      </c>
      <c r="S140" s="1">
        <v>1</v>
      </c>
      <c r="T140" s="1">
        <v>0</v>
      </c>
      <c r="U140" s="1">
        <v>90</v>
      </c>
      <c r="V140" s="1">
        <v>60003760</v>
      </c>
      <c r="W140" s="1">
        <v>32767</v>
      </c>
      <c r="X140" s="1">
        <v>0</v>
      </c>
      <c r="Z140" s="1">
        <v>2845826938</v>
      </c>
      <c r="AA140" s="1">
        <v>36</v>
      </c>
      <c r="AB140" s="1">
        <v>26884</v>
      </c>
      <c r="AC140" s="1">
        <v>26884</v>
      </c>
      <c r="AD140" s="16">
        <v>53.68</v>
      </c>
      <c r="AE140" s="1">
        <v>1</v>
      </c>
      <c r="AF140" s="1">
        <v>0</v>
      </c>
      <c r="AG140" s="1">
        <v>90</v>
      </c>
      <c r="AH140" s="1">
        <v>60003760</v>
      </c>
      <c r="AI140" s="1">
        <v>32767</v>
      </c>
      <c r="AJ140" s="1">
        <v>11</v>
      </c>
      <c r="AL140" s="1">
        <v>2872061513</v>
      </c>
      <c r="AM140" s="1">
        <v>37</v>
      </c>
      <c r="AN140" s="1">
        <v>270718</v>
      </c>
      <c r="AO140" s="1">
        <v>270717</v>
      </c>
      <c r="AP140" s="16">
        <v>155</v>
      </c>
      <c r="AQ140" s="1">
        <v>1</v>
      </c>
      <c r="AR140" s="1">
        <v>0</v>
      </c>
      <c r="AS140" s="1">
        <v>90</v>
      </c>
      <c r="AT140" s="1">
        <v>60015027</v>
      </c>
      <c r="AU140" s="1">
        <v>32767</v>
      </c>
      <c r="AV140" s="1">
        <v>10</v>
      </c>
      <c r="AX140" s="1">
        <v>2829019120</v>
      </c>
      <c r="AY140" s="1">
        <v>38</v>
      </c>
      <c r="AZ140" s="1">
        <v>2000000</v>
      </c>
      <c r="BA140" s="1">
        <v>398605</v>
      </c>
      <c r="BB140" s="1">
        <v>800</v>
      </c>
      <c r="BC140" s="1">
        <v>1</v>
      </c>
      <c r="BD140" s="1">
        <v>1</v>
      </c>
      <c r="BE140" s="1">
        <v>90</v>
      </c>
      <c r="BF140" s="1">
        <v>60004234</v>
      </c>
      <c r="BG140" s="1">
        <v>-1</v>
      </c>
      <c r="BH140" s="1">
        <v>0</v>
      </c>
      <c r="BJ140" s="1">
        <v>2793109100</v>
      </c>
      <c r="BK140" s="1">
        <v>39</v>
      </c>
      <c r="BL140" s="1">
        <v>400000</v>
      </c>
      <c r="BM140" s="1">
        <v>400000</v>
      </c>
      <c r="BN140" s="1">
        <v>692.03</v>
      </c>
      <c r="BO140" s="1">
        <v>1</v>
      </c>
      <c r="BP140" s="1">
        <v>1</v>
      </c>
      <c r="BQ140" s="1">
        <v>90</v>
      </c>
      <c r="BR140" s="1">
        <v>60003760</v>
      </c>
      <c r="BS140" s="1">
        <v>-1</v>
      </c>
      <c r="BT140" s="1">
        <v>0</v>
      </c>
      <c r="BV140" s="1">
        <v>2410730032</v>
      </c>
      <c r="BW140" s="1">
        <v>40</v>
      </c>
      <c r="BX140" s="1">
        <v>20000</v>
      </c>
      <c r="BY140" s="1">
        <v>19983</v>
      </c>
      <c r="BZ140" s="1">
        <v>2562.2600000000002</v>
      </c>
      <c r="CA140" s="1">
        <v>1</v>
      </c>
      <c r="CB140" s="1">
        <v>1</v>
      </c>
      <c r="CC140" s="1">
        <v>90</v>
      </c>
      <c r="CD140" s="1">
        <v>60004462</v>
      </c>
      <c r="CE140" s="1">
        <v>-1</v>
      </c>
      <c r="CF140" s="1">
        <v>0</v>
      </c>
      <c r="CH140" s="1">
        <v>2415743871</v>
      </c>
      <c r="CI140" s="1">
        <v>29668</v>
      </c>
      <c r="CJ140" s="1">
        <v>4</v>
      </c>
      <c r="CK140" s="1">
        <v>1</v>
      </c>
      <c r="CL140" s="1">
        <v>493420000</v>
      </c>
      <c r="CM140" s="1">
        <v>1</v>
      </c>
      <c r="CN140" s="1">
        <v>0</v>
      </c>
      <c r="CO140" s="1">
        <v>90</v>
      </c>
      <c r="CP140" s="1">
        <v>60003760</v>
      </c>
      <c r="CQ140" s="1">
        <v>32767</v>
      </c>
      <c r="CR140" s="1">
        <v>0</v>
      </c>
      <c r="CT140"/>
      <c r="CU140"/>
      <c r="CV140"/>
      <c r="CW140"/>
      <c r="CX140"/>
      <c r="CY140"/>
      <c r="CZ140"/>
      <c r="DA140"/>
      <c r="DB140"/>
      <c r="DC140"/>
      <c r="DD140"/>
      <c r="DF140" s="1">
        <v>2398283001</v>
      </c>
      <c r="DG140" s="1">
        <v>17887</v>
      </c>
      <c r="DH140" s="1">
        <v>100000</v>
      </c>
      <c r="DI140" s="1">
        <v>100000</v>
      </c>
      <c r="DJ140" s="1">
        <v>450</v>
      </c>
      <c r="DK140" s="1">
        <v>1</v>
      </c>
      <c r="DL140" s="1">
        <v>1</v>
      </c>
      <c r="DM140" s="1">
        <v>90</v>
      </c>
      <c r="DN140" s="1">
        <v>60003760</v>
      </c>
      <c r="DO140" s="1">
        <v>-1</v>
      </c>
      <c r="DP140" s="1">
        <v>0</v>
      </c>
      <c r="DR140" s="1">
        <v>2858689204</v>
      </c>
      <c r="DS140" s="1">
        <v>17888</v>
      </c>
      <c r="DT140" s="1">
        <v>49200</v>
      </c>
      <c r="DU140" s="1">
        <v>49200</v>
      </c>
      <c r="DV140" s="1">
        <v>344</v>
      </c>
      <c r="DW140" s="1">
        <v>1</v>
      </c>
      <c r="DX140" s="1">
        <v>0</v>
      </c>
      <c r="DY140" s="1">
        <v>90</v>
      </c>
      <c r="DZ140" s="1">
        <v>60002740</v>
      </c>
      <c r="EA140" s="1">
        <v>32767</v>
      </c>
      <c r="EB140" s="1">
        <v>9</v>
      </c>
      <c r="ED140" s="1">
        <v>2878619854</v>
      </c>
      <c r="EE140" s="1">
        <v>16273</v>
      </c>
      <c r="EF140" s="1">
        <v>500000</v>
      </c>
      <c r="EG140" s="1">
        <v>448250</v>
      </c>
      <c r="EH140" s="1">
        <v>369.99</v>
      </c>
      <c r="EI140" s="1">
        <v>1</v>
      </c>
      <c r="EJ140" s="1">
        <v>0</v>
      </c>
      <c r="EK140" s="1">
        <v>7</v>
      </c>
      <c r="EL140" s="1">
        <v>60003760</v>
      </c>
      <c r="EM140" s="1">
        <v>32767</v>
      </c>
      <c r="EN140" s="1">
        <v>6</v>
      </c>
      <c r="EP140"/>
      <c r="EQ140"/>
      <c r="ER140"/>
      <c r="ES140"/>
      <c r="ET140"/>
      <c r="EU140"/>
      <c r="EV140"/>
      <c r="EW140"/>
      <c r="EX140"/>
      <c r="EY140"/>
      <c r="EZ140"/>
      <c r="FB140" s="1">
        <v>2879021512</v>
      </c>
      <c r="FC140" s="1">
        <v>30259</v>
      </c>
      <c r="FD140" s="1">
        <v>4320</v>
      </c>
      <c r="FE140" s="1">
        <v>3466</v>
      </c>
      <c r="FF140" s="1">
        <v>5593800.0999999996</v>
      </c>
      <c r="FG140" s="1">
        <v>1</v>
      </c>
      <c r="FH140" s="1">
        <v>1</v>
      </c>
      <c r="FI140" s="1">
        <v>7</v>
      </c>
      <c r="FJ140" s="1">
        <v>60003760</v>
      </c>
      <c r="FK140" s="1">
        <v>-1</v>
      </c>
      <c r="FL140" s="1">
        <v>0</v>
      </c>
      <c r="FZ140"/>
      <c r="GA140"/>
      <c r="GB140"/>
      <c r="GC140"/>
      <c r="GD140"/>
      <c r="GE140"/>
      <c r="GF140"/>
      <c r="GG140"/>
      <c r="GH140"/>
      <c r="GI140"/>
      <c r="GJ140"/>
      <c r="GL140" s="1">
        <v>2414539396</v>
      </c>
      <c r="GM140" s="1">
        <v>16681</v>
      </c>
      <c r="GN140" s="1">
        <v>100000</v>
      </c>
      <c r="GO140" s="1">
        <v>99940</v>
      </c>
      <c r="GP140" s="1">
        <v>6030.05</v>
      </c>
      <c r="GQ140" s="1">
        <v>1</v>
      </c>
      <c r="GR140" s="1">
        <v>1</v>
      </c>
      <c r="GS140" s="1">
        <v>3</v>
      </c>
      <c r="GT140" s="1">
        <v>60003760</v>
      </c>
      <c r="GU140" s="1">
        <v>-1</v>
      </c>
      <c r="GV140" s="1">
        <v>0</v>
      </c>
      <c r="JF140" s="1">
        <v>2864425378</v>
      </c>
      <c r="JG140" s="1">
        <v>16272</v>
      </c>
      <c r="JH140" s="1">
        <v>251425</v>
      </c>
      <c r="JI140" s="1">
        <v>148064</v>
      </c>
      <c r="JJ140" s="1">
        <v>50.04</v>
      </c>
      <c r="JK140" s="1">
        <v>1</v>
      </c>
      <c r="JL140" s="1">
        <v>1</v>
      </c>
      <c r="JM140" s="1">
        <v>90</v>
      </c>
      <c r="JN140" s="1">
        <v>60003193</v>
      </c>
      <c r="JO140" s="1">
        <v>1</v>
      </c>
      <c r="JP140" s="1">
        <v>0</v>
      </c>
      <c r="KD140"/>
      <c r="KE140"/>
      <c r="KF140"/>
      <c r="KG140"/>
      <c r="KH140"/>
      <c r="KI140"/>
      <c r="KJ140"/>
      <c r="KK140"/>
      <c r="KL140"/>
      <c r="KM140"/>
      <c r="KN140"/>
      <c r="KP140"/>
      <c r="KQ140"/>
      <c r="KR140"/>
      <c r="KS140"/>
      <c r="KT140"/>
      <c r="KU140"/>
      <c r="KV140"/>
      <c r="KW140"/>
      <c r="KX140"/>
      <c r="KY140"/>
      <c r="KZ140"/>
      <c r="LB140" s="1">
        <v>2873201341</v>
      </c>
      <c r="LC140" s="1">
        <v>9832</v>
      </c>
      <c r="LD140" s="1">
        <v>23040</v>
      </c>
      <c r="LE140" s="1">
        <v>23040</v>
      </c>
      <c r="LF140" s="1">
        <v>8716</v>
      </c>
      <c r="LG140" s="1">
        <v>1</v>
      </c>
      <c r="LH140" s="1">
        <v>1</v>
      </c>
      <c r="LI140" s="1">
        <v>90</v>
      </c>
      <c r="LJ140" s="1">
        <v>60003760</v>
      </c>
      <c r="LK140" s="1">
        <v>-1</v>
      </c>
      <c r="LL140" s="1">
        <v>0</v>
      </c>
      <c r="NV140" s="1">
        <v>2878637273</v>
      </c>
      <c r="NW140" s="1">
        <v>3689</v>
      </c>
      <c r="NX140" s="1">
        <v>36000</v>
      </c>
      <c r="NY140" s="1">
        <v>6350</v>
      </c>
      <c r="NZ140" s="1">
        <v>9722</v>
      </c>
      <c r="OA140" s="1">
        <v>1</v>
      </c>
      <c r="OB140" s="1">
        <v>1</v>
      </c>
      <c r="OC140" s="1">
        <v>90</v>
      </c>
      <c r="OD140" s="1">
        <v>60003760</v>
      </c>
      <c r="OE140" s="1">
        <v>-1</v>
      </c>
      <c r="OF140" s="1">
        <v>0</v>
      </c>
      <c r="OH140" s="1">
        <v>2832234600</v>
      </c>
      <c r="OI140" s="1">
        <v>25598</v>
      </c>
      <c r="OJ140" s="1">
        <v>9</v>
      </c>
      <c r="OK140" s="1">
        <v>9</v>
      </c>
      <c r="OL140" s="1">
        <v>160304.01999999999</v>
      </c>
      <c r="OM140" s="1">
        <v>1</v>
      </c>
      <c r="ON140" s="1">
        <v>0</v>
      </c>
      <c r="OO140" s="1">
        <v>30</v>
      </c>
      <c r="OP140" s="1">
        <v>60003136</v>
      </c>
      <c r="OQ140" s="1">
        <v>32767</v>
      </c>
      <c r="OR140" s="1">
        <v>2</v>
      </c>
      <c r="OT140" s="1">
        <v>2788892264</v>
      </c>
      <c r="OU140" s="1">
        <v>25600</v>
      </c>
      <c r="OV140" s="1">
        <v>500</v>
      </c>
      <c r="OW140" s="1">
        <v>400</v>
      </c>
      <c r="OX140" s="1">
        <v>26455.33</v>
      </c>
      <c r="OY140" s="1">
        <v>1</v>
      </c>
      <c r="OZ140" s="1">
        <v>1</v>
      </c>
      <c r="PA140" s="1">
        <v>90</v>
      </c>
      <c r="PB140" s="1">
        <v>60002281</v>
      </c>
      <c r="PC140" s="1">
        <v>0</v>
      </c>
      <c r="PD140" s="1">
        <v>0</v>
      </c>
      <c r="SX140" s="1">
        <v>2810667324</v>
      </c>
      <c r="SY140" s="1">
        <v>25595</v>
      </c>
      <c r="SZ140" s="1">
        <v>73</v>
      </c>
      <c r="TA140" s="1">
        <v>73</v>
      </c>
      <c r="TB140" s="1">
        <v>100000</v>
      </c>
      <c r="TC140" s="1">
        <v>1</v>
      </c>
      <c r="TD140" s="1">
        <v>0</v>
      </c>
      <c r="TE140" s="1">
        <v>90</v>
      </c>
      <c r="TF140" s="1">
        <v>60004459</v>
      </c>
      <c r="TG140" s="1">
        <v>32767</v>
      </c>
      <c r="TH140" s="1">
        <v>0</v>
      </c>
    </row>
    <row r="141" spans="2:540" x14ac:dyDescent="0.25">
      <c r="B141" s="1">
        <v>2832032840</v>
      </c>
      <c r="C141" s="1">
        <v>34</v>
      </c>
      <c r="D141" s="1">
        <v>300000</v>
      </c>
      <c r="E141" s="1">
        <v>300000</v>
      </c>
      <c r="F141" s="1">
        <v>6.12</v>
      </c>
      <c r="G141" s="1">
        <v>1</v>
      </c>
      <c r="H141" s="1">
        <v>0</v>
      </c>
      <c r="I141" s="1">
        <v>90</v>
      </c>
      <c r="J141" s="1">
        <v>60003760</v>
      </c>
      <c r="K141" s="1">
        <v>32767</v>
      </c>
      <c r="L141" s="1">
        <v>0</v>
      </c>
      <c r="N141" s="1">
        <v>2877796426</v>
      </c>
      <c r="O141" s="1">
        <v>35</v>
      </c>
      <c r="P141" s="1">
        <v>9367131</v>
      </c>
      <c r="Q141" s="1">
        <v>7333421</v>
      </c>
      <c r="R141" s="1">
        <v>15.14</v>
      </c>
      <c r="S141" s="1">
        <v>1</v>
      </c>
      <c r="T141" s="1">
        <v>0</v>
      </c>
      <c r="U141" s="1">
        <v>90</v>
      </c>
      <c r="V141" s="1">
        <v>60003760</v>
      </c>
      <c r="W141" s="1">
        <v>32767</v>
      </c>
      <c r="X141" s="1">
        <v>0</v>
      </c>
      <c r="Z141" s="1">
        <v>2846065957</v>
      </c>
      <c r="AA141" s="1">
        <v>36</v>
      </c>
      <c r="AB141" s="1">
        <v>352325</v>
      </c>
      <c r="AC141" s="1">
        <v>352325</v>
      </c>
      <c r="AD141" s="16">
        <v>51.3</v>
      </c>
      <c r="AE141" s="1">
        <v>1</v>
      </c>
      <c r="AF141" s="1">
        <v>0</v>
      </c>
      <c r="AG141" s="1">
        <v>90</v>
      </c>
      <c r="AH141" s="1">
        <v>60003760</v>
      </c>
      <c r="AI141" s="1">
        <v>32767</v>
      </c>
      <c r="AJ141" s="1">
        <v>11</v>
      </c>
      <c r="AL141" s="1">
        <v>2872144014</v>
      </c>
      <c r="AM141" s="1">
        <v>37</v>
      </c>
      <c r="AN141" s="1">
        <v>300000</v>
      </c>
      <c r="AO141" s="1">
        <v>246733</v>
      </c>
      <c r="AP141" s="16">
        <v>154.99</v>
      </c>
      <c r="AQ141" s="1">
        <v>1</v>
      </c>
      <c r="AR141" s="1">
        <v>0</v>
      </c>
      <c r="AS141" s="1">
        <v>90</v>
      </c>
      <c r="AT141" s="1">
        <v>60015027</v>
      </c>
      <c r="AU141" s="1">
        <v>32767</v>
      </c>
      <c r="AV141" s="1">
        <v>10</v>
      </c>
      <c r="AX141" s="1">
        <v>2805242817</v>
      </c>
      <c r="AY141" s="1">
        <v>38</v>
      </c>
      <c r="AZ141" s="1">
        <v>3000000</v>
      </c>
      <c r="BA141" s="1">
        <v>1978401</v>
      </c>
      <c r="BB141" s="1">
        <v>800</v>
      </c>
      <c r="BC141" s="1">
        <v>1</v>
      </c>
      <c r="BD141" s="1">
        <v>1</v>
      </c>
      <c r="BE141" s="1">
        <v>90</v>
      </c>
      <c r="BF141" s="1">
        <v>60004234</v>
      </c>
      <c r="BG141" s="1">
        <v>-1</v>
      </c>
      <c r="BH141" s="1">
        <v>0</v>
      </c>
      <c r="BJ141" s="1">
        <v>2794730984</v>
      </c>
      <c r="BK141" s="1">
        <v>39</v>
      </c>
      <c r="BL141" s="1">
        <v>685412</v>
      </c>
      <c r="BM141" s="1">
        <v>600275</v>
      </c>
      <c r="BN141" s="1">
        <v>747.36</v>
      </c>
      <c r="BO141" s="1">
        <v>1</v>
      </c>
      <c r="BP141" s="1">
        <v>1</v>
      </c>
      <c r="BQ141" s="1">
        <v>90</v>
      </c>
      <c r="BR141" s="1">
        <v>60003760</v>
      </c>
      <c r="BS141" s="1">
        <v>-1</v>
      </c>
      <c r="BT141" s="1">
        <v>0</v>
      </c>
      <c r="BV141" s="1">
        <v>2410070829</v>
      </c>
      <c r="BW141" s="1">
        <v>40</v>
      </c>
      <c r="BX141" s="1">
        <v>30000</v>
      </c>
      <c r="BY141" s="1">
        <v>29998</v>
      </c>
      <c r="BZ141" s="1">
        <v>2300</v>
      </c>
      <c r="CA141" s="1">
        <v>1</v>
      </c>
      <c r="CB141" s="1">
        <v>1</v>
      </c>
      <c r="CC141" s="1">
        <v>90</v>
      </c>
      <c r="CD141" s="1">
        <v>60004234</v>
      </c>
      <c r="CE141" s="1">
        <v>-1</v>
      </c>
      <c r="CF141" s="1">
        <v>0</v>
      </c>
      <c r="CH141" s="1">
        <v>2415668625</v>
      </c>
      <c r="CI141" s="1">
        <v>29668</v>
      </c>
      <c r="CJ141" s="1">
        <v>10</v>
      </c>
      <c r="CK141" s="1">
        <v>7</v>
      </c>
      <c r="CL141" s="1">
        <v>493446996.99000001</v>
      </c>
      <c r="CM141" s="1">
        <v>1</v>
      </c>
      <c r="CN141" s="1">
        <v>0</v>
      </c>
      <c r="CO141" s="1">
        <v>90</v>
      </c>
      <c r="CP141" s="1">
        <v>60003760</v>
      </c>
      <c r="CQ141" s="1">
        <v>32767</v>
      </c>
      <c r="CR141" s="1">
        <v>0</v>
      </c>
      <c r="CT141"/>
      <c r="CU141"/>
      <c r="CV141"/>
      <c r="CW141"/>
      <c r="CX141"/>
      <c r="CY141"/>
      <c r="CZ141"/>
      <c r="DA141"/>
      <c r="DB141"/>
      <c r="DC141"/>
      <c r="DD141"/>
      <c r="DF141" s="1">
        <v>2397562164</v>
      </c>
      <c r="DG141" s="1">
        <v>17887</v>
      </c>
      <c r="DH141" s="1">
        <v>300000</v>
      </c>
      <c r="DI141" s="1">
        <v>300000</v>
      </c>
      <c r="DJ141" s="1">
        <v>601</v>
      </c>
      <c r="DK141" s="1">
        <v>10000</v>
      </c>
      <c r="DL141" s="1">
        <v>1</v>
      </c>
      <c r="DM141" s="1">
        <v>90</v>
      </c>
      <c r="DN141" s="1">
        <v>60003760</v>
      </c>
      <c r="DO141" s="1">
        <v>32767</v>
      </c>
      <c r="DP141" s="1">
        <v>0</v>
      </c>
      <c r="DR141" s="1">
        <v>2863397449</v>
      </c>
      <c r="DS141" s="1">
        <v>17888</v>
      </c>
      <c r="DT141" s="1">
        <v>39385</v>
      </c>
      <c r="DU141" s="1">
        <v>39385</v>
      </c>
      <c r="DV141" s="1">
        <v>342</v>
      </c>
      <c r="DW141" s="1">
        <v>1</v>
      </c>
      <c r="DX141" s="1">
        <v>0</v>
      </c>
      <c r="DY141" s="1">
        <v>90</v>
      </c>
      <c r="DZ141" s="1">
        <v>60003676</v>
      </c>
      <c r="EA141" s="1">
        <v>32767</v>
      </c>
      <c r="EB141" s="1">
        <v>9</v>
      </c>
      <c r="ED141" s="1">
        <v>2878725559</v>
      </c>
      <c r="EE141" s="1">
        <v>16273</v>
      </c>
      <c r="EF141" s="1">
        <v>259745</v>
      </c>
      <c r="EG141" s="1">
        <v>259745</v>
      </c>
      <c r="EH141" s="1">
        <v>369.99</v>
      </c>
      <c r="EI141" s="1">
        <v>1</v>
      </c>
      <c r="EJ141" s="1">
        <v>0</v>
      </c>
      <c r="EK141" s="1">
        <v>90</v>
      </c>
      <c r="EL141" s="1">
        <v>60003760</v>
      </c>
      <c r="EM141" s="1">
        <v>32767</v>
      </c>
      <c r="EN141" s="1">
        <v>6</v>
      </c>
      <c r="EP141"/>
      <c r="EQ141"/>
      <c r="ER141"/>
      <c r="ES141"/>
      <c r="ET141"/>
      <c r="EU141"/>
      <c r="EV141"/>
      <c r="EW141"/>
      <c r="EX141"/>
      <c r="EY141"/>
      <c r="EZ141"/>
      <c r="FB141" s="1">
        <v>2879116457</v>
      </c>
      <c r="FC141" s="1">
        <v>30259</v>
      </c>
      <c r="FD141" s="1">
        <v>500</v>
      </c>
      <c r="FE141" s="1">
        <v>83</v>
      </c>
      <c r="FF141" s="1">
        <v>5593900.0199999996</v>
      </c>
      <c r="FG141" s="1">
        <v>1</v>
      </c>
      <c r="FH141" s="1">
        <v>1</v>
      </c>
      <c r="FI141" s="1">
        <v>1</v>
      </c>
      <c r="FJ141" s="1">
        <v>60003760</v>
      </c>
      <c r="FK141" s="1">
        <v>-1</v>
      </c>
      <c r="FL141" s="1">
        <v>0</v>
      </c>
      <c r="FZ141"/>
      <c r="GA141"/>
      <c r="GB141"/>
      <c r="GC141"/>
      <c r="GD141"/>
      <c r="GE141"/>
      <c r="GF141"/>
      <c r="GG141"/>
      <c r="GH141"/>
      <c r="GI141"/>
      <c r="GJ141"/>
      <c r="GL141" s="1">
        <v>2415211374</v>
      </c>
      <c r="GM141" s="1">
        <v>16681</v>
      </c>
      <c r="GN141" s="1">
        <v>60000</v>
      </c>
      <c r="GO141" s="1">
        <v>60000</v>
      </c>
      <c r="GP141" s="1">
        <v>5873.22</v>
      </c>
      <c r="GQ141" s="1">
        <v>1</v>
      </c>
      <c r="GR141" s="1">
        <v>1</v>
      </c>
      <c r="GS141" s="1">
        <v>90</v>
      </c>
      <c r="GT141" s="1">
        <v>60003760</v>
      </c>
      <c r="GU141" s="1">
        <v>-1</v>
      </c>
      <c r="GV141" s="1">
        <v>0</v>
      </c>
      <c r="JF141" s="1">
        <v>2876837239</v>
      </c>
      <c r="JG141" s="1">
        <v>16272</v>
      </c>
      <c r="JH141" s="1">
        <v>3000000</v>
      </c>
      <c r="JI141" s="1">
        <v>2999828</v>
      </c>
      <c r="JJ141" s="1">
        <v>65</v>
      </c>
      <c r="JK141" s="1">
        <v>1</v>
      </c>
      <c r="JL141" s="1">
        <v>1</v>
      </c>
      <c r="JM141" s="1">
        <v>30</v>
      </c>
      <c r="JN141" s="1">
        <v>60004474</v>
      </c>
      <c r="JO141" s="1">
        <v>0</v>
      </c>
      <c r="JP141" s="1">
        <v>0</v>
      </c>
      <c r="KD141"/>
      <c r="KE141"/>
      <c r="KF141"/>
      <c r="KG141"/>
      <c r="KH141"/>
      <c r="KI141"/>
      <c r="KJ141"/>
      <c r="KK141"/>
      <c r="KL141"/>
      <c r="KM141"/>
      <c r="KN141"/>
      <c r="KP141"/>
      <c r="KQ141"/>
      <c r="KR141"/>
      <c r="KS141"/>
      <c r="KT141"/>
      <c r="KU141"/>
      <c r="KV141"/>
      <c r="KW141"/>
      <c r="KX141"/>
      <c r="KY141"/>
      <c r="KZ141"/>
      <c r="LB141" s="1">
        <v>2874937689</v>
      </c>
      <c r="LC141" s="1">
        <v>9832</v>
      </c>
      <c r="LD141" s="1">
        <v>4800</v>
      </c>
      <c r="LE141" s="1">
        <v>4800</v>
      </c>
      <c r="LF141" s="1">
        <v>8642</v>
      </c>
      <c r="LG141" s="1">
        <v>1</v>
      </c>
      <c r="LH141" s="1">
        <v>1</v>
      </c>
      <c r="LI141" s="1">
        <v>90</v>
      </c>
      <c r="LJ141" s="1">
        <v>60003760</v>
      </c>
      <c r="LK141" s="1">
        <v>-1</v>
      </c>
      <c r="LL141" s="1">
        <v>0</v>
      </c>
      <c r="NV141" s="1">
        <v>2878628782</v>
      </c>
      <c r="NW141" s="1">
        <v>3689</v>
      </c>
      <c r="NX141" s="1">
        <v>36000</v>
      </c>
      <c r="NY141" s="1">
        <v>36000</v>
      </c>
      <c r="NZ141" s="1">
        <v>9722</v>
      </c>
      <c r="OA141" s="1">
        <v>1</v>
      </c>
      <c r="OB141" s="1">
        <v>1</v>
      </c>
      <c r="OC141" s="1">
        <v>90</v>
      </c>
      <c r="OD141" s="1">
        <v>60003760</v>
      </c>
      <c r="OE141" s="1">
        <v>-1</v>
      </c>
      <c r="OF141" s="1">
        <v>0</v>
      </c>
      <c r="OH141" s="1">
        <v>2878301660</v>
      </c>
      <c r="OI141" s="1">
        <v>25598</v>
      </c>
      <c r="OJ141" s="1">
        <v>7</v>
      </c>
      <c r="OK141" s="1">
        <v>7</v>
      </c>
      <c r="OL141" s="1">
        <v>135000</v>
      </c>
      <c r="OM141" s="1">
        <v>1</v>
      </c>
      <c r="ON141" s="1">
        <v>0</v>
      </c>
      <c r="OO141" s="1">
        <v>1</v>
      </c>
      <c r="OP141" s="1">
        <v>60002434</v>
      </c>
      <c r="OQ141" s="1">
        <v>32767</v>
      </c>
      <c r="OR141" s="1">
        <v>3</v>
      </c>
      <c r="OT141" s="1">
        <v>2870116125</v>
      </c>
      <c r="OU141" s="1">
        <v>25600</v>
      </c>
      <c r="OV141" s="1">
        <v>500</v>
      </c>
      <c r="OW141" s="1">
        <v>266</v>
      </c>
      <c r="OX141" s="1">
        <v>20105.009999999998</v>
      </c>
      <c r="OY141" s="1">
        <v>1</v>
      </c>
      <c r="OZ141" s="1">
        <v>1</v>
      </c>
      <c r="PA141" s="1">
        <v>90</v>
      </c>
      <c r="PB141" s="1">
        <v>60004063</v>
      </c>
      <c r="PC141" s="1">
        <v>3</v>
      </c>
      <c r="PD141" s="1">
        <v>0</v>
      </c>
      <c r="SX141" s="1">
        <v>2773831481</v>
      </c>
      <c r="SY141" s="1">
        <v>25595</v>
      </c>
      <c r="SZ141" s="1">
        <v>127</v>
      </c>
      <c r="TA141" s="1">
        <v>77</v>
      </c>
      <c r="TB141" s="1">
        <v>95000</v>
      </c>
      <c r="TC141" s="1">
        <v>1</v>
      </c>
      <c r="TD141" s="1">
        <v>0</v>
      </c>
      <c r="TE141" s="1">
        <v>90</v>
      </c>
      <c r="TF141" s="1">
        <v>60012667</v>
      </c>
      <c r="TG141" s="1">
        <v>32767</v>
      </c>
      <c r="TH141" s="1">
        <v>0</v>
      </c>
    </row>
    <row r="142" spans="2:540" x14ac:dyDescent="0.25">
      <c r="B142" s="1">
        <v>2829794290</v>
      </c>
      <c r="C142" s="1">
        <v>34</v>
      </c>
      <c r="D142" s="1">
        <v>1</v>
      </c>
      <c r="E142" s="1">
        <v>1</v>
      </c>
      <c r="F142" s="1">
        <v>150</v>
      </c>
      <c r="G142" s="1">
        <v>1</v>
      </c>
      <c r="H142" s="1">
        <v>0</v>
      </c>
      <c r="I142" s="1">
        <v>90</v>
      </c>
      <c r="J142" s="1">
        <v>60003760</v>
      </c>
      <c r="K142" s="1">
        <v>32767</v>
      </c>
      <c r="L142" s="1">
        <v>0</v>
      </c>
      <c r="N142" s="1">
        <v>2877876383</v>
      </c>
      <c r="O142" s="1">
        <v>35</v>
      </c>
      <c r="P142" s="1">
        <v>67981739</v>
      </c>
      <c r="Q142" s="1">
        <v>15117465</v>
      </c>
      <c r="R142" s="1">
        <v>15.09</v>
      </c>
      <c r="S142" s="1">
        <v>1</v>
      </c>
      <c r="T142" s="1">
        <v>0</v>
      </c>
      <c r="U142" s="1">
        <v>3</v>
      </c>
      <c r="V142" s="1">
        <v>60003760</v>
      </c>
      <c r="W142" s="1">
        <v>32767</v>
      </c>
      <c r="X142" s="1">
        <v>0</v>
      </c>
      <c r="Z142" s="1">
        <v>2846295204</v>
      </c>
      <c r="AA142" s="1">
        <v>36</v>
      </c>
      <c r="AB142" s="1">
        <v>4284702</v>
      </c>
      <c r="AC142" s="1">
        <v>4284702</v>
      </c>
      <c r="AD142" s="16">
        <v>70</v>
      </c>
      <c r="AE142" s="1">
        <v>1</v>
      </c>
      <c r="AF142" s="1">
        <v>0</v>
      </c>
      <c r="AG142" s="1">
        <v>90</v>
      </c>
      <c r="AH142" s="1">
        <v>60003760</v>
      </c>
      <c r="AI142" s="1">
        <v>32767</v>
      </c>
      <c r="AJ142" s="1">
        <v>11</v>
      </c>
      <c r="AL142" s="1">
        <v>2878322335</v>
      </c>
      <c r="AM142" s="1">
        <v>37</v>
      </c>
      <c r="AN142" s="1">
        <v>15000</v>
      </c>
      <c r="AO142" s="1">
        <v>11577</v>
      </c>
      <c r="AP142" s="16">
        <v>149.99</v>
      </c>
      <c r="AQ142" s="1">
        <v>1</v>
      </c>
      <c r="AR142" s="1">
        <v>0</v>
      </c>
      <c r="AS142" s="1">
        <v>90</v>
      </c>
      <c r="AT142" s="1">
        <v>60015027</v>
      </c>
      <c r="AU142" s="1">
        <v>32767</v>
      </c>
      <c r="AV142" s="1">
        <v>10</v>
      </c>
      <c r="AX142" s="1">
        <v>2873340827</v>
      </c>
      <c r="AY142" s="1">
        <v>38</v>
      </c>
      <c r="AZ142" s="1">
        <v>2000000</v>
      </c>
      <c r="BA142" s="1">
        <v>2000000</v>
      </c>
      <c r="BB142" s="1">
        <v>800</v>
      </c>
      <c r="BC142" s="1">
        <v>1</v>
      </c>
      <c r="BD142" s="1">
        <v>1</v>
      </c>
      <c r="BE142" s="1">
        <v>90</v>
      </c>
      <c r="BF142" s="1">
        <v>60004234</v>
      </c>
      <c r="BG142" s="1">
        <v>-1</v>
      </c>
      <c r="BH142" s="1">
        <v>0</v>
      </c>
      <c r="BJ142" s="1">
        <v>2836529987</v>
      </c>
      <c r="BK142" s="1">
        <v>39</v>
      </c>
      <c r="BL142" s="1">
        <v>100000</v>
      </c>
      <c r="BM142" s="1">
        <v>100000</v>
      </c>
      <c r="BN142" s="1">
        <v>519</v>
      </c>
      <c r="BO142" s="1">
        <v>100</v>
      </c>
      <c r="BP142" s="1">
        <v>1</v>
      </c>
      <c r="BQ142" s="1">
        <v>30</v>
      </c>
      <c r="BR142" s="1">
        <v>60003760</v>
      </c>
      <c r="BS142" s="1">
        <v>10</v>
      </c>
      <c r="BT142" s="1">
        <v>0</v>
      </c>
      <c r="BV142" s="1">
        <v>2407428043</v>
      </c>
      <c r="BW142" s="1">
        <v>40</v>
      </c>
      <c r="BX142" s="1">
        <v>1000</v>
      </c>
      <c r="BY142" s="1">
        <v>920</v>
      </c>
      <c r="BZ142" s="1">
        <v>2500</v>
      </c>
      <c r="CA142" s="1">
        <v>1</v>
      </c>
      <c r="CB142" s="1">
        <v>1</v>
      </c>
      <c r="CC142" s="1">
        <v>90</v>
      </c>
      <c r="CD142" s="1">
        <v>60004231</v>
      </c>
      <c r="CE142" s="1">
        <v>-1</v>
      </c>
      <c r="CF142" s="1">
        <v>0</v>
      </c>
      <c r="CH142" s="1">
        <v>2415697779</v>
      </c>
      <c r="CI142" s="1">
        <v>29668</v>
      </c>
      <c r="CJ142" s="1">
        <v>6</v>
      </c>
      <c r="CK142" s="1">
        <v>6</v>
      </c>
      <c r="CL142" s="1">
        <v>493983999</v>
      </c>
      <c r="CM142" s="1">
        <v>1</v>
      </c>
      <c r="CN142" s="1">
        <v>0</v>
      </c>
      <c r="CO142" s="1">
        <v>90</v>
      </c>
      <c r="CP142" s="1">
        <v>60003760</v>
      </c>
      <c r="CQ142" s="1">
        <v>32767</v>
      </c>
      <c r="CR142" s="1">
        <v>0</v>
      </c>
      <c r="CT142"/>
      <c r="CU142"/>
      <c r="CV142"/>
      <c r="CW142"/>
      <c r="CX142"/>
      <c r="CY142"/>
      <c r="CZ142"/>
      <c r="DA142"/>
      <c r="DB142"/>
      <c r="DC142"/>
      <c r="DD142"/>
      <c r="DF142" s="1">
        <v>2382921968</v>
      </c>
      <c r="DG142" s="1">
        <v>17887</v>
      </c>
      <c r="DH142" s="1">
        <v>10000</v>
      </c>
      <c r="DI142" s="1">
        <v>10000</v>
      </c>
      <c r="DJ142" s="1">
        <v>800.03</v>
      </c>
      <c r="DK142" s="1">
        <v>1</v>
      </c>
      <c r="DL142" s="1">
        <v>1</v>
      </c>
      <c r="DM142" s="1">
        <v>90</v>
      </c>
      <c r="DN142" s="1">
        <v>60003760</v>
      </c>
      <c r="DO142" s="1">
        <v>-1</v>
      </c>
      <c r="DP142" s="1">
        <v>0</v>
      </c>
      <c r="DR142" s="1">
        <v>2877921642</v>
      </c>
      <c r="DS142" s="1">
        <v>17888</v>
      </c>
      <c r="DT142" s="1">
        <v>3091</v>
      </c>
      <c r="DU142" s="1">
        <v>3091</v>
      </c>
      <c r="DV142" s="1">
        <v>336</v>
      </c>
      <c r="DW142" s="1">
        <v>1</v>
      </c>
      <c r="DX142" s="1">
        <v>0</v>
      </c>
      <c r="DY142" s="1">
        <v>90</v>
      </c>
      <c r="DZ142" s="1">
        <v>60000508</v>
      </c>
      <c r="EA142" s="1">
        <v>32767</v>
      </c>
      <c r="EB142" s="1">
        <v>9</v>
      </c>
      <c r="ED142" s="1">
        <v>2878787142</v>
      </c>
      <c r="EE142" s="1">
        <v>16273</v>
      </c>
      <c r="EF142" s="1">
        <v>70000</v>
      </c>
      <c r="EG142" s="1">
        <v>70000</v>
      </c>
      <c r="EH142" s="1">
        <v>419.99</v>
      </c>
      <c r="EI142" s="1">
        <v>1</v>
      </c>
      <c r="EJ142" s="1">
        <v>0</v>
      </c>
      <c r="EK142" s="1">
        <v>90</v>
      </c>
      <c r="EL142" s="1">
        <v>60004081</v>
      </c>
      <c r="EM142" s="1">
        <v>32767</v>
      </c>
      <c r="EN142" s="1">
        <v>5</v>
      </c>
      <c r="EP142"/>
      <c r="EQ142"/>
      <c r="ER142"/>
      <c r="ES142"/>
      <c r="ET142"/>
      <c r="EU142"/>
      <c r="EV142"/>
      <c r="EW142"/>
      <c r="EX142"/>
      <c r="EY142"/>
      <c r="EZ142"/>
      <c r="FB142" s="1">
        <v>2879023369</v>
      </c>
      <c r="FC142" s="1">
        <v>30259</v>
      </c>
      <c r="FD142" s="1">
        <v>1380</v>
      </c>
      <c r="FE142" s="1">
        <v>979</v>
      </c>
      <c r="FF142" s="1">
        <v>5594100</v>
      </c>
      <c r="FG142" s="1">
        <v>1</v>
      </c>
      <c r="FH142" s="1">
        <v>1</v>
      </c>
      <c r="FI142" s="1">
        <v>90</v>
      </c>
      <c r="FJ142" s="1">
        <v>60003760</v>
      </c>
      <c r="FK142" s="1">
        <v>-1</v>
      </c>
      <c r="FL142" s="1">
        <v>0</v>
      </c>
      <c r="FZ142"/>
      <c r="GA142"/>
      <c r="GB142"/>
      <c r="GC142"/>
      <c r="GD142"/>
      <c r="GE142"/>
      <c r="GF142"/>
      <c r="GG142"/>
      <c r="GH142"/>
      <c r="GI142"/>
      <c r="GJ142"/>
      <c r="GL142"/>
      <c r="GM142"/>
      <c r="GN142"/>
      <c r="GO142"/>
      <c r="GP142"/>
      <c r="GQ142"/>
      <c r="GR142"/>
      <c r="GS142"/>
      <c r="GT142"/>
      <c r="GU142"/>
      <c r="GV142"/>
      <c r="JF142" s="1">
        <v>2878364606</v>
      </c>
      <c r="JG142" s="1">
        <v>16272</v>
      </c>
      <c r="JH142" s="1">
        <v>15000000</v>
      </c>
      <c r="JI142" s="1">
        <v>11651030</v>
      </c>
      <c r="JJ142" s="1">
        <v>65.25</v>
      </c>
      <c r="JK142" s="1">
        <v>1</v>
      </c>
      <c r="JL142" s="1">
        <v>1</v>
      </c>
      <c r="JM142" s="1">
        <v>90</v>
      </c>
      <c r="JN142" s="1">
        <v>60003760</v>
      </c>
      <c r="JO142" s="1">
        <v>10</v>
      </c>
      <c r="JP142" s="1">
        <v>0</v>
      </c>
      <c r="KD142"/>
      <c r="KE142"/>
      <c r="KF142"/>
      <c r="KG142"/>
      <c r="KH142"/>
      <c r="KI142"/>
      <c r="KJ142"/>
      <c r="KK142"/>
      <c r="KL142"/>
      <c r="KM142"/>
      <c r="KN142"/>
      <c r="LB142" s="1">
        <v>2875845369</v>
      </c>
      <c r="LC142" s="1">
        <v>9832</v>
      </c>
      <c r="LD142" s="1">
        <v>100000</v>
      </c>
      <c r="LE142" s="1">
        <v>100000</v>
      </c>
      <c r="LF142" s="1">
        <v>9105.25</v>
      </c>
      <c r="LG142" s="1">
        <v>1</v>
      </c>
      <c r="LH142" s="1">
        <v>1</v>
      </c>
      <c r="LI142" s="1">
        <v>90</v>
      </c>
      <c r="LJ142" s="1">
        <v>60003760</v>
      </c>
      <c r="LK142" s="1">
        <v>-1</v>
      </c>
      <c r="LL142" s="1">
        <v>0</v>
      </c>
      <c r="NV142" s="1">
        <v>2875909740</v>
      </c>
      <c r="NW142" s="1">
        <v>3689</v>
      </c>
      <c r="NX142" s="1">
        <v>57600</v>
      </c>
      <c r="NY142" s="1">
        <v>15124</v>
      </c>
      <c r="NZ142" s="1">
        <v>9722.0400000000009</v>
      </c>
      <c r="OA142" s="1">
        <v>1</v>
      </c>
      <c r="OB142" s="1">
        <v>1</v>
      </c>
      <c r="OC142" s="1">
        <v>90</v>
      </c>
      <c r="OD142" s="1">
        <v>60003760</v>
      </c>
      <c r="OE142" s="1">
        <v>-1</v>
      </c>
      <c r="OF142" s="1">
        <v>0</v>
      </c>
      <c r="OH142" s="1">
        <v>2816831413</v>
      </c>
      <c r="OI142" s="1">
        <v>25598</v>
      </c>
      <c r="OJ142" s="1">
        <v>17</v>
      </c>
      <c r="OK142" s="1">
        <v>15</v>
      </c>
      <c r="OL142" s="1">
        <v>160001</v>
      </c>
      <c r="OM142" s="1">
        <v>1</v>
      </c>
      <c r="ON142" s="1">
        <v>0</v>
      </c>
      <c r="OO142" s="1">
        <v>90</v>
      </c>
      <c r="OP142" s="1">
        <v>60004075</v>
      </c>
      <c r="OQ142" s="1">
        <v>32767</v>
      </c>
      <c r="OR142" s="1">
        <v>8</v>
      </c>
      <c r="OT142" s="1">
        <v>2876161895</v>
      </c>
      <c r="OU142" s="1">
        <v>25600</v>
      </c>
      <c r="OV142" s="1">
        <v>100</v>
      </c>
      <c r="OW142" s="1">
        <v>100</v>
      </c>
      <c r="OX142" s="1">
        <v>26000</v>
      </c>
      <c r="OY142" s="1">
        <v>10</v>
      </c>
      <c r="OZ142" s="1">
        <v>1</v>
      </c>
      <c r="PA142" s="1">
        <v>14</v>
      </c>
      <c r="PB142" s="1">
        <v>60004063</v>
      </c>
      <c r="PC142" s="1">
        <v>-1</v>
      </c>
      <c r="PD142" s="1">
        <v>0</v>
      </c>
      <c r="SX142" s="1">
        <v>2859544689</v>
      </c>
      <c r="SY142" s="1">
        <v>25595</v>
      </c>
      <c r="SZ142" s="1">
        <v>18</v>
      </c>
      <c r="TA142" s="1">
        <v>18</v>
      </c>
      <c r="TB142" s="1">
        <v>90060.17</v>
      </c>
      <c r="TC142" s="1">
        <v>1</v>
      </c>
      <c r="TD142" s="1">
        <v>0</v>
      </c>
      <c r="TE142" s="1">
        <v>90</v>
      </c>
      <c r="TF142" s="1">
        <v>60012667</v>
      </c>
      <c r="TG142" s="1">
        <v>32767</v>
      </c>
      <c r="TH142" s="1">
        <v>0</v>
      </c>
    </row>
    <row r="143" spans="2:540" x14ac:dyDescent="0.25">
      <c r="B143" s="1">
        <v>2829682664</v>
      </c>
      <c r="C143" s="1">
        <v>34</v>
      </c>
      <c r="D143" s="1">
        <v>16147063</v>
      </c>
      <c r="E143" s="1">
        <v>16147063</v>
      </c>
      <c r="F143" s="1">
        <v>6.11</v>
      </c>
      <c r="G143" s="1">
        <v>1</v>
      </c>
      <c r="H143" s="1">
        <v>0</v>
      </c>
      <c r="I143" s="1">
        <v>90</v>
      </c>
      <c r="J143" s="1">
        <v>60003760</v>
      </c>
      <c r="K143" s="1">
        <v>32767</v>
      </c>
      <c r="L143" s="1">
        <v>0</v>
      </c>
      <c r="N143" s="1">
        <v>2877915380</v>
      </c>
      <c r="O143" s="1">
        <v>35</v>
      </c>
      <c r="P143" s="1">
        <v>3510000</v>
      </c>
      <c r="Q143" s="1">
        <v>3510000</v>
      </c>
      <c r="R143" s="1">
        <v>15.1</v>
      </c>
      <c r="S143" s="1">
        <v>1</v>
      </c>
      <c r="T143" s="1">
        <v>0</v>
      </c>
      <c r="U143" s="1">
        <v>30</v>
      </c>
      <c r="V143" s="1">
        <v>60003760</v>
      </c>
      <c r="W143" s="1">
        <v>32767</v>
      </c>
      <c r="X143" s="1">
        <v>0</v>
      </c>
      <c r="Z143" s="1">
        <v>2845363560</v>
      </c>
      <c r="AA143" s="1">
        <v>36</v>
      </c>
      <c r="AB143" s="1">
        <v>293441</v>
      </c>
      <c r="AC143" s="1">
        <v>293441</v>
      </c>
      <c r="AD143" s="16">
        <v>51.3</v>
      </c>
      <c r="AE143" s="1">
        <v>1</v>
      </c>
      <c r="AF143" s="1">
        <v>0</v>
      </c>
      <c r="AG143" s="1">
        <v>90</v>
      </c>
      <c r="AH143" s="1">
        <v>60003760</v>
      </c>
      <c r="AI143" s="1">
        <v>32767</v>
      </c>
      <c r="AJ143" s="1">
        <v>11</v>
      </c>
      <c r="AL143" s="1">
        <v>2878499400</v>
      </c>
      <c r="AM143" s="1">
        <v>37</v>
      </c>
      <c r="AN143" s="1">
        <v>317</v>
      </c>
      <c r="AO143" s="1">
        <v>317</v>
      </c>
      <c r="AP143" s="16">
        <v>147</v>
      </c>
      <c r="AQ143" s="1">
        <v>1</v>
      </c>
      <c r="AR143" s="1">
        <v>0</v>
      </c>
      <c r="AS143" s="1">
        <v>1</v>
      </c>
      <c r="AT143" s="1">
        <v>60002434</v>
      </c>
      <c r="AU143" s="1">
        <v>32767</v>
      </c>
      <c r="AV143" s="1">
        <v>7</v>
      </c>
      <c r="AX143" s="1">
        <v>2784337915</v>
      </c>
      <c r="AY143" s="1">
        <v>38</v>
      </c>
      <c r="AZ143" s="1">
        <v>100000</v>
      </c>
      <c r="BA143" s="1">
        <v>88048</v>
      </c>
      <c r="BB143" s="1">
        <v>726.06</v>
      </c>
      <c r="BC143" s="1">
        <v>1</v>
      </c>
      <c r="BD143" s="1">
        <v>1</v>
      </c>
      <c r="BE143" s="1">
        <v>90</v>
      </c>
      <c r="BF143" s="1">
        <v>60004240</v>
      </c>
      <c r="BG143" s="1">
        <v>0</v>
      </c>
      <c r="BH143" s="1">
        <v>0</v>
      </c>
      <c r="BJ143" s="1">
        <v>2838601214</v>
      </c>
      <c r="BK143" s="1">
        <v>39</v>
      </c>
      <c r="BL143" s="1">
        <v>10000000</v>
      </c>
      <c r="BM143" s="1">
        <v>10000000</v>
      </c>
      <c r="BN143" s="1">
        <v>0.01</v>
      </c>
      <c r="BO143" s="1">
        <v>1</v>
      </c>
      <c r="BP143" s="1">
        <v>1</v>
      </c>
      <c r="BQ143" s="1">
        <v>90</v>
      </c>
      <c r="BR143" s="1">
        <v>60003760</v>
      </c>
      <c r="BS143" s="1">
        <v>40</v>
      </c>
      <c r="BT143" s="1">
        <v>0</v>
      </c>
      <c r="BV143" s="1">
        <v>2405108449</v>
      </c>
      <c r="BW143" s="1">
        <v>40</v>
      </c>
      <c r="BX143" s="1">
        <v>200000</v>
      </c>
      <c r="BY143" s="1">
        <v>180387</v>
      </c>
      <c r="BZ143" s="1">
        <v>1900.02</v>
      </c>
      <c r="CA143" s="1">
        <v>1</v>
      </c>
      <c r="CB143" s="1">
        <v>1</v>
      </c>
      <c r="CC143" s="1">
        <v>90</v>
      </c>
      <c r="CD143" s="1">
        <v>60003007</v>
      </c>
      <c r="CE143" s="1">
        <v>20</v>
      </c>
      <c r="CF143" s="1">
        <v>0</v>
      </c>
      <c r="CH143" s="1">
        <v>2415761928</v>
      </c>
      <c r="CI143" s="1">
        <v>29668</v>
      </c>
      <c r="CJ143" s="1">
        <v>1</v>
      </c>
      <c r="CK143" s="1">
        <v>1</v>
      </c>
      <c r="CL143" s="1">
        <v>493250000</v>
      </c>
      <c r="CM143" s="1">
        <v>1</v>
      </c>
      <c r="CN143" s="1">
        <v>0</v>
      </c>
      <c r="CO143" s="1">
        <v>30</v>
      </c>
      <c r="CP143" s="1">
        <v>60003760</v>
      </c>
      <c r="CQ143" s="1">
        <v>32767</v>
      </c>
      <c r="CR143" s="1">
        <v>0</v>
      </c>
      <c r="CT143"/>
      <c r="CU143"/>
      <c r="CV143"/>
      <c r="CW143"/>
      <c r="CX143"/>
      <c r="CY143"/>
      <c r="CZ143"/>
      <c r="DA143"/>
      <c r="DB143"/>
      <c r="DC143"/>
      <c r="DD143"/>
      <c r="DF143" s="1">
        <v>2381580624</v>
      </c>
      <c r="DG143" s="1">
        <v>17887</v>
      </c>
      <c r="DH143" s="1">
        <v>1000000</v>
      </c>
      <c r="DI143" s="1">
        <v>1000000</v>
      </c>
      <c r="DJ143" s="1">
        <v>350.01</v>
      </c>
      <c r="DK143" s="1">
        <v>1</v>
      </c>
      <c r="DL143" s="1">
        <v>1</v>
      </c>
      <c r="DM143" s="1">
        <v>90</v>
      </c>
      <c r="DN143" s="1">
        <v>60003760</v>
      </c>
      <c r="DO143" s="1">
        <v>-1</v>
      </c>
      <c r="DP143" s="1">
        <v>0</v>
      </c>
      <c r="DR143" s="1">
        <v>2778294230</v>
      </c>
      <c r="DS143" s="1">
        <v>17888</v>
      </c>
      <c r="DT143" s="1">
        <v>1548</v>
      </c>
      <c r="DU143" s="1">
        <v>1548</v>
      </c>
      <c r="DV143" s="1">
        <v>409</v>
      </c>
      <c r="DW143" s="1">
        <v>1</v>
      </c>
      <c r="DX143" s="1">
        <v>0</v>
      </c>
      <c r="DY143" s="1">
        <v>90</v>
      </c>
      <c r="DZ143" s="1">
        <v>60004051</v>
      </c>
      <c r="EA143" s="1">
        <v>32767</v>
      </c>
      <c r="EB143" s="1">
        <v>9</v>
      </c>
      <c r="ED143" s="1">
        <v>2878802826</v>
      </c>
      <c r="EE143" s="1">
        <v>16273</v>
      </c>
      <c r="EF143" s="1">
        <v>11604</v>
      </c>
      <c r="EG143" s="1">
        <v>8404</v>
      </c>
      <c r="EH143" s="1">
        <v>354</v>
      </c>
      <c r="EI143" s="1">
        <v>1</v>
      </c>
      <c r="EJ143" s="1">
        <v>0</v>
      </c>
      <c r="EK143" s="1">
        <v>90</v>
      </c>
      <c r="EL143" s="1">
        <v>60001801</v>
      </c>
      <c r="EM143" s="1">
        <v>32767</v>
      </c>
      <c r="EN143" s="1">
        <v>5</v>
      </c>
      <c r="EP143"/>
      <c r="EQ143"/>
      <c r="ER143"/>
      <c r="ES143"/>
      <c r="ET143"/>
      <c r="EU143"/>
      <c r="EV143"/>
      <c r="EW143"/>
      <c r="EX143"/>
      <c r="EY143"/>
      <c r="EZ143"/>
      <c r="FB143" s="1">
        <v>2861509513</v>
      </c>
      <c r="FC143" s="1">
        <v>30259</v>
      </c>
      <c r="FD143" s="1">
        <v>25</v>
      </c>
      <c r="FE143" s="1">
        <v>22</v>
      </c>
      <c r="FF143" s="1">
        <v>4631000</v>
      </c>
      <c r="FG143" s="1">
        <v>1</v>
      </c>
      <c r="FH143" s="1">
        <v>1</v>
      </c>
      <c r="FI143" s="1">
        <v>90</v>
      </c>
      <c r="FJ143" s="1">
        <v>60003754</v>
      </c>
      <c r="FK143" s="1">
        <v>32767</v>
      </c>
      <c r="FL143" s="1">
        <v>0</v>
      </c>
      <c r="FZ143"/>
      <c r="GA143"/>
      <c r="GB143"/>
      <c r="GC143"/>
      <c r="GD143"/>
      <c r="GE143"/>
      <c r="GF143"/>
      <c r="GG143"/>
      <c r="GH143"/>
      <c r="GI143"/>
      <c r="GJ143"/>
      <c r="GL143"/>
      <c r="GM143"/>
      <c r="GN143"/>
      <c r="GO143"/>
      <c r="GP143"/>
      <c r="GQ143"/>
      <c r="GR143"/>
      <c r="GS143"/>
      <c r="GT143"/>
      <c r="GU143"/>
      <c r="GV143"/>
      <c r="JF143" s="1">
        <v>2870047981</v>
      </c>
      <c r="JG143" s="1">
        <v>16272</v>
      </c>
      <c r="JH143" s="1">
        <v>1000000</v>
      </c>
      <c r="JI143" s="1">
        <v>534421</v>
      </c>
      <c r="JJ143" s="1">
        <v>65.260000000000005</v>
      </c>
      <c r="JK143" s="1">
        <v>1</v>
      </c>
      <c r="JL143" s="1">
        <v>1</v>
      </c>
      <c r="JM143" s="1">
        <v>90</v>
      </c>
      <c r="JN143" s="1">
        <v>60002359</v>
      </c>
      <c r="JO143" s="1">
        <v>1</v>
      </c>
      <c r="JP143" s="1">
        <v>0</v>
      </c>
      <c r="KD143"/>
      <c r="KE143"/>
      <c r="KF143"/>
      <c r="KG143"/>
      <c r="KH143"/>
      <c r="KI143"/>
      <c r="KJ143"/>
      <c r="KK143"/>
      <c r="KL143"/>
      <c r="KM143"/>
      <c r="KN143"/>
      <c r="LB143" s="1">
        <v>2878305114</v>
      </c>
      <c r="LC143" s="1">
        <v>9832</v>
      </c>
      <c r="LD143" s="1">
        <v>48000</v>
      </c>
      <c r="LE143" s="1">
        <v>9485</v>
      </c>
      <c r="LF143" s="1">
        <v>9166.02</v>
      </c>
      <c r="LG143" s="1">
        <v>1</v>
      </c>
      <c r="LH143" s="1">
        <v>1</v>
      </c>
      <c r="LI143" s="1">
        <v>90</v>
      </c>
      <c r="LJ143" s="1">
        <v>60003760</v>
      </c>
      <c r="LK143" s="1">
        <v>-1</v>
      </c>
      <c r="LL143" s="1">
        <v>0</v>
      </c>
      <c r="NV143" s="1">
        <v>2879109901</v>
      </c>
      <c r="NW143" s="1">
        <v>3689</v>
      </c>
      <c r="NX143" s="1">
        <v>19000</v>
      </c>
      <c r="NY143" s="1">
        <v>15045</v>
      </c>
      <c r="NZ143" s="1">
        <v>9722.0499999999993</v>
      </c>
      <c r="OA143" s="1">
        <v>1</v>
      </c>
      <c r="OB143" s="1">
        <v>1</v>
      </c>
      <c r="OC143" s="1">
        <v>90</v>
      </c>
      <c r="OD143" s="1">
        <v>60003760</v>
      </c>
      <c r="OE143" s="1">
        <v>-1</v>
      </c>
      <c r="OF143" s="1">
        <v>0</v>
      </c>
      <c r="OH143" s="1">
        <v>2813205723</v>
      </c>
      <c r="OI143" s="1">
        <v>25598</v>
      </c>
      <c r="OJ143" s="1">
        <v>188</v>
      </c>
      <c r="OK143" s="1">
        <v>188</v>
      </c>
      <c r="OL143" s="1">
        <v>139980</v>
      </c>
      <c r="OM143" s="1">
        <v>1</v>
      </c>
      <c r="ON143" s="1">
        <v>0</v>
      </c>
      <c r="OO143" s="1">
        <v>90</v>
      </c>
      <c r="OP143" s="1">
        <v>60004075</v>
      </c>
      <c r="OQ143" s="1">
        <v>32767</v>
      </c>
      <c r="OR143" s="1">
        <v>8</v>
      </c>
      <c r="OT143" s="1">
        <v>2873001717</v>
      </c>
      <c r="OU143" s="1">
        <v>25600</v>
      </c>
      <c r="OV143" s="1">
        <v>240</v>
      </c>
      <c r="OW143" s="1">
        <v>240</v>
      </c>
      <c r="OX143" s="1">
        <v>23000</v>
      </c>
      <c r="OY143" s="1">
        <v>1</v>
      </c>
      <c r="OZ143" s="1">
        <v>1</v>
      </c>
      <c r="PA143" s="1">
        <v>30</v>
      </c>
      <c r="PB143" s="1">
        <v>60002275</v>
      </c>
      <c r="PC143" s="1">
        <v>-1</v>
      </c>
      <c r="PD143" s="1">
        <v>0</v>
      </c>
      <c r="SX143" s="1">
        <v>2853493763</v>
      </c>
      <c r="SY143" s="1">
        <v>25595</v>
      </c>
      <c r="SZ143" s="1">
        <v>290</v>
      </c>
      <c r="TA143" s="1">
        <v>290</v>
      </c>
      <c r="TB143" s="1">
        <v>88000</v>
      </c>
      <c r="TC143" s="1">
        <v>1</v>
      </c>
      <c r="TD143" s="1">
        <v>0</v>
      </c>
      <c r="TE143" s="1">
        <v>30</v>
      </c>
      <c r="TF143" s="1">
        <v>60012667</v>
      </c>
      <c r="TG143" s="1">
        <v>32767</v>
      </c>
      <c r="TH143" s="1">
        <v>0</v>
      </c>
    </row>
    <row r="144" spans="2:540" x14ac:dyDescent="0.25">
      <c r="B144" s="1">
        <v>2830964460</v>
      </c>
      <c r="C144" s="1">
        <v>34</v>
      </c>
      <c r="D144" s="1">
        <v>45178676</v>
      </c>
      <c r="E144" s="1">
        <v>45178676</v>
      </c>
      <c r="F144" s="1">
        <v>6.01</v>
      </c>
      <c r="G144" s="1">
        <v>1</v>
      </c>
      <c r="H144" s="1">
        <v>0</v>
      </c>
      <c r="I144" s="1">
        <v>90</v>
      </c>
      <c r="J144" s="1">
        <v>60003760</v>
      </c>
      <c r="K144" s="1">
        <v>32767</v>
      </c>
      <c r="L144" s="1">
        <v>0</v>
      </c>
      <c r="N144" s="1">
        <v>2877673815</v>
      </c>
      <c r="O144" s="1">
        <v>35</v>
      </c>
      <c r="P144" s="1">
        <v>17830440</v>
      </c>
      <c r="Q144" s="1">
        <v>17830440</v>
      </c>
      <c r="R144" s="1">
        <v>15.4</v>
      </c>
      <c r="S144" s="1">
        <v>1</v>
      </c>
      <c r="T144" s="1">
        <v>0</v>
      </c>
      <c r="U144" s="1">
        <v>90</v>
      </c>
      <c r="V144" s="1">
        <v>60003760</v>
      </c>
      <c r="W144" s="1">
        <v>32767</v>
      </c>
      <c r="X144" s="1">
        <v>0</v>
      </c>
      <c r="Z144" s="1">
        <v>2845230389</v>
      </c>
      <c r="AA144" s="1">
        <v>36</v>
      </c>
      <c r="AB144" s="1">
        <v>842328</v>
      </c>
      <c r="AC144" s="1">
        <v>842328</v>
      </c>
      <c r="AD144" s="16">
        <v>59.15</v>
      </c>
      <c r="AE144" s="1">
        <v>1</v>
      </c>
      <c r="AF144" s="1">
        <v>0</v>
      </c>
      <c r="AG144" s="1">
        <v>30</v>
      </c>
      <c r="AH144" s="1">
        <v>60003760</v>
      </c>
      <c r="AI144" s="1">
        <v>32767</v>
      </c>
      <c r="AJ144" s="1">
        <v>11</v>
      </c>
      <c r="AL144" s="1">
        <v>2878523172</v>
      </c>
      <c r="AM144" s="1">
        <v>37</v>
      </c>
      <c r="AN144" s="1">
        <v>930474</v>
      </c>
      <c r="AO144" s="1">
        <v>930474</v>
      </c>
      <c r="AP144" s="16">
        <v>148.41999999999999</v>
      </c>
      <c r="AQ144" s="1">
        <v>1</v>
      </c>
      <c r="AR144" s="1">
        <v>0</v>
      </c>
      <c r="AS144" s="1">
        <v>90</v>
      </c>
      <c r="AT144" s="1">
        <v>60003760</v>
      </c>
      <c r="AU144" s="1">
        <v>32767</v>
      </c>
      <c r="AV144" s="1">
        <v>9</v>
      </c>
      <c r="AX144" s="1">
        <v>2869495143</v>
      </c>
      <c r="AY144" s="1">
        <v>38</v>
      </c>
      <c r="AZ144" s="1">
        <v>50000</v>
      </c>
      <c r="BA144" s="1">
        <v>50000</v>
      </c>
      <c r="BB144" s="1">
        <v>429.99</v>
      </c>
      <c r="BC144" s="1">
        <v>1</v>
      </c>
      <c r="BD144" s="1">
        <v>1</v>
      </c>
      <c r="BE144" s="1">
        <v>90</v>
      </c>
      <c r="BF144" s="1">
        <v>60004231</v>
      </c>
      <c r="BG144" s="1">
        <v>-1</v>
      </c>
      <c r="BH144" s="1">
        <v>0</v>
      </c>
      <c r="BJ144" s="1">
        <v>2832827181</v>
      </c>
      <c r="BK144" s="1">
        <v>39</v>
      </c>
      <c r="BL144" s="1">
        <v>800</v>
      </c>
      <c r="BM144" s="1">
        <v>800</v>
      </c>
      <c r="BN144" s="1">
        <v>700</v>
      </c>
      <c r="BO144" s="1">
        <v>30</v>
      </c>
      <c r="BP144" s="1">
        <v>1</v>
      </c>
      <c r="BQ144" s="1">
        <v>30</v>
      </c>
      <c r="BR144" s="1">
        <v>60003460</v>
      </c>
      <c r="BS144" s="1">
        <v>10</v>
      </c>
      <c r="BT144" s="1">
        <v>0</v>
      </c>
      <c r="BV144" s="1">
        <v>2405848310</v>
      </c>
      <c r="BW144" s="1">
        <v>40</v>
      </c>
      <c r="BX144" s="1">
        <v>100000</v>
      </c>
      <c r="BY144" s="1">
        <v>100000</v>
      </c>
      <c r="BZ144" s="1">
        <v>2000</v>
      </c>
      <c r="CA144" s="1">
        <v>1</v>
      </c>
      <c r="CB144" s="1">
        <v>1</v>
      </c>
      <c r="CC144" s="1">
        <v>90</v>
      </c>
      <c r="CD144" s="1">
        <v>60003763</v>
      </c>
      <c r="CE144" s="1">
        <v>2</v>
      </c>
      <c r="CF144" s="1">
        <v>0</v>
      </c>
      <c r="CH144" s="1">
        <v>2415762491</v>
      </c>
      <c r="CI144" s="1">
        <v>29668</v>
      </c>
      <c r="CJ144" s="1">
        <v>1</v>
      </c>
      <c r="CK144" s="1">
        <v>1</v>
      </c>
      <c r="CL144" s="1">
        <v>493250000</v>
      </c>
      <c r="CM144" s="1">
        <v>1</v>
      </c>
      <c r="CN144" s="1">
        <v>0</v>
      </c>
      <c r="CO144" s="1">
        <v>7</v>
      </c>
      <c r="CP144" s="1">
        <v>60003760</v>
      </c>
      <c r="CQ144" s="1">
        <v>32767</v>
      </c>
      <c r="CR144" s="1">
        <v>0</v>
      </c>
      <c r="CT144"/>
      <c r="CU144"/>
      <c r="CV144"/>
      <c r="CW144"/>
      <c r="CX144"/>
      <c r="CY144"/>
      <c r="CZ144"/>
      <c r="DA144"/>
      <c r="DB144"/>
      <c r="DC144"/>
      <c r="DD144"/>
      <c r="DF144" s="1">
        <v>2394456906</v>
      </c>
      <c r="DG144" s="1">
        <v>17887</v>
      </c>
      <c r="DH144" s="1">
        <v>200000</v>
      </c>
      <c r="DI144" s="1">
        <v>200000</v>
      </c>
      <c r="DJ144" s="1">
        <v>850</v>
      </c>
      <c r="DK144" s="1">
        <v>1</v>
      </c>
      <c r="DL144" s="1">
        <v>1</v>
      </c>
      <c r="DM144" s="1">
        <v>90</v>
      </c>
      <c r="DN144" s="1">
        <v>60003760</v>
      </c>
      <c r="DO144" s="1">
        <v>-1</v>
      </c>
      <c r="DP144" s="1">
        <v>0</v>
      </c>
      <c r="DR144" s="1">
        <v>2832790200</v>
      </c>
      <c r="DS144" s="1">
        <v>17888</v>
      </c>
      <c r="DT144" s="1">
        <v>216695</v>
      </c>
      <c r="DU144" s="1">
        <v>216695</v>
      </c>
      <c r="DV144" s="1">
        <v>409.69</v>
      </c>
      <c r="DW144" s="1">
        <v>1</v>
      </c>
      <c r="DX144" s="1">
        <v>0</v>
      </c>
      <c r="DY144" s="1">
        <v>30</v>
      </c>
      <c r="DZ144" s="1">
        <v>60004051</v>
      </c>
      <c r="EA144" s="1">
        <v>32767</v>
      </c>
      <c r="EB144" s="1">
        <v>9</v>
      </c>
      <c r="ED144" s="1">
        <v>2878815813</v>
      </c>
      <c r="EE144" s="1">
        <v>16273</v>
      </c>
      <c r="EF144" s="1">
        <v>567862</v>
      </c>
      <c r="EG144" s="1">
        <v>270822</v>
      </c>
      <c r="EH144" s="1">
        <v>369.81</v>
      </c>
      <c r="EI144" s="1">
        <v>1</v>
      </c>
      <c r="EJ144" s="1">
        <v>0</v>
      </c>
      <c r="EK144" s="1">
        <v>90</v>
      </c>
      <c r="EL144" s="1">
        <v>60003760</v>
      </c>
      <c r="EM144" s="1">
        <v>32767</v>
      </c>
      <c r="EN144" s="1">
        <v>6</v>
      </c>
      <c r="FZ144"/>
      <c r="GA144"/>
      <c r="GB144"/>
      <c r="GC144"/>
      <c r="GD144"/>
      <c r="GE144"/>
      <c r="GF144"/>
      <c r="GG144"/>
      <c r="GH144"/>
      <c r="GI144"/>
      <c r="GJ144"/>
      <c r="JF144" s="1">
        <v>2878631770</v>
      </c>
      <c r="JG144" s="1">
        <v>16272</v>
      </c>
      <c r="JH144" s="1">
        <v>1980000</v>
      </c>
      <c r="JI144" s="1">
        <v>1980000</v>
      </c>
      <c r="JJ144" s="1">
        <v>70.98</v>
      </c>
      <c r="JK144" s="1">
        <v>1</v>
      </c>
      <c r="JL144" s="1">
        <v>1</v>
      </c>
      <c r="JM144" s="1">
        <v>90</v>
      </c>
      <c r="JN144" s="1">
        <v>60003760</v>
      </c>
      <c r="JO144" s="1">
        <v>-1</v>
      </c>
      <c r="JP144" s="1">
        <v>0</v>
      </c>
      <c r="KD144"/>
      <c r="KE144"/>
      <c r="KF144"/>
      <c r="KG144"/>
      <c r="KH144"/>
      <c r="KI144"/>
      <c r="KJ144"/>
      <c r="KK144"/>
      <c r="KL144"/>
      <c r="KM144"/>
      <c r="KN144"/>
      <c r="LB144" s="1">
        <v>2877434810</v>
      </c>
      <c r="LC144" s="1">
        <v>9832</v>
      </c>
      <c r="LD144" s="1">
        <v>1500</v>
      </c>
      <c r="LE144" s="1">
        <v>95</v>
      </c>
      <c r="LF144" s="1">
        <v>9250</v>
      </c>
      <c r="LG144" s="1">
        <v>1</v>
      </c>
      <c r="LH144" s="1">
        <v>1</v>
      </c>
      <c r="LI144" s="1">
        <v>90</v>
      </c>
      <c r="LJ144" s="1">
        <v>60014935</v>
      </c>
      <c r="LK144" s="1">
        <v>-1</v>
      </c>
      <c r="LL144" s="1">
        <v>0</v>
      </c>
      <c r="NV144"/>
      <c r="NW144"/>
      <c r="NX144"/>
      <c r="NY144"/>
      <c r="NZ144"/>
      <c r="OA144"/>
      <c r="OB144"/>
      <c r="OC144"/>
      <c r="OD144"/>
      <c r="OE144"/>
      <c r="OF144"/>
      <c r="OH144" s="1">
        <v>2838243664</v>
      </c>
      <c r="OI144" s="1">
        <v>25598</v>
      </c>
      <c r="OJ144" s="1">
        <v>141</v>
      </c>
      <c r="OK144" s="1">
        <v>18</v>
      </c>
      <c r="OL144" s="1">
        <v>139980</v>
      </c>
      <c r="OM144" s="1">
        <v>1</v>
      </c>
      <c r="ON144" s="1">
        <v>0</v>
      </c>
      <c r="OO144" s="1">
        <v>90</v>
      </c>
      <c r="OP144" s="1">
        <v>60004075</v>
      </c>
      <c r="OQ144" s="1">
        <v>32767</v>
      </c>
      <c r="OR144" s="1">
        <v>8</v>
      </c>
      <c r="OT144" s="1">
        <v>2788527500</v>
      </c>
      <c r="OU144" s="1">
        <v>25600</v>
      </c>
      <c r="OV144" s="1">
        <v>10000</v>
      </c>
      <c r="OW144" s="1">
        <v>10000</v>
      </c>
      <c r="OX144" s="1">
        <v>1000</v>
      </c>
      <c r="OY144" s="1">
        <v>1</v>
      </c>
      <c r="OZ144" s="1">
        <v>1</v>
      </c>
      <c r="PA144" s="1">
        <v>90</v>
      </c>
      <c r="PB144" s="1">
        <v>60012667</v>
      </c>
      <c r="PC144" s="1">
        <v>-1</v>
      </c>
      <c r="PD144" s="1">
        <v>0</v>
      </c>
      <c r="SX144" s="1">
        <v>2839047572</v>
      </c>
      <c r="SY144" s="1">
        <v>25595</v>
      </c>
      <c r="SZ144" s="1">
        <v>29</v>
      </c>
      <c r="TA144" s="1">
        <v>26</v>
      </c>
      <c r="TB144" s="1">
        <v>91999</v>
      </c>
      <c r="TC144" s="1">
        <v>1</v>
      </c>
      <c r="TD144" s="1">
        <v>0</v>
      </c>
      <c r="TE144" s="1">
        <v>90</v>
      </c>
      <c r="TF144" s="1">
        <v>60012667</v>
      </c>
      <c r="TG144" s="1">
        <v>32767</v>
      </c>
      <c r="TH144" s="1">
        <v>0</v>
      </c>
    </row>
    <row r="145" spans="2:528" x14ac:dyDescent="0.25">
      <c r="B145" s="1">
        <v>2831089026</v>
      </c>
      <c r="C145" s="1">
        <v>34</v>
      </c>
      <c r="D145" s="1">
        <v>278763736</v>
      </c>
      <c r="E145" s="1">
        <v>278763736</v>
      </c>
      <c r="F145" s="1">
        <v>5.99</v>
      </c>
      <c r="G145" s="1">
        <v>1</v>
      </c>
      <c r="H145" s="1">
        <v>0</v>
      </c>
      <c r="I145" s="1">
        <v>90</v>
      </c>
      <c r="J145" s="1">
        <v>60003760</v>
      </c>
      <c r="K145" s="1">
        <v>32767</v>
      </c>
      <c r="L145" s="1">
        <v>0</v>
      </c>
      <c r="N145" s="1">
        <v>2878004512</v>
      </c>
      <c r="O145" s="1">
        <v>35</v>
      </c>
      <c r="P145" s="1">
        <v>1619779</v>
      </c>
      <c r="Q145" s="1">
        <v>1619779</v>
      </c>
      <c r="R145" s="1">
        <v>15.09</v>
      </c>
      <c r="S145" s="1">
        <v>1</v>
      </c>
      <c r="T145" s="1">
        <v>0</v>
      </c>
      <c r="U145" s="1">
        <v>14</v>
      </c>
      <c r="V145" s="1">
        <v>60003760</v>
      </c>
      <c r="W145" s="1">
        <v>32767</v>
      </c>
      <c r="X145" s="1">
        <v>0</v>
      </c>
      <c r="Z145" s="1">
        <v>2845200116</v>
      </c>
      <c r="AA145" s="1">
        <v>36</v>
      </c>
      <c r="AB145" s="1">
        <v>1779399</v>
      </c>
      <c r="AC145" s="1">
        <v>1779399</v>
      </c>
      <c r="AD145" s="16">
        <v>51.27</v>
      </c>
      <c r="AE145" s="1">
        <v>1</v>
      </c>
      <c r="AF145" s="1">
        <v>0</v>
      </c>
      <c r="AG145" s="1">
        <v>90</v>
      </c>
      <c r="AH145" s="1">
        <v>60003760</v>
      </c>
      <c r="AI145" s="1">
        <v>32767</v>
      </c>
      <c r="AJ145" s="1">
        <v>11</v>
      </c>
      <c r="AL145" s="1">
        <v>2878527583</v>
      </c>
      <c r="AM145" s="1">
        <v>37</v>
      </c>
      <c r="AN145" s="1">
        <v>13</v>
      </c>
      <c r="AO145" s="1">
        <v>13</v>
      </c>
      <c r="AP145" s="16">
        <v>145</v>
      </c>
      <c r="AQ145" s="1">
        <v>1</v>
      </c>
      <c r="AR145" s="1">
        <v>0</v>
      </c>
      <c r="AS145" s="1">
        <v>1</v>
      </c>
      <c r="AT145" s="1">
        <v>60002842</v>
      </c>
      <c r="AU145" s="1">
        <v>32767</v>
      </c>
      <c r="AV145" s="1">
        <v>3</v>
      </c>
      <c r="AX145" s="1">
        <v>2873454368</v>
      </c>
      <c r="AY145" s="1">
        <v>38</v>
      </c>
      <c r="AZ145" s="1">
        <v>500000</v>
      </c>
      <c r="BA145" s="1">
        <v>439169</v>
      </c>
      <c r="BB145" s="1">
        <v>729</v>
      </c>
      <c r="BC145" s="1">
        <v>1</v>
      </c>
      <c r="BD145" s="1">
        <v>1</v>
      </c>
      <c r="BE145" s="1">
        <v>90</v>
      </c>
      <c r="BF145" s="1">
        <v>60006430</v>
      </c>
      <c r="BG145" s="1">
        <v>1</v>
      </c>
      <c r="BH145" s="1">
        <v>0</v>
      </c>
      <c r="BJ145" s="1">
        <v>2838758551</v>
      </c>
      <c r="BK145" s="1">
        <v>39</v>
      </c>
      <c r="BL145" s="1">
        <v>10000000</v>
      </c>
      <c r="BM145" s="1">
        <v>10000000</v>
      </c>
      <c r="BN145" s="1">
        <v>1</v>
      </c>
      <c r="BO145" s="1">
        <v>1</v>
      </c>
      <c r="BP145" s="1">
        <v>1</v>
      </c>
      <c r="BQ145" s="1">
        <v>30</v>
      </c>
      <c r="BR145" s="1">
        <v>60003760</v>
      </c>
      <c r="BS145" s="1">
        <v>32767</v>
      </c>
      <c r="BT145" s="1">
        <v>0</v>
      </c>
      <c r="BV145" s="1">
        <v>2413654058</v>
      </c>
      <c r="BW145" s="1">
        <v>40</v>
      </c>
      <c r="BX145" s="1">
        <v>9500</v>
      </c>
      <c r="BY145" s="1">
        <v>9500</v>
      </c>
      <c r="BZ145" s="1">
        <v>2573</v>
      </c>
      <c r="CA145" s="1">
        <v>1</v>
      </c>
      <c r="CB145" s="1">
        <v>1</v>
      </c>
      <c r="CC145" s="1">
        <v>90</v>
      </c>
      <c r="CD145" s="1">
        <v>60003760</v>
      </c>
      <c r="CE145" s="1">
        <v>-1</v>
      </c>
      <c r="CF145" s="1">
        <v>0</v>
      </c>
      <c r="CH145" s="1">
        <v>2415765712</v>
      </c>
      <c r="CI145" s="1">
        <v>29668</v>
      </c>
      <c r="CJ145" s="1">
        <v>10</v>
      </c>
      <c r="CK145" s="1">
        <v>10</v>
      </c>
      <c r="CL145" s="1">
        <v>493200000</v>
      </c>
      <c r="CM145" s="1">
        <v>1</v>
      </c>
      <c r="CN145" s="1">
        <v>0</v>
      </c>
      <c r="CO145" s="1">
        <v>90</v>
      </c>
      <c r="CP145" s="1">
        <v>60003760</v>
      </c>
      <c r="CQ145" s="1">
        <v>32767</v>
      </c>
      <c r="CR145" s="1">
        <v>0</v>
      </c>
      <c r="CT145"/>
      <c r="CU145"/>
      <c r="CV145"/>
      <c r="CW145"/>
      <c r="CX145"/>
      <c r="CY145"/>
      <c r="CZ145"/>
      <c r="DA145"/>
      <c r="DB145"/>
      <c r="DC145"/>
      <c r="DD145"/>
      <c r="DF145" s="1">
        <v>2394459469</v>
      </c>
      <c r="DG145" s="1">
        <v>17887</v>
      </c>
      <c r="DH145" s="1">
        <v>116545</v>
      </c>
      <c r="DI145" s="1">
        <v>116545</v>
      </c>
      <c r="DJ145" s="1">
        <v>872.57</v>
      </c>
      <c r="DK145" s="1">
        <v>1</v>
      </c>
      <c r="DL145" s="1">
        <v>1</v>
      </c>
      <c r="DM145" s="1">
        <v>90</v>
      </c>
      <c r="DN145" s="1">
        <v>60003760</v>
      </c>
      <c r="DO145" s="1">
        <v>-1</v>
      </c>
      <c r="DP145" s="1">
        <v>0</v>
      </c>
      <c r="DR145" s="1">
        <v>2861405355</v>
      </c>
      <c r="DS145" s="1">
        <v>17888</v>
      </c>
      <c r="DT145" s="1">
        <v>487232</v>
      </c>
      <c r="DU145" s="1">
        <v>232</v>
      </c>
      <c r="DV145" s="1">
        <v>341</v>
      </c>
      <c r="DW145" s="1">
        <v>1</v>
      </c>
      <c r="DX145" s="1">
        <v>0</v>
      </c>
      <c r="DY145" s="1">
        <v>90</v>
      </c>
      <c r="DZ145" s="1">
        <v>60004051</v>
      </c>
      <c r="EA145" s="1">
        <v>32767</v>
      </c>
      <c r="EB145" s="1">
        <v>9</v>
      </c>
      <c r="ED145" s="1">
        <v>2878835003</v>
      </c>
      <c r="EE145" s="1">
        <v>16273</v>
      </c>
      <c r="EF145" s="1">
        <v>38950</v>
      </c>
      <c r="EG145" s="1">
        <v>38950</v>
      </c>
      <c r="EH145" s="1">
        <v>369.8</v>
      </c>
      <c r="EI145" s="1">
        <v>1</v>
      </c>
      <c r="EJ145" s="1">
        <v>0</v>
      </c>
      <c r="EK145" s="1">
        <v>90</v>
      </c>
      <c r="EL145" s="1">
        <v>60003760</v>
      </c>
      <c r="EM145" s="1">
        <v>32767</v>
      </c>
      <c r="EN145" s="1">
        <v>6</v>
      </c>
      <c r="FZ145"/>
      <c r="GA145"/>
      <c r="GB145"/>
      <c r="GC145"/>
      <c r="GD145"/>
      <c r="GE145"/>
      <c r="GF145"/>
      <c r="GG145"/>
      <c r="GH145"/>
      <c r="GI145"/>
      <c r="GJ145"/>
      <c r="JF145" s="1">
        <v>2878636725</v>
      </c>
      <c r="JG145" s="1">
        <v>16272</v>
      </c>
      <c r="JH145" s="1">
        <v>264600</v>
      </c>
      <c r="JI145" s="1">
        <v>264600</v>
      </c>
      <c r="JJ145" s="1">
        <v>71.180000000000007</v>
      </c>
      <c r="JK145" s="1">
        <v>1</v>
      </c>
      <c r="JL145" s="1">
        <v>1</v>
      </c>
      <c r="JM145" s="1">
        <v>14</v>
      </c>
      <c r="JN145" s="1">
        <v>60003760</v>
      </c>
      <c r="JO145" s="1">
        <v>-1</v>
      </c>
      <c r="JP145" s="1">
        <v>0</v>
      </c>
      <c r="KD145"/>
      <c r="KE145"/>
      <c r="KF145"/>
      <c r="KG145"/>
      <c r="KH145"/>
      <c r="KI145"/>
      <c r="KJ145"/>
      <c r="KK145"/>
      <c r="KL145"/>
      <c r="KM145"/>
      <c r="KN145"/>
      <c r="LB145" s="1">
        <v>2665612896</v>
      </c>
      <c r="LC145" s="1">
        <v>9832</v>
      </c>
      <c r="LD145" s="1">
        <v>1000</v>
      </c>
      <c r="LE145" s="1">
        <v>66</v>
      </c>
      <c r="LF145" s="1">
        <v>2301.0300000000002</v>
      </c>
      <c r="LG145" s="1">
        <v>1</v>
      </c>
      <c r="LH145" s="1">
        <v>1</v>
      </c>
      <c r="LI145" s="1">
        <v>90</v>
      </c>
      <c r="LJ145" s="1">
        <v>60003136</v>
      </c>
      <c r="LK145" s="1">
        <v>10</v>
      </c>
      <c r="LL145" s="1">
        <v>0</v>
      </c>
      <c r="NV145"/>
      <c r="NW145"/>
      <c r="NX145"/>
      <c r="NY145"/>
      <c r="NZ145"/>
      <c r="OA145"/>
      <c r="OB145"/>
      <c r="OC145"/>
      <c r="OD145"/>
      <c r="OE145"/>
      <c r="OF145"/>
      <c r="OH145" s="1">
        <v>2832142194</v>
      </c>
      <c r="OI145" s="1">
        <v>25598</v>
      </c>
      <c r="OJ145" s="1">
        <v>21</v>
      </c>
      <c r="OK145" s="1">
        <v>16</v>
      </c>
      <c r="OL145" s="1">
        <v>148000</v>
      </c>
      <c r="OM145" s="1">
        <v>1</v>
      </c>
      <c r="ON145" s="1">
        <v>0</v>
      </c>
      <c r="OO145" s="1">
        <v>90</v>
      </c>
      <c r="OP145" s="1">
        <v>60010195</v>
      </c>
      <c r="OQ145" s="1">
        <v>32767</v>
      </c>
      <c r="OR145" s="1">
        <v>8</v>
      </c>
      <c r="OT145" s="1">
        <v>2874227826</v>
      </c>
      <c r="OU145" s="1">
        <v>25600</v>
      </c>
      <c r="OV145" s="1">
        <v>10000</v>
      </c>
      <c r="OW145" s="1">
        <v>9408</v>
      </c>
      <c r="OX145" s="1">
        <v>23054</v>
      </c>
      <c r="OY145" s="1">
        <v>1</v>
      </c>
      <c r="OZ145" s="1">
        <v>1</v>
      </c>
      <c r="PA145" s="1">
        <v>90</v>
      </c>
      <c r="PB145" s="1">
        <v>60013291</v>
      </c>
      <c r="PC145" s="1">
        <v>1</v>
      </c>
      <c r="PD145" s="1">
        <v>0</v>
      </c>
      <c r="SX145" s="1">
        <v>2750182712</v>
      </c>
      <c r="SY145" s="1">
        <v>25595</v>
      </c>
      <c r="SZ145" s="1">
        <v>13</v>
      </c>
      <c r="TA145" s="1">
        <v>13</v>
      </c>
      <c r="TB145" s="1">
        <v>95000</v>
      </c>
      <c r="TC145" s="1">
        <v>1</v>
      </c>
      <c r="TD145" s="1">
        <v>0</v>
      </c>
      <c r="TE145" s="1">
        <v>90</v>
      </c>
      <c r="TF145" s="1">
        <v>60003073</v>
      </c>
      <c r="TG145" s="1">
        <v>32767</v>
      </c>
      <c r="TH145" s="1">
        <v>0</v>
      </c>
    </row>
    <row r="146" spans="2:528" x14ac:dyDescent="0.25">
      <c r="B146" s="1">
        <v>2841942592</v>
      </c>
      <c r="C146" s="1">
        <v>34</v>
      </c>
      <c r="D146" s="1">
        <v>1244627</v>
      </c>
      <c r="E146" s="1">
        <v>1244627</v>
      </c>
      <c r="F146" s="1">
        <v>5.96</v>
      </c>
      <c r="G146" s="1">
        <v>1</v>
      </c>
      <c r="H146" s="1">
        <v>0</v>
      </c>
      <c r="I146" s="1">
        <v>30</v>
      </c>
      <c r="J146" s="1">
        <v>60003760</v>
      </c>
      <c r="K146" s="1">
        <v>32767</v>
      </c>
      <c r="L146" s="1">
        <v>0</v>
      </c>
      <c r="N146" s="1">
        <v>2878109912</v>
      </c>
      <c r="O146" s="1">
        <v>35</v>
      </c>
      <c r="P146" s="1">
        <v>66368</v>
      </c>
      <c r="Q146" s="1">
        <v>66368</v>
      </c>
      <c r="R146" s="1">
        <v>15.02</v>
      </c>
      <c r="S146" s="1">
        <v>1</v>
      </c>
      <c r="T146" s="1">
        <v>0</v>
      </c>
      <c r="U146" s="1">
        <v>14</v>
      </c>
      <c r="V146" s="1">
        <v>60003757</v>
      </c>
      <c r="W146" s="1">
        <v>32767</v>
      </c>
      <c r="X146" s="1">
        <v>0</v>
      </c>
      <c r="Z146" s="1">
        <v>2844869748</v>
      </c>
      <c r="AA146" s="1">
        <v>36</v>
      </c>
      <c r="AB146" s="1">
        <v>564014</v>
      </c>
      <c r="AC146" s="1">
        <v>564014</v>
      </c>
      <c r="AD146" s="16">
        <v>51.59</v>
      </c>
      <c r="AE146" s="1">
        <v>1</v>
      </c>
      <c r="AF146" s="1">
        <v>0</v>
      </c>
      <c r="AG146" s="1">
        <v>90</v>
      </c>
      <c r="AH146" s="1">
        <v>60003760</v>
      </c>
      <c r="AI146" s="1">
        <v>32767</v>
      </c>
      <c r="AJ146" s="1">
        <v>11</v>
      </c>
      <c r="AL146" s="1">
        <v>2878538620</v>
      </c>
      <c r="AM146" s="1">
        <v>37</v>
      </c>
      <c r="AN146" s="1">
        <v>206586</v>
      </c>
      <c r="AO146" s="1">
        <v>206586</v>
      </c>
      <c r="AP146" s="16">
        <v>148.4</v>
      </c>
      <c r="AQ146" s="1">
        <v>1</v>
      </c>
      <c r="AR146" s="1">
        <v>0</v>
      </c>
      <c r="AS146" s="1">
        <v>1</v>
      </c>
      <c r="AT146" s="1">
        <v>60003760</v>
      </c>
      <c r="AU146" s="1">
        <v>32767</v>
      </c>
      <c r="AV146" s="1">
        <v>9</v>
      </c>
      <c r="AX146" s="1">
        <v>2878273769</v>
      </c>
      <c r="AY146" s="1">
        <v>38</v>
      </c>
      <c r="AZ146" s="1">
        <v>400000</v>
      </c>
      <c r="BA146" s="1">
        <v>397505</v>
      </c>
      <c r="BB146" s="1">
        <v>744.58</v>
      </c>
      <c r="BC146" s="1">
        <v>1000</v>
      </c>
      <c r="BD146" s="1">
        <v>1</v>
      </c>
      <c r="BE146" s="1">
        <v>90</v>
      </c>
      <c r="BF146" s="1">
        <v>60006433</v>
      </c>
      <c r="BG146" s="1">
        <v>2</v>
      </c>
      <c r="BH146" s="1">
        <v>0</v>
      </c>
      <c r="BJ146" s="1">
        <v>2850010121</v>
      </c>
      <c r="BK146" s="1">
        <v>39</v>
      </c>
      <c r="BL146" s="1">
        <v>90000</v>
      </c>
      <c r="BM146" s="1">
        <v>9239</v>
      </c>
      <c r="BN146" s="1">
        <v>730</v>
      </c>
      <c r="BO146" s="1">
        <v>1</v>
      </c>
      <c r="BP146" s="1">
        <v>1</v>
      </c>
      <c r="BQ146" s="1">
        <v>30</v>
      </c>
      <c r="BR146" s="1">
        <v>60003760</v>
      </c>
      <c r="BS146" s="1">
        <v>32767</v>
      </c>
      <c r="BT146" s="1">
        <v>0</v>
      </c>
      <c r="BV146" s="1">
        <v>2413640207</v>
      </c>
      <c r="BW146" s="1">
        <v>40</v>
      </c>
      <c r="BX146" s="1">
        <v>100000</v>
      </c>
      <c r="BY146" s="1">
        <v>51776</v>
      </c>
      <c r="BZ146" s="1">
        <v>2573.7199999999998</v>
      </c>
      <c r="CA146" s="1">
        <v>1</v>
      </c>
      <c r="CB146" s="1">
        <v>1</v>
      </c>
      <c r="CC146" s="1">
        <v>30</v>
      </c>
      <c r="CD146" s="1">
        <v>60003760</v>
      </c>
      <c r="CE146" s="1">
        <v>-1</v>
      </c>
      <c r="CF146" s="1">
        <v>0</v>
      </c>
      <c r="CH146" s="1">
        <v>2415786752</v>
      </c>
      <c r="CI146" s="1">
        <v>29668</v>
      </c>
      <c r="CJ146" s="1">
        <v>4</v>
      </c>
      <c r="CK146" s="1">
        <v>4</v>
      </c>
      <c r="CL146" s="1">
        <v>494944150</v>
      </c>
      <c r="CM146" s="1">
        <v>1</v>
      </c>
      <c r="CN146" s="1">
        <v>0</v>
      </c>
      <c r="CO146" s="1">
        <v>90</v>
      </c>
      <c r="CP146" s="1">
        <v>60003760</v>
      </c>
      <c r="CQ146" s="1">
        <v>32767</v>
      </c>
      <c r="CR146" s="1">
        <v>0</v>
      </c>
      <c r="CT146"/>
      <c r="CU146"/>
      <c r="CV146"/>
      <c r="CW146"/>
      <c r="CX146"/>
      <c r="CY146"/>
      <c r="CZ146"/>
      <c r="DA146"/>
      <c r="DB146"/>
      <c r="DC146"/>
      <c r="DD146"/>
      <c r="DF146" s="1">
        <v>2395517971</v>
      </c>
      <c r="DG146" s="1">
        <v>17887</v>
      </c>
      <c r="DH146" s="1">
        <v>250000</v>
      </c>
      <c r="DI146" s="1">
        <v>250000</v>
      </c>
      <c r="DJ146" s="1">
        <v>855.22</v>
      </c>
      <c r="DK146" s="1">
        <v>1</v>
      </c>
      <c r="DL146" s="1">
        <v>1</v>
      </c>
      <c r="DM146" s="1">
        <v>90</v>
      </c>
      <c r="DN146" s="1">
        <v>60003760</v>
      </c>
      <c r="DO146" s="1">
        <v>-1</v>
      </c>
      <c r="DP146" s="1">
        <v>0</v>
      </c>
      <c r="DR146" s="1">
        <v>2858689343</v>
      </c>
      <c r="DS146" s="1">
        <v>17888</v>
      </c>
      <c r="DT146" s="1">
        <v>10941</v>
      </c>
      <c r="DU146" s="1">
        <v>10941</v>
      </c>
      <c r="DV146" s="1">
        <v>344</v>
      </c>
      <c r="DW146" s="1">
        <v>1</v>
      </c>
      <c r="DX146" s="1">
        <v>0</v>
      </c>
      <c r="DY146" s="1">
        <v>90</v>
      </c>
      <c r="DZ146" s="1">
        <v>60001639</v>
      </c>
      <c r="EA146" s="1">
        <v>32767</v>
      </c>
      <c r="EB146" s="1">
        <v>9</v>
      </c>
      <c r="ED146" s="1">
        <v>2878848707</v>
      </c>
      <c r="EE146" s="1">
        <v>16273</v>
      </c>
      <c r="EF146" s="1">
        <v>473</v>
      </c>
      <c r="EG146" s="1">
        <v>73</v>
      </c>
      <c r="EH146" s="1">
        <v>369.79</v>
      </c>
      <c r="EI146" s="1">
        <v>1</v>
      </c>
      <c r="EJ146" s="1">
        <v>0</v>
      </c>
      <c r="EK146" s="1">
        <v>1</v>
      </c>
      <c r="EL146" s="1">
        <v>60003760</v>
      </c>
      <c r="EM146" s="1">
        <v>32767</v>
      </c>
      <c r="EN146" s="1">
        <v>6</v>
      </c>
      <c r="FZ146"/>
      <c r="GA146"/>
      <c r="GB146"/>
      <c r="GC146"/>
      <c r="GD146"/>
      <c r="GE146"/>
      <c r="GF146"/>
      <c r="GG146"/>
      <c r="GH146"/>
      <c r="GI146"/>
      <c r="GJ146"/>
      <c r="JF146" s="1">
        <v>2869662306</v>
      </c>
      <c r="JG146" s="1">
        <v>16272</v>
      </c>
      <c r="JH146" s="1">
        <v>15318959</v>
      </c>
      <c r="JI146" s="1">
        <v>647581</v>
      </c>
      <c r="JJ146" s="1">
        <v>69.56</v>
      </c>
      <c r="JK146" s="1">
        <v>1</v>
      </c>
      <c r="JL146" s="1">
        <v>1</v>
      </c>
      <c r="JM146" s="1">
        <v>90</v>
      </c>
      <c r="JN146" s="1">
        <v>60003760</v>
      </c>
      <c r="JO146" s="1">
        <v>-1</v>
      </c>
      <c r="JP146" s="1">
        <v>0</v>
      </c>
      <c r="KD146"/>
      <c r="KE146"/>
      <c r="KF146"/>
      <c r="KG146"/>
      <c r="KH146"/>
      <c r="KI146"/>
      <c r="KJ146"/>
      <c r="KK146"/>
      <c r="KL146"/>
      <c r="KM146"/>
      <c r="KN146"/>
      <c r="LB146" s="1">
        <v>2842517523</v>
      </c>
      <c r="LC146" s="1">
        <v>9832</v>
      </c>
      <c r="LD146" s="1">
        <v>1000</v>
      </c>
      <c r="LE146" s="1">
        <v>1000</v>
      </c>
      <c r="LF146" s="1">
        <v>7110</v>
      </c>
      <c r="LG146" s="1">
        <v>50</v>
      </c>
      <c r="LH146" s="1">
        <v>1</v>
      </c>
      <c r="LI146" s="1">
        <v>30</v>
      </c>
      <c r="LJ146" s="1">
        <v>60004210</v>
      </c>
      <c r="LK146" s="1">
        <v>3</v>
      </c>
      <c r="LL146" s="1">
        <v>0</v>
      </c>
      <c r="NV146"/>
      <c r="NW146"/>
      <c r="NX146"/>
      <c r="NY146"/>
      <c r="NZ146"/>
      <c r="OA146"/>
      <c r="OB146"/>
      <c r="OC146"/>
      <c r="OD146"/>
      <c r="OE146"/>
      <c r="OF146"/>
      <c r="OH146" s="1">
        <v>2838244693</v>
      </c>
      <c r="OI146" s="1">
        <v>25598</v>
      </c>
      <c r="OJ146" s="1">
        <v>123</v>
      </c>
      <c r="OK146" s="1">
        <v>123</v>
      </c>
      <c r="OL146" s="1">
        <v>139980</v>
      </c>
      <c r="OM146" s="1">
        <v>1</v>
      </c>
      <c r="ON146" s="1">
        <v>0</v>
      </c>
      <c r="OO146" s="1">
        <v>90</v>
      </c>
      <c r="OP146" s="1">
        <v>60003049</v>
      </c>
      <c r="OQ146" s="1">
        <v>32767</v>
      </c>
      <c r="OR146" s="1">
        <v>9</v>
      </c>
      <c r="OT146" s="1">
        <v>1938675419</v>
      </c>
      <c r="OU146" s="1">
        <v>25600</v>
      </c>
      <c r="OV146" s="1">
        <v>5000</v>
      </c>
      <c r="OW146" s="1">
        <v>1535</v>
      </c>
      <c r="OX146" s="1">
        <v>19807.09</v>
      </c>
      <c r="OY146" s="1">
        <v>1</v>
      </c>
      <c r="OZ146" s="1">
        <v>1</v>
      </c>
      <c r="PA146" s="1">
        <v>30</v>
      </c>
      <c r="PB146" s="1">
        <v>60001795</v>
      </c>
      <c r="PC146" s="1">
        <v>0</v>
      </c>
      <c r="PD146" s="1">
        <v>0</v>
      </c>
      <c r="SX146" s="1">
        <v>2872045264</v>
      </c>
      <c r="SY146" s="1">
        <v>25595</v>
      </c>
      <c r="SZ146" s="1">
        <v>245</v>
      </c>
      <c r="TA146" s="1">
        <v>164</v>
      </c>
      <c r="TB146" s="1">
        <v>82000</v>
      </c>
      <c r="TC146" s="1">
        <v>1</v>
      </c>
      <c r="TD146" s="1">
        <v>0</v>
      </c>
      <c r="TE146" s="1">
        <v>90</v>
      </c>
      <c r="TF146" s="1">
        <v>60012667</v>
      </c>
      <c r="TG146" s="1">
        <v>32767</v>
      </c>
      <c r="TH146" s="1">
        <v>0</v>
      </c>
    </row>
    <row r="147" spans="2:528" x14ac:dyDescent="0.25">
      <c r="B147" s="1">
        <v>2841996618</v>
      </c>
      <c r="C147" s="1">
        <v>34</v>
      </c>
      <c r="D147" s="1">
        <v>2150108</v>
      </c>
      <c r="E147" s="1">
        <v>2150108</v>
      </c>
      <c r="F147" s="1">
        <v>5.96</v>
      </c>
      <c r="G147" s="1">
        <v>1</v>
      </c>
      <c r="H147" s="1">
        <v>0</v>
      </c>
      <c r="I147" s="1">
        <v>30</v>
      </c>
      <c r="J147" s="1">
        <v>60003760</v>
      </c>
      <c r="K147" s="1">
        <v>32767</v>
      </c>
      <c r="L147" s="1">
        <v>0</v>
      </c>
      <c r="N147" s="1">
        <v>2878125276</v>
      </c>
      <c r="O147" s="1">
        <v>35</v>
      </c>
      <c r="P147" s="1">
        <v>2615726</v>
      </c>
      <c r="Q147" s="1">
        <v>2615726</v>
      </c>
      <c r="R147" s="1">
        <v>15.09</v>
      </c>
      <c r="S147" s="1">
        <v>1</v>
      </c>
      <c r="T147" s="1">
        <v>0</v>
      </c>
      <c r="U147" s="1">
        <v>7</v>
      </c>
      <c r="V147" s="1">
        <v>60003760</v>
      </c>
      <c r="W147" s="1">
        <v>32767</v>
      </c>
      <c r="X147" s="1">
        <v>0</v>
      </c>
      <c r="Z147" s="1">
        <v>2852325593</v>
      </c>
      <c r="AA147" s="1">
        <v>36</v>
      </c>
      <c r="AB147" s="1">
        <v>868605</v>
      </c>
      <c r="AC147" s="1">
        <v>868605</v>
      </c>
      <c r="AD147" s="16">
        <v>52</v>
      </c>
      <c r="AE147" s="1">
        <v>1</v>
      </c>
      <c r="AF147" s="1">
        <v>0</v>
      </c>
      <c r="AG147" s="1">
        <v>90</v>
      </c>
      <c r="AH147" s="1">
        <v>60003760</v>
      </c>
      <c r="AI147" s="1">
        <v>32767</v>
      </c>
      <c r="AJ147" s="1">
        <v>11</v>
      </c>
      <c r="AL147" s="1">
        <v>2878581026</v>
      </c>
      <c r="AM147" s="1">
        <v>37</v>
      </c>
      <c r="AN147" s="1">
        <v>55296</v>
      </c>
      <c r="AO147" s="1">
        <v>55296</v>
      </c>
      <c r="AP147" s="16">
        <v>146.9</v>
      </c>
      <c r="AQ147" s="1">
        <v>1</v>
      </c>
      <c r="AR147" s="1">
        <v>0</v>
      </c>
      <c r="AS147" s="1">
        <v>1</v>
      </c>
      <c r="AT147" s="1">
        <v>60003760</v>
      </c>
      <c r="AU147" s="1">
        <v>32767</v>
      </c>
      <c r="AV147" s="1">
        <v>9</v>
      </c>
      <c r="AX147" s="1">
        <v>2647139787</v>
      </c>
      <c r="AY147" s="1">
        <v>38</v>
      </c>
      <c r="AZ147" s="1">
        <v>2000000</v>
      </c>
      <c r="BA147" s="1">
        <v>1626150</v>
      </c>
      <c r="BB147" s="1">
        <v>325.42</v>
      </c>
      <c r="BC147" s="1">
        <v>1</v>
      </c>
      <c r="BD147" s="1">
        <v>1</v>
      </c>
      <c r="BE147" s="1">
        <v>90</v>
      </c>
      <c r="BF147" s="1">
        <v>60003007</v>
      </c>
      <c r="BG147" s="1">
        <v>20</v>
      </c>
      <c r="BH147" s="1">
        <v>0</v>
      </c>
      <c r="BJ147" s="1">
        <v>2855000160</v>
      </c>
      <c r="BK147" s="1">
        <v>39</v>
      </c>
      <c r="BL147" s="1">
        <v>150000</v>
      </c>
      <c r="BM147" s="1">
        <v>150000</v>
      </c>
      <c r="BN147" s="1">
        <v>700</v>
      </c>
      <c r="BO147" s="1">
        <v>1</v>
      </c>
      <c r="BP147" s="1">
        <v>1</v>
      </c>
      <c r="BQ147" s="1">
        <v>90</v>
      </c>
      <c r="BR147" s="1">
        <v>60003760</v>
      </c>
      <c r="BS147" s="1">
        <v>-1</v>
      </c>
      <c r="BT147" s="1">
        <v>0</v>
      </c>
      <c r="BV147" s="1">
        <v>2413688022</v>
      </c>
      <c r="BW147" s="1">
        <v>40</v>
      </c>
      <c r="BX147" s="1">
        <v>1000</v>
      </c>
      <c r="BY147" s="1">
        <v>1000</v>
      </c>
      <c r="BZ147" s="1">
        <v>2573.7399999999998</v>
      </c>
      <c r="CA147" s="1">
        <v>1</v>
      </c>
      <c r="CB147" s="1">
        <v>1</v>
      </c>
      <c r="CC147" s="1">
        <v>90</v>
      </c>
      <c r="CD147" s="1">
        <v>60003760</v>
      </c>
      <c r="CE147" s="1">
        <v>-1</v>
      </c>
      <c r="CF147" s="1">
        <v>0</v>
      </c>
      <c r="CH147" s="1">
        <v>2415809914</v>
      </c>
      <c r="CI147" s="1">
        <v>29668</v>
      </c>
      <c r="CJ147" s="1">
        <v>2</v>
      </c>
      <c r="CK147" s="1">
        <v>2</v>
      </c>
      <c r="CL147" s="1">
        <v>493199950</v>
      </c>
      <c r="CM147" s="1">
        <v>1</v>
      </c>
      <c r="CN147" s="1">
        <v>0</v>
      </c>
      <c r="CO147" s="1">
        <v>90</v>
      </c>
      <c r="CP147" s="1">
        <v>60003760</v>
      </c>
      <c r="CQ147" s="1">
        <v>32767</v>
      </c>
      <c r="CR147" s="1">
        <v>0</v>
      </c>
      <c r="CT147"/>
      <c r="CU147"/>
      <c r="CV147"/>
      <c r="CW147"/>
      <c r="CX147"/>
      <c r="CY147"/>
      <c r="CZ147"/>
      <c r="DA147"/>
      <c r="DB147"/>
      <c r="DC147"/>
      <c r="DD147"/>
      <c r="DF147" s="1">
        <v>2390788402</v>
      </c>
      <c r="DG147" s="1">
        <v>17887</v>
      </c>
      <c r="DH147" s="1">
        <v>500000</v>
      </c>
      <c r="DI147" s="1">
        <v>500000</v>
      </c>
      <c r="DJ147" s="1">
        <v>824.09</v>
      </c>
      <c r="DK147" s="1">
        <v>1</v>
      </c>
      <c r="DL147" s="1">
        <v>1</v>
      </c>
      <c r="DM147" s="1">
        <v>90</v>
      </c>
      <c r="DN147" s="1">
        <v>60003760</v>
      </c>
      <c r="DO147" s="1">
        <v>-1</v>
      </c>
      <c r="DP147" s="1">
        <v>0</v>
      </c>
      <c r="DR147" s="1">
        <v>2858689520</v>
      </c>
      <c r="DS147" s="1">
        <v>17888</v>
      </c>
      <c r="DT147" s="1">
        <v>46452</v>
      </c>
      <c r="DU147" s="1">
        <v>46452</v>
      </c>
      <c r="DV147" s="1">
        <v>344</v>
      </c>
      <c r="DW147" s="1">
        <v>1</v>
      </c>
      <c r="DX147" s="1">
        <v>0</v>
      </c>
      <c r="DY147" s="1">
        <v>90</v>
      </c>
      <c r="DZ147" s="1">
        <v>60004051</v>
      </c>
      <c r="EA147" s="1">
        <v>32767</v>
      </c>
      <c r="EB147" s="1">
        <v>9</v>
      </c>
      <c r="ED147" s="1">
        <v>2878478986</v>
      </c>
      <c r="EE147" s="1">
        <v>16273</v>
      </c>
      <c r="EF147" s="1">
        <v>5069244</v>
      </c>
      <c r="EG147" s="1">
        <v>3493465</v>
      </c>
      <c r="EH147" s="1">
        <v>369.72</v>
      </c>
      <c r="EI147" s="1">
        <v>1</v>
      </c>
      <c r="EJ147" s="1">
        <v>0</v>
      </c>
      <c r="EK147" s="1">
        <v>90</v>
      </c>
      <c r="EL147" s="1">
        <v>60003760</v>
      </c>
      <c r="EM147" s="1">
        <v>32767</v>
      </c>
      <c r="EN147" s="1">
        <v>6</v>
      </c>
      <c r="FZ147"/>
      <c r="GA147"/>
      <c r="GB147"/>
      <c r="GC147"/>
      <c r="GD147"/>
      <c r="GE147"/>
      <c r="GF147"/>
      <c r="GG147"/>
      <c r="GH147"/>
      <c r="GI147"/>
      <c r="GJ147"/>
      <c r="JF147" s="1">
        <v>2878803845</v>
      </c>
      <c r="JG147" s="1">
        <v>16272</v>
      </c>
      <c r="JH147" s="1">
        <v>3600000</v>
      </c>
      <c r="JI147" s="1">
        <v>3600000</v>
      </c>
      <c r="JJ147" s="1">
        <v>71.73</v>
      </c>
      <c r="JK147" s="1">
        <v>1</v>
      </c>
      <c r="JL147" s="1">
        <v>1</v>
      </c>
      <c r="JM147" s="1">
        <v>90</v>
      </c>
      <c r="JN147" s="1">
        <v>60003760</v>
      </c>
      <c r="JO147" s="1">
        <v>-1</v>
      </c>
      <c r="JP147" s="1">
        <v>0</v>
      </c>
      <c r="KD147"/>
      <c r="KE147"/>
      <c r="KF147"/>
      <c r="KG147"/>
      <c r="KH147"/>
      <c r="KI147"/>
      <c r="KJ147"/>
      <c r="KK147"/>
      <c r="KL147"/>
      <c r="KM147"/>
      <c r="KN147"/>
      <c r="LB147" s="1">
        <v>2854885441</v>
      </c>
      <c r="LC147" s="1">
        <v>9832</v>
      </c>
      <c r="LD147" s="1">
        <v>9205</v>
      </c>
      <c r="LE147" s="1">
        <v>2234</v>
      </c>
      <c r="LF147" s="1">
        <v>9200</v>
      </c>
      <c r="LG147" s="1">
        <v>1</v>
      </c>
      <c r="LH147" s="1">
        <v>1</v>
      </c>
      <c r="LI147" s="1">
        <v>30</v>
      </c>
      <c r="LJ147" s="1">
        <v>60010195</v>
      </c>
      <c r="LK147" s="1">
        <v>1</v>
      </c>
      <c r="LL147" s="1">
        <v>0</v>
      </c>
      <c r="NV147"/>
      <c r="NW147"/>
      <c r="NX147"/>
      <c r="NY147"/>
      <c r="NZ147"/>
      <c r="OA147"/>
      <c r="OB147"/>
      <c r="OC147"/>
      <c r="OD147"/>
      <c r="OE147"/>
      <c r="OF147"/>
      <c r="OH147" s="1">
        <v>2813205913</v>
      </c>
      <c r="OI147" s="1">
        <v>25598</v>
      </c>
      <c r="OJ147" s="1">
        <v>61</v>
      </c>
      <c r="OK147" s="1">
        <v>45</v>
      </c>
      <c r="OL147" s="1">
        <v>139980</v>
      </c>
      <c r="OM147" s="1">
        <v>1</v>
      </c>
      <c r="ON147" s="1">
        <v>0</v>
      </c>
      <c r="OO147" s="1">
        <v>90</v>
      </c>
      <c r="OP147" s="1">
        <v>60001801</v>
      </c>
      <c r="OQ147" s="1">
        <v>32767</v>
      </c>
      <c r="OR147" s="1">
        <v>10</v>
      </c>
      <c r="OT147" s="1">
        <v>2875096368</v>
      </c>
      <c r="OU147" s="1">
        <v>25600</v>
      </c>
      <c r="OV147" s="1">
        <v>3000</v>
      </c>
      <c r="OW147" s="1">
        <v>2181</v>
      </c>
      <c r="OX147" s="1">
        <v>24006</v>
      </c>
      <c r="OY147" s="1">
        <v>1</v>
      </c>
      <c r="OZ147" s="1">
        <v>1</v>
      </c>
      <c r="PA147" s="1">
        <v>90</v>
      </c>
      <c r="PB147" s="1">
        <v>60015027</v>
      </c>
      <c r="PC147" s="1">
        <v>3</v>
      </c>
      <c r="PD147" s="1">
        <v>0</v>
      </c>
      <c r="SX147" s="1">
        <v>2773831113</v>
      </c>
      <c r="SY147" s="1">
        <v>25595</v>
      </c>
      <c r="SZ147" s="1">
        <v>40</v>
      </c>
      <c r="TA147" s="1">
        <v>30</v>
      </c>
      <c r="TB147" s="1">
        <v>95000</v>
      </c>
      <c r="TC147" s="1">
        <v>1</v>
      </c>
      <c r="TD147" s="1">
        <v>0</v>
      </c>
      <c r="TE147" s="1">
        <v>90</v>
      </c>
      <c r="TF147" s="1">
        <v>60004444</v>
      </c>
      <c r="TG147" s="1">
        <v>32767</v>
      </c>
      <c r="TH147" s="1">
        <v>1</v>
      </c>
    </row>
    <row r="148" spans="2:528" x14ac:dyDescent="0.25">
      <c r="B148" s="1">
        <v>2842220386</v>
      </c>
      <c r="C148" s="1">
        <v>34</v>
      </c>
      <c r="D148" s="1">
        <v>10000000</v>
      </c>
      <c r="E148" s="1">
        <v>10000000</v>
      </c>
      <c r="F148" s="1">
        <v>5.95</v>
      </c>
      <c r="G148" s="1">
        <v>1</v>
      </c>
      <c r="H148" s="1">
        <v>0</v>
      </c>
      <c r="I148" s="1">
        <v>90</v>
      </c>
      <c r="J148" s="1">
        <v>60003760</v>
      </c>
      <c r="K148" s="1">
        <v>32767</v>
      </c>
      <c r="L148" s="1">
        <v>0</v>
      </c>
      <c r="N148" s="1">
        <v>2876377585</v>
      </c>
      <c r="O148" s="1">
        <v>35</v>
      </c>
      <c r="P148" s="1">
        <v>716608</v>
      </c>
      <c r="Q148" s="1">
        <v>359473</v>
      </c>
      <c r="R148" s="1">
        <v>15.05</v>
      </c>
      <c r="S148" s="1">
        <v>1</v>
      </c>
      <c r="T148" s="1">
        <v>0</v>
      </c>
      <c r="U148" s="1">
        <v>3</v>
      </c>
      <c r="V148" s="1">
        <v>60000364</v>
      </c>
      <c r="W148" s="1">
        <v>32767</v>
      </c>
      <c r="X148" s="1">
        <v>0</v>
      </c>
      <c r="Z148" s="1">
        <v>2852418999</v>
      </c>
      <c r="AA148" s="1">
        <v>36</v>
      </c>
      <c r="AB148" s="1">
        <v>1078179</v>
      </c>
      <c r="AC148" s="1">
        <v>1078179</v>
      </c>
      <c r="AD148" s="16">
        <v>55</v>
      </c>
      <c r="AE148" s="1">
        <v>1</v>
      </c>
      <c r="AF148" s="1">
        <v>0</v>
      </c>
      <c r="AG148" s="1">
        <v>90</v>
      </c>
      <c r="AH148" s="1">
        <v>60003760</v>
      </c>
      <c r="AI148" s="1">
        <v>32767</v>
      </c>
      <c r="AJ148" s="1">
        <v>11</v>
      </c>
      <c r="AL148" s="1">
        <v>2878589888</v>
      </c>
      <c r="AM148" s="1">
        <v>37</v>
      </c>
      <c r="AN148" s="1">
        <v>1462</v>
      </c>
      <c r="AO148" s="1">
        <v>1462</v>
      </c>
      <c r="AP148" s="16">
        <v>145.69</v>
      </c>
      <c r="AQ148" s="1">
        <v>1</v>
      </c>
      <c r="AR148" s="1">
        <v>0</v>
      </c>
      <c r="AS148" s="1">
        <v>7</v>
      </c>
      <c r="AT148" s="1">
        <v>60002956</v>
      </c>
      <c r="AU148" s="1">
        <v>32767</v>
      </c>
      <c r="AV148" s="1">
        <v>10</v>
      </c>
      <c r="AX148" s="1">
        <v>2814403685</v>
      </c>
      <c r="AY148" s="1">
        <v>38</v>
      </c>
      <c r="AZ148" s="1">
        <v>3500000</v>
      </c>
      <c r="BA148" s="1">
        <v>1535828</v>
      </c>
      <c r="BB148" s="1">
        <v>728.63</v>
      </c>
      <c r="BC148" s="1">
        <v>1</v>
      </c>
      <c r="BD148" s="1">
        <v>1</v>
      </c>
      <c r="BE148" s="1">
        <v>90</v>
      </c>
      <c r="BF148" s="1">
        <v>60003337</v>
      </c>
      <c r="BG148" s="1">
        <v>10</v>
      </c>
      <c r="BH148" s="1">
        <v>0</v>
      </c>
      <c r="BJ148" s="1">
        <v>2546408345</v>
      </c>
      <c r="BK148" s="1">
        <v>39</v>
      </c>
      <c r="BL148" s="1">
        <v>2000000</v>
      </c>
      <c r="BM148" s="1">
        <v>2000000</v>
      </c>
      <c r="BN148" s="1">
        <v>520.08000000000004</v>
      </c>
      <c r="BO148" s="1">
        <v>1</v>
      </c>
      <c r="BP148" s="1">
        <v>1</v>
      </c>
      <c r="BQ148" s="1">
        <v>90</v>
      </c>
      <c r="BR148" s="1">
        <v>60003760</v>
      </c>
      <c r="BS148" s="1">
        <v>-1</v>
      </c>
      <c r="BT148" s="1">
        <v>0</v>
      </c>
      <c r="BV148" s="1">
        <v>2413407411</v>
      </c>
      <c r="BW148" s="1">
        <v>40</v>
      </c>
      <c r="BX148" s="1">
        <v>400000</v>
      </c>
      <c r="BY148" s="1">
        <v>400000</v>
      </c>
      <c r="BZ148" s="1">
        <v>2512</v>
      </c>
      <c r="CA148" s="1">
        <v>1</v>
      </c>
      <c r="CB148" s="1">
        <v>1</v>
      </c>
      <c r="CC148" s="1">
        <v>90</v>
      </c>
      <c r="CD148" s="1">
        <v>60003760</v>
      </c>
      <c r="CE148" s="1">
        <v>-1</v>
      </c>
      <c r="CF148" s="1">
        <v>0</v>
      </c>
      <c r="CH148" s="1">
        <v>2415814502</v>
      </c>
      <c r="CI148" s="1">
        <v>29668</v>
      </c>
      <c r="CJ148" s="1">
        <v>3</v>
      </c>
      <c r="CK148" s="1">
        <v>3</v>
      </c>
      <c r="CL148" s="1">
        <v>493199950</v>
      </c>
      <c r="CM148" s="1">
        <v>1</v>
      </c>
      <c r="CN148" s="1">
        <v>0</v>
      </c>
      <c r="CO148" s="1">
        <v>90</v>
      </c>
      <c r="CP148" s="1">
        <v>60003760</v>
      </c>
      <c r="CQ148" s="1">
        <v>32767</v>
      </c>
      <c r="CR148" s="1">
        <v>0</v>
      </c>
      <c r="CT148"/>
      <c r="CU148"/>
      <c r="CV148"/>
      <c r="CW148"/>
      <c r="CX148"/>
      <c r="CY148"/>
      <c r="CZ148"/>
      <c r="DA148"/>
      <c r="DB148"/>
      <c r="DC148"/>
      <c r="DD148"/>
      <c r="DF148" s="1">
        <v>2328190166</v>
      </c>
      <c r="DG148" s="1">
        <v>17887</v>
      </c>
      <c r="DH148" s="1">
        <v>1000000</v>
      </c>
      <c r="DI148" s="1">
        <v>1000000</v>
      </c>
      <c r="DJ148" s="1">
        <v>700.03</v>
      </c>
      <c r="DK148" s="1">
        <v>1</v>
      </c>
      <c r="DL148" s="1">
        <v>1</v>
      </c>
      <c r="DM148" s="1">
        <v>90</v>
      </c>
      <c r="DN148" s="1">
        <v>60003760</v>
      </c>
      <c r="DO148" s="1">
        <v>-1</v>
      </c>
      <c r="DP148" s="1">
        <v>0</v>
      </c>
      <c r="DR148" s="1">
        <v>2751274146</v>
      </c>
      <c r="DS148" s="1">
        <v>17888</v>
      </c>
      <c r="DT148" s="1">
        <v>9690</v>
      </c>
      <c r="DU148" s="1">
        <v>90</v>
      </c>
      <c r="DV148" s="1">
        <v>444</v>
      </c>
      <c r="DW148" s="1">
        <v>1</v>
      </c>
      <c r="DX148" s="1">
        <v>0</v>
      </c>
      <c r="DY148" s="1">
        <v>90</v>
      </c>
      <c r="DZ148" s="1">
        <v>60001639</v>
      </c>
      <c r="EA148" s="1">
        <v>32767</v>
      </c>
      <c r="EB148" s="1">
        <v>9</v>
      </c>
      <c r="ED148" s="1">
        <v>2878985645</v>
      </c>
      <c r="EE148" s="1">
        <v>16273</v>
      </c>
      <c r="EF148" s="1">
        <v>621</v>
      </c>
      <c r="EG148" s="1">
        <v>21</v>
      </c>
      <c r="EH148" s="1">
        <v>369</v>
      </c>
      <c r="EI148" s="1">
        <v>1</v>
      </c>
      <c r="EJ148" s="1">
        <v>0</v>
      </c>
      <c r="EK148" s="1">
        <v>3</v>
      </c>
      <c r="EL148" s="1">
        <v>60003073</v>
      </c>
      <c r="EM148" s="1">
        <v>32767</v>
      </c>
      <c r="EN148" s="1">
        <v>0</v>
      </c>
      <c r="FZ148"/>
      <c r="GA148"/>
      <c r="GB148"/>
      <c r="GC148"/>
      <c r="GD148"/>
      <c r="GE148"/>
      <c r="GF148"/>
      <c r="GG148"/>
      <c r="GH148"/>
      <c r="GI148"/>
      <c r="GJ148"/>
      <c r="JF148" s="1">
        <v>2878918984</v>
      </c>
      <c r="JG148" s="1">
        <v>16272</v>
      </c>
      <c r="JH148" s="1">
        <v>750000</v>
      </c>
      <c r="JI148" s="1">
        <v>750000</v>
      </c>
      <c r="JJ148" s="1">
        <v>71.819999999999993</v>
      </c>
      <c r="JK148" s="1">
        <v>1</v>
      </c>
      <c r="JL148" s="1">
        <v>1</v>
      </c>
      <c r="JM148" s="1">
        <v>7</v>
      </c>
      <c r="JN148" s="1">
        <v>60003760</v>
      </c>
      <c r="JO148" s="1">
        <v>-1</v>
      </c>
      <c r="JP148" s="1">
        <v>0</v>
      </c>
      <c r="KD148"/>
      <c r="KE148"/>
      <c r="KF148"/>
      <c r="KG148"/>
      <c r="KH148"/>
      <c r="KI148"/>
      <c r="KJ148"/>
      <c r="KK148"/>
      <c r="KL148"/>
      <c r="KM148"/>
      <c r="KN148"/>
      <c r="LB148" s="1">
        <v>2814713717</v>
      </c>
      <c r="LC148" s="1">
        <v>9832</v>
      </c>
      <c r="LD148" s="1">
        <v>1000</v>
      </c>
      <c r="LE148" s="1">
        <v>1000</v>
      </c>
      <c r="LF148" s="1">
        <v>2300</v>
      </c>
      <c r="LG148" s="1">
        <v>1</v>
      </c>
      <c r="LH148" s="1">
        <v>1</v>
      </c>
      <c r="LI148" s="1">
        <v>90</v>
      </c>
      <c r="LJ148" s="1">
        <v>60002284</v>
      </c>
      <c r="LK148" s="1">
        <v>1</v>
      </c>
      <c r="LL148" s="1">
        <v>0</v>
      </c>
      <c r="NV148"/>
      <c r="NW148"/>
      <c r="NX148"/>
      <c r="NY148"/>
      <c r="NZ148"/>
      <c r="OA148"/>
      <c r="OB148"/>
      <c r="OC148"/>
      <c r="OD148"/>
      <c r="OE148"/>
      <c r="OF148"/>
      <c r="OH148" s="1">
        <v>2813206050</v>
      </c>
      <c r="OI148" s="1">
        <v>25598</v>
      </c>
      <c r="OJ148" s="1">
        <v>49</v>
      </c>
      <c r="OK148" s="1">
        <v>49</v>
      </c>
      <c r="OL148" s="1">
        <v>139980</v>
      </c>
      <c r="OM148" s="1">
        <v>1</v>
      </c>
      <c r="ON148" s="1">
        <v>0</v>
      </c>
      <c r="OO148" s="1">
        <v>90</v>
      </c>
      <c r="OP148" s="1">
        <v>60001804</v>
      </c>
      <c r="OQ148" s="1">
        <v>32767</v>
      </c>
      <c r="OR148" s="1">
        <v>10</v>
      </c>
      <c r="OT148" s="1">
        <v>2878380662</v>
      </c>
      <c r="OU148" s="1">
        <v>25600</v>
      </c>
      <c r="OV148" s="1">
        <v>100</v>
      </c>
      <c r="OW148" s="1">
        <v>100</v>
      </c>
      <c r="OX148" s="1">
        <v>20000</v>
      </c>
      <c r="OY148" s="1">
        <v>1</v>
      </c>
      <c r="OZ148" s="1">
        <v>1</v>
      </c>
      <c r="PA148" s="1">
        <v>30</v>
      </c>
      <c r="PB148" s="1">
        <v>60004366</v>
      </c>
      <c r="PC148" s="1">
        <v>0</v>
      </c>
      <c r="PD148" s="1">
        <v>0</v>
      </c>
      <c r="SX148" s="1">
        <v>2816218175</v>
      </c>
      <c r="SY148" s="1">
        <v>25595</v>
      </c>
      <c r="SZ148" s="1">
        <v>292</v>
      </c>
      <c r="TA148" s="1">
        <v>4</v>
      </c>
      <c r="TB148" s="1">
        <v>92000</v>
      </c>
      <c r="TC148" s="1">
        <v>1</v>
      </c>
      <c r="TD148" s="1">
        <v>0</v>
      </c>
      <c r="TE148" s="1">
        <v>90</v>
      </c>
      <c r="TF148" s="1">
        <v>60012673</v>
      </c>
      <c r="TG148" s="1">
        <v>32767</v>
      </c>
      <c r="TH148" s="1">
        <v>2</v>
      </c>
    </row>
    <row r="149" spans="2:528" x14ac:dyDescent="0.25">
      <c r="B149" s="1">
        <v>2842945156</v>
      </c>
      <c r="C149" s="1">
        <v>34</v>
      </c>
      <c r="D149" s="1">
        <v>148726</v>
      </c>
      <c r="E149" s="1">
        <v>148726</v>
      </c>
      <c r="F149" s="1">
        <v>7.83</v>
      </c>
      <c r="G149" s="1">
        <v>1</v>
      </c>
      <c r="H149" s="1">
        <v>0</v>
      </c>
      <c r="I149" s="1">
        <v>30</v>
      </c>
      <c r="J149" s="1">
        <v>60003760</v>
      </c>
      <c r="K149" s="1">
        <v>32767</v>
      </c>
      <c r="L149" s="1">
        <v>0</v>
      </c>
      <c r="N149" s="1">
        <v>2876226537</v>
      </c>
      <c r="O149" s="1">
        <v>35</v>
      </c>
      <c r="P149" s="1">
        <v>251830</v>
      </c>
      <c r="Q149" s="1">
        <v>251830</v>
      </c>
      <c r="R149" s="1">
        <v>16</v>
      </c>
      <c r="S149" s="1">
        <v>1</v>
      </c>
      <c r="T149" s="1">
        <v>0</v>
      </c>
      <c r="U149" s="1">
        <v>30</v>
      </c>
      <c r="V149" s="1">
        <v>60003760</v>
      </c>
      <c r="W149" s="1">
        <v>32767</v>
      </c>
      <c r="X149" s="1">
        <v>0</v>
      </c>
      <c r="Z149" s="1">
        <v>2851245044</v>
      </c>
      <c r="AA149" s="1">
        <v>36</v>
      </c>
      <c r="AB149" s="1">
        <v>5000000</v>
      </c>
      <c r="AC149" s="1">
        <v>5000000</v>
      </c>
      <c r="AD149" s="16">
        <v>51.2</v>
      </c>
      <c r="AE149" s="1">
        <v>1</v>
      </c>
      <c r="AF149" s="1">
        <v>0</v>
      </c>
      <c r="AG149" s="1">
        <v>90</v>
      </c>
      <c r="AH149" s="1">
        <v>60003760</v>
      </c>
      <c r="AI149" s="1">
        <v>32767</v>
      </c>
      <c r="AJ149" s="1">
        <v>11</v>
      </c>
      <c r="AL149" s="1">
        <v>2878592516</v>
      </c>
      <c r="AM149" s="1">
        <v>37</v>
      </c>
      <c r="AN149" s="1">
        <v>395531</v>
      </c>
      <c r="AO149" s="1">
        <v>395531</v>
      </c>
      <c r="AP149" s="16">
        <v>148.34</v>
      </c>
      <c r="AQ149" s="1">
        <v>1</v>
      </c>
      <c r="AR149" s="1">
        <v>0</v>
      </c>
      <c r="AS149" s="1">
        <v>90</v>
      </c>
      <c r="AT149" s="1">
        <v>60003460</v>
      </c>
      <c r="AU149" s="1">
        <v>32767</v>
      </c>
      <c r="AV149" s="1">
        <v>9</v>
      </c>
      <c r="AX149" s="1">
        <v>2826654838</v>
      </c>
      <c r="AY149" s="1">
        <v>38</v>
      </c>
      <c r="AZ149" s="1">
        <v>100000000</v>
      </c>
      <c r="BA149" s="1">
        <v>100000000</v>
      </c>
      <c r="BB149" s="1">
        <v>1.01</v>
      </c>
      <c r="BC149" s="1">
        <v>10000</v>
      </c>
      <c r="BD149" s="1">
        <v>1</v>
      </c>
      <c r="BE149" s="1">
        <v>90</v>
      </c>
      <c r="BF149" s="1">
        <v>60003760</v>
      </c>
      <c r="BG149" s="1">
        <v>32767</v>
      </c>
      <c r="BH149" s="1">
        <v>0</v>
      </c>
      <c r="BJ149" s="1">
        <v>2546408636</v>
      </c>
      <c r="BK149" s="1">
        <v>39</v>
      </c>
      <c r="BL149" s="1">
        <v>1000000</v>
      </c>
      <c r="BM149" s="1">
        <v>1000000</v>
      </c>
      <c r="BN149" s="1">
        <v>677</v>
      </c>
      <c r="BO149" s="1">
        <v>1</v>
      </c>
      <c r="BP149" s="1">
        <v>1</v>
      </c>
      <c r="BQ149" s="1">
        <v>90</v>
      </c>
      <c r="BR149" s="1">
        <v>60003760</v>
      </c>
      <c r="BS149" s="1">
        <v>-1</v>
      </c>
      <c r="BT149" s="1">
        <v>0</v>
      </c>
      <c r="BV149" s="1">
        <v>2413882862</v>
      </c>
      <c r="BW149" s="1">
        <v>40</v>
      </c>
      <c r="BX149" s="1">
        <v>20000</v>
      </c>
      <c r="BY149" s="1">
        <v>2185</v>
      </c>
      <c r="BZ149" s="1">
        <v>2574.11</v>
      </c>
      <c r="CA149" s="1">
        <v>1</v>
      </c>
      <c r="CB149" s="1">
        <v>1</v>
      </c>
      <c r="CC149" s="1">
        <v>90</v>
      </c>
      <c r="CD149" s="1">
        <v>60003760</v>
      </c>
      <c r="CE149" s="1">
        <v>-1</v>
      </c>
      <c r="CF149" s="1">
        <v>0</v>
      </c>
      <c r="CH149" s="1">
        <v>2415814976</v>
      </c>
      <c r="CI149" s="1">
        <v>29668</v>
      </c>
      <c r="CJ149" s="1">
        <v>7</v>
      </c>
      <c r="CK149" s="1">
        <v>3</v>
      </c>
      <c r="CL149" s="1">
        <v>492999999.99000001</v>
      </c>
      <c r="CM149" s="1">
        <v>1</v>
      </c>
      <c r="CN149" s="1">
        <v>0</v>
      </c>
      <c r="CO149" s="1">
        <v>90</v>
      </c>
      <c r="CP149" s="1">
        <v>60003760</v>
      </c>
      <c r="CQ149" s="1">
        <v>32767</v>
      </c>
      <c r="CR149" s="1">
        <v>0</v>
      </c>
      <c r="CT149"/>
      <c r="CU149"/>
      <c r="CV149"/>
      <c r="CW149"/>
      <c r="CX149"/>
      <c r="CY149"/>
      <c r="CZ149"/>
      <c r="DA149"/>
      <c r="DB149"/>
      <c r="DC149"/>
      <c r="DD149"/>
      <c r="DF149" s="1">
        <v>2325325679</v>
      </c>
      <c r="DG149" s="1">
        <v>17887</v>
      </c>
      <c r="DH149" s="1">
        <v>2000000</v>
      </c>
      <c r="DI149" s="1">
        <v>2000000</v>
      </c>
      <c r="DJ149" s="1">
        <v>476.01</v>
      </c>
      <c r="DK149" s="1">
        <v>1</v>
      </c>
      <c r="DL149" s="1">
        <v>1</v>
      </c>
      <c r="DM149" s="1">
        <v>90</v>
      </c>
      <c r="DN149" s="1">
        <v>60003760</v>
      </c>
      <c r="DO149" s="1">
        <v>-1</v>
      </c>
      <c r="DP149" s="1">
        <v>0</v>
      </c>
      <c r="DR149" s="1">
        <v>2866458110</v>
      </c>
      <c r="DS149" s="1">
        <v>17888</v>
      </c>
      <c r="DT149" s="1">
        <v>139361</v>
      </c>
      <c r="DU149" s="1">
        <v>139361</v>
      </c>
      <c r="DV149" s="1">
        <v>340</v>
      </c>
      <c r="DW149" s="1">
        <v>1</v>
      </c>
      <c r="DX149" s="1">
        <v>0</v>
      </c>
      <c r="DY149" s="1">
        <v>90</v>
      </c>
      <c r="DZ149" s="1">
        <v>60004051</v>
      </c>
      <c r="EA149" s="1">
        <v>32767</v>
      </c>
      <c r="EB149" s="1">
        <v>9</v>
      </c>
      <c r="ED149" s="1">
        <v>2878887806</v>
      </c>
      <c r="EE149" s="1">
        <v>16273</v>
      </c>
      <c r="EF149" s="1">
        <v>386075</v>
      </c>
      <c r="EG149" s="1">
        <v>337175</v>
      </c>
      <c r="EH149" s="1">
        <v>369.71</v>
      </c>
      <c r="EI149" s="1">
        <v>1</v>
      </c>
      <c r="EJ149" s="1">
        <v>0</v>
      </c>
      <c r="EK149" s="1">
        <v>90</v>
      </c>
      <c r="EL149" s="1">
        <v>60003760</v>
      </c>
      <c r="EM149" s="1">
        <v>32767</v>
      </c>
      <c r="EN149" s="1">
        <v>6</v>
      </c>
      <c r="FZ149"/>
      <c r="GA149"/>
      <c r="GB149"/>
      <c r="GC149"/>
      <c r="GD149"/>
      <c r="GE149"/>
      <c r="GF149"/>
      <c r="GG149"/>
      <c r="GH149"/>
      <c r="GI149"/>
      <c r="GJ149"/>
      <c r="JF149" s="1">
        <v>2878949016</v>
      </c>
      <c r="JG149" s="1">
        <v>16272</v>
      </c>
      <c r="JH149" s="1">
        <v>100000</v>
      </c>
      <c r="JI149" s="1">
        <v>74990</v>
      </c>
      <c r="JJ149" s="1">
        <v>71.86</v>
      </c>
      <c r="JK149" s="1">
        <v>1</v>
      </c>
      <c r="JL149" s="1">
        <v>1</v>
      </c>
      <c r="JM149" s="1">
        <v>14</v>
      </c>
      <c r="JN149" s="1">
        <v>60003760</v>
      </c>
      <c r="JO149" s="1">
        <v>-1</v>
      </c>
      <c r="JP149" s="1">
        <v>0</v>
      </c>
      <c r="KD149"/>
      <c r="KE149"/>
      <c r="KF149"/>
      <c r="KG149"/>
      <c r="KH149"/>
      <c r="KI149"/>
      <c r="KJ149"/>
      <c r="KK149"/>
      <c r="KL149"/>
      <c r="KM149"/>
      <c r="KN149"/>
      <c r="LB149" s="1">
        <v>2862308039</v>
      </c>
      <c r="LC149" s="1">
        <v>9832</v>
      </c>
      <c r="LD149" s="1">
        <v>10000</v>
      </c>
      <c r="LE149" s="1">
        <v>9164</v>
      </c>
      <c r="LF149" s="1">
        <v>7105</v>
      </c>
      <c r="LG149" s="1">
        <v>1</v>
      </c>
      <c r="LH149" s="1">
        <v>1</v>
      </c>
      <c r="LI149" s="1">
        <v>14</v>
      </c>
      <c r="LJ149" s="1">
        <v>60004057</v>
      </c>
      <c r="LK149" s="1">
        <v>3</v>
      </c>
      <c r="LL149" s="1">
        <v>0</v>
      </c>
      <c r="NV149"/>
      <c r="NW149"/>
      <c r="NX149"/>
      <c r="NY149"/>
      <c r="NZ149"/>
      <c r="OA149"/>
      <c r="OB149"/>
      <c r="OC149"/>
      <c r="OD149"/>
      <c r="OE149"/>
      <c r="OF149"/>
      <c r="OH149" s="1">
        <v>2835034868</v>
      </c>
      <c r="OI149" s="1">
        <v>25598</v>
      </c>
      <c r="OJ149" s="1">
        <v>28</v>
      </c>
      <c r="OK149" s="1">
        <v>28</v>
      </c>
      <c r="OL149" s="1">
        <v>148099</v>
      </c>
      <c r="OM149" s="1">
        <v>1</v>
      </c>
      <c r="ON149" s="1">
        <v>0</v>
      </c>
      <c r="OO149" s="1">
        <v>90</v>
      </c>
      <c r="OP149" s="1">
        <v>60003043</v>
      </c>
      <c r="OQ149" s="1">
        <v>32767</v>
      </c>
      <c r="OR149" s="1">
        <v>10</v>
      </c>
      <c r="OT149" s="1">
        <v>2878548744</v>
      </c>
      <c r="OU149" s="1">
        <v>25600</v>
      </c>
      <c r="OV149" s="1">
        <v>400</v>
      </c>
      <c r="OW149" s="1">
        <v>326</v>
      </c>
      <c r="OX149" s="1">
        <v>24100</v>
      </c>
      <c r="OY149" s="1">
        <v>1</v>
      </c>
      <c r="OZ149" s="1">
        <v>1</v>
      </c>
      <c r="PA149" s="1">
        <v>7</v>
      </c>
      <c r="PB149" s="1">
        <v>60003754</v>
      </c>
      <c r="PC149" s="1">
        <v>-1</v>
      </c>
      <c r="PD149" s="1">
        <v>0</v>
      </c>
      <c r="SX149" s="1">
        <v>2789708589</v>
      </c>
      <c r="SY149" s="1">
        <v>25595</v>
      </c>
      <c r="SZ149" s="1">
        <v>7</v>
      </c>
      <c r="TA149" s="1">
        <v>7</v>
      </c>
      <c r="TB149" s="1">
        <v>100000</v>
      </c>
      <c r="TC149" s="1">
        <v>1</v>
      </c>
      <c r="TD149" s="1">
        <v>0</v>
      </c>
      <c r="TE149" s="1">
        <v>90</v>
      </c>
      <c r="TF149" s="1">
        <v>60002362</v>
      </c>
      <c r="TG149" s="1">
        <v>32767</v>
      </c>
      <c r="TH149" s="1">
        <v>2</v>
      </c>
    </row>
    <row r="150" spans="2:528" x14ac:dyDescent="0.25">
      <c r="B150" s="1">
        <v>2841442114</v>
      </c>
      <c r="C150" s="1">
        <v>34</v>
      </c>
      <c r="D150" s="1">
        <v>1076696</v>
      </c>
      <c r="E150" s="1">
        <v>1076696</v>
      </c>
      <c r="F150" s="1">
        <v>5.96</v>
      </c>
      <c r="G150" s="1">
        <v>1</v>
      </c>
      <c r="H150" s="1">
        <v>0</v>
      </c>
      <c r="I150" s="1">
        <v>90</v>
      </c>
      <c r="J150" s="1">
        <v>60003760</v>
      </c>
      <c r="K150" s="1">
        <v>32767</v>
      </c>
      <c r="L150" s="1">
        <v>0</v>
      </c>
      <c r="N150" s="1">
        <v>2877469122</v>
      </c>
      <c r="O150" s="1">
        <v>35</v>
      </c>
      <c r="P150" s="1">
        <v>4793751</v>
      </c>
      <c r="Q150" s="1">
        <v>4793751</v>
      </c>
      <c r="R150" s="1">
        <v>15.5</v>
      </c>
      <c r="S150" s="1">
        <v>1</v>
      </c>
      <c r="T150" s="1">
        <v>0</v>
      </c>
      <c r="U150" s="1">
        <v>90</v>
      </c>
      <c r="V150" s="1">
        <v>60003760</v>
      </c>
      <c r="W150" s="1">
        <v>32767</v>
      </c>
      <c r="X150" s="1">
        <v>0</v>
      </c>
      <c r="Z150" s="1">
        <v>2851246126</v>
      </c>
      <c r="AA150" s="1">
        <v>36</v>
      </c>
      <c r="AB150" s="1">
        <v>2058478</v>
      </c>
      <c r="AC150" s="1">
        <v>2058478</v>
      </c>
      <c r="AD150" s="16">
        <v>52.8</v>
      </c>
      <c r="AE150" s="1">
        <v>1</v>
      </c>
      <c r="AF150" s="1">
        <v>0</v>
      </c>
      <c r="AG150" s="1">
        <v>90</v>
      </c>
      <c r="AH150" s="1">
        <v>60003760</v>
      </c>
      <c r="AI150" s="1">
        <v>32767</v>
      </c>
      <c r="AJ150" s="1">
        <v>11</v>
      </c>
      <c r="AL150" s="1">
        <v>2878603982</v>
      </c>
      <c r="AM150" s="1">
        <v>37</v>
      </c>
      <c r="AN150" s="1">
        <v>270473</v>
      </c>
      <c r="AO150" s="1">
        <v>270473</v>
      </c>
      <c r="AP150" s="16">
        <v>146.88</v>
      </c>
      <c r="AQ150" s="1">
        <v>1</v>
      </c>
      <c r="AR150" s="1">
        <v>0</v>
      </c>
      <c r="AS150" s="1">
        <v>30</v>
      </c>
      <c r="AT150" s="1">
        <v>60003760</v>
      </c>
      <c r="AU150" s="1">
        <v>32767</v>
      </c>
      <c r="AV150" s="1">
        <v>9</v>
      </c>
      <c r="AX150" s="1">
        <v>2758615333</v>
      </c>
      <c r="AY150" s="1">
        <v>38</v>
      </c>
      <c r="AZ150" s="1">
        <v>124120</v>
      </c>
      <c r="BA150" s="1">
        <v>1022</v>
      </c>
      <c r="BB150" s="1">
        <v>740</v>
      </c>
      <c r="BC150" s="1">
        <v>1</v>
      </c>
      <c r="BD150" s="1">
        <v>1</v>
      </c>
      <c r="BE150" s="1">
        <v>90</v>
      </c>
      <c r="BF150" s="1">
        <v>60003760</v>
      </c>
      <c r="BG150" s="1">
        <v>-1</v>
      </c>
      <c r="BH150" s="1">
        <v>0</v>
      </c>
      <c r="BJ150" s="1">
        <v>2552071834</v>
      </c>
      <c r="BK150" s="1">
        <v>39</v>
      </c>
      <c r="BL150" s="1">
        <v>500000</v>
      </c>
      <c r="BM150" s="1">
        <v>372652</v>
      </c>
      <c r="BN150" s="1">
        <v>548</v>
      </c>
      <c r="BO150" s="1">
        <v>7000</v>
      </c>
      <c r="BP150" s="1">
        <v>1</v>
      </c>
      <c r="BQ150" s="1">
        <v>90</v>
      </c>
      <c r="BR150" s="1">
        <v>60003760</v>
      </c>
      <c r="BS150" s="1">
        <v>32767</v>
      </c>
      <c r="BT150" s="1">
        <v>0</v>
      </c>
      <c r="BV150" s="1">
        <v>2413906305</v>
      </c>
      <c r="BW150" s="1">
        <v>40</v>
      </c>
      <c r="BX150" s="1">
        <v>300000</v>
      </c>
      <c r="BY150" s="1">
        <v>299972</v>
      </c>
      <c r="BZ150" s="1">
        <v>2574.16</v>
      </c>
      <c r="CA150" s="1">
        <v>1</v>
      </c>
      <c r="CB150" s="1">
        <v>1</v>
      </c>
      <c r="CC150" s="1">
        <v>7</v>
      </c>
      <c r="CD150" s="1">
        <v>60003760</v>
      </c>
      <c r="CE150" s="1">
        <v>-1</v>
      </c>
      <c r="CF150" s="1">
        <v>0</v>
      </c>
      <c r="CH150" s="1">
        <v>2415845838</v>
      </c>
      <c r="CI150" s="1">
        <v>29668</v>
      </c>
      <c r="CJ150" s="1">
        <v>9</v>
      </c>
      <c r="CK150" s="1">
        <v>1</v>
      </c>
      <c r="CL150" s="1">
        <v>492000000</v>
      </c>
      <c r="CM150" s="1">
        <v>1</v>
      </c>
      <c r="CN150" s="1">
        <v>0</v>
      </c>
      <c r="CO150" s="1">
        <v>90</v>
      </c>
      <c r="CP150" s="1">
        <v>60003760</v>
      </c>
      <c r="CQ150" s="1">
        <v>32767</v>
      </c>
      <c r="CR150" s="1">
        <v>0</v>
      </c>
      <c r="CT150"/>
      <c r="CU150"/>
      <c r="CV150"/>
      <c r="CW150"/>
      <c r="CX150"/>
      <c r="CY150"/>
      <c r="CZ150"/>
      <c r="DA150"/>
      <c r="DB150"/>
      <c r="DC150"/>
      <c r="DD150"/>
      <c r="DF150" s="1">
        <v>2307770243</v>
      </c>
      <c r="DG150" s="1">
        <v>17887</v>
      </c>
      <c r="DH150" s="1">
        <v>500000</v>
      </c>
      <c r="DI150" s="1">
        <v>500000</v>
      </c>
      <c r="DJ150" s="1">
        <v>454.01</v>
      </c>
      <c r="DK150" s="1">
        <v>1</v>
      </c>
      <c r="DL150" s="1">
        <v>1</v>
      </c>
      <c r="DM150" s="1">
        <v>90</v>
      </c>
      <c r="DN150" s="1">
        <v>60003760</v>
      </c>
      <c r="DO150" s="1">
        <v>-1</v>
      </c>
      <c r="DP150" s="1">
        <v>0</v>
      </c>
      <c r="DR150" s="1">
        <v>2865126796</v>
      </c>
      <c r="DS150" s="1">
        <v>17888</v>
      </c>
      <c r="DT150" s="1">
        <v>1096</v>
      </c>
      <c r="DU150" s="1">
        <v>1096</v>
      </c>
      <c r="DV150" s="1">
        <v>340</v>
      </c>
      <c r="DW150" s="1">
        <v>1</v>
      </c>
      <c r="DX150" s="1">
        <v>0</v>
      </c>
      <c r="DY150" s="1">
        <v>90</v>
      </c>
      <c r="DZ150" s="1">
        <v>60004051</v>
      </c>
      <c r="EA150" s="1">
        <v>32767</v>
      </c>
      <c r="EB150" s="1">
        <v>9</v>
      </c>
      <c r="ED150" s="1">
        <v>2879010249</v>
      </c>
      <c r="EE150" s="1">
        <v>16273</v>
      </c>
      <c r="EF150" s="1">
        <v>97272</v>
      </c>
      <c r="EG150" s="1">
        <v>97272</v>
      </c>
      <c r="EH150" s="1">
        <v>369.7</v>
      </c>
      <c r="EI150" s="1">
        <v>1</v>
      </c>
      <c r="EJ150" s="1">
        <v>0</v>
      </c>
      <c r="EK150" s="1">
        <v>90</v>
      </c>
      <c r="EL150" s="1">
        <v>60003760</v>
      </c>
      <c r="EM150" s="1">
        <v>32767</v>
      </c>
      <c r="EN150" s="1">
        <v>0</v>
      </c>
      <c r="FZ150"/>
      <c r="GA150"/>
      <c r="GB150"/>
      <c r="GC150"/>
      <c r="GD150"/>
      <c r="GE150"/>
      <c r="GF150"/>
      <c r="GG150"/>
      <c r="GH150"/>
      <c r="GI150"/>
      <c r="GJ150"/>
      <c r="JF150" s="1">
        <v>2878685110</v>
      </c>
      <c r="JG150" s="1">
        <v>16272</v>
      </c>
      <c r="JH150" s="1">
        <v>1944000</v>
      </c>
      <c r="JI150" s="1">
        <v>1754550</v>
      </c>
      <c r="JJ150" s="1">
        <v>71.930000000000007</v>
      </c>
      <c r="JK150" s="1">
        <v>1</v>
      </c>
      <c r="JL150" s="1">
        <v>1</v>
      </c>
      <c r="JM150" s="1">
        <v>90</v>
      </c>
      <c r="JN150" s="1">
        <v>60003760</v>
      </c>
      <c r="JO150" s="1">
        <v>-1</v>
      </c>
      <c r="JP150" s="1">
        <v>0</v>
      </c>
      <c r="KD150"/>
      <c r="KE150"/>
      <c r="KF150"/>
      <c r="KG150"/>
      <c r="KH150"/>
      <c r="KI150"/>
      <c r="KJ150"/>
      <c r="KK150"/>
      <c r="KL150"/>
      <c r="KM150"/>
      <c r="KN150"/>
      <c r="LB150" s="1">
        <v>2714183487</v>
      </c>
      <c r="LC150" s="1">
        <v>9832</v>
      </c>
      <c r="LD150" s="1">
        <v>50000</v>
      </c>
      <c r="LE150" s="1">
        <v>45387</v>
      </c>
      <c r="LF150" s="1">
        <v>2900.04</v>
      </c>
      <c r="LG150" s="1">
        <v>1</v>
      </c>
      <c r="LH150" s="1">
        <v>1</v>
      </c>
      <c r="LI150" s="1">
        <v>90</v>
      </c>
      <c r="LJ150" s="1">
        <v>60004459</v>
      </c>
      <c r="LK150" s="1">
        <v>10</v>
      </c>
      <c r="LL150" s="1">
        <v>0</v>
      </c>
      <c r="NV150"/>
      <c r="NW150"/>
      <c r="NX150"/>
      <c r="NY150"/>
      <c r="NZ150"/>
      <c r="OA150"/>
      <c r="OB150"/>
      <c r="OC150"/>
      <c r="OD150"/>
      <c r="OE150"/>
      <c r="OF150"/>
      <c r="OH150" s="1">
        <v>2813205586</v>
      </c>
      <c r="OI150" s="1">
        <v>25598</v>
      </c>
      <c r="OJ150" s="1">
        <v>46</v>
      </c>
      <c r="OK150" s="1">
        <v>46</v>
      </c>
      <c r="OL150" s="1">
        <v>139980</v>
      </c>
      <c r="OM150" s="1">
        <v>1</v>
      </c>
      <c r="ON150" s="1">
        <v>0</v>
      </c>
      <c r="OO150" s="1">
        <v>90</v>
      </c>
      <c r="OP150" s="1">
        <v>60003208</v>
      </c>
      <c r="OQ150" s="1">
        <v>32767</v>
      </c>
      <c r="OR150" s="1">
        <v>9</v>
      </c>
      <c r="OT150" s="1">
        <v>2875790144</v>
      </c>
      <c r="OU150" s="1">
        <v>25600</v>
      </c>
      <c r="OV150" s="1">
        <v>5000</v>
      </c>
      <c r="OW150" s="1">
        <v>3237</v>
      </c>
      <c r="OX150" s="1">
        <v>24010</v>
      </c>
      <c r="OY150" s="1">
        <v>1</v>
      </c>
      <c r="OZ150" s="1">
        <v>1</v>
      </c>
      <c r="PA150" s="1">
        <v>30</v>
      </c>
      <c r="PB150" s="1">
        <v>60003760</v>
      </c>
      <c r="PC150" s="1">
        <v>4</v>
      </c>
      <c r="PD150" s="1">
        <v>0</v>
      </c>
      <c r="SX150" s="1">
        <v>2791706778</v>
      </c>
      <c r="SY150" s="1">
        <v>25595</v>
      </c>
      <c r="SZ150" s="1">
        <v>8</v>
      </c>
      <c r="TA150" s="1">
        <v>8</v>
      </c>
      <c r="TB150" s="1">
        <v>100000</v>
      </c>
      <c r="TC150" s="1">
        <v>1</v>
      </c>
      <c r="TD150" s="1">
        <v>0</v>
      </c>
      <c r="TE150" s="1">
        <v>90</v>
      </c>
      <c r="TF150" s="1">
        <v>60012670</v>
      </c>
      <c r="TG150" s="1">
        <v>32767</v>
      </c>
      <c r="TH150" s="1">
        <v>2</v>
      </c>
    </row>
    <row r="151" spans="2:528" x14ac:dyDescent="0.25">
      <c r="B151" s="1">
        <v>2841742906</v>
      </c>
      <c r="C151" s="1">
        <v>34</v>
      </c>
      <c r="D151" s="1">
        <v>7009722</v>
      </c>
      <c r="E151" s="1">
        <v>7009722</v>
      </c>
      <c r="F151" s="1">
        <v>5.97</v>
      </c>
      <c r="G151" s="1">
        <v>1</v>
      </c>
      <c r="H151" s="1">
        <v>0</v>
      </c>
      <c r="I151" s="1">
        <v>90</v>
      </c>
      <c r="J151" s="1">
        <v>60003760</v>
      </c>
      <c r="K151" s="1">
        <v>32767</v>
      </c>
      <c r="L151" s="1">
        <v>0</v>
      </c>
      <c r="N151" s="1">
        <v>2877832746</v>
      </c>
      <c r="O151" s="1">
        <v>35</v>
      </c>
      <c r="P151" s="1">
        <v>30183</v>
      </c>
      <c r="Q151" s="1">
        <v>14161</v>
      </c>
      <c r="R151" s="1">
        <v>14.5</v>
      </c>
      <c r="S151" s="1">
        <v>1</v>
      </c>
      <c r="T151" s="1">
        <v>0</v>
      </c>
      <c r="U151" s="1">
        <v>1</v>
      </c>
      <c r="V151" s="1">
        <v>60003754</v>
      </c>
      <c r="W151" s="1">
        <v>32767</v>
      </c>
      <c r="X151" s="1">
        <v>1</v>
      </c>
      <c r="Z151" s="1">
        <v>2850161314</v>
      </c>
      <c r="AA151" s="1">
        <v>36</v>
      </c>
      <c r="AB151" s="1">
        <v>53306</v>
      </c>
      <c r="AC151" s="1">
        <v>53306</v>
      </c>
      <c r="AD151" s="16">
        <v>51</v>
      </c>
      <c r="AE151" s="1">
        <v>1</v>
      </c>
      <c r="AF151" s="1">
        <v>0</v>
      </c>
      <c r="AG151" s="1">
        <v>90</v>
      </c>
      <c r="AH151" s="1">
        <v>60003760</v>
      </c>
      <c r="AI151" s="1">
        <v>32767</v>
      </c>
      <c r="AJ151" s="1">
        <v>11</v>
      </c>
      <c r="AL151" s="1">
        <v>2878604870</v>
      </c>
      <c r="AM151" s="1">
        <v>37</v>
      </c>
      <c r="AN151" s="1">
        <v>172627</v>
      </c>
      <c r="AO151" s="1">
        <v>172627</v>
      </c>
      <c r="AP151" s="16">
        <v>146.87</v>
      </c>
      <c r="AQ151" s="1">
        <v>1</v>
      </c>
      <c r="AR151" s="1">
        <v>0</v>
      </c>
      <c r="AS151" s="1">
        <v>90</v>
      </c>
      <c r="AT151" s="1">
        <v>60003760</v>
      </c>
      <c r="AU151" s="1">
        <v>32767</v>
      </c>
      <c r="AV151" s="1">
        <v>9</v>
      </c>
      <c r="AX151" s="1">
        <v>2762573701</v>
      </c>
      <c r="AY151" s="1">
        <v>38</v>
      </c>
      <c r="AZ151" s="1">
        <v>500000</v>
      </c>
      <c r="BA151" s="1">
        <v>500000</v>
      </c>
      <c r="BB151" s="1">
        <v>502</v>
      </c>
      <c r="BC151" s="1">
        <v>1</v>
      </c>
      <c r="BD151" s="1">
        <v>1</v>
      </c>
      <c r="BE151" s="1">
        <v>90</v>
      </c>
      <c r="BF151" s="1">
        <v>60003760</v>
      </c>
      <c r="BG151" s="1">
        <v>-1</v>
      </c>
      <c r="BH151" s="1">
        <v>0</v>
      </c>
      <c r="BJ151" s="1">
        <v>2669131674</v>
      </c>
      <c r="BK151" s="1">
        <v>39</v>
      </c>
      <c r="BL151" s="1">
        <v>500000</v>
      </c>
      <c r="BM151" s="1">
        <v>500000</v>
      </c>
      <c r="BN151" s="1">
        <v>120.34</v>
      </c>
      <c r="BO151" s="1">
        <v>1</v>
      </c>
      <c r="BP151" s="1">
        <v>1</v>
      </c>
      <c r="BQ151" s="1">
        <v>90</v>
      </c>
      <c r="BR151" s="1">
        <v>60003760</v>
      </c>
      <c r="BS151" s="1">
        <v>-1</v>
      </c>
      <c r="BT151" s="1">
        <v>0</v>
      </c>
      <c r="BV151" s="1">
        <v>2413801493</v>
      </c>
      <c r="BW151" s="1">
        <v>40</v>
      </c>
      <c r="BX151" s="1">
        <v>7500</v>
      </c>
      <c r="BY151" s="1">
        <v>7500</v>
      </c>
      <c r="BZ151" s="1">
        <v>2515.0100000000002</v>
      </c>
      <c r="CA151" s="1">
        <v>1</v>
      </c>
      <c r="CB151" s="1">
        <v>1</v>
      </c>
      <c r="CC151" s="1">
        <v>90</v>
      </c>
      <c r="CD151" s="1">
        <v>60003760</v>
      </c>
      <c r="CE151" s="1">
        <v>0</v>
      </c>
      <c r="CF151" s="1">
        <v>0</v>
      </c>
      <c r="CH151" s="1">
        <v>2415856455</v>
      </c>
      <c r="CI151" s="1">
        <v>29668</v>
      </c>
      <c r="CJ151" s="1">
        <v>5</v>
      </c>
      <c r="CK151" s="1">
        <v>5</v>
      </c>
      <c r="CL151" s="1">
        <v>493199950</v>
      </c>
      <c r="CM151" s="1">
        <v>1</v>
      </c>
      <c r="CN151" s="1">
        <v>0</v>
      </c>
      <c r="CO151" s="1">
        <v>90</v>
      </c>
      <c r="CP151" s="1">
        <v>60003760</v>
      </c>
      <c r="CQ151" s="1">
        <v>32767</v>
      </c>
      <c r="CR151" s="1">
        <v>0</v>
      </c>
      <c r="CT151"/>
      <c r="CU151"/>
      <c r="CV151"/>
      <c r="CW151"/>
      <c r="CX151"/>
      <c r="CY151"/>
      <c r="CZ151"/>
      <c r="DA151"/>
      <c r="DB151"/>
      <c r="DC151"/>
      <c r="DD151"/>
      <c r="DF151" s="1">
        <v>2338739582</v>
      </c>
      <c r="DG151" s="1">
        <v>17887</v>
      </c>
      <c r="DH151" s="1">
        <v>2880000</v>
      </c>
      <c r="DI151" s="1">
        <v>2880000</v>
      </c>
      <c r="DJ151" s="1">
        <v>480.01</v>
      </c>
      <c r="DK151" s="1">
        <v>1</v>
      </c>
      <c r="DL151" s="1">
        <v>1</v>
      </c>
      <c r="DM151" s="1">
        <v>90</v>
      </c>
      <c r="DN151" s="1">
        <v>60003760</v>
      </c>
      <c r="DO151" s="1">
        <v>1</v>
      </c>
      <c r="DP151" s="1">
        <v>0</v>
      </c>
      <c r="DR151" s="1">
        <v>2864519450</v>
      </c>
      <c r="DS151" s="1">
        <v>17888</v>
      </c>
      <c r="DT151" s="1">
        <v>343200</v>
      </c>
      <c r="DU151" s="1">
        <v>53</v>
      </c>
      <c r="DV151" s="1">
        <v>340</v>
      </c>
      <c r="DW151" s="1">
        <v>1</v>
      </c>
      <c r="DX151" s="1">
        <v>0</v>
      </c>
      <c r="DY151" s="1">
        <v>90</v>
      </c>
      <c r="DZ151" s="1">
        <v>60004213</v>
      </c>
      <c r="EA151" s="1">
        <v>32767</v>
      </c>
      <c r="EB151" s="1">
        <v>5</v>
      </c>
      <c r="ED151" s="1">
        <v>2878523983</v>
      </c>
      <c r="EE151" s="1">
        <v>16273</v>
      </c>
      <c r="EF151" s="1">
        <v>398045</v>
      </c>
      <c r="EG151" s="1">
        <v>72608</v>
      </c>
      <c r="EH151" s="1">
        <v>369.68</v>
      </c>
      <c r="EI151" s="1">
        <v>1</v>
      </c>
      <c r="EJ151" s="1">
        <v>0</v>
      </c>
      <c r="EK151" s="1">
        <v>1</v>
      </c>
      <c r="EL151" s="1">
        <v>60003760</v>
      </c>
      <c r="EM151" s="1">
        <v>32767</v>
      </c>
      <c r="EN151" s="1">
        <v>6</v>
      </c>
      <c r="FZ151"/>
      <c r="GA151"/>
      <c r="GB151"/>
      <c r="GC151"/>
      <c r="GD151"/>
      <c r="GE151"/>
      <c r="GF151"/>
      <c r="GG151"/>
      <c r="GH151"/>
      <c r="GI151"/>
      <c r="GJ151"/>
      <c r="JF151" s="1">
        <v>2879071169</v>
      </c>
      <c r="JG151" s="1">
        <v>16272</v>
      </c>
      <c r="JH151" s="1">
        <v>3000000</v>
      </c>
      <c r="JI151" s="1">
        <v>3000000</v>
      </c>
      <c r="JJ151" s="1">
        <v>68.13</v>
      </c>
      <c r="JK151" s="1">
        <v>1</v>
      </c>
      <c r="JL151" s="1">
        <v>1</v>
      </c>
      <c r="JM151" s="1">
        <v>7</v>
      </c>
      <c r="JN151" s="1">
        <v>60003760</v>
      </c>
      <c r="JO151" s="1">
        <v>-1</v>
      </c>
      <c r="JP151" s="1">
        <v>0</v>
      </c>
      <c r="KD151"/>
      <c r="KE151"/>
      <c r="KF151"/>
      <c r="KG151"/>
      <c r="KH151"/>
      <c r="KI151"/>
      <c r="KJ151"/>
      <c r="KK151"/>
      <c r="KL151"/>
      <c r="KM151"/>
      <c r="KN151"/>
      <c r="LB151" s="1">
        <v>2867954118</v>
      </c>
      <c r="LC151" s="1">
        <v>9832</v>
      </c>
      <c r="LD151" s="1">
        <v>2000</v>
      </c>
      <c r="LE151" s="1">
        <v>1410</v>
      </c>
      <c r="LF151" s="1">
        <v>9200</v>
      </c>
      <c r="LG151" s="1">
        <v>1</v>
      </c>
      <c r="LH151" s="1">
        <v>1</v>
      </c>
      <c r="LI151" s="1">
        <v>90</v>
      </c>
      <c r="LJ151" s="1">
        <v>60001591</v>
      </c>
      <c r="LK151" s="1">
        <v>-1</v>
      </c>
      <c r="LL151" s="1">
        <v>0</v>
      </c>
      <c r="NV151"/>
      <c r="NW151"/>
      <c r="NX151"/>
      <c r="NY151"/>
      <c r="NZ151"/>
      <c r="OA151"/>
      <c r="OB151"/>
      <c r="OC151"/>
      <c r="OD151"/>
      <c r="OE151"/>
      <c r="OF151"/>
      <c r="OH151" s="1">
        <v>2791365441</v>
      </c>
      <c r="OI151" s="1">
        <v>25598</v>
      </c>
      <c r="OJ151" s="1">
        <v>75</v>
      </c>
      <c r="OK151" s="1">
        <v>75</v>
      </c>
      <c r="OL151" s="1">
        <v>139980</v>
      </c>
      <c r="OM151" s="1">
        <v>1</v>
      </c>
      <c r="ON151" s="1">
        <v>0</v>
      </c>
      <c r="OO151" s="1">
        <v>90</v>
      </c>
      <c r="OP151" s="1">
        <v>60003211</v>
      </c>
      <c r="OQ151" s="1">
        <v>32767</v>
      </c>
      <c r="OR151" s="1">
        <v>8</v>
      </c>
      <c r="OT151" s="1">
        <v>2878822794</v>
      </c>
      <c r="OU151" s="1">
        <v>25600</v>
      </c>
      <c r="OV151" s="1">
        <v>30000</v>
      </c>
      <c r="OW151" s="1">
        <v>25035</v>
      </c>
      <c r="OX151" s="1">
        <v>28020</v>
      </c>
      <c r="OY151" s="1">
        <v>1</v>
      </c>
      <c r="OZ151" s="1">
        <v>1</v>
      </c>
      <c r="PA151" s="1">
        <v>90</v>
      </c>
      <c r="PB151" s="1">
        <v>60003760</v>
      </c>
      <c r="PC151" s="1">
        <v>-1</v>
      </c>
      <c r="PD151" s="1">
        <v>0</v>
      </c>
      <c r="SX151" s="1">
        <v>2747780245</v>
      </c>
      <c r="SY151" s="1">
        <v>25595</v>
      </c>
      <c r="SZ151" s="1">
        <v>2</v>
      </c>
      <c r="TA151" s="1">
        <v>2</v>
      </c>
      <c r="TB151" s="1">
        <v>111000</v>
      </c>
      <c r="TC151" s="1">
        <v>1</v>
      </c>
      <c r="TD151" s="1">
        <v>0</v>
      </c>
      <c r="TE151" s="1">
        <v>90</v>
      </c>
      <c r="TF151" s="1">
        <v>60012673</v>
      </c>
      <c r="TG151" s="1">
        <v>32767</v>
      </c>
      <c r="TH151" s="1">
        <v>2</v>
      </c>
    </row>
    <row r="152" spans="2:528" x14ac:dyDescent="0.25">
      <c r="B152" s="1">
        <v>2841847322</v>
      </c>
      <c r="C152" s="1">
        <v>34</v>
      </c>
      <c r="D152" s="1">
        <v>5683783</v>
      </c>
      <c r="E152" s="1">
        <v>5683783</v>
      </c>
      <c r="F152" s="1">
        <v>5.97</v>
      </c>
      <c r="G152" s="1">
        <v>1</v>
      </c>
      <c r="H152" s="1">
        <v>0</v>
      </c>
      <c r="I152" s="1">
        <v>90</v>
      </c>
      <c r="J152" s="1">
        <v>60003760</v>
      </c>
      <c r="K152" s="1">
        <v>32767</v>
      </c>
      <c r="L152" s="1">
        <v>0</v>
      </c>
      <c r="N152" s="1">
        <v>2835223460</v>
      </c>
      <c r="O152" s="1">
        <v>35</v>
      </c>
      <c r="P152" s="1">
        <v>6966</v>
      </c>
      <c r="Q152" s="1">
        <v>6966</v>
      </c>
      <c r="R152" s="1">
        <v>17</v>
      </c>
      <c r="S152" s="1">
        <v>1</v>
      </c>
      <c r="T152" s="1">
        <v>0</v>
      </c>
      <c r="U152" s="1">
        <v>90</v>
      </c>
      <c r="V152" s="1">
        <v>60014935</v>
      </c>
      <c r="W152" s="1">
        <v>32767</v>
      </c>
      <c r="X152" s="1">
        <v>1</v>
      </c>
      <c r="Z152" s="1">
        <v>2850612905</v>
      </c>
      <c r="AA152" s="1">
        <v>36</v>
      </c>
      <c r="AB152" s="1">
        <v>9772</v>
      </c>
      <c r="AC152" s="1">
        <v>9772</v>
      </c>
      <c r="AD152" s="16">
        <v>51.41</v>
      </c>
      <c r="AE152" s="1">
        <v>1</v>
      </c>
      <c r="AF152" s="1">
        <v>0</v>
      </c>
      <c r="AG152" s="1">
        <v>30</v>
      </c>
      <c r="AH152" s="1">
        <v>60003760</v>
      </c>
      <c r="AI152" s="1">
        <v>32767</v>
      </c>
      <c r="AJ152" s="1">
        <v>11</v>
      </c>
      <c r="AL152" s="1">
        <v>2878615542</v>
      </c>
      <c r="AM152" s="1">
        <v>37</v>
      </c>
      <c r="AN152" s="1">
        <v>33075000</v>
      </c>
      <c r="AO152" s="1">
        <v>28580000</v>
      </c>
      <c r="AP152" s="16">
        <v>146.84</v>
      </c>
      <c r="AQ152" s="1">
        <v>1</v>
      </c>
      <c r="AR152" s="1">
        <v>0</v>
      </c>
      <c r="AS152" s="1">
        <v>14</v>
      </c>
      <c r="AT152" s="1">
        <v>60003760</v>
      </c>
      <c r="AU152" s="1">
        <v>32767</v>
      </c>
      <c r="AV152" s="1">
        <v>9</v>
      </c>
      <c r="AX152" s="1">
        <v>2766125413</v>
      </c>
      <c r="AY152" s="1">
        <v>38</v>
      </c>
      <c r="AZ152" s="1">
        <v>4000000</v>
      </c>
      <c r="BA152" s="1">
        <v>4000000</v>
      </c>
      <c r="BB152" s="1">
        <v>450</v>
      </c>
      <c r="BC152" s="1">
        <v>1</v>
      </c>
      <c r="BD152" s="1">
        <v>1</v>
      </c>
      <c r="BE152" s="1">
        <v>90</v>
      </c>
      <c r="BF152" s="1">
        <v>60003760</v>
      </c>
      <c r="BG152" s="1">
        <v>-1</v>
      </c>
      <c r="BH152" s="1">
        <v>0</v>
      </c>
      <c r="BJ152" s="1">
        <v>2675552132</v>
      </c>
      <c r="BK152" s="1">
        <v>39</v>
      </c>
      <c r="BL152" s="1">
        <v>1900000</v>
      </c>
      <c r="BM152" s="1">
        <v>1900000</v>
      </c>
      <c r="BN152" s="1">
        <v>520.04</v>
      </c>
      <c r="BO152" s="1">
        <v>1</v>
      </c>
      <c r="BP152" s="1">
        <v>1</v>
      </c>
      <c r="BQ152" s="1">
        <v>90</v>
      </c>
      <c r="BR152" s="1">
        <v>60003760</v>
      </c>
      <c r="BS152" s="1">
        <v>-1</v>
      </c>
      <c r="BT152" s="1">
        <v>0</v>
      </c>
      <c r="BV152" s="1">
        <v>2413935442</v>
      </c>
      <c r="BW152" s="1">
        <v>40</v>
      </c>
      <c r="BX152" s="1">
        <v>800000</v>
      </c>
      <c r="BY152" s="1">
        <v>519021</v>
      </c>
      <c r="BZ152" s="1">
        <v>2576.19</v>
      </c>
      <c r="CA152" s="1">
        <v>1</v>
      </c>
      <c r="CB152" s="1">
        <v>1</v>
      </c>
      <c r="CC152" s="1">
        <v>90</v>
      </c>
      <c r="CD152" s="1">
        <v>60003760</v>
      </c>
      <c r="CE152" s="1">
        <v>-1</v>
      </c>
      <c r="CF152" s="1">
        <v>0</v>
      </c>
      <c r="CH152" s="1">
        <v>2415857261</v>
      </c>
      <c r="CI152" s="1">
        <v>29668</v>
      </c>
      <c r="CJ152" s="1">
        <v>2</v>
      </c>
      <c r="CK152" s="1">
        <v>2</v>
      </c>
      <c r="CL152" s="1">
        <v>491997000</v>
      </c>
      <c r="CM152" s="1">
        <v>1</v>
      </c>
      <c r="CN152" s="1">
        <v>0</v>
      </c>
      <c r="CO152" s="1">
        <v>90</v>
      </c>
      <c r="CP152" s="1">
        <v>60003760</v>
      </c>
      <c r="CQ152" s="1">
        <v>32767</v>
      </c>
      <c r="CR152" s="1">
        <v>0</v>
      </c>
      <c r="CT152"/>
      <c r="CU152"/>
      <c r="CV152"/>
      <c r="CW152"/>
      <c r="CX152"/>
      <c r="CY152"/>
      <c r="CZ152"/>
      <c r="DA152"/>
      <c r="DB152"/>
      <c r="DC152"/>
      <c r="DD152"/>
      <c r="DF152" s="1">
        <v>1982638332</v>
      </c>
      <c r="DG152" s="1">
        <v>17887</v>
      </c>
      <c r="DH152" s="1">
        <v>6000000</v>
      </c>
      <c r="DI152" s="1">
        <v>6000000</v>
      </c>
      <c r="DJ152" s="1">
        <v>320.05</v>
      </c>
      <c r="DK152" s="1">
        <v>1</v>
      </c>
      <c r="DL152" s="1">
        <v>1</v>
      </c>
      <c r="DM152" s="1">
        <v>90</v>
      </c>
      <c r="DN152" s="1">
        <v>60003760</v>
      </c>
      <c r="DO152" s="1">
        <v>-1</v>
      </c>
      <c r="DP152" s="1">
        <v>0</v>
      </c>
      <c r="DR152" s="1">
        <v>2772178263</v>
      </c>
      <c r="DS152" s="1">
        <v>17888</v>
      </c>
      <c r="DT152" s="1">
        <v>851</v>
      </c>
      <c r="DU152" s="1">
        <v>851</v>
      </c>
      <c r="DV152" s="1">
        <v>415</v>
      </c>
      <c r="DW152" s="1">
        <v>1</v>
      </c>
      <c r="DX152" s="1">
        <v>0</v>
      </c>
      <c r="DY152" s="1">
        <v>90</v>
      </c>
      <c r="DZ152" s="1">
        <v>60003139</v>
      </c>
      <c r="EA152" s="1">
        <v>32767</v>
      </c>
      <c r="EB152" s="1">
        <v>5</v>
      </c>
      <c r="ED152" s="1">
        <v>2862853163</v>
      </c>
      <c r="EE152" s="1">
        <v>16273</v>
      </c>
      <c r="EF152" s="1">
        <v>150000</v>
      </c>
      <c r="EG152" s="1">
        <v>86664</v>
      </c>
      <c r="EH152" s="1">
        <v>399.99</v>
      </c>
      <c r="EI152" s="1">
        <v>1</v>
      </c>
      <c r="EJ152" s="1">
        <v>0</v>
      </c>
      <c r="EK152" s="1">
        <v>90</v>
      </c>
      <c r="EL152" s="1">
        <v>60004081</v>
      </c>
      <c r="EM152" s="1">
        <v>32767</v>
      </c>
      <c r="EN152" s="1">
        <v>5</v>
      </c>
      <c r="FZ152"/>
      <c r="GA152"/>
      <c r="GB152"/>
      <c r="GC152"/>
      <c r="GD152"/>
      <c r="GE152"/>
      <c r="GF152"/>
      <c r="GG152"/>
      <c r="GH152"/>
      <c r="GI152"/>
      <c r="GJ152"/>
      <c r="JF152" s="1">
        <v>2878632378</v>
      </c>
      <c r="JG152" s="1">
        <v>16272</v>
      </c>
      <c r="JH152" s="1">
        <v>1350000</v>
      </c>
      <c r="JI152" s="1">
        <v>903728</v>
      </c>
      <c r="JJ152" s="1">
        <v>72</v>
      </c>
      <c r="JK152" s="1">
        <v>1</v>
      </c>
      <c r="JL152" s="1">
        <v>1</v>
      </c>
      <c r="JM152" s="1">
        <v>90</v>
      </c>
      <c r="JN152" s="1">
        <v>60003760</v>
      </c>
      <c r="JO152" s="1">
        <v>-1</v>
      </c>
      <c r="JP152" s="1">
        <v>0</v>
      </c>
      <c r="KD152"/>
      <c r="KE152"/>
      <c r="KF152"/>
      <c r="KG152"/>
      <c r="KH152"/>
      <c r="KI152"/>
      <c r="KJ152"/>
      <c r="KK152"/>
      <c r="KL152"/>
      <c r="KM152"/>
      <c r="KN152"/>
      <c r="LB152" s="1">
        <v>2848597148</v>
      </c>
      <c r="LC152" s="1">
        <v>9832</v>
      </c>
      <c r="LD152" s="1">
        <v>50000</v>
      </c>
      <c r="LE152" s="1">
        <v>50000</v>
      </c>
      <c r="LF152" s="1">
        <v>8258</v>
      </c>
      <c r="LG152" s="1">
        <v>16</v>
      </c>
      <c r="LH152" s="1">
        <v>1</v>
      </c>
      <c r="LI152" s="1">
        <v>90</v>
      </c>
      <c r="LJ152" s="1">
        <v>60015025</v>
      </c>
      <c r="LK152" s="1">
        <v>2</v>
      </c>
      <c r="LL152" s="1">
        <v>0</v>
      </c>
      <c r="NV152"/>
      <c r="NW152"/>
      <c r="NX152"/>
      <c r="NY152"/>
      <c r="NZ152"/>
      <c r="OA152"/>
      <c r="OB152"/>
      <c r="OC152"/>
      <c r="OD152"/>
      <c r="OE152"/>
      <c r="OF152"/>
      <c r="OH152" s="1">
        <v>2811162894</v>
      </c>
      <c r="OI152" s="1">
        <v>25598</v>
      </c>
      <c r="OJ152" s="1">
        <v>120</v>
      </c>
      <c r="OK152" s="1">
        <v>100</v>
      </c>
      <c r="OL152" s="1">
        <v>139980</v>
      </c>
      <c r="OM152" s="1">
        <v>1</v>
      </c>
      <c r="ON152" s="1">
        <v>0</v>
      </c>
      <c r="OO152" s="1">
        <v>90</v>
      </c>
      <c r="OP152" s="1">
        <v>60003346</v>
      </c>
      <c r="OQ152" s="1">
        <v>32767</v>
      </c>
      <c r="OR152" s="1">
        <v>9</v>
      </c>
      <c r="OT152" s="1">
        <v>2871254666</v>
      </c>
      <c r="OU152" s="1">
        <v>25600</v>
      </c>
      <c r="OV152" s="1">
        <v>50000</v>
      </c>
      <c r="OW152" s="1">
        <v>31753</v>
      </c>
      <c r="OX152" s="1">
        <v>26500</v>
      </c>
      <c r="OY152" s="1">
        <v>1</v>
      </c>
      <c r="OZ152" s="1">
        <v>1</v>
      </c>
      <c r="PA152" s="1">
        <v>30</v>
      </c>
      <c r="PB152" s="1">
        <v>60003760</v>
      </c>
      <c r="PC152" s="1">
        <v>-1</v>
      </c>
      <c r="PD152" s="1">
        <v>0</v>
      </c>
      <c r="SX152" s="1">
        <v>2788115503</v>
      </c>
      <c r="SY152" s="1">
        <v>25595</v>
      </c>
      <c r="SZ152" s="1">
        <v>38</v>
      </c>
      <c r="TA152" s="1">
        <v>38</v>
      </c>
      <c r="TB152" s="1">
        <v>94000</v>
      </c>
      <c r="TC152" s="1">
        <v>1</v>
      </c>
      <c r="TD152" s="1">
        <v>0</v>
      </c>
      <c r="TE152" s="1">
        <v>90</v>
      </c>
      <c r="TF152" s="1">
        <v>60000526</v>
      </c>
      <c r="TG152" s="1">
        <v>32767</v>
      </c>
      <c r="TH152" s="1">
        <v>2</v>
      </c>
    </row>
    <row r="153" spans="2:528" x14ac:dyDescent="0.25">
      <c r="B153" s="1">
        <v>2841293219</v>
      </c>
      <c r="C153" s="1">
        <v>34</v>
      </c>
      <c r="D153" s="1">
        <v>3520165</v>
      </c>
      <c r="E153" s="1">
        <v>3520165</v>
      </c>
      <c r="F153" s="1">
        <v>5.99</v>
      </c>
      <c r="G153" s="1">
        <v>1</v>
      </c>
      <c r="H153" s="1">
        <v>0</v>
      </c>
      <c r="I153" s="1">
        <v>90</v>
      </c>
      <c r="J153" s="1">
        <v>60003760</v>
      </c>
      <c r="K153" s="1">
        <v>32767</v>
      </c>
      <c r="L153" s="1">
        <v>0</v>
      </c>
      <c r="N153" s="1">
        <v>2871262326</v>
      </c>
      <c r="O153" s="1">
        <v>35</v>
      </c>
      <c r="P153" s="1">
        <v>1331192</v>
      </c>
      <c r="Q153" s="1">
        <v>693741</v>
      </c>
      <c r="R153" s="1">
        <v>15.1</v>
      </c>
      <c r="S153" s="1">
        <v>1</v>
      </c>
      <c r="T153" s="1">
        <v>0</v>
      </c>
      <c r="U153" s="1">
        <v>30</v>
      </c>
      <c r="V153" s="1">
        <v>60004048</v>
      </c>
      <c r="W153" s="1">
        <v>32767</v>
      </c>
      <c r="X153" s="1">
        <v>5</v>
      </c>
      <c r="Z153" s="1">
        <v>2850371750</v>
      </c>
      <c r="AA153" s="1">
        <v>36</v>
      </c>
      <c r="AB153" s="1">
        <v>2097597</v>
      </c>
      <c r="AC153" s="1">
        <v>2097597</v>
      </c>
      <c r="AD153" s="16">
        <v>50.99</v>
      </c>
      <c r="AE153" s="1">
        <v>1</v>
      </c>
      <c r="AF153" s="1">
        <v>0</v>
      </c>
      <c r="AG153" s="1">
        <v>90</v>
      </c>
      <c r="AH153" s="1">
        <v>60003760</v>
      </c>
      <c r="AI153" s="1">
        <v>32767</v>
      </c>
      <c r="AJ153" s="1">
        <v>11</v>
      </c>
      <c r="AL153" s="1">
        <v>2878684416</v>
      </c>
      <c r="AM153" s="1">
        <v>37</v>
      </c>
      <c r="AN153" s="1">
        <v>12</v>
      </c>
      <c r="AO153" s="1">
        <v>12</v>
      </c>
      <c r="AP153" s="16">
        <v>145</v>
      </c>
      <c r="AQ153" s="1">
        <v>1</v>
      </c>
      <c r="AR153" s="1">
        <v>0</v>
      </c>
      <c r="AS153" s="1">
        <v>90</v>
      </c>
      <c r="AT153" s="1">
        <v>60004435</v>
      </c>
      <c r="AU153" s="1">
        <v>32767</v>
      </c>
      <c r="AV153" s="1">
        <v>6</v>
      </c>
      <c r="AX153" s="1">
        <v>2813117151</v>
      </c>
      <c r="AY153" s="1">
        <v>38</v>
      </c>
      <c r="AZ153" s="1">
        <v>25000</v>
      </c>
      <c r="BA153" s="1">
        <v>25000</v>
      </c>
      <c r="BB153" s="1">
        <v>725</v>
      </c>
      <c r="BC153" s="1">
        <v>1</v>
      </c>
      <c r="BD153" s="1">
        <v>1</v>
      </c>
      <c r="BE153" s="1">
        <v>90</v>
      </c>
      <c r="BF153" s="1">
        <v>60003760</v>
      </c>
      <c r="BG153" s="1">
        <v>-1</v>
      </c>
      <c r="BH153" s="1">
        <v>0</v>
      </c>
      <c r="BJ153" s="1">
        <v>2725964298</v>
      </c>
      <c r="BK153" s="1">
        <v>39</v>
      </c>
      <c r="BL153" s="1">
        <v>120000</v>
      </c>
      <c r="BM153" s="1">
        <v>115163</v>
      </c>
      <c r="BN153" s="1">
        <v>707.01</v>
      </c>
      <c r="BO153" s="1">
        <v>1</v>
      </c>
      <c r="BP153" s="1">
        <v>1</v>
      </c>
      <c r="BQ153" s="1">
        <v>90</v>
      </c>
      <c r="BR153" s="1">
        <v>60003760</v>
      </c>
      <c r="BS153" s="1">
        <v>32767</v>
      </c>
      <c r="BT153" s="1">
        <v>0</v>
      </c>
      <c r="BV153" s="1">
        <v>2413955497</v>
      </c>
      <c r="BW153" s="1">
        <v>40</v>
      </c>
      <c r="BX153" s="1">
        <v>12000</v>
      </c>
      <c r="BY153" s="1">
        <v>5152</v>
      </c>
      <c r="BZ153" s="1">
        <v>2575.31</v>
      </c>
      <c r="CA153" s="1">
        <v>1</v>
      </c>
      <c r="CB153" s="1">
        <v>1</v>
      </c>
      <c r="CC153" s="1">
        <v>3</v>
      </c>
      <c r="CD153" s="1">
        <v>60003760</v>
      </c>
      <c r="CE153" s="1">
        <v>0</v>
      </c>
      <c r="CF153" s="1">
        <v>0</v>
      </c>
      <c r="CH153" s="1">
        <v>2415862271</v>
      </c>
      <c r="CI153" s="1">
        <v>29668</v>
      </c>
      <c r="CJ153" s="1">
        <v>1</v>
      </c>
      <c r="CK153" s="1">
        <v>1</v>
      </c>
      <c r="CL153" s="1">
        <v>492000000</v>
      </c>
      <c r="CM153" s="1">
        <v>1</v>
      </c>
      <c r="CN153" s="1">
        <v>0</v>
      </c>
      <c r="CO153" s="1">
        <v>1</v>
      </c>
      <c r="CP153" s="1">
        <v>60003760</v>
      </c>
      <c r="CQ153" s="1">
        <v>32767</v>
      </c>
      <c r="CR153" s="1">
        <v>0</v>
      </c>
      <c r="CT153"/>
      <c r="CU153"/>
      <c r="CV153"/>
      <c r="CW153"/>
      <c r="CX153"/>
      <c r="CY153"/>
      <c r="CZ153"/>
      <c r="DA153"/>
      <c r="DB153"/>
      <c r="DC153"/>
      <c r="DD153"/>
      <c r="DF153" s="1">
        <v>1900129444</v>
      </c>
      <c r="DG153" s="1">
        <v>17887</v>
      </c>
      <c r="DH153" s="1">
        <v>500000</v>
      </c>
      <c r="DI153" s="1">
        <v>439594</v>
      </c>
      <c r="DJ153" s="1">
        <v>461</v>
      </c>
      <c r="DK153" s="1">
        <v>1</v>
      </c>
      <c r="DL153" s="1">
        <v>1</v>
      </c>
      <c r="DM153" s="1">
        <v>90</v>
      </c>
      <c r="DN153" s="1">
        <v>60003760</v>
      </c>
      <c r="DO153" s="1">
        <v>20</v>
      </c>
      <c r="DP153" s="1">
        <v>0</v>
      </c>
      <c r="DR153" s="1">
        <v>2829488686</v>
      </c>
      <c r="DS153" s="1">
        <v>17888</v>
      </c>
      <c r="DT153" s="1">
        <v>575100</v>
      </c>
      <c r="DU153" s="1">
        <v>485100</v>
      </c>
      <c r="DV153" s="1">
        <v>369.9</v>
      </c>
      <c r="DW153" s="1">
        <v>1</v>
      </c>
      <c r="DX153" s="1">
        <v>0</v>
      </c>
      <c r="DY153" s="1">
        <v>90</v>
      </c>
      <c r="DZ153" s="1">
        <v>60003037</v>
      </c>
      <c r="EA153" s="1">
        <v>32767</v>
      </c>
      <c r="EB153" s="1">
        <v>6</v>
      </c>
      <c r="ED153" s="1">
        <v>2873426255</v>
      </c>
      <c r="EE153" s="1">
        <v>16273</v>
      </c>
      <c r="EF153" s="1">
        <v>705862</v>
      </c>
      <c r="EG153" s="1">
        <v>703362</v>
      </c>
      <c r="EH153" s="1">
        <v>369.67</v>
      </c>
      <c r="EI153" s="1">
        <v>1</v>
      </c>
      <c r="EJ153" s="1">
        <v>0</v>
      </c>
      <c r="EK153" s="1">
        <v>90</v>
      </c>
      <c r="EL153" s="1">
        <v>60003760</v>
      </c>
      <c r="EM153" s="1">
        <v>32767</v>
      </c>
      <c r="EN153" s="1">
        <v>6</v>
      </c>
      <c r="FZ153"/>
      <c r="GA153"/>
      <c r="GB153"/>
      <c r="GC153"/>
      <c r="GD153"/>
      <c r="GE153"/>
      <c r="GF153"/>
      <c r="GG153"/>
      <c r="GH153"/>
      <c r="GI153"/>
      <c r="GJ153"/>
      <c r="JF153"/>
      <c r="JG153"/>
      <c r="JH153"/>
      <c r="JI153"/>
      <c r="JJ153"/>
      <c r="JK153"/>
      <c r="JL153"/>
      <c r="JM153"/>
      <c r="JN153"/>
      <c r="JO153"/>
      <c r="JP153"/>
      <c r="KD153"/>
      <c r="KE153"/>
      <c r="KF153"/>
      <c r="KG153"/>
      <c r="KH153"/>
      <c r="KI153"/>
      <c r="KJ153"/>
      <c r="KK153"/>
      <c r="KL153"/>
      <c r="KM153"/>
      <c r="KN153"/>
      <c r="LB153" s="1">
        <v>2848596309</v>
      </c>
      <c r="LC153" s="1">
        <v>9832</v>
      </c>
      <c r="LD153" s="1">
        <v>50000</v>
      </c>
      <c r="LE153" s="1">
        <v>50000</v>
      </c>
      <c r="LF153" s="1">
        <v>8242</v>
      </c>
      <c r="LG153" s="1">
        <v>16</v>
      </c>
      <c r="LH153" s="1">
        <v>1</v>
      </c>
      <c r="LI153" s="1">
        <v>90</v>
      </c>
      <c r="LJ153" s="1">
        <v>60015025</v>
      </c>
      <c r="LK153" s="1">
        <v>2</v>
      </c>
      <c r="LL153" s="1">
        <v>0</v>
      </c>
      <c r="NV153"/>
      <c r="NW153"/>
      <c r="NX153"/>
      <c r="NY153"/>
      <c r="NZ153"/>
      <c r="OA153"/>
      <c r="OB153"/>
      <c r="OC153"/>
      <c r="OD153"/>
      <c r="OE153"/>
      <c r="OF153"/>
      <c r="OH153" s="1">
        <v>2774241167</v>
      </c>
      <c r="OI153" s="1">
        <v>25598</v>
      </c>
      <c r="OJ153" s="1">
        <v>21</v>
      </c>
      <c r="OK153" s="1">
        <v>21</v>
      </c>
      <c r="OL153" s="1">
        <v>189000</v>
      </c>
      <c r="OM153" s="1">
        <v>1</v>
      </c>
      <c r="ON153" s="1">
        <v>0</v>
      </c>
      <c r="OO153" s="1">
        <v>90</v>
      </c>
      <c r="OP153" s="1">
        <v>60004057</v>
      </c>
      <c r="OQ153" s="1">
        <v>32767</v>
      </c>
      <c r="OR153" s="1">
        <v>9</v>
      </c>
      <c r="OT153" s="1">
        <v>2877745880</v>
      </c>
      <c r="OU153" s="1">
        <v>25600</v>
      </c>
      <c r="OV153" s="1">
        <v>2000</v>
      </c>
      <c r="OW153" s="1">
        <v>1149</v>
      </c>
      <c r="OX153" s="1">
        <v>24011</v>
      </c>
      <c r="OY153" s="1">
        <v>1</v>
      </c>
      <c r="OZ153" s="1">
        <v>1</v>
      </c>
      <c r="PA153" s="1">
        <v>90</v>
      </c>
      <c r="PB153" s="1">
        <v>60004210</v>
      </c>
      <c r="PC153" s="1">
        <v>3</v>
      </c>
      <c r="PD153" s="1">
        <v>0</v>
      </c>
      <c r="SX153" s="1">
        <v>2814431918</v>
      </c>
      <c r="SY153" s="1">
        <v>25595</v>
      </c>
      <c r="SZ153" s="1">
        <v>96</v>
      </c>
      <c r="TA153" s="1">
        <v>96</v>
      </c>
      <c r="TB153" s="1">
        <v>102000</v>
      </c>
      <c r="TC153" s="1">
        <v>1</v>
      </c>
      <c r="TD153" s="1">
        <v>0</v>
      </c>
      <c r="TE153" s="1">
        <v>90</v>
      </c>
      <c r="TF153" s="1">
        <v>60010822</v>
      </c>
      <c r="TG153" s="1">
        <v>32767</v>
      </c>
      <c r="TH153" s="1">
        <v>7</v>
      </c>
    </row>
    <row r="154" spans="2:528" x14ac:dyDescent="0.25">
      <c r="B154" s="1">
        <v>2840596197</v>
      </c>
      <c r="C154" s="1">
        <v>34</v>
      </c>
      <c r="D154" s="1">
        <v>20000000</v>
      </c>
      <c r="E154" s="1">
        <v>20000000</v>
      </c>
      <c r="F154" s="1">
        <v>5.98</v>
      </c>
      <c r="G154" s="1">
        <v>1</v>
      </c>
      <c r="H154" s="1">
        <v>0</v>
      </c>
      <c r="I154" s="1">
        <v>90</v>
      </c>
      <c r="J154" s="1">
        <v>60003760</v>
      </c>
      <c r="K154" s="1">
        <v>32767</v>
      </c>
      <c r="L154" s="1">
        <v>0</v>
      </c>
      <c r="N154" s="1">
        <v>2876651455</v>
      </c>
      <c r="O154" s="1">
        <v>35</v>
      </c>
      <c r="P154" s="1">
        <v>2142360</v>
      </c>
      <c r="Q154" s="1">
        <v>142360</v>
      </c>
      <c r="R154" s="1">
        <v>14.73</v>
      </c>
      <c r="S154" s="1">
        <v>1</v>
      </c>
      <c r="T154" s="1">
        <v>0</v>
      </c>
      <c r="U154" s="1">
        <v>30</v>
      </c>
      <c r="V154" s="1">
        <v>60004048</v>
      </c>
      <c r="W154" s="1">
        <v>32767</v>
      </c>
      <c r="X154" s="1">
        <v>5</v>
      </c>
      <c r="Z154" s="1">
        <v>2850400796</v>
      </c>
      <c r="AA154" s="1">
        <v>36</v>
      </c>
      <c r="AB154" s="1">
        <v>5860877</v>
      </c>
      <c r="AC154" s="1">
        <v>5860877</v>
      </c>
      <c r="AD154" s="16">
        <v>51.24</v>
      </c>
      <c r="AE154" s="1">
        <v>1</v>
      </c>
      <c r="AF154" s="1">
        <v>0</v>
      </c>
      <c r="AG154" s="1">
        <v>90</v>
      </c>
      <c r="AH154" s="1">
        <v>60003760</v>
      </c>
      <c r="AI154" s="1">
        <v>32767</v>
      </c>
      <c r="AJ154" s="1">
        <v>11</v>
      </c>
      <c r="AL154" s="1">
        <v>2878727449</v>
      </c>
      <c r="AM154" s="1">
        <v>37</v>
      </c>
      <c r="AN154" s="1">
        <v>10000000</v>
      </c>
      <c r="AO154" s="1">
        <v>10000000</v>
      </c>
      <c r="AP154" s="16">
        <v>146.82</v>
      </c>
      <c r="AQ154" s="1">
        <v>1</v>
      </c>
      <c r="AR154" s="1">
        <v>0</v>
      </c>
      <c r="AS154" s="1">
        <v>90</v>
      </c>
      <c r="AT154" s="1">
        <v>60003760</v>
      </c>
      <c r="AU154" s="1">
        <v>32767</v>
      </c>
      <c r="AV154" s="1">
        <v>9</v>
      </c>
      <c r="AX154" s="1">
        <v>2813118023</v>
      </c>
      <c r="AY154" s="1">
        <v>38</v>
      </c>
      <c r="AZ154" s="1">
        <v>25000</v>
      </c>
      <c r="BA154" s="1">
        <v>25000</v>
      </c>
      <c r="BB154" s="1">
        <v>730</v>
      </c>
      <c r="BC154" s="1">
        <v>1</v>
      </c>
      <c r="BD154" s="1">
        <v>1</v>
      </c>
      <c r="BE154" s="1">
        <v>90</v>
      </c>
      <c r="BF154" s="1">
        <v>60003760</v>
      </c>
      <c r="BG154" s="1">
        <v>-1</v>
      </c>
      <c r="BH154" s="1">
        <v>0</v>
      </c>
      <c r="BJ154" s="1">
        <v>2745251967</v>
      </c>
      <c r="BK154" s="1">
        <v>39</v>
      </c>
      <c r="BL154" s="1">
        <v>2000000</v>
      </c>
      <c r="BM154" s="1">
        <v>1980551</v>
      </c>
      <c r="BN154" s="1">
        <v>652.07000000000005</v>
      </c>
      <c r="BO154" s="1">
        <v>1000</v>
      </c>
      <c r="BP154" s="1">
        <v>1</v>
      </c>
      <c r="BQ154" s="1">
        <v>90</v>
      </c>
      <c r="BR154" s="1">
        <v>60003760</v>
      </c>
      <c r="BS154" s="1">
        <v>32767</v>
      </c>
      <c r="BT154" s="1">
        <v>0</v>
      </c>
      <c r="BV154" s="1">
        <v>2412838498</v>
      </c>
      <c r="BW154" s="1">
        <v>40</v>
      </c>
      <c r="BX154" s="1">
        <v>40000</v>
      </c>
      <c r="BY154" s="1">
        <v>40000</v>
      </c>
      <c r="BZ154" s="1">
        <v>2503</v>
      </c>
      <c r="CA154" s="1">
        <v>1</v>
      </c>
      <c r="CB154" s="1">
        <v>1</v>
      </c>
      <c r="CC154" s="1">
        <v>90</v>
      </c>
      <c r="CD154" s="1">
        <v>60003760</v>
      </c>
      <c r="CE154" s="1">
        <v>-1</v>
      </c>
      <c r="CF154" s="1">
        <v>0</v>
      </c>
      <c r="CH154" s="1">
        <v>2415862274</v>
      </c>
      <c r="CI154" s="1">
        <v>29668</v>
      </c>
      <c r="CJ154" s="1">
        <v>2</v>
      </c>
      <c r="CK154" s="1">
        <v>2</v>
      </c>
      <c r="CL154" s="1">
        <v>490997000</v>
      </c>
      <c r="CM154" s="1">
        <v>1</v>
      </c>
      <c r="CN154" s="1">
        <v>0</v>
      </c>
      <c r="CO154" s="1">
        <v>90</v>
      </c>
      <c r="CP154" s="1">
        <v>60003760</v>
      </c>
      <c r="CQ154" s="1">
        <v>32767</v>
      </c>
      <c r="CR154" s="1">
        <v>0</v>
      </c>
      <c r="CT154"/>
      <c r="CU154"/>
      <c r="CV154"/>
      <c r="CW154"/>
      <c r="CX154"/>
      <c r="CY154"/>
      <c r="CZ154"/>
      <c r="DA154"/>
      <c r="DB154"/>
      <c r="DC154"/>
      <c r="DD154"/>
      <c r="DF154" s="1">
        <v>2301745150</v>
      </c>
      <c r="DG154" s="1">
        <v>17887</v>
      </c>
      <c r="DH154" s="1">
        <v>1440000</v>
      </c>
      <c r="DI154" s="1">
        <v>1223306</v>
      </c>
      <c r="DJ154" s="1">
        <v>480.01</v>
      </c>
      <c r="DK154" s="1">
        <v>1</v>
      </c>
      <c r="DL154" s="1">
        <v>1</v>
      </c>
      <c r="DM154" s="1">
        <v>90</v>
      </c>
      <c r="DN154" s="1">
        <v>60003760</v>
      </c>
      <c r="DO154" s="1">
        <v>1</v>
      </c>
      <c r="DP154" s="1">
        <v>0</v>
      </c>
      <c r="DR154" s="1">
        <v>2777898359</v>
      </c>
      <c r="DS154" s="1">
        <v>17888</v>
      </c>
      <c r="DT154" s="1">
        <v>40577</v>
      </c>
      <c r="DU154" s="1">
        <v>40577</v>
      </c>
      <c r="DV154" s="1">
        <v>420</v>
      </c>
      <c r="DW154" s="1">
        <v>1</v>
      </c>
      <c r="DX154" s="1">
        <v>0</v>
      </c>
      <c r="DY154" s="1">
        <v>90</v>
      </c>
      <c r="DZ154" s="1">
        <v>60003037</v>
      </c>
      <c r="EA154" s="1">
        <v>32767</v>
      </c>
      <c r="EB154" s="1">
        <v>6</v>
      </c>
      <c r="ED154" s="1">
        <v>2874893427</v>
      </c>
      <c r="EE154" s="1">
        <v>16273</v>
      </c>
      <c r="EF154" s="1">
        <v>473843</v>
      </c>
      <c r="EG154" s="1">
        <v>272843</v>
      </c>
      <c r="EH154" s="1">
        <v>369.67</v>
      </c>
      <c r="EI154" s="1">
        <v>1</v>
      </c>
      <c r="EJ154" s="1">
        <v>0</v>
      </c>
      <c r="EK154" s="1">
        <v>90</v>
      </c>
      <c r="EL154" s="1">
        <v>60003760</v>
      </c>
      <c r="EM154" s="1">
        <v>32767</v>
      </c>
      <c r="EN154" s="1">
        <v>6</v>
      </c>
      <c r="FZ154"/>
      <c r="GA154"/>
      <c r="GB154"/>
      <c r="GC154"/>
      <c r="GD154"/>
      <c r="GE154"/>
      <c r="GF154"/>
      <c r="GG154"/>
      <c r="GH154"/>
      <c r="GI154"/>
      <c r="GJ154"/>
      <c r="JF154"/>
      <c r="JG154"/>
      <c r="JH154"/>
      <c r="JI154"/>
      <c r="JJ154"/>
      <c r="JK154"/>
      <c r="JL154"/>
      <c r="JM154"/>
      <c r="JN154"/>
      <c r="JO154"/>
      <c r="JP154"/>
      <c r="KD154"/>
      <c r="KE154"/>
      <c r="KF154"/>
      <c r="KG154"/>
      <c r="KH154"/>
      <c r="KI154"/>
      <c r="KJ154"/>
      <c r="KK154"/>
      <c r="KL154"/>
      <c r="KM154"/>
      <c r="KN154"/>
      <c r="LB154" s="1">
        <v>2878477984</v>
      </c>
      <c r="LC154" s="1">
        <v>9832</v>
      </c>
      <c r="LD154" s="1">
        <v>100000</v>
      </c>
      <c r="LE154" s="1">
        <v>100000</v>
      </c>
      <c r="LF154" s="1">
        <v>9166.1</v>
      </c>
      <c r="LG154" s="1">
        <v>1</v>
      </c>
      <c r="LH154" s="1">
        <v>1</v>
      </c>
      <c r="LI154" s="1">
        <v>90</v>
      </c>
      <c r="LJ154" s="1">
        <v>60003760</v>
      </c>
      <c r="LK154" s="1">
        <v>-1</v>
      </c>
      <c r="LL154" s="1">
        <v>0</v>
      </c>
      <c r="NV154"/>
      <c r="NW154"/>
      <c r="NX154"/>
      <c r="NY154"/>
      <c r="NZ154"/>
      <c r="OA154"/>
      <c r="OB154"/>
      <c r="OC154"/>
      <c r="OD154"/>
      <c r="OE154"/>
      <c r="OF154"/>
      <c r="OH154" s="1">
        <v>2850187210</v>
      </c>
      <c r="OI154" s="1">
        <v>25598</v>
      </c>
      <c r="OJ154" s="1">
        <v>26</v>
      </c>
      <c r="OK154" s="1">
        <v>22</v>
      </c>
      <c r="OL154" s="1">
        <v>150000.99</v>
      </c>
      <c r="OM154" s="1">
        <v>1</v>
      </c>
      <c r="ON154" s="1">
        <v>0</v>
      </c>
      <c r="OO154" s="1">
        <v>90</v>
      </c>
      <c r="OP154" s="1">
        <v>60004057</v>
      </c>
      <c r="OQ154" s="1">
        <v>32767</v>
      </c>
      <c r="OR154" s="1">
        <v>9</v>
      </c>
      <c r="OT154"/>
      <c r="OU154"/>
      <c r="OV154"/>
      <c r="OW154"/>
      <c r="OX154"/>
      <c r="OY154"/>
      <c r="OZ154"/>
      <c r="PA154"/>
      <c r="PB154"/>
      <c r="PC154"/>
      <c r="PD154"/>
      <c r="SX154" s="1">
        <v>2873213497</v>
      </c>
      <c r="SY154" s="1">
        <v>25595</v>
      </c>
      <c r="SZ154" s="1">
        <v>13</v>
      </c>
      <c r="TA154" s="1">
        <v>13</v>
      </c>
      <c r="TB154" s="1">
        <v>80000.02</v>
      </c>
      <c r="TC154" s="1">
        <v>1</v>
      </c>
      <c r="TD154" s="1">
        <v>0</v>
      </c>
      <c r="TE154" s="1">
        <v>30</v>
      </c>
      <c r="TF154" s="1">
        <v>60010822</v>
      </c>
      <c r="TG154" s="1">
        <v>32767</v>
      </c>
      <c r="TH154" s="1">
        <v>7</v>
      </c>
    </row>
    <row r="155" spans="2:528" x14ac:dyDescent="0.25">
      <c r="B155" s="1">
        <v>2840242314</v>
      </c>
      <c r="C155" s="1">
        <v>34</v>
      </c>
      <c r="D155" s="1">
        <v>172482113</v>
      </c>
      <c r="E155" s="1">
        <v>172482113</v>
      </c>
      <c r="F155" s="1">
        <v>5.96</v>
      </c>
      <c r="G155" s="1">
        <v>1</v>
      </c>
      <c r="H155" s="1">
        <v>0</v>
      </c>
      <c r="I155" s="1">
        <v>90</v>
      </c>
      <c r="J155" s="1">
        <v>60003760</v>
      </c>
      <c r="K155" s="1">
        <v>32767</v>
      </c>
      <c r="L155" s="1">
        <v>0</v>
      </c>
      <c r="N155" s="1">
        <v>2863256087</v>
      </c>
      <c r="O155" s="1">
        <v>35</v>
      </c>
      <c r="P155" s="1">
        <v>3158992</v>
      </c>
      <c r="Q155" s="1">
        <v>217025</v>
      </c>
      <c r="R155" s="1">
        <v>15.19</v>
      </c>
      <c r="S155" s="1">
        <v>1</v>
      </c>
      <c r="T155" s="1">
        <v>0</v>
      </c>
      <c r="U155" s="1">
        <v>30</v>
      </c>
      <c r="V155" s="1">
        <v>60004054</v>
      </c>
      <c r="W155" s="1">
        <v>32767</v>
      </c>
      <c r="X155" s="1">
        <v>6</v>
      </c>
      <c r="Z155" s="1">
        <v>2850381566</v>
      </c>
      <c r="AA155" s="1">
        <v>36</v>
      </c>
      <c r="AB155" s="1">
        <v>3726030</v>
      </c>
      <c r="AC155" s="1">
        <v>3726030</v>
      </c>
      <c r="AD155" s="16">
        <v>50.8</v>
      </c>
      <c r="AE155" s="1">
        <v>1</v>
      </c>
      <c r="AF155" s="1">
        <v>0</v>
      </c>
      <c r="AG155" s="1">
        <v>90</v>
      </c>
      <c r="AH155" s="1">
        <v>60003760</v>
      </c>
      <c r="AI155" s="1">
        <v>32767</v>
      </c>
      <c r="AJ155" s="1">
        <v>11</v>
      </c>
      <c r="AL155" s="1">
        <v>2878731522</v>
      </c>
      <c r="AM155" s="1">
        <v>37</v>
      </c>
      <c r="AN155" s="1">
        <v>281404</v>
      </c>
      <c r="AO155" s="1">
        <v>281404</v>
      </c>
      <c r="AP155" s="16">
        <v>146.81</v>
      </c>
      <c r="AQ155" s="1">
        <v>1</v>
      </c>
      <c r="AR155" s="1">
        <v>0</v>
      </c>
      <c r="AS155" s="1">
        <v>30</v>
      </c>
      <c r="AT155" s="1">
        <v>60003760</v>
      </c>
      <c r="AU155" s="1">
        <v>32767</v>
      </c>
      <c r="AV155" s="1">
        <v>9</v>
      </c>
      <c r="AX155" s="1">
        <v>2813186698</v>
      </c>
      <c r="AY155" s="1">
        <v>38</v>
      </c>
      <c r="AZ155" s="1">
        <v>3000000</v>
      </c>
      <c r="BA155" s="1">
        <v>1431545</v>
      </c>
      <c r="BB155" s="1">
        <v>730</v>
      </c>
      <c r="BC155" s="1">
        <v>2000</v>
      </c>
      <c r="BD155" s="1">
        <v>1</v>
      </c>
      <c r="BE155" s="1">
        <v>90</v>
      </c>
      <c r="BF155" s="1">
        <v>60003760</v>
      </c>
      <c r="BG155" s="1">
        <v>10</v>
      </c>
      <c r="BH155" s="1">
        <v>0</v>
      </c>
      <c r="BJ155" s="1">
        <v>2867169577</v>
      </c>
      <c r="BK155" s="1">
        <v>39</v>
      </c>
      <c r="BL155" s="1">
        <v>100000</v>
      </c>
      <c r="BM155" s="1">
        <v>100000</v>
      </c>
      <c r="BN155" s="1">
        <v>700.29</v>
      </c>
      <c r="BO155" s="1">
        <v>1</v>
      </c>
      <c r="BP155" s="1">
        <v>1</v>
      </c>
      <c r="BQ155" s="1">
        <v>90</v>
      </c>
      <c r="BR155" s="1">
        <v>60003760</v>
      </c>
      <c r="BS155" s="1">
        <v>20</v>
      </c>
      <c r="BT155" s="1">
        <v>0</v>
      </c>
      <c r="BV155" s="1">
        <v>2412939229</v>
      </c>
      <c r="BW155" s="1">
        <v>40</v>
      </c>
      <c r="BX155" s="1">
        <v>19000</v>
      </c>
      <c r="BY155" s="1">
        <v>18830</v>
      </c>
      <c r="BZ155" s="1">
        <v>2504.06</v>
      </c>
      <c r="CA155" s="1">
        <v>1</v>
      </c>
      <c r="CB155" s="1">
        <v>1</v>
      </c>
      <c r="CC155" s="1">
        <v>90</v>
      </c>
      <c r="CD155" s="1">
        <v>60003760</v>
      </c>
      <c r="CE155" s="1">
        <v>-1</v>
      </c>
      <c r="CF155" s="1">
        <v>0</v>
      </c>
      <c r="CH155" s="1">
        <v>2415866410</v>
      </c>
      <c r="CI155" s="1">
        <v>29668</v>
      </c>
      <c r="CJ155" s="1">
        <v>1</v>
      </c>
      <c r="CK155" s="1">
        <v>1</v>
      </c>
      <c r="CL155" s="1">
        <v>491500000</v>
      </c>
      <c r="CM155" s="1">
        <v>1</v>
      </c>
      <c r="CN155" s="1">
        <v>0</v>
      </c>
      <c r="CO155" s="1">
        <v>30</v>
      </c>
      <c r="CP155" s="1">
        <v>60003760</v>
      </c>
      <c r="CQ155" s="1">
        <v>32767</v>
      </c>
      <c r="CR155" s="1">
        <v>0</v>
      </c>
      <c r="CT155"/>
      <c r="CU155"/>
      <c r="CV155"/>
      <c r="CW155"/>
      <c r="CX155"/>
      <c r="CY155"/>
      <c r="CZ155"/>
      <c r="DA155"/>
      <c r="DB155"/>
      <c r="DC155"/>
      <c r="DD155"/>
      <c r="DF155" s="1">
        <v>2298922981</v>
      </c>
      <c r="DG155" s="1">
        <v>17887</v>
      </c>
      <c r="DH155" s="1">
        <v>200000</v>
      </c>
      <c r="DI155" s="1">
        <v>200000</v>
      </c>
      <c r="DJ155" s="1">
        <v>451.6</v>
      </c>
      <c r="DK155" s="1">
        <v>1</v>
      </c>
      <c r="DL155" s="1">
        <v>1</v>
      </c>
      <c r="DM155" s="1">
        <v>90</v>
      </c>
      <c r="DN155" s="1">
        <v>60003760</v>
      </c>
      <c r="DO155" s="1">
        <v>-1</v>
      </c>
      <c r="DP155" s="1">
        <v>0</v>
      </c>
      <c r="DR155" s="1">
        <v>2777287843</v>
      </c>
      <c r="DS155" s="1">
        <v>17888</v>
      </c>
      <c r="DT155" s="1">
        <v>515</v>
      </c>
      <c r="DU155" s="1">
        <v>515</v>
      </c>
      <c r="DV155" s="1">
        <v>410</v>
      </c>
      <c r="DW155" s="1">
        <v>1</v>
      </c>
      <c r="DX155" s="1">
        <v>0</v>
      </c>
      <c r="DY155" s="1">
        <v>90</v>
      </c>
      <c r="DZ155" s="1">
        <v>60003037</v>
      </c>
      <c r="EA155" s="1">
        <v>32767</v>
      </c>
      <c r="EB155" s="1">
        <v>6</v>
      </c>
      <c r="ED155" s="1">
        <v>2879072491</v>
      </c>
      <c r="EE155" s="1">
        <v>16273</v>
      </c>
      <c r="EF155" s="1">
        <v>11750</v>
      </c>
      <c r="EG155" s="1">
        <v>11750</v>
      </c>
      <c r="EH155" s="1">
        <v>361.03</v>
      </c>
      <c r="EI155" s="1">
        <v>1</v>
      </c>
      <c r="EJ155" s="1">
        <v>0</v>
      </c>
      <c r="EK155" s="1">
        <v>1</v>
      </c>
      <c r="EL155" s="1">
        <v>60012667</v>
      </c>
      <c r="EM155" s="1">
        <v>32767</v>
      </c>
      <c r="EN155" s="1">
        <v>0</v>
      </c>
      <c r="FZ155"/>
      <c r="GA155"/>
      <c r="GB155"/>
      <c r="GC155"/>
      <c r="GD155"/>
      <c r="GE155"/>
      <c r="GF155"/>
      <c r="GG155"/>
      <c r="GH155"/>
      <c r="GI155"/>
      <c r="GJ155"/>
      <c r="JF155"/>
      <c r="JG155"/>
      <c r="JH155"/>
      <c r="JI155"/>
      <c r="JJ155"/>
      <c r="JK155"/>
      <c r="JL155"/>
      <c r="JM155"/>
      <c r="JN155"/>
      <c r="JO155"/>
      <c r="JP155"/>
      <c r="KD155"/>
      <c r="KE155"/>
      <c r="KF155"/>
      <c r="KG155"/>
      <c r="KH155"/>
      <c r="KI155"/>
      <c r="KJ155"/>
      <c r="KK155"/>
      <c r="KL155"/>
      <c r="KM155"/>
      <c r="KN155"/>
      <c r="LB155" s="1">
        <v>2875551792</v>
      </c>
      <c r="LC155" s="1">
        <v>9832</v>
      </c>
      <c r="LD155" s="1">
        <v>300000</v>
      </c>
      <c r="LE155" s="1">
        <v>178257</v>
      </c>
      <c r="LF155" s="1">
        <v>9166.11</v>
      </c>
      <c r="LG155" s="1">
        <v>1</v>
      </c>
      <c r="LH155" s="1">
        <v>1</v>
      </c>
      <c r="LI155" s="1">
        <v>90</v>
      </c>
      <c r="LJ155" s="1">
        <v>60003760</v>
      </c>
      <c r="LK155" s="1">
        <v>-1</v>
      </c>
      <c r="LL155" s="1">
        <v>0</v>
      </c>
      <c r="NV155"/>
      <c r="NW155"/>
      <c r="NX155"/>
      <c r="NY155"/>
      <c r="NZ155"/>
      <c r="OA155"/>
      <c r="OB155"/>
      <c r="OC155"/>
      <c r="OD155"/>
      <c r="OE155"/>
      <c r="OF155"/>
      <c r="OH155" s="1">
        <v>2870055112</v>
      </c>
      <c r="OI155" s="1">
        <v>25598</v>
      </c>
      <c r="OJ155" s="1">
        <v>500</v>
      </c>
      <c r="OK155" s="1">
        <v>444</v>
      </c>
      <c r="OL155" s="1">
        <v>139000</v>
      </c>
      <c r="OM155" s="1">
        <v>1</v>
      </c>
      <c r="ON155" s="1">
        <v>0</v>
      </c>
      <c r="OO155" s="1">
        <v>90</v>
      </c>
      <c r="OP155" s="1">
        <v>60004063</v>
      </c>
      <c r="OQ155" s="1">
        <v>32767</v>
      </c>
      <c r="OR155" s="1">
        <v>9</v>
      </c>
      <c r="OT155"/>
      <c r="OU155"/>
      <c r="OV155"/>
      <c r="OW155"/>
      <c r="OX155"/>
      <c r="OY155"/>
      <c r="OZ155"/>
      <c r="PA155"/>
      <c r="PB155"/>
      <c r="PC155"/>
      <c r="PD155"/>
      <c r="SX155" s="1">
        <v>2875235941</v>
      </c>
      <c r="SY155" s="1">
        <v>25595</v>
      </c>
      <c r="SZ155" s="1">
        <v>9</v>
      </c>
      <c r="TA155" s="1">
        <v>9</v>
      </c>
      <c r="TB155" s="1">
        <v>73000</v>
      </c>
      <c r="TC155" s="1">
        <v>1</v>
      </c>
      <c r="TD155" s="1">
        <v>0</v>
      </c>
      <c r="TE155" s="1">
        <v>90</v>
      </c>
      <c r="TF155" s="1">
        <v>60013150</v>
      </c>
      <c r="TG155" s="1">
        <v>32767</v>
      </c>
      <c r="TH155" s="1">
        <v>7</v>
      </c>
    </row>
    <row r="156" spans="2:528" x14ac:dyDescent="0.25">
      <c r="B156" s="1">
        <v>2840046980</v>
      </c>
      <c r="C156" s="1">
        <v>34</v>
      </c>
      <c r="D156" s="1">
        <v>14295990</v>
      </c>
      <c r="E156" s="1">
        <v>14295990</v>
      </c>
      <c r="F156" s="1">
        <v>5.97</v>
      </c>
      <c r="G156" s="1">
        <v>1</v>
      </c>
      <c r="H156" s="1">
        <v>0</v>
      </c>
      <c r="I156" s="1">
        <v>90</v>
      </c>
      <c r="J156" s="1">
        <v>60003760</v>
      </c>
      <c r="K156" s="1">
        <v>32767</v>
      </c>
      <c r="L156" s="1">
        <v>0</v>
      </c>
      <c r="N156" s="1">
        <v>2856762591</v>
      </c>
      <c r="O156" s="1">
        <v>35</v>
      </c>
      <c r="P156" s="1">
        <v>4294360</v>
      </c>
      <c r="Q156" s="1">
        <v>2485074</v>
      </c>
      <c r="R156" s="1">
        <v>15.2</v>
      </c>
      <c r="S156" s="1">
        <v>1</v>
      </c>
      <c r="T156" s="1">
        <v>0</v>
      </c>
      <c r="U156" s="1">
        <v>90</v>
      </c>
      <c r="V156" s="1">
        <v>60002746</v>
      </c>
      <c r="W156" s="1">
        <v>32767</v>
      </c>
      <c r="X156" s="1">
        <v>6</v>
      </c>
      <c r="Z156" s="1">
        <v>2849120689</v>
      </c>
      <c r="AA156" s="1">
        <v>36</v>
      </c>
      <c r="AB156" s="1">
        <v>400</v>
      </c>
      <c r="AC156" s="1">
        <v>400</v>
      </c>
      <c r="AD156" s="16">
        <v>55</v>
      </c>
      <c r="AE156" s="1">
        <v>1</v>
      </c>
      <c r="AF156" s="1">
        <v>0</v>
      </c>
      <c r="AG156" s="1">
        <v>30</v>
      </c>
      <c r="AH156" s="1">
        <v>60003760</v>
      </c>
      <c r="AI156" s="1">
        <v>32767</v>
      </c>
      <c r="AJ156" s="1">
        <v>11</v>
      </c>
      <c r="AL156" s="1">
        <v>2878755835</v>
      </c>
      <c r="AM156" s="1">
        <v>37</v>
      </c>
      <c r="AN156" s="1">
        <v>84082</v>
      </c>
      <c r="AO156" s="1">
        <v>84082</v>
      </c>
      <c r="AP156" s="16">
        <v>146.78</v>
      </c>
      <c r="AQ156" s="1">
        <v>1</v>
      </c>
      <c r="AR156" s="1">
        <v>0</v>
      </c>
      <c r="AS156" s="1">
        <v>90</v>
      </c>
      <c r="AT156" s="1">
        <v>60003760</v>
      </c>
      <c r="AU156" s="1">
        <v>32767</v>
      </c>
      <c r="AV156" s="1">
        <v>9</v>
      </c>
      <c r="AX156" s="1">
        <v>2807551872</v>
      </c>
      <c r="AY156" s="1">
        <v>38</v>
      </c>
      <c r="AZ156" s="1">
        <v>1000000</v>
      </c>
      <c r="BA156" s="1">
        <v>741654</v>
      </c>
      <c r="BB156" s="1">
        <v>725.01</v>
      </c>
      <c r="BC156" s="1">
        <v>5000</v>
      </c>
      <c r="BD156" s="1">
        <v>1</v>
      </c>
      <c r="BE156" s="1">
        <v>90</v>
      </c>
      <c r="BF156" s="1">
        <v>60003760</v>
      </c>
      <c r="BG156" s="1">
        <v>5</v>
      </c>
      <c r="BH156" s="1">
        <v>0</v>
      </c>
      <c r="BJ156" s="1">
        <v>2871129132</v>
      </c>
      <c r="BK156" s="1">
        <v>39</v>
      </c>
      <c r="BL156" s="1">
        <v>800000</v>
      </c>
      <c r="BM156" s="1">
        <v>800000</v>
      </c>
      <c r="BN156" s="1">
        <v>750</v>
      </c>
      <c r="BO156" s="1">
        <v>1</v>
      </c>
      <c r="BP156" s="1">
        <v>1</v>
      </c>
      <c r="BQ156" s="1">
        <v>90</v>
      </c>
      <c r="BR156" s="1">
        <v>60003760</v>
      </c>
      <c r="BS156" s="1">
        <v>-1</v>
      </c>
      <c r="BT156" s="1">
        <v>0</v>
      </c>
      <c r="BV156" s="1">
        <v>2412908540</v>
      </c>
      <c r="BW156" s="1">
        <v>40</v>
      </c>
      <c r="BX156" s="1">
        <v>5000</v>
      </c>
      <c r="BY156" s="1">
        <v>4965</v>
      </c>
      <c r="BZ156" s="1">
        <v>2503.1</v>
      </c>
      <c r="CA156" s="1">
        <v>1</v>
      </c>
      <c r="CB156" s="1">
        <v>1</v>
      </c>
      <c r="CC156" s="1">
        <v>90</v>
      </c>
      <c r="CD156" s="1">
        <v>60003760</v>
      </c>
      <c r="CE156" s="1">
        <v>-1</v>
      </c>
      <c r="CF156" s="1">
        <v>0</v>
      </c>
      <c r="CH156" s="1">
        <v>2415866774</v>
      </c>
      <c r="CI156" s="1">
        <v>29668</v>
      </c>
      <c r="CJ156" s="1">
        <v>1</v>
      </c>
      <c r="CK156" s="1">
        <v>1</v>
      </c>
      <c r="CL156" s="1">
        <v>491500000</v>
      </c>
      <c r="CM156" s="1">
        <v>1</v>
      </c>
      <c r="CN156" s="1">
        <v>0</v>
      </c>
      <c r="CO156" s="1">
        <v>30</v>
      </c>
      <c r="CP156" s="1">
        <v>60003760</v>
      </c>
      <c r="CQ156" s="1">
        <v>32767</v>
      </c>
      <c r="CR156" s="1">
        <v>0</v>
      </c>
      <c r="CT156"/>
      <c r="CU156"/>
      <c r="CV156"/>
      <c r="CW156"/>
      <c r="CX156"/>
      <c r="CY156"/>
      <c r="CZ156"/>
      <c r="DA156"/>
      <c r="DB156"/>
      <c r="DC156"/>
      <c r="DD156"/>
      <c r="DF156" s="1">
        <v>2297245579</v>
      </c>
      <c r="DG156" s="1">
        <v>17887</v>
      </c>
      <c r="DH156" s="1">
        <v>100000</v>
      </c>
      <c r="DI156" s="1">
        <v>32190</v>
      </c>
      <c r="DJ156" s="1">
        <v>460.07</v>
      </c>
      <c r="DK156" s="1">
        <v>1</v>
      </c>
      <c r="DL156" s="1">
        <v>1</v>
      </c>
      <c r="DM156" s="1">
        <v>90</v>
      </c>
      <c r="DN156" s="1">
        <v>60003760</v>
      </c>
      <c r="DO156" s="1">
        <v>32767</v>
      </c>
      <c r="DP156" s="1">
        <v>0</v>
      </c>
      <c r="DR156" s="1">
        <v>2772175089</v>
      </c>
      <c r="DS156" s="1">
        <v>17888</v>
      </c>
      <c r="DT156" s="1">
        <v>280</v>
      </c>
      <c r="DU156" s="1">
        <v>280</v>
      </c>
      <c r="DV156" s="1">
        <v>415</v>
      </c>
      <c r="DW156" s="1">
        <v>1</v>
      </c>
      <c r="DX156" s="1">
        <v>0</v>
      </c>
      <c r="DY156" s="1">
        <v>90</v>
      </c>
      <c r="DZ156" s="1">
        <v>60002434</v>
      </c>
      <c r="EA156" s="1">
        <v>32767</v>
      </c>
      <c r="EB156" s="1">
        <v>6</v>
      </c>
      <c r="ED156" s="1">
        <v>2879105750</v>
      </c>
      <c r="EE156" s="1">
        <v>16273</v>
      </c>
      <c r="EF156" s="1">
        <v>214645</v>
      </c>
      <c r="EG156" s="1">
        <v>214645</v>
      </c>
      <c r="EH156" s="1">
        <v>369.5</v>
      </c>
      <c r="EI156" s="1">
        <v>1</v>
      </c>
      <c r="EJ156" s="1">
        <v>0</v>
      </c>
      <c r="EK156" s="1">
        <v>90</v>
      </c>
      <c r="EL156" s="1">
        <v>60003760</v>
      </c>
      <c r="EM156" s="1">
        <v>32767</v>
      </c>
      <c r="EN156" s="1">
        <v>0</v>
      </c>
      <c r="FZ156"/>
      <c r="GA156"/>
      <c r="GB156"/>
      <c r="GC156"/>
      <c r="GD156"/>
      <c r="GE156"/>
      <c r="GF156"/>
      <c r="GG156"/>
      <c r="GH156"/>
      <c r="GI156"/>
      <c r="GJ156"/>
      <c r="JF156"/>
      <c r="JG156"/>
      <c r="JH156"/>
      <c r="JI156"/>
      <c r="JJ156"/>
      <c r="JK156"/>
      <c r="JL156"/>
      <c r="JM156"/>
      <c r="JN156"/>
      <c r="JO156"/>
      <c r="JP156"/>
      <c r="KD156"/>
      <c r="KE156"/>
      <c r="KF156"/>
      <c r="KG156"/>
      <c r="KH156"/>
      <c r="KI156"/>
      <c r="KJ156"/>
      <c r="KK156"/>
      <c r="KL156"/>
      <c r="KM156"/>
      <c r="KN156"/>
      <c r="LB156" s="1">
        <v>2872615762</v>
      </c>
      <c r="LC156" s="1">
        <v>9832</v>
      </c>
      <c r="LD156" s="1">
        <v>147200</v>
      </c>
      <c r="LE156" s="1">
        <v>146830</v>
      </c>
      <c r="LF156" s="1">
        <v>9166.2000000000007</v>
      </c>
      <c r="LG156" s="1">
        <v>1</v>
      </c>
      <c r="LH156" s="1">
        <v>1</v>
      </c>
      <c r="LI156" s="1">
        <v>90</v>
      </c>
      <c r="LJ156" s="1">
        <v>60003760</v>
      </c>
      <c r="LK156" s="1">
        <v>-1</v>
      </c>
      <c r="LL156" s="1">
        <v>0</v>
      </c>
      <c r="NV156"/>
      <c r="NW156"/>
      <c r="NX156"/>
      <c r="NY156"/>
      <c r="NZ156"/>
      <c r="OA156"/>
      <c r="OB156"/>
      <c r="OC156"/>
      <c r="OD156"/>
      <c r="OE156"/>
      <c r="OF156"/>
      <c r="OH156" s="1">
        <v>2869404714</v>
      </c>
      <c r="OI156" s="1">
        <v>25598</v>
      </c>
      <c r="OJ156" s="1">
        <v>31</v>
      </c>
      <c r="OK156" s="1">
        <v>31</v>
      </c>
      <c r="OL156" s="1">
        <v>136000</v>
      </c>
      <c r="OM156" s="1">
        <v>1</v>
      </c>
      <c r="ON156" s="1">
        <v>0</v>
      </c>
      <c r="OO156" s="1">
        <v>30</v>
      </c>
      <c r="OP156" s="1">
        <v>60002272</v>
      </c>
      <c r="OQ156" s="1">
        <v>32767</v>
      </c>
      <c r="OR156" s="1">
        <v>11</v>
      </c>
      <c r="OT156"/>
      <c r="OU156"/>
      <c r="OV156"/>
      <c r="OW156"/>
      <c r="OX156"/>
      <c r="OY156"/>
      <c r="OZ156"/>
      <c r="PA156"/>
      <c r="PB156"/>
      <c r="PC156"/>
      <c r="PD156"/>
      <c r="SX156" s="1">
        <v>2807208576</v>
      </c>
      <c r="SY156" s="1">
        <v>25595</v>
      </c>
      <c r="SZ156" s="1">
        <v>66</v>
      </c>
      <c r="TA156" s="1">
        <v>36</v>
      </c>
      <c r="TB156" s="1">
        <v>94000</v>
      </c>
      <c r="TC156" s="1">
        <v>1</v>
      </c>
      <c r="TD156" s="1">
        <v>0</v>
      </c>
      <c r="TE156" s="1">
        <v>90</v>
      </c>
      <c r="TF156" s="1">
        <v>60004468</v>
      </c>
      <c r="TG156" s="1">
        <v>32767</v>
      </c>
      <c r="TH156" s="1">
        <v>6</v>
      </c>
    </row>
    <row r="157" spans="2:528" x14ac:dyDescent="0.25">
      <c r="B157" s="1">
        <v>2839964777</v>
      </c>
      <c r="C157" s="1">
        <v>34</v>
      </c>
      <c r="D157" s="1">
        <v>58162628</v>
      </c>
      <c r="E157" s="1">
        <v>58162628</v>
      </c>
      <c r="F157" s="1">
        <v>6</v>
      </c>
      <c r="G157" s="1">
        <v>1</v>
      </c>
      <c r="H157" s="1">
        <v>0</v>
      </c>
      <c r="I157" s="1">
        <v>90</v>
      </c>
      <c r="J157" s="1">
        <v>60003760</v>
      </c>
      <c r="K157" s="1">
        <v>32767</v>
      </c>
      <c r="L157" s="1">
        <v>0</v>
      </c>
      <c r="N157" s="1">
        <v>2851281912</v>
      </c>
      <c r="O157" s="1">
        <v>35</v>
      </c>
      <c r="P157" s="1">
        <v>2129059</v>
      </c>
      <c r="Q157" s="1">
        <v>916033</v>
      </c>
      <c r="R157" s="1">
        <v>16</v>
      </c>
      <c r="S157" s="1">
        <v>1</v>
      </c>
      <c r="T157" s="1">
        <v>0</v>
      </c>
      <c r="U157" s="1">
        <v>90</v>
      </c>
      <c r="V157" s="1">
        <v>60004054</v>
      </c>
      <c r="W157" s="1">
        <v>32767</v>
      </c>
      <c r="X157" s="1">
        <v>6</v>
      </c>
      <c r="Z157" s="1">
        <v>2848871008</v>
      </c>
      <c r="AA157" s="1">
        <v>36</v>
      </c>
      <c r="AB157" s="1">
        <v>5485575</v>
      </c>
      <c r="AC157" s="1">
        <v>5485575</v>
      </c>
      <c r="AD157" s="16">
        <v>51</v>
      </c>
      <c r="AE157" s="1">
        <v>1</v>
      </c>
      <c r="AF157" s="1">
        <v>0</v>
      </c>
      <c r="AG157" s="1">
        <v>90</v>
      </c>
      <c r="AH157" s="1">
        <v>60003760</v>
      </c>
      <c r="AI157" s="1">
        <v>32767</v>
      </c>
      <c r="AJ157" s="1">
        <v>11</v>
      </c>
      <c r="AL157" s="1">
        <v>2878810624</v>
      </c>
      <c r="AM157" s="1">
        <v>37</v>
      </c>
      <c r="AN157" s="1">
        <v>4512569</v>
      </c>
      <c r="AO157" s="1">
        <v>4502979</v>
      </c>
      <c r="AP157" s="16">
        <v>146.71</v>
      </c>
      <c r="AQ157" s="1">
        <v>1</v>
      </c>
      <c r="AR157" s="1">
        <v>0</v>
      </c>
      <c r="AS157" s="1">
        <v>90</v>
      </c>
      <c r="AT157" s="1">
        <v>60003760</v>
      </c>
      <c r="AU157" s="1">
        <v>32767</v>
      </c>
      <c r="AV157" s="1">
        <v>9</v>
      </c>
      <c r="AX157" s="1">
        <v>2793831676</v>
      </c>
      <c r="AY157" s="1">
        <v>38</v>
      </c>
      <c r="AZ157" s="1">
        <v>20000</v>
      </c>
      <c r="BA157" s="1">
        <v>19998</v>
      </c>
      <c r="BB157" s="1">
        <v>743.51</v>
      </c>
      <c r="BC157" s="1">
        <v>1</v>
      </c>
      <c r="BD157" s="1">
        <v>1</v>
      </c>
      <c r="BE157" s="1">
        <v>90</v>
      </c>
      <c r="BF157" s="1">
        <v>60003757</v>
      </c>
      <c r="BG157" s="1">
        <v>-1</v>
      </c>
      <c r="BH157" s="1">
        <v>0</v>
      </c>
      <c r="BJ157" s="1">
        <v>2874172873</v>
      </c>
      <c r="BK157" s="1">
        <v>39</v>
      </c>
      <c r="BL157" s="1">
        <v>100000</v>
      </c>
      <c r="BM157" s="1">
        <v>100000</v>
      </c>
      <c r="BN157" s="1">
        <v>79</v>
      </c>
      <c r="BO157" s="1">
        <v>1</v>
      </c>
      <c r="BP157" s="1">
        <v>1</v>
      </c>
      <c r="BQ157" s="1">
        <v>90</v>
      </c>
      <c r="BR157" s="1">
        <v>60003760</v>
      </c>
      <c r="BS157" s="1">
        <v>1</v>
      </c>
      <c r="BT157" s="1">
        <v>0</v>
      </c>
      <c r="BV157" s="1">
        <v>2412970888</v>
      </c>
      <c r="BW157" s="1">
        <v>40</v>
      </c>
      <c r="BX157" s="1">
        <v>100000</v>
      </c>
      <c r="BY157" s="1">
        <v>100000</v>
      </c>
      <c r="BZ157" s="1">
        <v>2505.1</v>
      </c>
      <c r="CA157" s="1">
        <v>1</v>
      </c>
      <c r="CB157" s="1">
        <v>1</v>
      </c>
      <c r="CC157" s="1">
        <v>90</v>
      </c>
      <c r="CD157" s="1">
        <v>60003760</v>
      </c>
      <c r="CE157" s="1">
        <v>-1</v>
      </c>
      <c r="CF157" s="1">
        <v>0</v>
      </c>
      <c r="CH157" s="1">
        <v>2415750309</v>
      </c>
      <c r="CI157" s="1">
        <v>29668</v>
      </c>
      <c r="CJ157" s="1">
        <v>3</v>
      </c>
      <c r="CK157" s="1">
        <v>2</v>
      </c>
      <c r="CL157" s="1">
        <v>491996999.99000001</v>
      </c>
      <c r="CM157" s="1">
        <v>1</v>
      </c>
      <c r="CN157" s="1">
        <v>0</v>
      </c>
      <c r="CO157" s="1">
        <v>90</v>
      </c>
      <c r="CP157" s="1">
        <v>60003760</v>
      </c>
      <c r="CQ157" s="1">
        <v>32767</v>
      </c>
      <c r="CR157" s="1">
        <v>0</v>
      </c>
      <c r="CT157"/>
      <c r="CU157"/>
      <c r="CV157"/>
      <c r="CW157"/>
      <c r="CX157"/>
      <c r="CY157"/>
      <c r="CZ157"/>
      <c r="DA157"/>
      <c r="DB157"/>
      <c r="DC157"/>
      <c r="DD157"/>
      <c r="DF157" s="1">
        <v>2307297871</v>
      </c>
      <c r="DG157" s="1">
        <v>17887</v>
      </c>
      <c r="DH157" s="1">
        <v>1000000</v>
      </c>
      <c r="DI157" s="1">
        <v>1000000</v>
      </c>
      <c r="DJ157" s="1">
        <v>536.01</v>
      </c>
      <c r="DK157" s="1">
        <v>1</v>
      </c>
      <c r="DL157" s="1">
        <v>1</v>
      </c>
      <c r="DM157" s="1">
        <v>90</v>
      </c>
      <c r="DN157" s="1">
        <v>60003760</v>
      </c>
      <c r="DO157" s="1">
        <v>-1</v>
      </c>
      <c r="DP157" s="1">
        <v>0</v>
      </c>
      <c r="DR157" s="1">
        <v>2766450629</v>
      </c>
      <c r="DS157" s="1">
        <v>17888</v>
      </c>
      <c r="DT157" s="1">
        <v>49260</v>
      </c>
      <c r="DU157" s="1">
        <v>332</v>
      </c>
      <c r="DV157" s="1">
        <v>415</v>
      </c>
      <c r="DW157" s="1">
        <v>1</v>
      </c>
      <c r="DX157" s="1">
        <v>0</v>
      </c>
      <c r="DY157" s="1">
        <v>90</v>
      </c>
      <c r="DZ157" s="1">
        <v>60003037</v>
      </c>
      <c r="EA157" s="1">
        <v>32767</v>
      </c>
      <c r="EB157" s="1">
        <v>6</v>
      </c>
      <c r="ED157" s="1">
        <v>2879113211</v>
      </c>
      <c r="EE157" s="1">
        <v>16273</v>
      </c>
      <c r="EF157" s="1">
        <v>3847</v>
      </c>
      <c r="EG157" s="1">
        <v>3847</v>
      </c>
      <c r="EH157" s="1">
        <v>365.12</v>
      </c>
      <c r="EI157" s="1">
        <v>1</v>
      </c>
      <c r="EJ157" s="1">
        <v>0</v>
      </c>
      <c r="EK157" s="1">
        <v>3</v>
      </c>
      <c r="EL157" s="1">
        <v>60003394</v>
      </c>
      <c r="EM157" s="1">
        <v>32767</v>
      </c>
      <c r="EN157" s="1">
        <v>0</v>
      </c>
      <c r="FZ157"/>
      <c r="GA157"/>
      <c r="GB157"/>
      <c r="GC157"/>
      <c r="GD157"/>
      <c r="GE157"/>
      <c r="GF157"/>
      <c r="GG157"/>
      <c r="GH157"/>
      <c r="GI157"/>
      <c r="GJ157"/>
      <c r="JF157"/>
      <c r="JG157"/>
      <c r="JH157"/>
      <c r="JI157"/>
      <c r="JJ157"/>
      <c r="JK157"/>
      <c r="JL157"/>
      <c r="JM157"/>
      <c r="JN157"/>
      <c r="JO157"/>
      <c r="JP157"/>
      <c r="KD157"/>
      <c r="KE157"/>
      <c r="KF157"/>
      <c r="KG157"/>
      <c r="KH157"/>
      <c r="KI157"/>
      <c r="KJ157"/>
      <c r="KK157"/>
      <c r="KL157"/>
      <c r="KM157"/>
      <c r="KN157"/>
      <c r="LB157" s="1">
        <v>2878620836</v>
      </c>
      <c r="LC157" s="1">
        <v>9832</v>
      </c>
      <c r="LD157" s="1">
        <v>320000</v>
      </c>
      <c r="LE157" s="1">
        <v>319715</v>
      </c>
      <c r="LF157" s="1">
        <v>9166.2199999999993</v>
      </c>
      <c r="LG157" s="1">
        <v>1</v>
      </c>
      <c r="LH157" s="1">
        <v>1</v>
      </c>
      <c r="LI157" s="1">
        <v>3</v>
      </c>
      <c r="LJ157" s="1">
        <v>60003760</v>
      </c>
      <c r="LK157" s="1">
        <v>-1</v>
      </c>
      <c r="LL157" s="1">
        <v>0</v>
      </c>
      <c r="NV157"/>
      <c r="NW157"/>
      <c r="NX157"/>
      <c r="NY157"/>
      <c r="NZ157"/>
      <c r="OA157"/>
      <c r="OB157"/>
      <c r="OC157"/>
      <c r="OD157"/>
      <c r="OE157"/>
      <c r="OF157"/>
      <c r="OH157" s="1">
        <v>2791364871</v>
      </c>
      <c r="OI157" s="1">
        <v>25598</v>
      </c>
      <c r="OJ157" s="1">
        <v>81</v>
      </c>
      <c r="OK157" s="1">
        <v>81</v>
      </c>
      <c r="OL157" s="1">
        <v>139980</v>
      </c>
      <c r="OM157" s="1">
        <v>1</v>
      </c>
      <c r="ON157" s="1">
        <v>0</v>
      </c>
      <c r="OO157" s="1">
        <v>90</v>
      </c>
      <c r="OP157" s="1">
        <v>60002848</v>
      </c>
      <c r="OQ157" s="1">
        <v>32767</v>
      </c>
      <c r="OR157" s="1">
        <v>12</v>
      </c>
      <c r="OT157"/>
      <c r="OU157"/>
      <c r="OV157"/>
      <c r="OW157"/>
      <c r="OX157"/>
      <c r="OY157"/>
      <c r="OZ157"/>
      <c r="PA157"/>
      <c r="PB157"/>
      <c r="PC157"/>
      <c r="PD157"/>
      <c r="SX157" s="1">
        <v>2811984013</v>
      </c>
      <c r="SY157" s="1">
        <v>25595</v>
      </c>
      <c r="SZ157" s="1">
        <v>20</v>
      </c>
      <c r="TA157" s="1">
        <v>20</v>
      </c>
      <c r="TB157" s="1">
        <v>120000</v>
      </c>
      <c r="TC157" s="1">
        <v>1</v>
      </c>
      <c r="TD157" s="1">
        <v>0</v>
      </c>
      <c r="TE157" s="1">
        <v>90</v>
      </c>
      <c r="TF157" s="1">
        <v>60001795</v>
      </c>
      <c r="TG157" s="1">
        <v>32767</v>
      </c>
      <c r="TH157" s="1">
        <v>8</v>
      </c>
    </row>
    <row r="158" spans="2:528" x14ac:dyDescent="0.25">
      <c r="B158" s="1">
        <v>2840151274</v>
      </c>
      <c r="C158" s="1">
        <v>34</v>
      </c>
      <c r="D158" s="1">
        <v>9561</v>
      </c>
      <c r="E158" s="1">
        <v>9561</v>
      </c>
      <c r="F158" s="1">
        <v>6.4</v>
      </c>
      <c r="G158" s="1">
        <v>1</v>
      </c>
      <c r="H158" s="1">
        <v>0</v>
      </c>
      <c r="I158" s="1">
        <v>30</v>
      </c>
      <c r="J158" s="1">
        <v>60003760</v>
      </c>
      <c r="K158" s="1">
        <v>32767</v>
      </c>
      <c r="L158" s="1">
        <v>0</v>
      </c>
      <c r="N158" s="1">
        <v>2835745556</v>
      </c>
      <c r="O158" s="1">
        <v>35</v>
      </c>
      <c r="P158" s="1">
        <v>23154848</v>
      </c>
      <c r="Q158" s="1">
        <v>13502451</v>
      </c>
      <c r="R158" s="1">
        <v>16.5</v>
      </c>
      <c r="S158" s="1">
        <v>1</v>
      </c>
      <c r="T158" s="1">
        <v>0</v>
      </c>
      <c r="U158" s="1">
        <v>90</v>
      </c>
      <c r="V158" s="1">
        <v>60002743</v>
      </c>
      <c r="W158" s="1">
        <v>32767</v>
      </c>
      <c r="X158" s="1">
        <v>6</v>
      </c>
      <c r="Z158" s="1">
        <v>2848618749</v>
      </c>
      <c r="AA158" s="1">
        <v>36</v>
      </c>
      <c r="AB158" s="1">
        <v>11867947</v>
      </c>
      <c r="AC158" s="1">
        <v>11867947</v>
      </c>
      <c r="AD158" s="16">
        <v>51.26</v>
      </c>
      <c r="AE158" s="1">
        <v>1</v>
      </c>
      <c r="AF158" s="1">
        <v>0</v>
      </c>
      <c r="AG158" s="1">
        <v>90</v>
      </c>
      <c r="AH158" s="1">
        <v>60003760</v>
      </c>
      <c r="AI158" s="1">
        <v>32767</v>
      </c>
      <c r="AJ158" s="1">
        <v>11</v>
      </c>
      <c r="AL158" s="1">
        <v>2878850379</v>
      </c>
      <c r="AM158" s="1">
        <v>37</v>
      </c>
      <c r="AN158" s="1">
        <v>104335</v>
      </c>
      <c r="AO158" s="1">
        <v>37679</v>
      </c>
      <c r="AP158" s="16">
        <v>146.66999999999999</v>
      </c>
      <c r="AQ158" s="1">
        <v>1</v>
      </c>
      <c r="AR158" s="1">
        <v>0</v>
      </c>
      <c r="AS158" s="1">
        <v>90</v>
      </c>
      <c r="AT158" s="1">
        <v>60003760</v>
      </c>
      <c r="AU158" s="1">
        <v>32767</v>
      </c>
      <c r="AV158" s="1">
        <v>9</v>
      </c>
      <c r="AX158" s="1">
        <v>2795353310</v>
      </c>
      <c r="AY158" s="1">
        <v>38</v>
      </c>
      <c r="AZ158" s="1">
        <v>250000</v>
      </c>
      <c r="BA158" s="1">
        <v>250000</v>
      </c>
      <c r="BB158" s="1">
        <v>740</v>
      </c>
      <c r="BC158" s="1">
        <v>1</v>
      </c>
      <c r="BD158" s="1">
        <v>1</v>
      </c>
      <c r="BE158" s="1">
        <v>90</v>
      </c>
      <c r="BF158" s="1">
        <v>60003760</v>
      </c>
      <c r="BG158" s="1">
        <v>-1</v>
      </c>
      <c r="BH158" s="1">
        <v>0</v>
      </c>
      <c r="BJ158" s="1">
        <v>2875121805</v>
      </c>
      <c r="BK158" s="1">
        <v>39</v>
      </c>
      <c r="BL158" s="1">
        <v>32478</v>
      </c>
      <c r="BM158" s="1">
        <v>28274</v>
      </c>
      <c r="BN158" s="1">
        <v>730.4</v>
      </c>
      <c r="BO158" s="1">
        <v>1</v>
      </c>
      <c r="BP158" s="1">
        <v>1</v>
      </c>
      <c r="BQ158" s="1">
        <v>90</v>
      </c>
      <c r="BR158" s="1">
        <v>60003760</v>
      </c>
      <c r="BS158" s="1">
        <v>2</v>
      </c>
      <c r="BT158" s="1">
        <v>0</v>
      </c>
      <c r="BV158" s="1">
        <v>2412295549</v>
      </c>
      <c r="BW158" s="1">
        <v>40</v>
      </c>
      <c r="BX158" s="1">
        <v>400000</v>
      </c>
      <c r="BY158" s="1">
        <v>400000</v>
      </c>
      <c r="BZ158" s="1">
        <v>2450</v>
      </c>
      <c r="CA158" s="1">
        <v>5000</v>
      </c>
      <c r="CB158" s="1">
        <v>1</v>
      </c>
      <c r="CC158" s="1">
        <v>90</v>
      </c>
      <c r="CD158" s="1">
        <v>60003760</v>
      </c>
      <c r="CE158" s="1">
        <v>5</v>
      </c>
      <c r="CF158" s="1">
        <v>0</v>
      </c>
      <c r="CH158" s="1">
        <v>2415749969</v>
      </c>
      <c r="CI158" s="1">
        <v>29668</v>
      </c>
      <c r="CJ158" s="1">
        <v>3</v>
      </c>
      <c r="CK158" s="1">
        <v>3</v>
      </c>
      <c r="CL158" s="1">
        <v>491996999.99000001</v>
      </c>
      <c r="CM158" s="1">
        <v>1</v>
      </c>
      <c r="CN158" s="1">
        <v>0</v>
      </c>
      <c r="CO158" s="1">
        <v>90</v>
      </c>
      <c r="CP158" s="1">
        <v>60003760</v>
      </c>
      <c r="CQ158" s="1">
        <v>32767</v>
      </c>
      <c r="CR158" s="1">
        <v>0</v>
      </c>
      <c r="CT158"/>
      <c r="CU158"/>
      <c r="CV158"/>
      <c r="CW158"/>
      <c r="CX158"/>
      <c r="CY158"/>
      <c r="CZ158"/>
      <c r="DA158"/>
      <c r="DB158"/>
      <c r="DC158"/>
      <c r="DD158"/>
      <c r="DF158" s="1">
        <v>2347723572</v>
      </c>
      <c r="DG158" s="1">
        <v>17887</v>
      </c>
      <c r="DH158" s="1">
        <v>100000</v>
      </c>
      <c r="DI158" s="1">
        <v>100000</v>
      </c>
      <c r="DJ158" s="1">
        <v>600</v>
      </c>
      <c r="DK158" s="1">
        <v>100000</v>
      </c>
      <c r="DL158" s="1">
        <v>1</v>
      </c>
      <c r="DM158" s="1">
        <v>90</v>
      </c>
      <c r="DN158" s="1">
        <v>60003760</v>
      </c>
      <c r="DO158" s="1">
        <v>32767</v>
      </c>
      <c r="DP158" s="1">
        <v>0</v>
      </c>
      <c r="DR158" s="1">
        <v>2764766410</v>
      </c>
      <c r="DS158" s="1">
        <v>17888</v>
      </c>
      <c r="DT158" s="1">
        <v>16717</v>
      </c>
      <c r="DU158" s="1">
        <v>8217</v>
      </c>
      <c r="DV158" s="1">
        <v>426</v>
      </c>
      <c r="DW158" s="1">
        <v>1</v>
      </c>
      <c r="DX158" s="1">
        <v>0</v>
      </c>
      <c r="DY158" s="1">
        <v>90</v>
      </c>
      <c r="DZ158" s="1">
        <v>60002434</v>
      </c>
      <c r="EA158" s="1">
        <v>32767</v>
      </c>
      <c r="EB158" s="1">
        <v>6</v>
      </c>
      <c r="ED158" s="1">
        <v>2878394903</v>
      </c>
      <c r="EE158" s="1">
        <v>16273</v>
      </c>
      <c r="EF158" s="1">
        <v>5000000</v>
      </c>
      <c r="EG158" s="1">
        <v>4275200</v>
      </c>
      <c r="EH158" s="1">
        <v>369.47</v>
      </c>
      <c r="EI158" s="1">
        <v>1</v>
      </c>
      <c r="EJ158" s="1">
        <v>0</v>
      </c>
      <c r="EK158" s="1">
        <v>90</v>
      </c>
      <c r="EL158" s="1">
        <v>60003760</v>
      </c>
      <c r="EM158" s="1">
        <v>32767</v>
      </c>
      <c r="EN158" s="1">
        <v>6</v>
      </c>
      <c r="FZ158"/>
      <c r="GA158"/>
      <c r="GB158"/>
      <c r="GC158"/>
      <c r="GD158"/>
      <c r="GE158"/>
      <c r="GF158"/>
      <c r="GG158"/>
      <c r="GH158"/>
      <c r="GI158"/>
      <c r="GJ158"/>
      <c r="JF158"/>
      <c r="JG158"/>
      <c r="JH158"/>
      <c r="JI158"/>
      <c r="JJ158"/>
      <c r="JK158"/>
      <c r="JL158"/>
      <c r="JM158"/>
      <c r="JN158"/>
      <c r="JO158"/>
      <c r="JP158"/>
      <c r="KD158"/>
      <c r="KE158"/>
      <c r="KF158"/>
      <c r="KG158"/>
      <c r="KH158"/>
      <c r="KI158"/>
      <c r="KJ158"/>
      <c r="KK158"/>
      <c r="KL158"/>
      <c r="KM158"/>
      <c r="KN158"/>
      <c r="LB158" s="1">
        <v>2877079232</v>
      </c>
      <c r="LC158" s="1">
        <v>9832</v>
      </c>
      <c r="LD158" s="1">
        <v>51200</v>
      </c>
      <c r="LE158" s="1">
        <v>29209</v>
      </c>
      <c r="LF158" s="1">
        <v>9170.14</v>
      </c>
      <c r="LG158" s="1">
        <v>1</v>
      </c>
      <c r="LH158" s="1">
        <v>1</v>
      </c>
      <c r="LI158" s="1">
        <v>90</v>
      </c>
      <c r="LJ158" s="1">
        <v>60003760</v>
      </c>
      <c r="LK158" s="1">
        <v>-1</v>
      </c>
      <c r="LL158" s="1">
        <v>0</v>
      </c>
      <c r="NV158"/>
      <c r="NW158"/>
      <c r="NX158"/>
      <c r="NY158"/>
      <c r="NZ158"/>
      <c r="OA158"/>
      <c r="OB158"/>
      <c r="OC158"/>
      <c r="OD158"/>
      <c r="OE158"/>
      <c r="OF158"/>
      <c r="OH158" s="1">
        <v>2838244919</v>
      </c>
      <c r="OI158" s="1">
        <v>25598</v>
      </c>
      <c r="OJ158" s="1">
        <v>92</v>
      </c>
      <c r="OK158" s="1">
        <v>88</v>
      </c>
      <c r="OL158" s="1">
        <v>139980</v>
      </c>
      <c r="OM158" s="1">
        <v>1</v>
      </c>
      <c r="ON158" s="1">
        <v>0</v>
      </c>
      <c r="OO158" s="1">
        <v>90</v>
      </c>
      <c r="OP158" s="1">
        <v>60003367</v>
      </c>
      <c r="OQ158" s="1">
        <v>32767</v>
      </c>
      <c r="OR158" s="1">
        <v>11</v>
      </c>
      <c r="OT158"/>
      <c r="OU158"/>
      <c r="OV158"/>
      <c r="OW158"/>
      <c r="OX158"/>
      <c r="OY158"/>
      <c r="OZ158"/>
      <c r="PA158"/>
      <c r="PB158"/>
      <c r="PC158"/>
      <c r="PD158"/>
      <c r="SX158" s="1">
        <v>2778054028</v>
      </c>
      <c r="SY158" s="1">
        <v>25595</v>
      </c>
      <c r="SZ158" s="1">
        <v>1</v>
      </c>
      <c r="TA158" s="1">
        <v>1</v>
      </c>
      <c r="TB158" s="1">
        <v>103000</v>
      </c>
      <c r="TC158" s="1">
        <v>1</v>
      </c>
      <c r="TD158" s="1">
        <v>0</v>
      </c>
      <c r="TE158" s="1">
        <v>90</v>
      </c>
      <c r="TF158" s="1">
        <v>60015027</v>
      </c>
      <c r="TG158" s="1">
        <v>32767</v>
      </c>
      <c r="TH158" s="1">
        <v>9</v>
      </c>
    </row>
    <row r="159" spans="2:528" x14ac:dyDescent="0.25">
      <c r="B159" s="1">
        <v>2840121784</v>
      </c>
      <c r="C159" s="1">
        <v>34</v>
      </c>
      <c r="D159" s="1">
        <v>65981</v>
      </c>
      <c r="E159" s="1">
        <v>65981</v>
      </c>
      <c r="F159" s="1">
        <v>6.22</v>
      </c>
      <c r="G159" s="1">
        <v>1</v>
      </c>
      <c r="H159" s="1">
        <v>0</v>
      </c>
      <c r="I159" s="1">
        <v>90</v>
      </c>
      <c r="J159" s="1">
        <v>60003760</v>
      </c>
      <c r="K159" s="1">
        <v>32767</v>
      </c>
      <c r="L159" s="1">
        <v>0</v>
      </c>
      <c r="N159" s="1">
        <v>2878019220</v>
      </c>
      <c r="O159" s="1">
        <v>35</v>
      </c>
      <c r="P159" s="1">
        <v>257181</v>
      </c>
      <c r="Q159" s="1">
        <v>7181</v>
      </c>
      <c r="R159" s="1">
        <v>14</v>
      </c>
      <c r="S159" s="1">
        <v>1</v>
      </c>
      <c r="T159" s="1">
        <v>0</v>
      </c>
      <c r="U159" s="1">
        <v>1</v>
      </c>
      <c r="V159" s="1">
        <v>60000277</v>
      </c>
      <c r="W159" s="1">
        <v>32767</v>
      </c>
      <c r="X159" s="1">
        <v>6</v>
      </c>
      <c r="Z159" s="1">
        <v>2849484157</v>
      </c>
      <c r="AA159" s="1">
        <v>36</v>
      </c>
      <c r="AB159" s="1">
        <v>3038970</v>
      </c>
      <c r="AC159" s="1">
        <v>3038970</v>
      </c>
      <c r="AD159" s="16">
        <v>70</v>
      </c>
      <c r="AE159" s="1">
        <v>1</v>
      </c>
      <c r="AF159" s="1">
        <v>0</v>
      </c>
      <c r="AG159" s="1">
        <v>90</v>
      </c>
      <c r="AH159" s="1">
        <v>60003760</v>
      </c>
      <c r="AI159" s="1">
        <v>32767</v>
      </c>
      <c r="AJ159" s="1">
        <v>11</v>
      </c>
      <c r="AL159" s="1">
        <v>2878853900</v>
      </c>
      <c r="AM159" s="1">
        <v>37</v>
      </c>
      <c r="AN159" s="1">
        <v>1538876</v>
      </c>
      <c r="AO159" s="1">
        <v>1538876</v>
      </c>
      <c r="AP159" s="16">
        <v>146.69999999999999</v>
      </c>
      <c r="AQ159" s="1">
        <v>1</v>
      </c>
      <c r="AR159" s="1">
        <v>0</v>
      </c>
      <c r="AS159" s="1">
        <v>90</v>
      </c>
      <c r="AT159" s="1">
        <v>60003760</v>
      </c>
      <c r="AU159" s="1">
        <v>32767</v>
      </c>
      <c r="AV159" s="1">
        <v>9</v>
      </c>
      <c r="AX159" s="1">
        <v>2835737995</v>
      </c>
      <c r="AY159" s="1">
        <v>38</v>
      </c>
      <c r="AZ159" s="1">
        <v>500000</v>
      </c>
      <c r="BA159" s="1">
        <v>499137</v>
      </c>
      <c r="BB159" s="1">
        <v>753.25</v>
      </c>
      <c r="BC159" s="1">
        <v>1</v>
      </c>
      <c r="BD159" s="1">
        <v>1</v>
      </c>
      <c r="BE159" s="1">
        <v>90</v>
      </c>
      <c r="BF159" s="1">
        <v>60003760</v>
      </c>
      <c r="BG159" s="1">
        <v>0</v>
      </c>
      <c r="BH159" s="1">
        <v>0</v>
      </c>
      <c r="BJ159" s="1">
        <v>2851464049</v>
      </c>
      <c r="BK159" s="1">
        <v>39</v>
      </c>
      <c r="BL159" s="1">
        <v>10000</v>
      </c>
      <c r="BM159" s="1">
        <v>8159</v>
      </c>
      <c r="BN159" s="1">
        <v>732.02</v>
      </c>
      <c r="BO159" s="1">
        <v>1</v>
      </c>
      <c r="BP159" s="1">
        <v>1</v>
      </c>
      <c r="BQ159" s="1">
        <v>90</v>
      </c>
      <c r="BR159" s="1">
        <v>60003754</v>
      </c>
      <c r="BS159" s="1">
        <v>0</v>
      </c>
      <c r="BT159" s="1">
        <v>0</v>
      </c>
      <c r="BV159" s="1">
        <v>2414379578</v>
      </c>
      <c r="BW159" s="1">
        <v>40</v>
      </c>
      <c r="BX159" s="1">
        <v>200000</v>
      </c>
      <c r="BY159" s="1">
        <v>175641</v>
      </c>
      <c r="BZ159" s="1">
        <v>2576.16</v>
      </c>
      <c r="CA159" s="1">
        <v>1</v>
      </c>
      <c r="CB159" s="1">
        <v>1</v>
      </c>
      <c r="CC159" s="1">
        <v>90</v>
      </c>
      <c r="CD159" s="1">
        <v>60003760</v>
      </c>
      <c r="CE159" s="1">
        <v>-1</v>
      </c>
      <c r="CF159" s="1">
        <v>0</v>
      </c>
      <c r="CH159" s="1">
        <v>2415757066</v>
      </c>
      <c r="CI159" s="1">
        <v>29668</v>
      </c>
      <c r="CJ159" s="1">
        <v>4</v>
      </c>
      <c r="CK159" s="1">
        <v>4</v>
      </c>
      <c r="CL159" s="1">
        <v>491996999.99000001</v>
      </c>
      <c r="CM159" s="1">
        <v>1</v>
      </c>
      <c r="CN159" s="1">
        <v>0</v>
      </c>
      <c r="CO159" s="1">
        <v>90</v>
      </c>
      <c r="CP159" s="1">
        <v>60003760</v>
      </c>
      <c r="CQ159" s="1">
        <v>32767</v>
      </c>
      <c r="CR159" s="1">
        <v>0</v>
      </c>
      <c r="CT159"/>
      <c r="CU159"/>
      <c r="CV159"/>
      <c r="CW159"/>
      <c r="CX159"/>
      <c r="CY159"/>
      <c r="CZ159"/>
      <c r="DA159"/>
      <c r="DB159"/>
      <c r="DC159"/>
      <c r="DD159"/>
      <c r="DF159" s="1">
        <v>2345969358</v>
      </c>
      <c r="DG159" s="1">
        <v>17887</v>
      </c>
      <c r="DH159" s="1">
        <v>2033614</v>
      </c>
      <c r="DI159" s="1">
        <v>2033614</v>
      </c>
      <c r="DJ159" s="1">
        <v>536.02</v>
      </c>
      <c r="DK159" s="1">
        <v>1</v>
      </c>
      <c r="DL159" s="1">
        <v>1</v>
      </c>
      <c r="DM159" s="1">
        <v>90</v>
      </c>
      <c r="DN159" s="1">
        <v>60003760</v>
      </c>
      <c r="DO159" s="1">
        <v>-1</v>
      </c>
      <c r="DP159" s="1">
        <v>0</v>
      </c>
      <c r="DR159" s="1">
        <v>2790901868</v>
      </c>
      <c r="DS159" s="1">
        <v>17888</v>
      </c>
      <c r="DT159" s="1">
        <v>43890</v>
      </c>
      <c r="DU159" s="1">
        <v>43890</v>
      </c>
      <c r="DV159" s="1">
        <v>410</v>
      </c>
      <c r="DW159" s="1">
        <v>1</v>
      </c>
      <c r="DX159" s="1">
        <v>0</v>
      </c>
      <c r="DY159" s="1">
        <v>90</v>
      </c>
      <c r="DZ159" s="1">
        <v>60003037</v>
      </c>
      <c r="EA159" s="1">
        <v>32767</v>
      </c>
      <c r="EB159" s="1">
        <v>6</v>
      </c>
      <c r="ED159" s="1">
        <v>2879123969</v>
      </c>
      <c r="EE159" s="1">
        <v>16273</v>
      </c>
      <c r="EF159" s="1">
        <v>196393</v>
      </c>
      <c r="EG159" s="1">
        <v>195893</v>
      </c>
      <c r="EH159" s="1">
        <v>369.36</v>
      </c>
      <c r="EI159" s="1">
        <v>1</v>
      </c>
      <c r="EJ159" s="1">
        <v>0</v>
      </c>
      <c r="EK159" s="1">
        <v>90</v>
      </c>
      <c r="EL159" s="1">
        <v>60003760</v>
      </c>
      <c r="EM159" s="1">
        <v>32767</v>
      </c>
      <c r="EN159" s="1">
        <v>0</v>
      </c>
      <c r="FZ159"/>
      <c r="GA159"/>
      <c r="GB159"/>
      <c r="GC159"/>
      <c r="GD159"/>
      <c r="GE159"/>
      <c r="GF159"/>
      <c r="GG159"/>
      <c r="GH159"/>
      <c r="GI159"/>
      <c r="GJ159"/>
      <c r="JF159"/>
      <c r="JG159"/>
      <c r="JH159"/>
      <c r="JI159"/>
      <c r="JJ159"/>
      <c r="JK159"/>
      <c r="JL159"/>
      <c r="JM159"/>
      <c r="JN159"/>
      <c r="JO159"/>
      <c r="JP159"/>
      <c r="KD159"/>
      <c r="KE159"/>
      <c r="KF159"/>
      <c r="KG159"/>
      <c r="KH159"/>
      <c r="KI159"/>
      <c r="KJ159"/>
      <c r="KK159"/>
      <c r="KL159"/>
      <c r="KM159"/>
      <c r="KN159"/>
      <c r="LB159" s="1">
        <v>2874687532</v>
      </c>
      <c r="LC159" s="1">
        <v>9832</v>
      </c>
      <c r="LD159" s="1">
        <v>25000</v>
      </c>
      <c r="LE159" s="1">
        <v>20770</v>
      </c>
      <c r="LF159" s="1">
        <v>9170.17</v>
      </c>
      <c r="LG159" s="1">
        <v>1</v>
      </c>
      <c r="LH159" s="1">
        <v>1</v>
      </c>
      <c r="LI159" s="1">
        <v>30</v>
      </c>
      <c r="LJ159" s="1">
        <v>60003760</v>
      </c>
      <c r="LK159" s="1">
        <v>-1</v>
      </c>
      <c r="LL159" s="1">
        <v>0</v>
      </c>
      <c r="NV159"/>
      <c r="NW159"/>
      <c r="NX159"/>
      <c r="NY159"/>
      <c r="NZ159"/>
      <c r="OA159"/>
      <c r="OB159"/>
      <c r="OC159"/>
      <c r="OD159"/>
      <c r="OE159"/>
      <c r="OF159"/>
      <c r="OH159" s="1">
        <v>2859986884</v>
      </c>
      <c r="OI159" s="1">
        <v>25598</v>
      </c>
      <c r="OJ159" s="1">
        <v>74</v>
      </c>
      <c r="OK159" s="1">
        <v>74</v>
      </c>
      <c r="OL159" s="1">
        <v>151111</v>
      </c>
      <c r="OM159" s="1">
        <v>1</v>
      </c>
      <c r="ON159" s="1">
        <v>0</v>
      </c>
      <c r="OO159" s="1">
        <v>90</v>
      </c>
      <c r="OP159" s="1">
        <v>60012667</v>
      </c>
      <c r="OQ159" s="1">
        <v>32767</v>
      </c>
      <c r="OR159" s="1">
        <v>6</v>
      </c>
      <c r="OT159"/>
      <c r="OU159"/>
      <c r="OV159"/>
      <c r="OW159"/>
      <c r="OX159"/>
      <c r="OY159"/>
      <c r="OZ159"/>
      <c r="PA159"/>
      <c r="PB159"/>
      <c r="PC159"/>
      <c r="PD159"/>
      <c r="SX159" s="1">
        <v>2788403923</v>
      </c>
      <c r="SY159" s="1">
        <v>25595</v>
      </c>
      <c r="SZ159" s="1">
        <v>3</v>
      </c>
      <c r="TA159" s="1">
        <v>2</v>
      </c>
      <c r="TB159" s="1">
        <v>99999</v>
      </c>
      <c r="TC159" s="1">
        <v>1</v>
      </c>
      <c r="TD159" s="1">
        <v>0</v>
      </c>
      <c r="TE159" s="1">
        <v>90</v>
      </c>
      <c r="TF159" s="1">
        <v>60015027</v>
      </c>
      <c r="TG159" s="1">
        <v>32767</v>
      </c>
      <c r="TH159" s="1">
        <v>9</v>
      </c>
    </row>
    <row r="160" spans="2:528" x14ac:dyDescent="0.25">
      <c r="B160" s="1">
        <v>2840206480</v>
      </c>
      <c r="C160" s="1">
        <v>34</v>
      </c>
      <c r="D160" s="1">
        <v>60403703</v>
      </c>
      <c r="E160" s="1">
        <v>60403703</v>
      </c>
      <c r="F160" s="1">
        <v>6</v>
      </c>
      <c r="G160" s="1">
        <v>1</v>
      </c>
      <c r="H160" s="1">
        <v>0</v>
      </c>
      <c r="I160" s="1">
        <v>30</v>
      </c>
      <c r="J160" s="1">
        <v>60003760</v>
      </c>
      <c r="K160" s="1">
        <v>32767</v>
      </c>
      <c r="L160" s="1">
        <v>0</v>
      </c>
      <c r="N160" s="1">
        <v>2870181608</v>
      </c>
      <c r="O160" s="1">
        <v>35</v>
      </c>
      <c r="P160" s="1">
        <v>5594263</v>
      </c>
      <c r="Q160" s="1">
        <v>5297003</v>
      </c>
      <c r="R160" s="1">
        <v>15</v>
      </c>
      <c r="S160" s="1">
        <v>1</v>
      </c>
      <c r="T160" s="1">
        <v>0</v>
      </c>
      <c r="U160" s="1">
        <v>30</v>
      </c>
      <c r="V160" s="1">
        <v>60002740</v>
      </c>
      <c r="W160" s="1">
        <v>32767</v>
      </c>
      <c r="X160" s="1">
        <v>7</v>
      </c>
      <c r="Z160" s="1">
        <v>2849792302</v>
      </c>
      <c r="AA160" s="1">
        <v>36</v>
      </c>
      <c r="AB160" s="1">
        <v>7994339</v>
      </c>
      <c r="AC160" s="1">
        <v>7994339</v>
      </c>
      <c r="AD160" s="16">
        <v>51</v>
      </c>
      <c r="AE160" s="1">
        <v>1</v>
      </c>
      <c r="AF160" s="1">
        <v>0</v>
      </c>
      <c r="AG160" s="1">
        <v>30</v>
      </c>
      <c r="AH160" s="1">
        <v>60003760</v>
      </c>
      <c r="AI160" s="1">
        <v>32767</v>
      </c>
      <c r="AJ160" s="1">
        <v>11</v>
      </c>
      <c r="AL160" s="1">
        <v>2878908101</v>
      </c>
      <c r="AM160" s="1">
        <v>37</v>
      </c>
      <c r="AN160" s="1">
        <v>2867784</v>
      </c>
      <c r="AO160" s="1">
        <v>2503784</v>
      </c>
      <c r="AP160" s="16">
        <v>146.63999999999999</v>
      </c>
      <c r="AQ160" s="1">
        <v>1</v>
      </c>
      <c r="AR160" s="1">
        <v>0</v>
      </c>
      <c r="AS160" s="1">
        <v>1</v>
      </c>
      <c r="AT160" s="1">
        <v>60003760</v>
      </c>
      <c r="AU160" s="1">
        <v>32767</v>
      </c>
      <c r="AV160" s="1">
        <v>9</v>
      </c>
      <c r="AX160" s="1">
        <v>2836081079</v>
      </c>
      <c r="AY160" s="1">
        <v>38</v>
      </c>
      <c r="AZ160" s="1">
        <v>190000</v>
      </c>
      <c r="BA160" s="1">
        <v>161915</v>
      </c>
      <c r="BB160" s="1">
        <v>724</v>
      </c>
      <c r="BC160" s="1">
        <v>10</v>
      </c>
      <c r="BD160" s="1">
        <v>1</v>
      </c>
      <c r="BE160" s="1">
        <v>30</v>
      </c>
      <c r="BF160" s="1">
        <v>60003760</v>
      </c>
      <c r="BG160" s="1">
        <v>3</v>
      </c>
      <c r="BH160" s="1">
        <v>0</v>
      </c>
      <c r="BJ160" s="1">
        <v>2869942960</v>
      </c>
      <c r="BK160" s="1">
        <v>39</v>
      </c>
      <c r="BL160" s="1">
        <v>20000</v>
      </c>
      <c r="BM160" s="1">
        <v>20000</v>
      </c>
      <c r="BN160" s="1">
        <v>730.31</v>
      </c>
      <c r="BO160" s="1">
        <v>1</v>
      </c>
      <c r="BP160" s="1">
        <v>1</v>
      </c>
      <c r="BQ160" s="1">
        <v>90</v>
      </c>
      <c r="BR160" s="1">
        <v>60003754</v>
      </c>
      <c r="BS160" s="1">
        <v>0</v>
      </c>
      <c r="BT160" s="1">
        <v>0</v>
      </c>
      <c r="BV160" s="1">
        <v>2397141644</v>
      </c>
      <c r="BW160" s="1">
        <v>40</v>
      </c>
      <c r="BX160" s="1">
        <v>100000</v>
      </c>
      <c r="BY160" s="1">
        <v>65124</v>
      </c>
      <c r="BZ160" s="1">
        <v>2258.17</v>
      </c>
      <c r="CA160" s="1">
        <v>1</v>
      </c>
      <c r="CB160" s="1">
        <v>1</v>
      </c>
      <c r="CC160" s="1">
        <v>90</v>
      </c>
      <c r="CD160" s="1">
        <v>60003760</v>
      </c>
      <c r="CE160" s="1">
        <v>5</v>
      </c>
      <c r="CF160" s="1">
        <v>0</v>
      </c>
      <c r="CH160" s="1">
        <v>2370719205</v>
      </c>
      <c r="CI160" s="1">
        <v>29668</v>
      </c>
      <c r="CJ160" s="1">
        <v>3</v>
      </c>
      <c r="CK160" s="1">
        <v>3</v>
      </c>
      <c r="CL160" s="1">
        <v>423000000.23000002</v>
      </c>
      <c r="CM160" s="1">
        <v>1</v>
      </c>
      <c r="CN160" s="1">
        <v>1</v>
      </c>
      <c r="CO160" s="1">
        <v>90</v>
      </c>
      <c r="CP160" s="1">
        <v>60001546</v>
      </c>
      <c r="CQ160" s="1">
        <v>32767</v>
      </c>
      <c r="CR160" s="1">
        <v>0</v>
      </c>
      <c r="CT160"/>
      <c r="CU160"/>
      <c r="CV160"/>
      <c r="CW160"/>
      <c r="CX160"/>
      <c r="CY160"/>
      <c r="CZ160"/>
      <c r="DA160"/>
      <c r="DB160"/>
      <c r="DC160"/>
      <c r="DD160"/>
      <c r="DF160" s="1">
        <v>2345263607</v>
      </c>
      <c r="DG160" s="1">
        <v>17887</v>
      </c>
      <c r="DH160" s="1">
        <v>1000000</v>
      </c>
      <c r="DI160" s="1">
        <v>1000000</v>
      </c>
      <c r="DJ160" s="1">
        <v>500</v>
      </c>
      <c r="DK160" s="1">
        <v>1</v>
      </c>
      <c r="DL160" s="1">
        <v>1</v>
      </c>
      <c r="DM160" s="1">
        <v>90</v>
      </c>
      <c r="DN160" s="1">
        <v>60003760</v>
      </c>
      <c r="DO160" s="1">
        <v>-1</v>
      </c>
      <c r="DP160" s="1">
        <v>0</v>
      </c>
      <c r="DR160" s="1">
        <v>2862487432</v>
      </c>
      <c r="DS160" s="1">
        <v>17888</v>
      </c>
      <c r="DT160" s="1">
        <v>10500</v>
      </c>
      <c r="DU160" s="1">
        <v>10500</v>
      </c>
      <c r="DV160" s="1">
        <v>350</v>
      </c>
      <c r="DW160" s="1">
        <v>1</v>
      </c>
      <c r="DX160" s="1">
        <v>0</v>
      </c>
      <c r="DY160" s="1">
        <v>90</v>
      </c>
      <c r="DZ160" s="1">
        <v>60003034</v>
      </c>
      <c r="EA160" s="1">
        <v>32767</v>
      </c>
      <c r="EB160" s="1">
        <v>6</v>
      </c>
      <c r="ED160" s="1">
        <v>2878226261</v>
      </c>
      <c r="EE160" s="1">
        <v>16273</v>
      </c>
      <c r="EF160" s="1">
        <v>5000000</v>
      </c>
      <c r="EG160" s="1">
        <v>76389</v>
      </c>
      <c r="EH160" s="1">
        <v>367.99</v>
      </c>
      <c r="EI160" s="1">
        <v>1</v>
      </c>
      <c r="EJ160" s="1">
        <v>0</v>
      </c>
      <c r="EK160" s="1">
        <v>90</v>
      </c>
      <c r="EL160" s="1">
        <v>60003760</v>
      </c>
      <c r="EM160" s="1">
        <v>32767</v>
      </c>
      <c r="EN160" s="1">
        <v>6</v>
      </c>
      <c r="FZ160"/>
      <c r="GA160"/>
      <c r="GB160"/>
      <c r="GC160"/>
      <c r="GD160"/>
      <c r="GE160"/>
      <c r="GF160"/>
      <c r="GG160"/>
      <c r="GH160"/>
      <c r="GI160"/>
      <c r="GJ160"/>
      <c r="JF160"/>
      <c r="JG160"/>
      <c r="JH160"/>
      <c r="JI160"/>
      <c r="JJ160"/>
      <c r="JK160"/>
      <c r="JL160"/>
      <c r="JM160"/>
      <c r="JN160"/>
      <c r="JO160"/>
      <c r="JP160"/>
      <c r="KD160"/>
      <c r="KE160"/>
      <c r="KF160"/>
      <c r="KG160"/>
      <c r="KH160"/>
      <c r="KI160"/>
      <c r="KJ160"/>
      <c r="KK160"/>
      <c r="KL160"/>
      <c r="KM160"/>
      <c r="KN160"/>
      <c r="LB160" s="1">
        <v>2875940919</v>
      </c>
      <c r="LC160" s="1">
        <v>9832</v>
      </c>
      <c r="LD160" s="1">
        <v>20000</v>
      </c>
      <c r="LE160" s="1">
        <v>14270</v>
      </c>
      <c r="LF160" s="1">
        <v>9170.18</v>
      </c>
      <c r="LG160" s="1">
        <v>1</v>
      </c>
      <c r="LH160" s="1">
        <v>1</v>
      </c>
      <c r="LI160" s="1">
        <v>90</v>
      </c>
      <c r="LJ160" s="1">
        <v>60003760</v>
      </c>
      <c r="LK160" s="1">
        <v>-1</v>
      </c>
      <c r="LL160" s="1">
        <v>0</v>
      </c>
      <c r="NV160"/>
      <c r="NW160"/>
      <c r="NX160"/>
      <c r="NY160"/>
      <c r="NZ160"/>
      <c r="OA160"/>
      <c r="OB160"/>
      <c r="OC160"/>
      <c r="OD160"/>
      <c r="OE160"/>
      <c r="OF160"/>
      <c r="OH160" s="1">
        <v>2875311617</v>
      </c>
      <c r="OI160" s="1">
        <v>25598</v>
      </c>
      <c r="OJ160" s="1">
        <v>20</v>
      </c>
      <c r="OK160" s="1">
        <v>20</v>
      </c>
      <c r="OL160" s="1">
        <v>136023.01999999999</v>
      </c>
      <c r="OM160" s="1">
        <v>1</v>
      </c>
      <c r="ON160" s="1">
        <v>0</v>
      </c>
      <c r="OO160" s="1">
        <v>90</v>
      </c>
      <c r="OP160" s="1">
        <v>60012667</v>
      </c>
      <c r="OQ160" s="1">
        <v>32767</v>
      </c>
      <c r="OR160" s="1">
        <v>6</v>
      </c>
      <c r="OT160"/>
      <c r="OU160"/>
      <c r="OV160"/>
      <c r="OW160"/>
      <c r="OX160"/>
      <c r="OY160"/>
      <c r="OZ160"/>
      <c r="PA160"/>
      <c r="PB160"/>
      <c r="PC160"/>
      <c r="PD160"/>
      <c r="SX160" s="1">
        <v>2844786465</v>
      </c>
      <c r="SY160" s="1">
        <v>25595</v>
      </c>
      <c r="SZ160" s="1">
        <v>1</v>
      </c>
      <c r="TA160" s="1">
        <v>1</v>
      </c>
      <c r="TB160" s="1">
        <v>100000</v>
      </c>
      <c r="TC160" s="1">
        <v>1</v>
      </c>
      <c r="TD160" s="1">
        <v>0</v>
      </c>
      <c r="TE160" s="1">
        <v>90</v>
      </c>
      <c r="TF160" s="1">
        <v>60015027</v>
      </c>
      <c r="TG160" s="1">
        <v>32767</v>
      </c>
      <c r="TH160" s="1">
        <v>9</v>
      </c>
    </row>
    <row r="161" spans="2:528" x14ac:dyDescent="0.25">
      <c r="B161" s="1">
        <v>2840208757</v>
      </c>
      <c r="C161" s="1">
        <v>34</v>
      </c>
      <c r="D161" s="1">
        <v>1320122</v>
      </c>
      <c r="E161" s="1">
        <v>1320122</v>
      </c>
      <c r="F161" s="1">
        <v>5.97</v>
      </c>
      <c r="G161" s="1">
        <v>1</v>
      </c>
      <c r="H161" s="1">
        <v>0</v>
      </c>
      <c r="I161" s="1">
        <v>30</v>
      </c>
      <c r="J161" s="1">
        <v>60003760</v>
      </c>
      <c r="K161" s="1">
        <v>32767</v>
      </c>
      <c r="L161" s="1">
        <v>0</v>
      </c>
      <c r="N161" s="1">
        <v>2856224665</v>
      </c>
      <c r="O161" s="1">
        <v>35</v>
      </c>
      <c r="P161" s="1">
        <v>1261</v>
      </c>
      <c r="Q161" s="1">
        <v>1261</v>
      </c>
      <c r="R161" s="1">
        <v>15.2</v>
      </c>
      <c r="S161" s="1">
        <v>1</v>
      </c>
      <c r="T161" s="1">
        <v>0</v>
      </c>
      <c r="U161" s="1">
        <v>90</v>
      </c>
      <c r="V161" s="1">
        <v>60001639</v>
      </c>
      <c r="W161" s="1">
        <v>32767</v>
      </c>
      <c r="X161" s="1">
        <v>7</v>
      </c>
      <c r="Z161" s="1">
        <v>2847353976</v>
      </c>
      <c r="AA161" s="1">
        <v>36</v>
      </c>
      <c r="AB161" s="1">
        <v>29972379</v>
      </c>
      <c r="AC161" s="1">
        <v>29972379</v>
      </c>
      <c r="AD161" s="16">
        <v>51.24</v>
      </c>
      <c r="AE161" s="1">
        <v>1</v>
      </c>
      <c r="AF161" s="1">
        <v>0</v>
      </c>
      <c r="AG161" s="1">
        <v>90</v>
      </c>
      <c r="AH161" s="1">
        <v>60003760</v>
      </c>
      <c r="AI161" s="1">
        <v>32767</v>
      </c>
      <c r="AJ161" s="1">
        <v>11</v>
      </c>
      <c r="AL161" s="1">
        <v>2878916785</v>
      </c>
      <c r="AM161" s="1">
        <v>37</v>
      </c>
      <c r="AN161" s="1">
        <v>6135781</v>
      </c>
      <c r="AO161" s="1">
        <v>653686</v>
      </c>
      <c r="AP161" s="16">
        <v>146.62</v>
      </c>
      <c r="AQ161" s="1">
        <v>1</v>
      </c>
      <c r="AR161" s="1">
        <v>0</v>
      </c>
      <c r="AS161" s="1">
        <v>90</v>
      </c>
      <c r="AT161" s="1">
        <v>60003760</v>
      </c>
      <c r="AU161" s="1">
        <v>32767</v>
      </c>
      <c r="AV161" s="1">
        <v>9</v>
      </c>
      <c r="AX161" s="1">
        <v>2836529271</v>
      </c>
      <c r="AY161" s="1">
        <v>38</v>
      </c>
      <c r="AZ161" s="1">
        <v>100000</v>
      </c>
      <c r="BA161" s="1">
        <v>100000</v>
      </c>
      <c r="BB161" s="1">
        <v>515.76</v>
      </c>
      <c r="BC161" s="1">
        <v>100</v>
      </c>
      <c r="BD161" s="1">
        <v>1</v>
      </c>
      <c r="BE161" s="1">
        <v>30</v>
      </c>
      <c r="BF161" s="1">
        <v>60003760</v>
      </c>
      <c r="BG161" s="1">
        <v>10</v>
      </c>
      <c r="BH161" s="1">
        <v>0</v>
      </c>
      <c r="BJ161" s="1">
        <v>2856953163</v>
      </c>
      <c r="BK161" s="1">
        <v>39</v>
      </c>
      <c r="BL161" s="1">
        <v>5000</v>
      </c>
      <c r="BM161" s="1">
        <v>4984</v>
      </c>
      <c r="BN161" s="1">
        <v>731</v>
      </c>
      <c r="BO161" s="1">
        <v>1</v>
      </c>
      <c r="BP161" s="1">
        <v>1</v>
      </c>
      <c r="BQ161" s="1">
        <v>90</v>
      </c>
      <c r="BR161" s="1">
        <v>60001642</v>
      </c>
      <c r="BS161" s="1">
        <v>1</v>
      </c>
      <c r="BT161" s="1">
        <v>0</v>
      </c>
      <c r="BV161" s="1">
        <v>2360054649</v>
      </c>
      <c r="BW161" s="1">
        <v>40</v>
      </c>
      <c r="BX161" s="1">
        <v>10000</v>
      </c>
      <c r="BY161" s="1">
        <v>10000</v>
      </c>
      <c r="BZ161" s="1">
        <v>398.89</v>
      </c>
      <c r="CA161" s="1">
        <v>1</v>
      </c>
      <c r="CB161" s="1">
        <v>1</v>
      </c>
      <c r="CC161" s="1">
        <v>90</v>
      </c>
      <c r="CD161" s="1">
        <v>60003760</v>
      </c>
      <c r="CE161" s="1">
        <v>2</v>
      </c>
      <c r="CF161" s="1">
        <v>0</v>
      </c>
      <c r="CH161" s="1">
        <v>2341461727</v>
      </c>
      <c r="CI161" s="1">
        <v>29668</v>
      </c>
      <c r="CJ161" s="1">
        <v>13</v>
      </c>
      <c r="CK161" s="1">
        <v>13</v>
      </c>
      <c r="CL161" s="1">
        <v>3</v>
      </c>
      <c r="CM161" s="1">
        <v>1</v>
      </c>
      <c r="CN161" s="1">
        <v>1</v>
      </c>
      <c r="CO161" s="1">
        <v>90</v>
      </c>
      <c r="CP161" s="1">
        <v>60000283</v>
      </c>
      <c r="CQ161" s="1">
        <v>32767</v>
      </c>
      <c r="CR161" s="1">
        <v>0</v>
      </c>
      <c r="CT161"/>
      <c r="CU161"/>
      <c r="CV161"/>
      <c r="CW161"/>
      <c r="CX161"/>
      <c r="CY161"/>
      <c r="CZ161"/>
      <c r="DA161"/>
      <c r="DB161"/>
      <c r="DC161"/>
      <c r="DD161"/>
      <c r="DF161" s="1">
        <v>2411079056</v>
      </c>
      <c r="DG161" s="1">
        <v>17887</v>
      </c>
      <c r="DH161" s="1">
        <v>100000</v>
      </c>
      <c r="DI161" s="1">
        <v>100000</v>
      </c>
      <c r="DJ161" s="1">
        <v>461.02</v>
      </c>
      <c r="DK161" s="1">
        <v>1000</v>
      </c>
      <c r="DL161" s="1">
        <v>1</v>
      </c>
      <c r="DM161" s="1">
        <v>90</v>
      </c>
      <c r="DN161" s="1">
        <v>60003760</v>
      </c>
      <c r="DO161" s="1">
        <v>20</v>
      </c>
      <c r="DP161" s="1">
        <v>0</v>
      </c>
      <c r="DR161" s="1">
        <v>2858687814</v>
      </c>
      <c r="DS161" s="1">
        <v>17888</v>
      </c>
      <c r="DT161" s="1">
        <v>9875</v>
      </c>
      <c r="DU161" s="1">
        <v>1875</v>
      </c>
      <c r="DV161" s="1">
        <v>344</v>
      </c>
      <c r="DW161" s="1">
        <v>1</v>
      </c>
      <c r="DX161" s="1">
        <v>0</v>
      </c>
      <c r="DY161" s="1">
        <v>90</v>
      </c>
      <c r="DZ161" s="1">
        <v>60003034</v>
      </c>
      <c r="EA161" s="1">
        <v>32767</v>
      </c>
      <c r="EB161" s="1">
        <v>6</v>
      </c>
      <c r="ED161" s="1">
        <v>2879103408</v>
      </c>
      <c r="EE161" s="1">
        <v>16273</v>
      </c>
      <c r="EF161" s="1">
        <v>150000</v>
      </c>
      <c r="EG161" s="1">
        <v>141000</v>
      </c>
      <c r="EH161" s="1">
        <v>369.27</v>
      </c>
      <c r="EI161" s="1">
        <v>1</v>
      </c>
      <c r="EJ161" s="1">
        <v>0</v>
      </c>
      <c r="EK161" s="1">
        <v>7</v>
      </c>
      <c r="EL161" s="1">
        <v>60003760</v>
      </c>
      <c r="EM161" s="1">
        <v>32767</v>
      </c>
      <c r="EN161" s="1">
        <v>0</v>
      </c>
      <c r="FZ161"/>
      <c r="GA161"/>
      <c r="GB161"/>
      <c r="GC161"/>
      <c r="GD161"/>
      <c r="GE161"/>
      <c r="GF161"/>
      <c r="GG161"/>
      <c r="GH161"/>
      <c r="GI161"/>
      <c r="GJ161"/>
      <c r="JF161"/>
      <c r="JG161"/>
      <c r="JH161"/>
      <c r="JI161"/>
      <c r="JJ161"/>
      <c r="JK161"/>
      <c r="JL161"/>
      <c r="JM161"/>
      <c r="JN161"/>
      <c r="JO161"/>
      <c r="JP161"/>
      <c r="KD161"/>
      <c r="KE161"/>
      <c r="KF161"/>
      <c r="KG161"/>
      <c r="KH161"/>
      <c r="KI161"/>
      <c r="KJ161"/>
      <c r="KK161"/>
      <c r="KL161"/>
      <c r="KM161"/>
      <c r="KN161"/>
      <c r="LB161" s="1">
        <v>2878802809</v>
      </c>
      <c r="LC161" s="1">
        <v>9832</v>
      </c>
      <c r="LD161" s="1">
        <v>192000</v>
      </c>
      <c r="LE161" s="1">
        <v>62165</v>
      </c>
      <c r="LF161" s="1">
        <v>9170.2099999999991</v>
      </c>
      <c r="LG161" s="1">
        <v>1</v>
      </c>
      <c r="LH161" s="1">
        <v>1</v>
      </c>
      <c r="LI161" s="1">
        <v>90</v>
      </c>
      <c r="LJ161" s="1">
        <v>60003760</v>
      </c>
      <c r="LK161" s="1">
        <v>-1</v>
      </c>
      <c r="LL161" s="1">
        <v>0</v>
      </c>
      <c r="NV161"/>
      <c r="NW161"/>
      <c r="NX161"/>
      <c r="NY161"/>
      <c r="NZ161"/>
      <c r="OA161"/>
      <c r="OB161"/>
      <c r="OC161"/>
      <c r="OD161"/>
      <c r="OE161"/>
      <c r="OF161"/>
      <c r="OH161" s="1">
        <v>2874323128</v>
      </c>
      <c r="OI161" s="1">
        <v>25598</v>
      </c>
      <c r="OJ161" s="1">
        <v>1376</v>
      </c>
      <c r="OK161" s="1">
        <v>1376</v>
      </c>
      <c r="OL161" s="1">
        <v>146000</v>
      </c>
      <c r="OM161" s="1">
        <v>1</v>
      </c>
      <c r="ON161" s="1">
        <v>0</v>
      </c>
      <c r="OO161" s="1">
        <v>90</v>
      </c>
      <c r="OP161" s="1">
        <v>60003073</v>
      </c>
      <c r="OQ161" s="1">
        <v>32767</v>
      </c>
      <c r="OR161" s="1">
        <v>6</v>
      </c>
      <c r="OT161"/>
      <c r="OU161"/>
      <c r="OV161"/>
      <c r="OW161"/>
      <c r="OX161"/>
      <c r="OY161"/>
      <c r="OZ161"/>
      <c r="PA161"/>
      <c r="PB161"/>
      <c r="PC161"/>
      <c r="PD161"/>
      <c r="SX161" s="1">
        <v>2878375078</v>
      </c>
      <c r="SY161" s="1">
        <v>25595</v>
      </c>
      <c r="SZ161" s="1">
        <v>1</v>
      </c>
      <c r="TA161" s="1">
        <v>1</v>
      </c>
      <c r="TB161" s="1">
        <v>72000</v>
      </c>
      <c r="TC161" s="1">
        <v>1</v>
      </c>
      <c r="TD161" s="1">
        <v>0</v>
      </c>
      <c r="TE161" s="1">
        <v>1</v>
      </c>
      <c r="TF161" s="1">
        <v>60002434</v>
      </c>
      <c r="TG161" s="1">
        <v>32767</v>
      </c>
      <c r="TH161" s="1">
        <v>4</v>
      </c>
    </row>
    <row r="162" spans="2:528" x14ac:dyDescent="0.25">
      <c r="B162" s="1">
        <v>2839936118</v>
      </c>
      <c r="C162" s="1">
        <v>34</v>
      </c>
      <c r="D162" s="1">
        <v>397483647</v>
      </c>
      <c r="E162" s="1">
        <v>199654350</v>
      </c>
      <c r="F162" s="1">
        <v>5.96</v>
      </c>
      <c r="G162" s="1">
        <v>1</v>
      </c>
      <c r="H162" s="1">
        <v>0</v>
      </c>
      <c r="I162" s="1">
        <v>90</v>
      </c>
      <c r="J162" s="1">
        <v>60003760</v>
      </c>
      <c r="K162" s="1">
        <v>32767</v>
      </c>
      <c r="L162" s="1">
        <v>0</v>
      </c>
      <c r="N162" s="1">
        <v>2875814422</v>
      </c>
      <c r="O162" s="1">
        <v>35</v>
      </c>
      <c r="P162" s="1">
        <v>6473</v>
      </c>
      <c r="Q162" s="1">
        <v>6473</v>
      </c>
      <c r="R162" s="1">
        <v>14.7</v>
      </c>
      <c r="S162" s="1">
        <v>1</v>
      </c>
      <c r="T162" s="1">
        <v>0</v>
      </c>
      <c r="U162" s="1">
        <v>90</v>
      </c>
      <c r="V162" s="1">
        <v>60004051</v>
      </c>
      <c r="W162" s="1">
        <v>32767</v>
      </c>
      <c r="X162" s="1">
        <v>7</v>
      </c>
      <c r="Z162" s="1">
        <v>2847688514</v>
      </c>
      <c r="AA162" s="1">
        <v>36</v>
      </c>
      <c r="AB162" s="1">
        <v>15000000</v>
      </c>
      <c r="AC162" s="1">
        <v>15000000</v>
      </c>
      <c r="AD162" s="16">
        <v>60</v>
      </c>
      <c r="AE162" s="1">
        <v>1</v>
      </c>
      <c r="AF162" s="1">
        <v>0</v>
      </c>
      <c r="AG162" s="1">
        <v>90</v>
      </c>
      <c r="AH162" s="1">
        <v>60003760</v>
      </c>
      <c r="AI162" s="1">
        <v>32767</v>
      </c>
      <c r="AJ162" s="1">
        <v>11</v>
      </c>
      <c r="AL162" s="1">
        <v>2878973921</v>
      </c>
      <c r="AM162" s="1">
        <v>37</v>
      </c>
      <c r="AN162" s="1">
        <v>1786354</v>
      </c>
      <c r="AO162" s="1">
        <v>846049</v>
      </c>
      <c r="AP162" s="16">
        <v>146.61000000000001</v>
      </c>
      <c r="AQ162" s="1">
        <v>1</v>
      </c>
      <c r="AR162" s="1">
        <v>0</v>
      </c>
      <c r="AS162" s="1">
        <v>90</v>
      </c>
      <c r="AT162" s="1">
        <v>60003760</v>
      </c>
      <c r="AU162" s="1">
        <v>32767</v>
      </c>
      <c r="AV162" s="1">
        <v>0</v>
      </c>
      <c r="AX162" s="1">
        <v>2835092747</v>
      </c>
      <c r="AY162" s="1">
        <v>38</v>
      </c>
      <c r="AZ162" s="1">
        <v>500000</v>
      </c>
      <c r="BA162" s="1">
        <v>196378</v>
      </c>
      <c r="BB162" s="1">
        <v>740.04</v>
      </c>
      <c r="BC162" s="1">
        <v>1</v>
      </c>
      <c r="BD162" s="1">
        <v>1</v>
      </c>
      <c r="BE162" s="1">
        <v>90</v>
      </c>
      <c r="BF162" s="1">
        <v>60003760</v>
      </c>
      <c r="BG162" s="1">
        <v>-1</v>
      </c>
      <c r="BH162" s="1">
        <v>0</v>
      </c>
      <c r="BJ162" s="1">
        <v>2877814238</v>
      </c>
      <c r="BK162" s="1">
        <v>39</v>
      </c>
      <c r="BL162" s="1">
        <v>2000</v>
      </c>
      <c r="BM162" s="1">
        <v>1919</v>
      </c>
      <c r="BN162" s="1">
        <v>782.22</v>
      </c>
      <c r="BO162" s="1">
        <v>1</v>
      </c>
      <c r="BP162" s="1">
        <v>1</v>
      </c>
      <c r="BQ162" s="1">
        <v>7</v>
      </c>
      <c r="BR162" s="1">
        <v>60001645</v>
      </c>
      <c r="BS162" s="1">
        <v>1</v>
      </c>
      <c r="BT162" s="1">
        <v>0</v>
      </c>
      <c r="BV162" s="1">
        <v>2364020028</v>
      </c>
      <c r="BW162" s="1">
        <v>40</v>
      </c>
      <c r="BX162" s="1">
        <v>10000</v>
      </c>
      <c r="BY162" s="1">
        <v>8579</v>
      </c>
      <c r="BZ162" s="1">
        <v>100</v>
      </c>
      <c r="CA162" s="1">
        <v>1</v>
      </c>
      <c r="CB162" s="1">
        <v>1</v>
      </c>
      <c r="CC162" s="1">
        <v>90</v>
      </c>
      <c r="CD162" s="1">
        <v>60003760</v>
      </c>
      <c r="CE162" s="1">
        <v>40</v>
      </c>
      <c r="CF162" s="1">
        <v>0</v>
      </c>
      <c r="CH162" s="1">
        <v>2406744845</v>
      </c>
      <c r="CI162" s="1">
        <v>29668</v>
      </c>
      <c r="CJ162" s="1">
        <v>4</v>
      </c>
      <c r="CK162" s="1">
        <v>4</v>
      </c>
      <c r="CL162" s="1">
        <v>430000000</v>
      </c>
      <c r="CM162" s="1">
        <v>4</v>
      </c>
      <c r="CN162" s="1">
        <v>1</v>
      </c>
      <c r="CO162" s="1">
        <v>14</v>
      </c>
      <c r="CP162" s="1">
        <v>60005602</v>
      </c>
      <c r="CQ162" s="1">
        <v>-1</v>
      </c>
      <c r="CR162" s="1">
        <v>0</v>
      </c>
      <c r="CT162"/>
      <c r="CU162"/>
      <c r="CV162"/>
      <c r="CW162"/>
      <c r="CX162"/>
      <c r="CY162"/>
      <c r="CZ162"/>
      <c r="DA162"/>
      <c r="DB162"/>
      <c r="DC162"/>
      <c r="DD162"/>
      <c r="DF162" s="1">
        <v>2404087982</v>
      </c>
      <c r="DG162" s="1">
        <v>17887</v>
      </c>
      <c r="DH162" s="1">
        <v>1500000</v>
      </c>
      <c r="DI162" s="1">
        <v>1500000</v>
      </c>
      <c r="DJ162" s="1">
        <v>600</v>
      </c>
      <c r="DK162" s="1">
        <v>1</v>
      </c>
      <c r="DL162" s="1">
        <v>1</v>
      </c>
      <c r="DM162" s="1">
        <v>90</v>
      </c>
      <c r="DN162" s="1">
        <v>60003760</v>
      </c>
      <c r="DO162" s="1">
        <v>-1</v>
      </c>
      <c r="DP162" s="1">
        <v>0</v>
      </c>
      <c r="DR162" s="1">
        <v>2866456826</v>
      </c>
      <c r="DS162" s="1">
        <v>17888</v>
      </c>
      <c r="DT162" s="1">
        <v>3044</v>
      </c>
      <c r="DU162" s="1">
        <v>3044</v>
      </c>
      <c r="DV162" s="1">
        <v>340</v>
      </c>
      <c r="DW162" s="1">
        <v>1</v>
      </c>
      <c r="DX162" s="1">
        <v>0</v>
      </c>
      <c r="DY162" s="1">
        <v>90</v>
      </c>
      <c r="DZ162" s="1">
        <v>60003034</v>
      </c>
      <c r="EA162" s="1">
        <v>32767</v>
      </c>
      <c r="EB162" s="1">
        <v>6</v>
      </c>
      <c r="ED162" s="1">
        <v>2879108759</v>
      </c>
      <c r="EE162" s="1">
        <v>16273</v>
      </c>
      <c r="EF162" s="1">
        <v>1121509</v>
      </c>
      <c r="EG162" s="1">
        <v>1121509</v>
      </c>
      <c r="EH162" s="1">
        <v>369.46</v>
      </c>
      <c r="EI162" s="1">
        <v>1</v>
      </c>
      <c r="EJ162" s="1">
        <v>0</v>
      </c>
      <c r="EK162" s="1">
        <v>7</v>
      </c>
      <c r="EL162" s="1">
        <v>60003760</v>
      </c>
      <c r="EM162" s="1">
        <v>32767</v>
      </c>
      <c r="EN162" s="1">
        <v>0</v>
      </c>
      <c r="FZ162"/>
      <c r="GA162"/>
      <c r="GB162"/>
      <c r="GC162"/>
      <c r="GD162"/>
      <c r="GE162"/>
      <c r="GF162"/>
      <c r="GG162"/>
      <c r="GH162"/>
      <c r="GI162"/>
      <c r="GJ162"/>
      <c r="JF162"/>
      <c r="JG162"/>
      <c r="JH162"/>
      <c r="JI162"/>
      <c r="JJ162"/>
      <c r="JK162"/>
      <c r="JL162"/>
      <c r="JM162"/>
      <c r="JN162"/>
      <c r="JO162"/>
      <c r="JP162"/>
      <c r="KD162"/>
      <c r="KE162"/>
      <c r="KF162"/>
      <c r="KG162"/>
      <c r="KH162"/>
      <c r="KI162"/>
      <c r="KJ162"/>
      <c r="KK162"/>
      <c r="KL162"/>
      <c r="KM162"/>
      <c r="KN162"/>
      <c r="LB162" s="1">
        <v>2878919950</v>
      </c>
      <c r="LC162" s="1">
        <v>9832</v>
      </c>
      <c r="LD162" s="1">
        <v>107200</v>
      </c>
      <c r="LE162" s="1">
        <v>54048</v>
      </c>
      <c r="LF162" s="1">
        <v>9170.2199999999993</v>
      </c>
      <c r="LG162" s="1">
        <v>1</v>
      </c>
      <c r="LH162" s="1">
        <v>1</v>
      </c>
      <c r="LI162" s="1">
        <v>7</v>
      </c>
      <c r="LJ162" s="1">
        <v>60003760</v>
      </c>
      <c r="LK162" s="1">
        <v>-1</v>
      </c>
      <c r="LL162" s="1">
        <v>0</v>
      </c>
      <c r="NV162"/>
      <c r="NW162"/>
      <c r="NX162"/>
      <c r="NY162"/>
      <c r="NZ162"/>
      <c r="OA162"/>
      <c r="OB162"/>
      <c r="OC162"/>
      <c r="OD162"/>
      <c r="OE162"/>
      <c r="OF162"/>
      <c r="OH162" s="1">
        <v>2875647695</v>
      </c>
      <c r="OI162" s="1">
        <v>25598</v>
      </c>
      <c r="OJ162" s="1">
        <v>181</v>
      </c>
      <c r="OK162" s="1">
        <v>181</v>
      </c>
      <c r="OL162" s="1">
        <v>136000</v>
      </c>
      <c r="OM162" s="1">
        <v>1</v>
      </c>
      <c r="ON162" s="1">
        <v>0</v>
      </c>
      <c r="OO162" s="1">
        <v>90</v>
      </c>
      <c r="OP162" s="1">
        <v>60012667</v>
      </c>
      <c r="OQ162" s="1">
        <v>32767</v>
      </c>
      <c r="OR162" s="1">
        <v>6</v>
      </c>
      <c r="SX162" s="1">
        <v>2878565666</v>
      </c>
      <c r="SY162" s="1">
        <v>25595</v>
      </c>
      <c r="SZ162" s="1">
        <v>27</v>
      </c>
      <c r="TA162" s="1">
        <v>27</v>
      </c>
      <c r="TB162" s="1">
        <v>71000</v>
      </c>
      <c r="TC162" s="1">
        <v>1</v>
      </c>
      <c r="TD162" s="1">
        <v>0</v>
      </c>
      <c r="TE162" s="1">
        <v>3</v>
      </c>
      <c r="TF162" s="1">
        <v>60004237</v>
      </c>
      <c r="TG162" s="1">
        <v>32767</v>
      </c>
      <c r="TH162" s="1">
        <v>0</v>
      </c>
    </row>
    <row r="163" spans="2:528" x14ac:dyDescent="0.25">
      <c r="B163" s="1">
        <v>2839936482</v>
      </c>
      <c r="C163" s="1">
        <v>34</v>
      </c>
      <c r="D163" s="1">
        <v>250000000</v>
      </c>
      <c r="E163" s="1">
        <v>250000000</v>
      </c>
      <c r="F163" s="1">
        <v>5.98</v>
      </c>
      <c r="G163" s="1">
        <v>1</v>
      </c>
      <c r="H163" s="1">
        <v>0</v>
      </c>
      <c r="I163" s="1">
        <v>90</v>
      </c>
      <c r="J163" s="1">
        <v>60003760</v>
      </c>
      <c r="K163" s="1">
        <v>32767</v>
      </c>
      <c r="L163" s="1">
        <v>0</v>
      </c>
      <c r="N163" s="1">
        <v>2834126218</v>
      </c>
      <c r="O163" s="1">
        <v>35</v>
      </c>
      <c r="P163" s="1">
        <v>1554889</v>
      </c>
      <c r="Q163" s="1">
        <v>552089</v>
      </c>
      <c r="R163" s="1">
        <v>16</v>
      </c>
      <c r="S163" s="1">
        <v>1</v>
      </c>
      <c r="T163" s="1">
        <v>0</v>
      </c>
      <c r="U163" s="1">
        <v>30</v>
      </c>
      <c r="V163" s="1">
        <v>60000646</v>
      </c>
      <c r="W163" s="1">
        <v>32767</v>
      </c>
      <c r="X163" s="1">
        <v>7</v>
      </c>
      <c r="Z163" s="1">
        <v>2847839682</v>
      </c>
      <c r="AA163" s="1">
        <v>36</v>
      </c>
      <c r="AB163" s="1">
        <v>39497615</v>
      </c>
      <c r="AC163" s="1">
        <v>39497615</v>
      </c>
      <c r="AD163" s="16">
        <v>51.3</v>
      </c>
      <c r="AE163" s="1">
        <v>1</v>
      </c>
      <c r="AF163" s="1">
        <v>0</v>
      </c>
      <c r="AG163" s="1">
        <v>90</v>
      </c>
      <c r="AH163" s="1">
        <v>60003760</v>
      </c>
      <c r="AI163" s="1">
        <v>32767</v>
      </c>
      <c r="AJ163" s="1">
        <v>11</v>
      </c>
      <c r="AL163" s="1">
        <v>2878986598</v>
      </c>
      <c r="AM163" s="1">
        <v>37</v>
      </c>
      <c r="AN163" s="1">
        <v>1445711</v>
      </c>
      <c r="AO163" s="1">
        <v>1445711</v>
      </c>
      <c r="AP163" s="16">
        <v>149</v>
      </c>
      <c r="AQ163" s="1">
        <v>1</v>
      </c>
      <c r="AR163" s="1">
        <v>0</v>
      </c>
      <c r="AS163" s="1">
        <v>30</v>
      </c>
      <c r="AT163" s="1">
        <v>60003760</v>
      </c>
      <c r="AU163" s="1">
        <v>32767</v>
      </c>
      <c r="AV163" s="1">
        <v>0</v>
      </c>
      <c r="AX163" s="1">
        <v>2835442416</v>
      </c>
      <c r="AY163" s="1">
        <v>38</v>
      </c>
      <c r="AZ163" s="1">
        <v>10000000</v>
      </c>
      <c r="BA163" s="1">
        <v>9886147</v>
      </c>
      <c r="BB163" s="1">
        <v>755.32</v>
      </c>
      <c r="BC163" s="1">
        <v>1</v>
      </c>
      <c r="BD163" s="1">
        <v>1</v>
      </c>
      <c r="BE163" s="1">
        <v>90</v>
      </c>
      <c r="BF163" s="1">
        <v>60003760</v>
      </c>
      <c r="BG163" s="1">
        <v>-1</v>
      </c>
      <c r="BH163" s="1">
        <v>0</v>
      </c>
      <c r="BJ163" s="1">
        <v>2859404785</v>
      </c>
      <c r="BK163" s="1">
        <v>39</v>
      </c>
      <c r="BL163" s="1">
        <v>26000</v>
      </c>
      <c r="BM163" s="1">
        <v>13844</v>
      </c>
      <c r="BN163" s="1">
        <v>760</v>
      </c>
      <c r="BO163" s="1">
        <v>1</v>
      </c>
      <c r="BP163" s="1">
        <v>1</v>
      </c>
      <c r="BQ163" s="1">
        <v>90</v>
      </c>
      <c r="BR163" s="1">
        <v>60003682</v>
      </c>
      <c r="BS163" s="1">
        <v>1</v>
      </c>
      <c r="BT163" s="1">
        <v>0</v>
      </c>
      <c r="BV163" s="1">
        <v>2392776531</v>
      </c>
      <c r="BW163" s="1">
        <v>40</v>
      </c>
      <c r="BX163" s="1">
        <v>1000000</v>
      </c>
      <c r="BY163" s="1">
        <v>865249</v>
      </c>
      <c r="BZ163" s="1">
        <v>2258.1799999999998</v>
      </c>
      <c r="CA163" s="1">
        <v>1</v>
      </c>
      <c r="CB163" s="1">
        <v>1</v>
      </c>
      <c r="CC163" s="1">
        <v>90</v>
      </c>
      <c r="CD163" s="1">
        <v>60003760</v>
      </c>
      <c r="CE163" s="1">
        <v>5</v>
      </c>
      <c r="CF163" s="1">
        <v>0</v>
      </c>
      <c r="CH163" s="1">
        <v>2375418782</v>
      </c>
      <c r="CI163" s="1">
        <v>29668</v>
      </c>
      <c r="CJ163" s="1">
        <v>1</v>
      </c>
      <c r="CK163" s="1">
        <v>1</v>
      </c>
      <c r="CL163" s="1">
        <v>423000000.23000002</v>
      </c>
      <c r="CM163" s="1">
        <v>1</v>
      </c>
      <c r="CN163" s="1">
        <v>1</v>
      </c>
      <c r="CO163" s="1">
        <v>90</v>
      </c>
      <c r="CP163" s="1">
        <v>60005605</v>
      </c>
      <c r="CQ163" s="1">
        <v>32767</v>
      </c>
      <c r="CR163" s="1">
        <v>0</v>
      </c>
      <c r="CT163"/>
      <c r="CU163"/>
      <c r="CV163"/>
      <c r="CW163"/>
      <c r="CX163"/>
      <c r="CY163"/>
      <c r="CZ163"/>
      <c r="DA163"/>
      <c r="DB163"/>
      <c r="DC163"/>
      <c r="DD163"/>
      <c r="DF163" s="1">
        <v>2401162523</v>
      </c>
      <c r="DG163" s="1">
        <v>17887</v>
      </c>
      <c r="DH163" s="1">
        <v>10000000</v>
      </c>
      <c r="DI163" s="1">
        <v>10000000</v>
      </c>
      <c r="DJ163" s="1">
        <v>0.01</v>
      </c>
      <c r="DK163" s="1">
        <v>1</v>
      </c>
      <c r="DL163" s="1">
        <v>1</v>
      </c>
      <c r="DM163" s="1">
        <v>90</v>
      </c>
      <c r="DN163" s="1">
        <v>60003760</v>
      </c>
      <c r="DO163" s="1">
        <v>32767</v>
      </c>
      <c r="DP163" s="1">
        <v>0</v>
      </c>
      <c r="DR163" s="1">
        <v>2877917316</v>
      </c>
      <c r="DS163" s="1">
        <v>17888</v>
      </c>
      <c r="DT163" s="1">
        <v>196147</v>
      </c>
      <c r="DU163" s="1">
        <v>196147</v>
      </c>
      <c r="DV163" s="1">
        <v>336</v>
      </c>
      <c r="DW163" s="1">
        <v>1</v>
      </c>
      <c r="DX163" s="1">
        <v>0</v>
      </c>
      <c r="DY163" s="1">
        <v>90</v>
      </c>
      <c r="DZ163" s="1">
        <v>60003037</v>
      </c>
      <c r="EA163" s="1">
        <v>32767</v>
      </c>
      <c r="EB163" s="1">
        <v>6</v>
      </c>
      <c r="ED163" s="1">
        <v>2879073882</v>
      </c>
      <c r="EE163" s="1">
        <v>16273</v>
      </c>
      <c r="EF163" s="1">
        <v>325297</v>
      </c>
      <c r="EG163" s="1">
        <v>37430</v>
      </c>
      <c r="EH163" s="1">
        <v>367.98</v>
      </c>
      <c r="EI163" s="1">
        <v>1</v>
      </c>
      <c r="EJ163" s="1">
        <v>0</v>
      </c>
      <c r="EK163" s="1">
        <v>7</v>
      </c>
      <c r="EL163" s="1">
        <v>60003760</v>
      </c>
      <c r="EM163" s="1">
        <v>32767</v>
      </c>
      <c r="EN163" s="1">
        <v>0</v>
      </c>
      <c r="FZ163"/>
      <c r="GA163"/>
      <c r="GB163"/>
      <c r="GC163"/>
      <c r="GD163"/>
      <c r="GE163"/>
      <c r="GF163"/>
      <c r="GG163"/>
      <c r="GH163"/>
      <c r="GI163"/>
      <c r="GJ163"/>
      <c r="JF163"/>
      <c r="JG163"/>
      <c r="JH163"/>
      <c r="JI163"/>
      <c r="JJ163"/>
      <c r="JK163"/>
      <c r="JL163"/>
      <c r="JM163"/>
      <c r="JN163"/>
      <c r="JO163"/>
      <c r="JP163"/>
      <c r="KD163"/>
      <c r="KE163"/>
      <c r="KF163"/>
      <c r="KG163"/>
      <c r="KH163"/>
      <c r="KI163"/>
      <c r="KJ163"/>
      <c r="KK163"/>
      <c r="KL163"/>
      <c r="KM163"/>
      <c r="KN163"/>
      <c r="LB163" s="1">
        <v>2878625685</v>
      </c>
      <c r="LC163" s="1">
        <v>9832</v>
      </c>
      <c r="LD163" s="1">
        <v>72000</v>
      </c>
      <c r="LE163" s="1">
        <v>33233</v>
      </c>
      <c r="LF163" s="1">
        <v>9171</v>
      </c>
      <c r="LG163" s="1">
        <v>1</v>
      </c>
      <c r="LH163" s="1">
        <v>1</v>
      </c>
      <c r="LI163" s="1">
        <v>90</v>
      </c>
      <c r="LJ163" s="1">
        <v>60003760</v>
      </c>
      <c r="LK163" s="1">
        <v>-1</v>
      </c>
      <c r="LL163" s="1">
        <v>0</v>
      </c>
      <c r="NV163"/>
      <c r="NW163"/>
      <c r="NX163"/>
      <c r="NY163"/>
      <c r="NZ163"/>
      <c r="OA163"/>
      <c r="OB163"/>
      <c r="OC163"/>
      <c r="OD163"/>
      <c r="OE163"/>
      <c r="OF163"/>
      <c r="OH163" s="1">
        <v>2871222256</v>
      </c>
      <c r="OI163" s="1">
        <v>25598</v>
      </c>
      <c r="OJ163" s="1">
        <v>66</v>
      </c>
      <c r="OK163" s="1">
        <v>66</v>
      </c>
      <c r="OL163" s="1">
        <v>150000</v>
      </c>
      <c r="OM163" s="1">
        <v>1</v>
      </c>
      <c r="ON163" s="1">
        <v>0</v>
      </c>
      <c r="OO163" s="1">
        <v>14</v>
      </c>
      <c r="OP163" s="1">
        <v>60012667</v>
      </c>
      <c r="OQ163" s="1">
        <v>32767</v>
      </c>
      <c r="OR163" s="1">
        <v>6</v>
      </c>
      <c r="SX163" s="1">
        <v>2878988506</v>
      </c>
      <c r="SY163" s="1">
        <v>25595</v>
      </c>
      <c r="SZ163" s="1">
        <v>1</v>
      </c>
      <c r="TA163" s="1">
        <v>1</v>
      </c>
      <c r="TB163" s="1">
        <v>68000</v>
      </c>
      <c r="TC163" s="1">
        <v>1</v>
      </c>
      <c r="TD163" s="1">
        <v>0</v>
      </c>
      <c r="TE163" s="1">
        <v>3</v>
      </c>
      <c r="TF163" s="1">
        <v>60015027</v>
      </c>
      <c r="TG163" s="1">
        <v>32767</v>
      </c>
      <c r="TH163" s="1">
        <v>0</v>
      </c>
    </row>
    <row r="164" spans="2:528" x14ac:dyDescent="0.25">
      <c r="B164" s="1">
        <v>2839937049</v>
      </c>
      <c r="C164" s="1">
        <v>34</v>
      </c>
      <c r="D164" s="1">
        <v>250000000</v>
      </c>
      <c r="E164" s="1">
        <v>250000000</v>
      </c>
      <c r="F164" s="1">
        <v>6.13</v>
      </c>
      <c r="G164" s="1">
        <v>1</v>
      </c>
      <c r="H164" s="1">
        <v>0</v>
      </c>
      <c r="I164" s="1">
        <v>90</v>
      </c>
      <c r="J164" s="1">
        <v>60003760</v>
      </c>
      <c r="K164" s="1">
        <v>32767</v>
      </c>
      <c r="L164" s="1">
        <v>0</v>
      </c>
      <c r="N164" s="1">
        <v>2838862758</v>
      </c>
      <c r="O164" s="1">
        <v>35</v>
      </c>
      <c r="P164" s="1">
        <v>336524</v>
      </c>
      <c r="Q164" s="1">
        <v>336524</v>
      </c>
      <c r="R164" s="1">
        <v>17.25</v>
      </c>
      <c r="S164" s="1">
        <v>1</v>
      </c>
      <c r="T164" s="1">
        <v>0</v>
      </c>
      <c r="U164" s="1">
        <v>30</v>
      </c>
      <c r="V164" s="1">
        <v>60000646</v>
      </c>
      <c r="W164" s="1">
        <v>32767</v>
      </c>
      <c r="X164" s="1">
        <v>7</v>
      </c>
      <c r="Z164" s="1">
        <v>2856409426</v>
      </c>
      <c r="AA164" s="1">
        <v>36</v>
      </c>
      <c r="AB164" s="1">
        <v>3000000</v>
      </c>
      <c r="AC164" s="1">
        <v>3000000</v>
      </c>
      <c r="AD164" s="16">
        <v>62</v>
      </c>
      <c r="AE164" s="1">
        <v>1</v>
      </c>
      <c r="AF164" s="1">
        <v>0</v>
      </c>
      <c r="AG164" s="1">
        <v>90</v>
      </c>
      <c r="AH164" s="1">
        <v>60003760</v>
      </c>
      <c r="AI164" s="1">
        <v>32767</v>
      </c>
      <c r="AJ164" s="1">
        <v>11</v>
      </c>
      <c r="AL164" s="1">
        <v>2879005633</v>
      </c>
      <c r="AM164" s="1">
        <v>37</v>
      </c>
      <c r="AN164" s="1">
        <v>3115981</v>
      </c>
      <c r="AO164" s="1">
        <v>3115981</v>
      </c>
      <c r="AP164" s="16">
        <v>146.65</v>
      </c>
      <c r="AQ164" s="1">
        <v>1</v>
      </c>
      <c r="AR164" s="1">
        <v>0</v>
      </c>
      <c r="AS164" s="1">
        <v>90</v>
      </c>
      <c r="AT164" s="1">
        <v>60003757</v>
      </c>
      <c r="AU164" s="1">
        <v>32767</v>
      </c>
      <c r="AV164" s="1">
        <v>0</v>
      </c>
      <c r="AX164" s="1">
        <v>2835224454</v>
      </c>
      <c r="AY164" s="1">
        <v>38</v>
      </c>
      <c r="AZ164" s="1">
        <v>200000</v>
      </c>
      <c r="BA164" s="1">
        <v>130328</v>
      </c>
      <c r="BB164" s="1">
        <v>755.3</v>
      </c>
      <c r="BC164" s="1">
        <v>1</v>
      </c>
      <c r="BD164" s="1">
        <v>1</v>
      </c>
      <c r="BE164" s="1">
        <v>90</v>
      </c>
      <c r="BF164" s="1">
        <v>60003760</v>
      </c>
      <c r="BG164" s="1">
        <v>-1</v>
      </c>
      <c r="BH164" s="1">
        <v>0</v>
      </c>
      <c r="BJ164" s="1">
        <v>2799975381</v>
      </c>
      <c r="BK164" s="1">
        <v>39</v>
      </c>
      <c r="BL164" s="1">
        <v>20000</v>
      </c>
      <c r="BM164" s="1">
        <v>10622</v>
      </c>
      <c r="BN164" s="1">
        <v>780.01</v>
      </c>
      <c r="BO164" s="1">
        <v>1</v>
      </c>
      <c r="BP164" s="1">
        <v>1</v>
      </c>
      <c r="BQ164" s="1">
        <v>90</v>
      </c>
      <c r="BR164" s="1">
        <v>60004051</v>
      </c>
      <c r="BS164" s="1">
        <v>-1</v>
      </c>
      <c r="BT164" s="1">
        <v>0</v>
      </c>
      <c r="BV164" s="1">
        <v>2350924885</v>
      </c>
      <c r="BW164" s="1">
        <v>40</v>
      </c>
      <c r="BX164" s="1">
        <v>300000</v>
      </c>
      <c r="BY164" s="1">
        <v>290617</v>
      </c>
      <c r="BZ164" s="1">
        <v>2305.0100000000002</v>
      </c>
      <c r="CA164" s="1">
        <v>1</v>
      </c>
      <c r="CB164" s="1">
        <v>1</v>
      </c>
      <c r="CC164" s="1">
        <v>90</v>
      </c>
      <c r="CD164" s="1">
        <v>60003760</v>
      </c>
      <c r="CE164" s="1">
        <v>-1</v>
      </c>
      <c r="CF164" s="1">
        <v>0</v>
      </c>
      <c r="CH164" s="1">
        <v>2387147668</v>
      </c>
      <c r="CI164" s="1">
        <v>29668</v>
      </c>
      <c r="CJ164" s="1">
        <v>1</v>
      </c>
      <c r="CK164" s="1">
        <v>1</v>
      </c>
      <c r="CL164" s="1">
        <v>4558930</v>
      </c>
      <c r="CM164" s="1">
        <v>1</v>
      </c>
      <c r="CN164" s="1">
        <v>1</v>
      </c>
      <c r="CO164" s="1">
        <v>30</v>
      </c>
      <c r="CP164" s="1">
        <v>60005455</v>
      </c>
      <c r="CQ164" s="1">
        <v>-1</v>
      </c>
      <c r="CR164" s="1">
        <v>0</v>
      </c>
      <c r="CT164"/>
      <c r="CU164"/>
      <c r="CV164"/>
      <c r="CW164"/>
      <c r="CX164"/>
      <c r="CY164"/>
      <c r="CZ164"/>
      <c r="DA164"/>
      <c r="DB164"/>
      <c r="DC164"/>
      <c r="DD164"/>
      <c r="DF164" s="1">
        <v>2409437022</v>
      </c>
      <c r="DG164" s="1">
        <v>17887</v>
      </c>
      <c r="DH164" s="1">
        <v>200000</v>
      </c>
      <c r="DI164" s="1">
        <v>87281</v>
      </c>
      <c r="DJ164" s="1">
        <v>751.18</v>
      </c>
      <c r="DK164" s="1">
        <v>5000</v>
      </c>
      <c r="DL164" s="1">
        <v>1</v>
      </c>
      <c r="DM164" s="1">
        <v>90</v>
      </c>
      <c r="DN164" s="1">
        <v>60003760</v>
      </c>
      <c r="DO164" s="1">
        <v>32767</v>
      </c>
      <c r="DP164" s="1">
        <v>0</v>
      </c>
      <c r="DR164" s="1">
        <v>2758804255</v>
      </c>
      <c r="DS164" s="1">
        <v>17888</v>
      </c>
      <c r="DT164" s="1">
        <v>240877</v>
      </c>
      <c r="DU164" s="1">
        <v>237877</v>
      </c>
      <c r="DV164" s="1">
        <v>340</v>
      </c>
      <c r="DW164" s="1">
        <v>1</v>
      </c>
      <c r="DX164" s="1">
        <v>0</v>
      </c>
      <c r="DY164" s="1">
        <v>90</v>
      </c>
      <c r="DZ164" s="1">
        <v>60004210</v>
      </c>
      <c r="EA164" s="1">
        <v>32767</v>
      </c>
      <c r="EB164" s="1">
        <v>3</v>
      </c>
      <c r="ED164" s="1">
        <v>2664119883</v>
      </c>
      <c r="EE164" s="1">
        <v>16273</v>
      </c>
      <c r="EF164" s="1">
        <v>6000000</v>
      </c>
      <c r="EG164" s="1">
        <v>3943638</v>
      </c>
      <c r="EH164" s="1">
        <v>305.14</v>
      </c>
      <c r="EI164" s="1">
        <v>1</v>
      </c>
      <c r="EJ164" s="1">
        <v>1</v>
      </c>
      <c r="EK164" s="1">
        <v>90</v>
      </c>
      <c r="EL164" s="1">
        <v>60000283</v>
      </c>
      <c r="EM164" s="1">
        <v>0</v>
      </c>
      <c r="EN164" s="1">
        <v>0</v>
      </c>
      <c r="FZ164"/>
      <c r="GA164"/>
      <c r="GB164"/>
      <c r="GC164"/>
      <c r="GD164"/>
      <c r="GE164"/>
      <c r="GF164"/>
      <c r="GG164"/>
      <c r="GH164"/>
      <c r="GI164"/>
      <c r="GJ164"/>
      <c r="JF164"/>
      <c r="JG164"/>
      <c r="JH164"/>
      <c r="JI164"/>
      <c r="JJ164"/>
      <c r="JK164"/>
      <c r="JL164"/>
      <c r="JM164"/>
      <c r="JN164"/>
      <c r="JO164"/>
      <c r="JP164"/>
      <c r="KD164"/>
      <c r="KE164"/>
      <c r="KF164"/>
      <c r="KG164"/>
      <c r="KH164"/>
      <c r="KI164"/>
      <c r="KJ164"/>
      <c r="KK164"/>
      <c r="KL164"/>
      <c r="KM164"/>
      <c r="KN164"/>
      <c r="LB164" s="1">
        <v>2878626034</v>
      </c>
      <c r="LC164" s="1">
        <v>9832</v>
      </c>
      <c r="LD164" s="1">
        <v>72000</v>
      </c>
      <c r="LE164" s="1">
        <v>72000</v>
      </c>
      <c r="LF164" s="1">
        <v>9171</v>
      </c>
      <c r="LG164" s="1">
        <v>1</v>
      </c>
      <c r="LH164" s="1">
        <v>1</v>
      </c>
      <c r="LI164" s="1">
        <v>90</v>
      </c>
      <c r="LJ164" s="1">
        <v>60003760</v>
      </c>
      <c r="LK164" s="1">
        <v>-1</v>
      </c>
      <c r="LL164" s="1">
        <v>0</v>
      </c>
      <c r="NV164"/>
      <c r="NW164"/>
      <c r="NX164"/>
      <c r="NY164"/>
      <c r="NZ164"/>
      <c r="OA164"/>
      <c r="OB164"/>
      <c r="OC164"/>
      <c r="OD164"/>
      <c r="OE164"/>
      <c r="OF164"/>
      <c r="OH164" s="1">
        <v>2871790562</v>
      </c>
      <c r="OI164" s="1">
        <v>25598</v>
      </c>
      <c r="OJ164" s="1">
        <v>4</v>
      </c>
      <c r="OK164" s="1">
        <v>4</v>
      </c>
      <c r="OL164" s="1">
        <v>150000</v>
      </c>
      <c r="OM164" s="1">
        <v>1</v>
      </c>
      <c r="ON164" s="1">
        <v>0</v>
      </c>
      <c r="OO164" s="1">
        <v>14</v>
      </c>
      <c r="OP164" s="1">
        <v>60000535</v>
      </c>
      <c r="OQ164" s="1">
        <v>32767</v>
      </c>
      <c r="OR164" s="1">
        <v>6</v>
      </c>
      <c r="SX164" s="1">
        <v>2879015994</v>
      </c>
      <c r="SY164" s="1">
        <v>25595</v>
      </c>
      <c r="SZ164" s="1">
        <v>1</v>
      </c>
      <c r="TA164" s="1">
        <v>1</v>
      </c>
      <c r="TB164" s="1">
        <v>77000</v>
      </c>
      <c r="TC164" s="1">
        <v>1</v>
      </c>
      <c r="TD164" s="1">
        <v>0</v>
      </c>
      <c r="TE164" s="1">
        <v>1</v>
      </c>
      <c r="TF164" s="1">
        <v>60003760</v>
      </c>
      <c r="TG164" s="1">
        <v>32767</v>
      </c>
      <c r="TH164" s="1">
        <v>0</v>
      </c>
    </row>
    <row r="165" spans="2:528" x14ac:dyDescent="0.25">
      <c r="B165" s="1">
        <v>2839937409</v>
      </c>
      <c r="C165" s="1">
        <v>34</v>
      </c>
      <c r="D165" s="1">
        <v>250000000</v>
      </c>
      <c r="E165" s="1">
        <v>250000000</v>
      </c>
      <c r="F165" s="1">
        <v>6.34</v>
      </c>
      <c r="G165" s="1">
        <v>1</v>
      </c>
      <c r="H165" s="1">
        <v>0</v>
      </c>
      <c r="I165" s="1">
        <v>90</v>
      </c>
      <c r="J165" s="1">
        <v>60003760</v>
      </c>
      <c r="K165" s="1">
        <v>32767</v>
      </c>
      <c r="L165" s="1">
        <v>0</v>
      </c>
      <c r="N165" s="1">
        <v>2849589029</v>
      </c>
      <c r="O165" s="1">
        <v>35</v>
      </c>
      <c r="P165" s="1">
        <v>549998</v>
      </c>
      <c r="Q165" s="1">
        <v>549998</v>
      </c>
      <c r="R165" s="1">
        <v>16.489999999999998</v>
      </c>
      <c r="S165" s="1">
        <v>1</v>
      </c>
      <c r="T165" s="1">
        <v>0</v>
      </c>
      <c r="U165" s="1">
        <v>30</v>
      </c>
      <c r="V165" s="1">
        <v>60000646</v>
      </c>
      <c r="W165" s="1">
        <v>32767</v>
      </c>
      <c r="X165" s="1">
        <v>7</v>
      </c>
      <c r="Z165" s="1">
        <v>2856441923</v>
      </c>
      <c r="AA165" s="1">
        <v>36</v>
      </c>
      <c r="AB165" s="1">
        <v>7784</v>
      </c>
      <c r="AC165" s="1">
        <v>7784</v>
      </c>
      <c r="AD165" s="16">
        <v>62</v>
      </c>
      <c r="AE165" s="1">
        <v>1</v>
      </c>
      <c r="AF165" s="1">
        <v>0</v>
      </c>
      <c r="AG165" s="1">
        <v>90</v>
      </c>
      <c r="AH165" s="1">
        <v>60003760</v>
      </c>
      <c r="AI165" s="1">
        <v>32767</v>
      </c>
      <c r="AJ165" s="1">
        <v>11</v>
      </c>
      <c r="AL165" s="1">
        <v>2879044743</v>
      </c>
      <c r="AM165" s="1">
        <v>37</v>
      </c>
      <c r="AN165" s="1">
        <v>5302</v>
      </c>
      <c r="AO165" s="1">
        <v>5297</v>
      </c>
      <c r="AP165" s="16">
        <v>144</v>
      </c>
      <c r="AQ165" s="1">
        <v>1</v>
      </c>
      <c r="AR165" s="1">
        <v>0</v>
      </c>
      <c r="AS165" s="1">
        <v>14</v>
      </c>
      <c r="AT165" s="1">
        <v>60000364</v>
      </c>
      <c r="AU165" s="1">
        <v>32767</v>
      </c>
      <c r="AV165" s="1">
        <v>0</v>
      </c>
      <c r="AX165" s="1">
        <v>2838603984</v>
      </c>
      <c r="AY165" s="1">
        <v>38</v>
      </c>
      <c r="AZ165" s="1">
        <v>10000000</v>
      </c>
      <c r="BA165" s="1">
        <v>10000000</v>
      </c>
      <c r="BB165" s="1">
        <v>0.01</v>
      </c>
      <c r="BC165" s="1">
        <v>1</v>
      </c>
      <c r="BD165" s="1">
        <v>1</v>
      </c>
      <c r="BE165" s="1">
        <v>90</v>
      </c>
      <c r="BF165" s="1">
        <v>60003760</v>
      </c>
      <c r="BG165" s="1">
        <v>40</v>
      </c>
      <c r="BH165" s="1">
        <v>0</v>
      </c>
      <c r="BJ165" s="1">
        <v>2862218497</v>
      </c>
      <c r="BK165" s="1">
        <v>39</v>
      </c>
      <c r="BL165" s="1">
        <v>1000</v>
      </c>
      <c r="BM165" s="1">
        <v>1000</v>
      </c>
      <c r="BN165" s="1">
        <v>700.51</v>
      </c>
      <c r="BO165" s="1">
        <v>1</v>
      </c>
      <c r="BP165" s="1">
        <v>1</v>
      </c>
      <c r="BQ165" s="1">
        <v>90</v>
      </c>
      <c r="BR165" s="1">
        <v>60000646</v>
      </c>
      <c r="BS165" s="1">
        <v>-1</v>
      </c>
      <c r="BT165" s="1">
        <v>0</v>
      </c>
      <c r="BV165" s="1">
        <v>2343979061</v>
      </c>
      <c r="BW165" s="1">
        <v>40</v>
      </c>
      <c r="BX165" s="1">
        <v>2000000</v>
      </c>
      <c r="BY165" s="1">
        <v>2000000</v>
      </c>
      <c r="BZ165" s="1">
        <v>1.01</v>
      </c>
      <c r="CA165" s="1">
        <v>1000</v>
      </c>
      <c r="CB165" s="1">
        <v>1</v>
      </c>
      <c r="CC165" s="1">
        <v>90</v>
      </c>
      <c r="CD165" s="1">
        <v>60003760</v>
      </c>
      <c r="CE165" s="1">
        <v>32767</v>
      </c>
      <c r="CF165" s="1">
        <v>0</v>
      </c>
      <c r="CH165" s="1">
        <v>2392152340</v>
      </c>
      <c r="CI165" s="1">
        <v>29668</v>
      </c>
      <c r="CJ165" s="1">
        <v>1</v>
      </c>
      <c r="CK165" s="1">
        <v>1</v>
      </c>
      <c r="CL165" s="1">
        <v>6000</v>
      </c>
      <c r="CM165" s="1">
        <v>1</v>
      </c>
      <c r="CN165" s="1">
        <v>1</v>
      </c>
      <c r="CO165" s="1">
        <v>90</v>
      </c>
      <c r="CP165" s="1">
        <v>60004243</v>
      </c>
      <c r="CQ165" s="1">
        <v>-1</v>
      </c>
      <c r="CR165" s="1">
        <v>0</v>
      </c>
      <c r="CT165"/>
      <c r="CU165"/>
      <c r="CV165"/>
      <c r="CW165"/>
      <c r="CX165"/>
      <c r="CY165"/>
      <c r="CZ165"/>
      <c r="DA165"/>
      <c r="DB165"/>
      <c r="DC165"/>
      <c r="DD165"/>
      <c r="DF165" s="1">
        <v>2410084650</v>
      </c>
      <c r="DG165" s="1">
        <v>17887</v>
      </c>
      <c r="DH165" s="1">
        <v>100000</v>
      </c>
      <c r="DI165" s="1">
        <v>100000</v>
      </c>
      <c r="DJ165" s="1">
        <v>880</v>
      </c>
      <c r="DK165" s="1">
        <v>1</v>
      </c>
      <c r="DL165" s="1">
        <v>1</v>
      </c>
      <c r="DM165" s="1">
        <v>90</v>
      </c>
      <c r="DN165" s="1">
        <v>60003760</v>
      </c>
      <c r="DO165" s="1">
        <v>0</v>
      </c>
      <c r="DP165" s="1">
        <v>0</v>
      </c>
      <c r="DR165" s="1">
        <v>2852427843</v>
      </c>
      <c r="DS165" s="1">
        <v>17888</v>
      </c>
      <c r="DT165" s="1">
        <v>126879</v>
      </c>
      <c r="DU165" s="1">
        <v>66879</v>
      </c>
      <c r="DV165" s="1">
        <v>344</v>
      </c>
      <c r="DW165" s="1">
        <v>1</v>
      </c>
      <c r="DX165" s="1">
        <v>0</v>
      </c>
      <c r="DY165" s="1">
        <v>90</v>
      </c>
      <c r="DZ165" s="1">
        <v>60004075</v>
      </c>
      <c r="EA165" s="1">
        <v>32767</v>
      </c>
      <c r="EB165" s="1">
        <v>8</v>
      </c>
      <c r="ED165" s="1">
        <v>2806833115</v>
      </c>
      <c r="EE165" s="1">
        <v>16273</v>
      </c>
      <c r="EF165" s="1">
        <v>750000</v>
      </c>
      <c r="EG165" s="1">
        <v>624095</v>
      </c>
      <c r="EH165" s="1">
        <v>340</v>
      </c>
      <c r="EI165" s="1">
        <v>1</v>
      </c>
      <c r="EJ165" s="1">
        <v>1</v>
      </c>
      <c r="EK165" s="1">
        <v>90</v>
      </c>
      <c r="EL165" s="1">
        <v>60004234</v>
      </c>
      <c r="EM165" s="1">
        <v>-1</v>
      </c>
      <c r="EN165" s="1">
        <v>0</v>
      </c>
      <c r="FZ165"/>
      <c r="GA165"/>
      <c r="GB165"/>
      <c r="GC165"/>
      <c r="GD165"/>
      <c r="GE165"/>
      <c r="GF165"/>
      <c r="GG165"/>
      <c r="GH165"/>
      <c r="GI165"/>
      <c r="GJ165"/>
      <c r="JF165"/>
      <c r="JG165"/>
      <c r="JH165"/>
      <c r="JI165"/>
      <c r="JJ165"/>
      <c r="JK165"/>
      <c r="JL165"/>
      <c r="JM165"/>
      <c r="JN165"/>
      <c r="JO165"/>
      <c r="JP165"/>
      <c r="KD165"/>
      <c r="KE165"/>
      <c r="KF165"/>
      <c r="KG165"/>
      <c r="KH165"/>
      <c r="KI165"/>
      <c r="KJ165"/>
      <c r="KK165"/>
      <c r="KL165"/>
      <c r="KM165"/>
      <c r="KN165"/>
      <c r="LB165"/>
      <c r="LC165"/>
      <c r="LD165"/>
      <c r="LE165"/>
      <c r="LF165"/>
      <c r="LG165"/>
      <c r="LH165"/>
      <c r="LI165"/>
      <c r="LJ165"/>
      <c r="LK165"/>
      <c r="LL165"/>
      <c r="NV165"/>
      <c r="NW165"/>
      <c r="NX165"/>
      <c r="NY165"/>
      <c r="NZ165"/>
      <c r="OA165"/>
      <c r="OB165"/>
      <c r="OC165"/>
      <c r="OD165"/>
      <c r="OE165"/>
      <c r="OF165"/>
      <c r="OH165" s="1">
        <v>2875568631</v>
      </c>
      <c r="OI165" s="1">
        <v>25598</v>
      </c>
      <c r="OJ165" s="1">
        <v>12</v>
      </c>
      <c r="OK165" s="1">
        <v>12</v>
      </c>
      <c r="OL165" s="1">
        <v>140000</v>
      </c>
      <c r="OM165" s="1">
        <v>1</v>
      </c>
      <c r="ON165" s="1">
        <v>0</v>
      </c>
      <c r="OO165" s="1">
        <v>30</v>
      </c>
      <c r="OP165" s="1">
        <v>60012673</v>
      </c>
      <c r="OQ165" s="1">
        <v>32767</v>
      </c>
      <c r="OR165" s="1">
        <v>8</v>
      </c>
      <c r="SX165" s="1">
        <v>2879016141</v>
      </c>
      <c r="SY165" s="1">
        <v>25595</v>
      </c>
      <c r="SZ165" s="1">
        <v>46</v>
      </c>
      <c r="TA165" s="1">
        <v>46</v>
      </c>
      <c r="TB165" s="1">
        <v>78889</v>
      </c>
      <c r="TC165" s="1">
        <v>1</v>
      </c>
      <c r="TD165" s="1">
        <v>0</v>
      </c>
      <c r="TE165" s="1">
        <v>90</v>
      </c>
      <c r="TF165" s="1">
        <v>60003760</v>
      </c>
      <c r="TG165" s="1">
        <v>32767</v>
      </c>
      <c r="TH165" s="1">
        <v>0</v>
      </c>
    </row>
    <row r="166" spans="2:528" x14ac:dyDescent="0.25">
      <c r="B166" s="1">
        <v>2839072437</v>
      </c>
      <c r="C166" s="1">
        <v>34</v>
      </c>
      <c r="D166" s="1">
        <v>6068446</v>
      </c>
      <c r="E166" s="1">
        <v>6068446</v>
      </c>
      <c r="F166" s="1">
        <v>5.97</v>
      </c>
      <c r="G166" s="1">
        <v>1</v>
      </c>
      <c r="H166" s="1">
        <v>0</v>
      </c>
      <c r="I166" s="1">
        <v>90</v>
      </c>
      <c r="J166" s="1">
        <v>60003760</v>
      </c>
      <c r="K166" s="1">
        <v>32767</v>
      </c>
      <c r="L166" s="1">
        <v>0</v>
      </c>
      <c r="N166" s="1">
        <v>2856219568</v>
      </c>
      <c r="O166" s="1">
        <v>35</v>
      </c>
      <c r="P166" s="1">
        <v>63574</v>
      </c>
      <c r="Q166" s="1">
        <v>63574</v>
      </c>
      <c r="R166" s="1">
        <v>15.25</v>
      </c>
      <c r="S166" s="1">
        <v>1</v>
      </c>
      <c r="T166" s="1">
        <v>0</v>
      </c>
      <c r="U166" s="1">
        <v>90</v>
      </c>
      <c r="V166" s="1">
        <v>60003670</v>
      </c>
      <c r="W166" s="1">
        <v>32767</v>
      </c>
      <c r="X166" s="1">
        <v>7</v>
      </c>
      <c r="Z166" s="1">
        <v>2855275834</v>
      </c>
      <c r="AA166" s="1">
        <v>36</v>
      </c>
      <c r="AB166" s="1">
        <v>17640581</v>
      </c>
      <c r="AC166" s="1">
        <v>17640581</v>
      </c>
      <c r="AD166" s="16">
        <v>51.25</v>
      </c>
      <c r="AE166" s="1">
        <v>1</v>
      </c>
      <c r="AF166" s="1">
        <v>0</v>
      </c>
      <c r="AG166" s="1">
        <v>90</v>
      </c>
      <c r="AH166" s="1">
        <v>60003760</v>
      </c>
      <c r="AI166" s="1">
        <v>32767</v>
      </c>
      <c r="AJ166" s="1">
        <v>11</v>
      </c>
      <c r="AL166" s="1">
        <v>2878893714</v>
      </c>
      <c r="AM166" s="1">
        <v>37</v>
      </c>
      <c r="AN166" s="1">
        <v>1317378</v>
      </c>
      <c r="AO166" s="1">
        <v>463747</v>
      </c>
      <c r="AP166" s="16">
        <v>146.6</v>
      </c>
      <c r="AQ166" s="1">
        <v>1</v>
      </c>
      <c r="AR166" s="1">
        <v>0</v>
      </c>
      <c r="AS166" s="1">
        <v>90</v>
      </c>
      <c r="AT166" s="1">
        <v>60003760</v>
      </c>
      <c r="AU166" s="1">
        <v>32767</v>
      </c>
      <c r="AV166" s="1">
        <v>9</v>
      </c>
      <c r="AX166" s="1">
        <v>2836773737</v>
      </c>
      <c r="AY166" s="1">
        <v>38</v>
      </c>
      <c r="AZ166" s="1">
        <v>250000</v>
      </c>
      <c r="BA166" s="1">
        <v>250000</v>
      </c>
      <c r="BB166" s="1">
        <v>755</v>
      </c>
      <c r="BC166" s="1">
        <v>1</v>
      </c>
      <c r="BD166" s="1">
        <v>1</v>
      </c>
      <c r="BE166" s="1">
        <v>90</v>
      </c>
      <c r="BF166" s="1">
        <v>60003760</v>
      </c>
      <c r="BG166" s="1">
        <v>-1</v>
      </c>
      <c r="BH166" s="1">
        <v>0</v>
      </c>
      <c r="BJ166" s="1">
        <v>2859135620</v>
      </c>
      <c r="BK166" s="1">
        <v>39</v>
      </c>
      <c r="BL166" s="1">
        <v>100000</v>
      </c>
      <c r="BM166" s="1">
        <v>100000</v>
      </c>
      <c r="BN166" s="1">
        <v>500</v>
      </c>
      <c r="BO166" s="1">
        <v>1</v>
      </c>
      <c r="BP166" s="1">
        <v>1</v>
      </c>
      <c r="BQ166" s="1">
        <v>30</v>
      </c>
      <c r="BR166" s="1">
        <v>60000655</v>
      </c>
      <c r="BS166" s="1">
        <v>-1</v>
      </c>
      <c r="BT166" s="1">
        <v>0</v>
      </c>
      <c r="BV166" s="1">
        <v>2411532487</v>
      </c>
      <c r="BW166" s="1">
        <v>40</v>
      </c>
      <c r="BX166" s="1">
        <v>100000</v>
      </c>
      <c r="BY166" s="1">
        <v>100000</v>
      </c>
      <c r="BZ166" s="1">
        <v>1547</v>
      </c>
      <c r="CA166" s="1">
        <v>1</v>
      </c>
      <c r="CB166" s="1">
        <v>1</v>
      </c>
      <c r="CC166" s="1">
        <v>90</v>
      </c>
      <c r="CD166" s="1">
        <v>60003760</v>
      </c>
      <c r="CE166" s="1">
        <v>4</v>
      </c>
      <c r="CF166" s="1">
        <v>0</v>
      </c>
      <c r="CH166" s="1">
        <v>2340617111</v>
      </c>
      <c r="CI166" s="1">
        <v>29668</v>
      </c>
      <c r="CJ166" s="1">
        <v>1</v>
      </c>
      <c r="CK166" s="1">
        <v>1</v>
      </c>
      <c r="CL166" s="1">
        <v>1000000</v>
      </c>
      <c r="CM166" s="1">
        <v>1</v>
      </c>
      <c r="CN166" s="1">
        <v>1</v>
      </c>
      <c r="CO166" s="1">
        <v>90</v>
      </c>
      <c r="CP166" s="1">
        <v>60004243</v>
      </c>
      <c r="CQ166" s="1">
        <v>32767</v>
      </c>
      <c r="CR166" s="1">
        <v>0</v>
      </c>
      <c r="CT166"/>
      <c r="CU166"/>
      <c r="CV166"/>
      <c r="CW166"/>
      <c r="CX166"/>
      <c r="CY166"/>
      <c r="CZ166"/>
      <c r="DA166"/>
      <c r="DB166"/>
      <c r="DC166"/>
      <c r="DD166"/>
      <c r="DF166" s="1">
        <v>2406805931</v>
      </c>
      <c r="DG166" s="1">
        <v>17887</v>
      </c>
      <c r="DH166" s="1">
        <v>100000</v>
      </c>
      <c r="DI166" s="1">
        <v>100000</v>
      </c>
      <c r="DJ166" s="1">
        <v>460.08</v>
      </c>
      <c r="DK166" s="1">
        <v>400</v>
      </c>
      <c r="DL166" s="1">
        <v>1</v>
      </c>
      <c r="DM166" s="1">
        <v>90</v>
      </c>
      <c r="DN166" s="1">
        <v>60003760</v>
      </c>
      <c r="DO166" s="1">
        <v>32767</v>
      </c>
      <c r="DP166" s="1">
        <v>0</v>
      </c>
      <c r="DR166" s="1">
        <v>2787121162</v>
      </c>
      <c r="DS166" s="1">
        <v>17888</v>
      </c>
      <c r="DT166" s="1">
        <v>1000000</v>
      </c>
      <c r="DU166" s="1">
        <v>1000000</v>
      </c>
      <c r="DV166" s="1">
        <v>748</v>
      </c>
      <c r="DW166" s="1">
        <v>1</v>
      </c>
      <c r="DX166" s="1">
        <v>0</v>
      </c>
      <c r="DY166" s="1">
        <v>90</v>
      </c>
      <c r="DZ166" s="1">
        <v>60010192</v>
      </c>
      <c r="EA166" s="1">
        <v>32767</v>
      </c>
      <c r="EB166" s="1">
        <v>7</v>
      </c>
      <c r="ED166" s="1">
        <v>2768681112</v>
      </c>
      <c r="EE166" s="1">
        <v>16273</v>
      </c>
      <c r="EF166" s="1">
        <v>3000000</v>
      </c>
      <c r="EG166" s="1">
        <v>2999979</v>
      </c>
      <c r="EH166" s="1">
        <v>120.01</v>
      </c>
      <c r="EI166" s="1">
        <v>1</v>
      </c>
      <c r="EJ166" s="1">
        <v>1</v>
      </c>
      <c r="EK166" s="1">
        <v>90</v>
      </c>
      <c r="EL166" s="1">
        <v>60006430</v>
      </c>
      <c r="EM166" s="1">
        <v>1</v>
      </c>
      <c r="EN166" s="1">
        <v>0</v>
      </c>
      <c r="FZ166"/>
      <c r="GA166"/>
      <c r="GB166"/>
      <c r="GC166"/>
      <c r="GD166"/>
      <c r="GE166"/>
      <c r="GF166"/>
      <c r="GG166"/>
      <c r="GH166"/>
      <c r="GI166"/>
      <c r="GJ166"/>
      <c r="JF166"/>
      <c r="JG166"/>
      <c r="JH166"/>
      <c r="JI166"/>
      <c r="JJ166"/>
      <c r="JK166"/>
      <c r="JL166"/>
      <c r="JM166"/>
      <c r="JN166"/>
      <c r="JO166"/>
      <c r="JP166"/>
      <c r="KD166"/>
      <c r="KE166"/>
      <c r="KF166"/>
      <c r="KG166"/>
      <c r="KH166"/>
      <c r="KI166"/>
      <c r="KJ166"/>
      <c r="KK166"/>
      <c r="KL166"/>
      <c r="KM166"/>
      <c r="KN166"/>
      <c r="LB166"/>
      <c r="LC166"/>
      <c r="LD166"/>
      <c r="LE166"/>
      <c r="LF166"/>
      <c r="LG166"/>
      <c r="LH166"/>
      <c r="LI166"/>
      <c r="LJ166"/>
      <c r="LK166"/>
      <c r="LL166"/>
      <c r="NV166"/>
      <c r="NW166"/>
      <c r="NX166"/>
      <c r="NY166"/>
      <c r="NZ166"/>
      <c r="OA166"/>
      <c r="OB166"/>
      <c r="OC166"/>
      <c r="OD166"/>
      <c r="OE166"/>
      <c r="OF166"/>
      <c r="OH166" s="1">
        <v>2814465350</v>
      </c>
      <c r="OI166" s="1">
        <v>25598</v>
      </c>
      <c r="OJ166" s="1">
        <v>1199</v>
      </c>
      <c r="OK166" s="1">
        <v>1179</v>
      </c>
      <c r="OL166" s="1">
        <v>161107</v>
      </c>
      <c r="OM166" s="1">
        <v>1</v>
      </c>
      <c r="ON166" s="1">
        <v>0</v>
      </c>
      <c r="OO166" s="1">
        <v>90</v>
      </c>
      <c r="OP166" s="1">
        <v>60010822</v>
      </c>
      <c r="OQ166" s="1">
        <v>32767</v>
      </c>
      <c r="OR166" s="1">
        <v>11</v>
      </c>
      <c r="SX166" s="1">
        <v>2879005560</v>
      </c>
      <c r="SY166" s="1">
        <v>25595</v>
      </c>
      <c r="SZ166" s="1">
        <v>663</v>
      </c>
      <c r="TA166" s="1">
        <v>513</v>
      </c>
      <c r="TB166" s="1">
        <v>76999.990000000005</v>
      </c>
      <c r="TC166" s="1">
        <v>1</v>
      </c>
      <c r="TD166" s="1">
        <v>0</v>
      </c>
      <c r="TE166" s="1">
        <v>90</v>
      </c>
      <c r="TF166" s="1">
        <v>60003760</v>
      </c>
      <c r="TG166" s="1">
        <v>32767</v>
      </c>
      <c r="TH166" s="1">
        <v>0</v>
      </c>
    </row>
    <row r="167" spans="2:528" x14ac:dyDescent="0.25">
      <c r="B167" s="1">
        <v>2839256345</v>
      </c>
      <c r="C167" s="1">
        <v>34</v>
      </c>
      <c r="D167" s="1">
        <v>24740376</v>
      </c>
      <c r="E167" s="1">
        <v>24740376</v>
      </c>
      <c r="F167" s="1">
        <v>5.97</v>
      </c>
      <c r="G167" s="1">
        <v>1</v>
      </c>
      <c r="H167" s="1">
        <v>0</v>
      </c>
      <c r="I167" s="1">
        <v>90</v>
      </c>
      <c r="J167" s="1">
        <v>60003760</v>
      </c>
      <c r="K167" s="1">
        <v>32767</v>
      </c>
      <c r="L167" s="1">
        <v>0</v>
      </c>
      <c r="N167" s="1">
        <v>2853841095</v>
      </c>
      <c r="O167" s="1">
        <v>35</v>
      </c>
      <c r="P167" s="1">
        <v>16007</v>
      </c>
      <c r="Q167" s="1">
        <v>16007</v>
      </c>
      <c r="R167" s="1">
        <v>16.510000000000002</v>
      </c>
      <c r="S167" s="1">
        <v>1</v>
      </c>
      <c r="T167" s="1">
        <v>0</v>
      </c>
      <c r="U167" s="1">
        <v>30</v>
      </c>
      <c r="V167" s="1">
        <v>60002437</v>
      </c>
      <c r="W167" s="1">
        <v>32767</v>
      </c>
      <c r="X167" s="1">
        <v>3</v>
      </c>
      <c r="Z167" s="1">
        <v>2863239454</v>
      </c>
      <c r="AA167" s="1">
        <v>36</v>
      </c>
      <c r="AB167" s="1">
        <v>3065722</v>
      </c>
      <c r="AC167" s="1">
        <v>3065722</v>
      </c>
      <c r="AD167" s="16">
        <v>51</v>
      </c>
      <c r="AE167" s="1">
        <v>1</v>
      </c>
      <c r="AF167" s="1">
        <v>0</v>
      </c>
      <c r="AG167" s="1">
        <v>90</v>
      </c>
      <c r="AH167" s="1">
        <v>60003760</v>
      </c>
      <c r="AI167" s="1">
        <v>32767</v>
      </c>
      <c r="AJ167" s="1">
        <v>11</v>
      </c>
      <c r="AL167" s="1">
        <v>2879065734</v>
      </c>
      <c r="AM167" s="1">
        <v>37</v>
      </c>
      <c r="AN167" s="1">
        <v>18443735</v>
      </c>
      <c r="AO167" s="1">
        <v>16354176</v>
      </c>
      <c r="AP167" s="16">
        <v>146.5</v>
      </c>
      <c r="AQ167" s="1">
        <v>1</v>
      </c>
      <c r="AR167" s="1">
        <v>0</v>
      </c>
      <c r="AS167" s="1">
        <v>90</v>
      </c>
      <c r="AT167" s="1">
        <v>60003760</v>
      </c>
      <c r="AU167" s="1">
        <v>32767</v>
      </c>
      <c r="AV167" s="1">
        <v>0</v>
      </c>
      <c r="AX167" s="1">
        <v>2836776935</v>
      </c>
      <c r="AY167" s="1">
        <v>38</v>
      </c>
      <c r="AZ167" s="1">
        <v>250000</v>
      </c>
      <c r="BA167" s="1">
        <v>250000</v>
      </c>
      <c r="BB167" s="1">
        <v>755</v>
      </c>
      <c r="BC167" s="1">
        <v>1</v>
      </c>
      <c r="BD167" s="1">
        <v>1</v>
      </c>
      <c r="BE167" s="1">
        <v>90</v>
      </c>
      <c r="BF167" s="1">
        <v>60003760</v>
      </c>
      <c r="BG167" s="1">
        <v>-1</v>
      </c>
      <c r="BH167" s="1">
        <v>0</v>
      </c>
      <c r="BJ167" s="1">
        <v>2867313471</v>
      </c>
      <c r="BK167" s="1">
        <v>39</v>
      </c>
      <c r="BL167" s="1">
        <v>130</v>
      </c>
      <c r="BM167" s="1">
        <v>130</v>
      </c>
      <c r="BN167" s="1">
        <v>689</v>
      </c>
      <c r="BO167" s="1">
        <v>1</v>
      </c>
      <c r="BP167" s="1">
        <v>1</v>
      </c>
      <c r="BQ167" s="1">
        <v>14</v>
      </c>
      <c r="BR167" s="1">
        <v>60003037</v>
      </c>
      <c r="BS167" s="1">
        <v>-1</v>
      </c>
      <c r="BT167" s="1">
        <v>0</v>
      </c>
      <c r="BV167" s="1">
        <v>2400588739</v>
      </c>
      <c r="BW167" s="1">
        <v>40</v>
      </c>
      <c r="BX167" s="1">
        <v>49640</v>
      </c>
      <c r="BY167" s="1">
        <v>49640</v>
      </c>
      <c r="BZ167" s="1">
        <v>0.01</v>
      </c>
      <c r="CA167" s="1">
        <v>1</v>
      </c>
      <c r="CB167" s="1">
        <v>1</v>
      </c>
      <c r="CC167" s="1">
        <v>90</v>
      </c>
      <c r="CD167" s="1">
        <v>60003760</v>
      </c>
      <c r="CE167" s="1">
        <v>-1</v>
      </c>
      <c r="CF167" s="1">
        <v>0</v>
      </c>
      <c r="CH167" s="1">
        <v>2382319365</v>
      </c>
      <c r="CI167" s="1">
        <v>29668</v>
      </c>
      <c r="CJ167" s="1">
        <v>1</v>
      </c>
      <c r="CK167" s="1">
        <v>1</v>
      </c>
      <c r="CL167" s="1">
        <v>0.01</v>
      </c>
      <c r="CM167" s="1">
        <v>1</v>
      </c>
      <c r="CN167" s="1">
        <v>1</v>
      </c>
      <c r="CO167" s="1">
        <v>90</v>
      </c>
      <c r="CP167" s="1">
        <v>60004369</v>
      </c>
      <c r="CQ167" s="1">
        <v>-1</v>
      </c>
      <c r="CR167" s="1">
        <v>0</v>
      </c>
      <c r="CT167"/>
      <c r="CU167"/>
      <c r="CV167"/>
      <c r="CW167"/>
      <c r="CX167"/>
      <c r="CY167"/>
      <c r="CZ167"/>
      <c r="DA167"/>
      <c r="DB167"/>
      <c r="DC167"/>
      <c r="DD167"/>
      <c r="DF167" s="1">
        <v>2408682752</v>
      </c>
      <c r="DG167" s="1">
        <v>17887</v>
      </c>
      <c r="DH167" s="1">
        <v>2500000</v>
      </c>
      <c r="DI167" s="1">
        <v>2500000</v>
      </c>
      <c r="DJ167" s="1">
        <v>602</v>
      </c>
      <c r="DK167" s="1">
        <v>1</v>
      </c>
      <c r="DL167" s="1">
        <v>1</v>
      </c>
      <c r="DM167" s="1">
        <v>90</v>
      </c>
      <c r="DN167" s="1">
        <v>60003760</v>
      </c>
      <c r="DO167" s="1">
        <v>-1</v>
      </c>
      <c r="DP167" s="1">
        <v>0</v>
      </c>
      <c r="DR167" s="1">
        <v>2825007006</v>
      </c>
      <c r="DS167" s="1">
        <v>17888</v>
      </c>
      <c r="DT167" s="1">
        <v>928000</v>
      </c>
      <c r="DU167" s="1">
        <v>685900</v>
      </c>
      <c r="DV167" s="1">
        <v>450</v>
      </c>
      <c r="DW167" s="1">
        <v>1</v>
      </c>
      <c r="DX167" s="1">
        <v>0</v>
      </c>
      <c r="DY167" s="1">
        <v>90</v>
      </c>
      <c r="DZ167" s="1">
        <v>60010192</v>
      </c>
      <c r="EA167" s="1">
        <v>32767</v>
      </c>
      <c r="EB167" s="1">
        <v>7</v>
      </c>
      <c r="ED167" s="1">
        <v>2825225112</v>
      </c>
      <c r="EE167" s="1">
        <v>16273</v>
      </c>
      <c r="EF167" s="1">
        <v>300000</v>
      </c>
      <c r="EG167" s="1">
        <v>300000</v>
      </c>
      <c r="EH167" s="1">
        <v>329.41</v>
      </c>
      <c r="EI167" s="1">
        <v>1</v>
      </c>
      <c r="EJ167" s="1">
        <v>1</v>
      </c>
      <c r="EK167" s="1">
        <v>90</v>
      </c>
      <c r="EL167" s="1">
        <v>60003760</v>
      </c>
      <c r="EM167" s="1">
        <v>-1</v>
      </c>
      <c r="EN167" s="1">
        <v>0</v>
      </c>
      <c r="FZ167"/>
      <c r="GA167"/>
      <c r="GB167"/>
      <c r="GC167"/>
      <c r="GD167"/>
      <c r="GE167"/>
      <c r="GF167"/>
      <c r="GG167"/>
      <c r="GH167"/>
      <c r="GI167"/>
      <c r="GJ167"/>
      <c r="JF167"/>
      <c r="JG167"/>
      <c r="JH167"/>
      <c r="JI167"/>
      <c r="JJ167"/>
      <c r="JK167"/>
      <c r="JL167"/>
      <c r="JM167"/>
      <c r="JN167"/>
      <c r="JO167"/>
      <c r="JP167"/>
      <c r="KD167"/>
      <c r="KE167"/>
      <c r="KF167"/>
      <c r="KG167"/>
      <c r="KH167"/>
      <c r="KI167"/>
      <c r="KJ167"/>
      <c r="KK167"/>
      <c r="KL167"/>
      <c r="KM167"/>
      <c r="KN167"/>
      <c r="LB167"/>
      <c r="LC167"/>
      <c r="LD167"/>
      <c r="LE167"/>
      <c r="LF167"/>
      <c r="LG167"/>
      <c r="LH167"/>
      <c r="LI167"/>
      <c r="LJ167"/>
      <c r="LK167"/>
      <c r="LL167"/>
      <c r="NV167"/>
      <c r="NW167"/>
      <c r="NX167"/>
      <c r="NY167"/>
      <c r="NZ167"/>
      <c r="OA167"/>
      <c r="OB167"/>
      <c r="OC167"/>
      <c r="OD167"/>
      <c r="OE167"/>
      <c r="OF167"/>
      <c r="OH167" s="1">
        <v>2838244241</v>
      </c>
      <c r="OI167" s="1">
        <v>25598</v>
      </c>
      <c r="OJ167" s="1">
        <v>121</v>
      </c>
      <c r="OK167" s="1">
        <v>121</v>
      </c>
      <c r="OL167" s="1">
        <v>139980</v>
      </c>
      <c r="OM167" s="1">
        <v>1</v>
      </c>
      <c r="ON167" s="1">
        <v>0</v>
      </c>
      <c r="OO167" s="1">
        <v>90</v>
      </c>
      <c r="OP167" s="1">
        <v>60001798</v>
      </c>
      <c r="OQ167" s="1">
        <v>32767</v>
      </c>
      <c r="OR167" s="1">
        <v>13</v>
      </c>
      <c r="SX167" s="1">
        <v>2879029527</v>
      </c>
      <c r="SY167" s="1">
        <v>25595</v>
      </c>
      <c r="SZ167" s="1">
        <v>955</v>
      </c>
      <c r="TA167" s="1">
        <v>955</v>
      </c>
      <c r="TB167" s="1">
        <v>78888.990000000005</v>
      </c>
      <c r="TC167" s="1">
        <v>1</v>
      </c>
      <c r="TD167" s="1">
        <v>0</v>
      </c>
      <c r="TE167" s="1">
        <v>90</v>
      </c>
      <c r="TF167" s="1">
        <v>60003760</v>
      </c>
      <c r="TG167" s="1">
        <v>32767</v>
      </c>
      <c r="TH167" s="1">
        <v>0</v>
      </c>
    </row>
    <row r="168" spans="2:528" x14ac:dyDescent="0.25">
      <c r="B168" s="1">
        <v>2839657202</v>
      </c>
      <c r="C168" s="1">
        <v>34</v>
      </c>
      <c r="D168" s="1">
        <v>1792834</v>
      </c>
      <c r="E168" s="1">
        <v>1792834</v>
      </c>
      <c r="F168" s="1">
        <v>5.97</v>
      </c>
      <c r="G168" s="1">
        <v>1</v>
      </c>
      <c r="H168" s="1">
        <v>0</v>
      </c>
      <c r="I168" s="1">
        <v>30</v>
      </c>
      <c r="J168" s="1">
        <v>60003760</v>
      </c>
      <c r="K168" s="1">
        <v>32767</v>
      </c>
      <c r="L168" s="1">
        <v>0</v>
      </c>
      <c r="N168" s="1">
        <v>2853838451</v>
      </c>
      <c r="O168" s="1">
        <v>35</v>
      </c>
      <c r="P168" s="1">
        <v>15000</v>
      </c>
      <c r="Q168" s="1">
        <v>14900</v>
      </c>
      <c r="R168" s="1">
        <v>16.510000000000002</v>
      </c>
      <c r="S168" s="1">
        <v>1</v>
      </c>
      <c r="T168" s="1">
        <v>0</v>
      </c>
      <c r="U168" s="1">
        <v>30</v>
      </c>
      <c r="V168" s="1">
        <v>60002437</v>
      </c>
      <c r="W168" s="1">
        <v>32767</v>
      </c>
      <c r="X168" s="1">
        <v>3</v>
      </c>
      <c r="Z168" s="1">
        <v>2859034447</v>
      </c>
      <c r="AA168" s="1">
        <v>36</v>
      </c>
      <c r="AB168" s="1">
        <v>1461222</v>
      </c>
      <c r="AC168" s="1">
        <v>1461222</v>
      </c>
      <c r="AD168" s="16">
        <v>54.98</v>
      </c>
      <c r="AE168" s="1">
        <v>1</v>
      </c>
      <c r="AF168" s="1">
        <v>0</v>
      </c>
      <c r="AG168" s="1">
        <v>90</v>
      </c>
      <c r="AH168" s="1">
        <v>60003760</v>
      </c>
      <c r="AI168" s="1">
        <v>32767</v>
      </c>
      <c r="AJ168" s="1">
        <v>11</v>
      </c>
      <c r="AL168" s="1">
        <v>2879095293</v>
      </c>
      <c r="AM168" s="1">
        <v>37</v>
      </c>
      <c r="AN168" s="1">
        <v>1190419</v>
      </c>
      <c r="AO168" s="1">
        <v>453802</v>
      </c>
      <c r="AP168" s="16">
        <v>146.49</v>
      </c>
      <c r="AQ168" s="1">
        <v>1</v>
      </c>
      <c r="AR168" s="1">
        <v>0</v>
      </c>
      <c r="AS168" s="1">
        <v>90</v>
      </c>
      <c r="AT168" s="1">
        <v>60003760</v>
      </c>
      <c r="AU168" s="1">
        <v>32767</v>
      </c>
      <c r="AV168" s="1">
        <v>0</v>
      </c>
      <c r="AX168" s="1">
        <v>2840532904</v>
      </c>
      <c r="AY168" s="1">
        <v>38</v>
      </c>
      <c r="AZ168" s="1">
        <v>3661200</v>
      </c>
      <c r="BA168" s="1">
        <v>3661200</v>
      </c>
      <c r="BB168" s="1">
        <v>0.01</v>
      </c>
      <c r="BC168" s="1">
        <v>1</v>
      </c>
      <c r="BD168" s="1">
        <v>1</v>
      </c>
      <c r="BE168" s="1">
        <v>90</v>
      </c>
      <c r="BF168" s="1">
        <v>60003760</v>
      </c>
      <c r="BG168" s="1">
        <v>-1</v>
      </c>
      <c r="BH168" s="1">
        <v>0</v>
      </c>
      <c r="BJ168" s="1">
        <v>2868202668</v>
      </c>
      <c r="BK168" s="1">
        <v>39</v>
      </c>
      <c r="BL168" s="1">
        <v>30000</v>
      </c>
      <c r="BM168" s="1">
        <v>15755</v>
      </c>
      <c r="BN168" s="1">
        <v>750</v>
      </c>
      <c r="BO168" s="1">
        <v>1</v>
      </c>
      <c r="BP168" s="1">
        <v>1</v>
      </c>
      <c r="BQ168" s="1">
        <v>90</v>
      </c>
      <c r="BR168" s="1">
        <v>60010195</v>
      </c>
      <c r="BS168" s="1">
        <v>1</v>
      </c>
      <c r="BT168" s="1">
        <v>0</v>
      </c>
      <c r="BV168" s="1">
        <v>2400708283</v>
      </c>
      <c r="BW168" s="1">
        <v>40</v>
      </c>
      <c r="BX168" s="1">
        <v>200000</v>
      </c>
      <c r="BY168" s="1">
        <v>198710</v>
      </c>
      <c r="BZ168" s="1">
        <v>1900</v>
      </c>
      <c r="CA168" s="1">
        <v>50</v>
      </c>
      <c r="CB168" s="1">
        <v>1</v>
      </c>
      <c r="CC168" s="1">
        <v>90</v>
      </c>
      <c r="CD168" s="1">
        <v>60003760</v>
      </c>
      <c r="CE168" s="1">
        <v>32767</v>
      </c>
      <c r="CF168" s="1">
        <v>0</v>
      </c>
      <c r="CH168" s="1">
        <v>2357779269</v>
      </c>
      <c r="CI168" s="1">
        <v>29668</v>
      </c>
      <c r="CJ168" s="1">
        <v>3</v>
      </c>
      <c r="CK168" s="1">
        <v>3</v>
      </c>
      <c r="CL168" s="1">
        <v>500</v>
      </c>
      <c r="CM168" s="1">
        <v>1</v>
      </c>
      <c r="CN168" s="1">
        <v>1</v>
      </c>
      <c r="CO168" s="1">
        <v>90</v>
      </c>
      <c r="CP168" s="1">
        <v>60000448</v>
      </c>
      <c r="CQ168" s="1">
        <v>32767</v>
      </c>
      <c r="CR168" s="1">
        <v>0</v>
      </c>
      <c r="CT168"/>
      <c r="CU168"/>
      <c r="CV168"/>
      <c r="CW168"/>
      <c r="CX168"/>
      <c r="CY168"/>
      <c r="CZ168"/>
      <c r="DA168"/>
      <c r="DB168"/>
      <c r="DC168"/>
      <c r="DD168"/>
      <c r="DF168" s="1">
        <v>2364979385</v>
      </c>
      <c r="DG168" s="1">
        <v>17887</v>
      </c>
      <c r="DH168" s="1">
        <v>100000</v>
      </c>
      <c r="DI168" s="1">
        <v>100000</v>
      </c>
      <c r="DJ168" s="1">
        <v>5</v>
      </c>
      <c r="DK168" s="1">
        <v>1</v>
      </c>
      <c r="DL168" s="1">
        <v>1</v>
      </c>
      <c r="DM168" s="1">
        <v>90</v>
      </c>
      <c r="DN168" s="1">
        <v>60003334</v>
      </c>
      <c r="DO168" s="1">
        <v>10</v>
      </c>
      <c r="DP168" s="1">
        <v>0</v>
      </c>
      <c r="DR168" s="1">
        <v>2843815988</v>
      </c>
      <c r="DS168" s="1">
        <v>17888</v>
      </c>
      <c r="DT168" s="1">
        <v>825541</v>
      </c>
      <c r="DU168" s="1">
        <v>825541</v>
      </c>
      <c r="DV168" s="1">
        <v>590</v>
      </c>
      <c r="DW168" s="1">
        <v>1</v>
      </c>
      <c r="DX168" s="1">
        <v>0</v>
      </c>
      <c r="DY168" s="1">
        <v>90</v>
      </c>
      <c r="DZ168" s="1">
        <v>60010192</v>
      </c>
      <c r="EA168" s="1">
        <v>32767</v>
      </c>
      <c r="EB168" s="1">
        <v>7</v>
      </c>
      <c r="ED168" s="1">
        <v>2756712793</v>
      </c>
      <c r="EE168" s="1">
        <v>16273</v>
      </c>
      <c r="EF168" s="1">
        <v>8000000</v>
      </c>
      <c r="EG168" s="1">
        <v>8000000</v>
      </c>
      <c r="EH168" s="1">
        <v>31.01</v>
      </c>
      <c r="EI168" s="1">
        <v>1</v>
      </c>
      <c r="EJ168" s="1">
        <v>1</v>
      </c>
      <c r="EK168" s="1">
        <v>90</v>
      </c>
      <c r="EL168" s="1">
        <v>60003760</v>
      </c>
      <c r="EM168" s="1">
        <v>20</v>
      </c>
      <c r="EN168" s="1">
        <v>0</v>
      </c>
      <c r="FZ168"/>
      <c r="GA168"/>
      <c r="GB168"/>
      <c r="GC168"/>
      <c r="GD168"/>
      <c r="GE168"/>
      <c r="GF168"/>
      <c r="GG168"/>
      <c r="GH168"/>
      <c r="GI168"/>
      <c r="GJ168"/>
      <c r="JF168"/>
      <c r="JG168"/>
      <c r="JH168"/>
      <c r="JI168"/>
      <c r="JJ168"/>
      <c r="JK168"/>
      <c r="JL168"/>
      <c r="JM168"/>
      <c r="JN168"/>
      <c r="JO168"/>
      <c r="JP168"/>
      <c r="KD168"/>
      <c r="KE168"/>
      <c r="KF168"/>
      <c r="KG168"/>
      <c r="KH168"/>
      <c r="KI168"/>
      <c r="KJ168"/>
      <c r="KK168"/>
      <c r="KL168"/>
      <c r="KM168"/>
      <c r="KN168"/>
      <c r="LB168"/>
      <c r="LC168"/>
      <c r="LD168"/>
      <c r="LE168"/>
      <c r="LF168"/>
      <c r="LG168"/>
      <c r="LH168"/>
      <c r="LI168"/>
      <c r="LJ168"/>
      <c r="LK168"/>
      <c r="LL168"/>
      <c r="NV168"/>
      <c r="NW168"/>
      <c r="NX168"/>
      <c r="NY168"/>
      <c r="NZ168"/>
      <c r="OA168"/>
      <c r="OB168"/>
      <c r="OC168"/>
      <c r="OD168"/>
      <c r="OE168"/>
      <c r="OF168"/>
      <c r="OH168" s="1">
        <v>2833927792</v>
      </c>
      <c r="OI168" s="1">
        <v>25598</v>
      </c>
      <c r="OJ168" s="1">
        <v>7</v>
      </c>
      <c r="OK168" s="1">
        <v>7</v>
      </c>
      <c r="OL168" s="1">
        <v>160302</v>
      </c>
      <c r="OM168" s="1">
        <v>1</v>
      </c>
      <c r="ON168" s="1">
        <v>0</v>
      </c>
      <c r="OO168" s="1">
        <v>90</v>
      </c>
      <c r="OP168" s="1">
        <v>60000496</v>
      </c>
      <c r="OQ168" s="1">
        <v>32767</v>
      </c>
      <c r="OR168" s="1">
        <v>11</v>
      </c>
      <c r="SX168" s="1">
        <v>2879036845</v>
      </c>
      <c r="SY168" s="1">
        <v>25595</v>
      </c>
      <c r="SZ168" s="1">
        <v>11</v>
      </c>
      <c r="TA168" s="1">
        <v>11</v>
      </c>
      <c r="TB168" s="1">
        <v>70000</v>
      </c>
      <c r="TC168" s="1">
        <v>1</v>
      </c>
      <c r="TD168" s="1">
        <v>0</v>
      </c>
      <c r="TE168" s="1">
        <v>1</v>
      </c>
      <c r="TF168" s="1">
        <v>60003760</v>
      </c>
      <c r="TG168" s="1">
        <v>32767</v>
      </c>
      <c r="TH168" s="1">
        <v>0</v>
      </c>
    </row>
    <row r="169" spans="2:528" x14ac:dyDescent="0.25">
      <c r="B169" s="1">
        <v>2839736064</v>
      </c>
      <c r="C169" s="1">
        <v>34</v>
      </c>
      <c r="D169" s="1">
        <v>76175372</v>
      </c>
      <c r="E169" s="1">
        <v>76175372</v>
      </c>
      <c r="F169" s="1">
        <v>6</v>
      </c>
      <c r="G169" s="1">
        <v>1</v>
      </c>
      <c r="H169" s="1">
        <v>0</v>
      </c>
      <c r="I169" s="1">
        <v>90</v>
      </c>
      <c r="J169" s="1">
        <v>60003760</v>
      </c>
      <c r="K169" s="1">
        <v>32767</v>
      </c>
      <c r="L169" s="1">
        <v>0</v>
      </c>
      <c r="N169" s="1">
        <v>2873429296</v>
      </c>
      <c r="O169" s="1">
        <v>35</v>
      </c>
      <c r="P169" s="1">
        <v>128497</v>
      </c>
      <c r="Q169" s="1">
        <v>497</v>
      </c>
      <c r="R169" s="1">
        <v>15</v>
      </c>
      <c r="S169" s="1">
        <v>1</v>
      </c>
      <c r="T169" s="1">
        <v>0</v>
      </c>
      <c r="U169" s="1">
        <v>30</v>
      </c>
      <c r="V169" s="1">
        <v>60003937</v>
      </c>
      <c r="W169" s="1">
        <v>32767</v>
      </c>
      <c r="X169" s="1">
        <v>3</v>
      </c>
      <c r="Z169" s="1">
        <v>2860059570</v>
      </c>
      <c r="AA169" s="1">
        <v>36</v>
      </c>
      <c r="AB169" s="1">
        <v>328769</v>
      </c>
      <c r="AC169" s="1">
        <v>328769</v>
      </c>
      <c r="AD169" s="16">
        <v>55.64</v>
      </c>
      <c r="AE169" s="1">
        <v>1</v>
      </c>
      <c r="AF169" s="1">
        <v>0</v>
      </c>
      <c r="AG169" s="1">
        <v>90</v>
      </c>
      <c r="AH169" s="1">
        <v>60003760</v>
      </c>
      <c r="AI169" s="1">
        <v>32767</v>
      </c>
      <c r="AJ169" s="1">
        <v>11</v>
      </c>
      <c r="AL169" s="1">
        <v>2878732287</v>
      </c>
      <c r="AM169" s="1">
        <v>37</v>
      </c>
      <c r="AN169" s="1">
        <v>2146979</v>
      </c>
      <c r="AO169" s="1">
        <v>723643</v>
      </c>
      <c r="AP169" s="16">
        <v>146.49</v>
      </c>
      <c r="AQ169" s="1">
        <v>1</v>
      </c>
      <c r="AR169" s="1">
        <v>0</v>
      </c>
      <c r="AS169" s="1">
        <v>90</v>
      </c>
      <c r="AT169" s="1">
        <v>60003760</v>
      </c>
      <c r="AU169" s="1">
        <v>32767</v>
      </c>
      <c r="AV169" s="1">
        <v>9</v>
      </c>
      <c r="AX169" s="1">
        <v>2860941404</v>
      </c>
      <c r="AY169" s="1">
        <v>38</v>
      </c>
      <c r="AZ169" s="1">
        <v>44444444</v>
      </c>
      <c r="BA169" s="1">
        <v>14638037</v>
      </c>
      <c r="BB169" s="1">
        <v>794.44</v>
      </c>
      <c r="BC169" s="1">
        <v>1</v>
      </c>
      <c r="BD169" s="1">
        <v>1</v>
      </c>
      <c r="BE169" s="1">
        <v>90</v>
      </c>
      <c r="BF169" s="1">
        <v>60003760</v>
      </c>
      <c r="BG169" s="1">
        <v>-1</v>
      </c>
      <c r="BH169" s="1">
        <v>0</v>
      </c>
      <c r="BJ169" s="1">
        <v>2873020906</v>
      </c>
      <c r="BK169" s="1">
        <v>39</v>
      </c>
      <c r="BL169" s="1">
        <v>30</v>
      </c>
      <c r="BM169" s="1">
        <v>30</v>
      </c>
      <c r="BN169" s="1">
        <v>710</v>
      </c>
      <c r="BO169" s="1">
        <v>1</v>
      </c>
      <c r="BP169" s="1">
        <v>1</v>
      </c>
      <c r="BQ169" s="1">
        <v>30</v>
      </c>
      <c r="BR169" s="1">
        <v>60002275</v>
      </c>
      <c r="BS169" s="1">
        <v>-1</v>
      </c>
      <c r="BT169" s="1">
        <v>0</v>
      </c>
      <c r="BV169" s="1">
        <v>2403454715</v>
      </c>
      <c r="BW169" s="1">
        <v>40</v>
      </c>
      <c r="BX169" s="1">
        <v>1000000</v>
      </c>
      <c r="BY169" s="1">
        <v>1000000</v>
      </c>
      <c r="BZ169" s="1">
        <v>2303.04</v>
      </c>
      <c r="CA169" s="1">
        <v>1</v>
      </c>
      <c r="CB169" s="1">
        <v>1</v>
      </c>
      <c r="CC169" s="1">
        <v>90</v>
      </c>
      <c r="CD169" s="1">
        <v>60003760</v>
      </c>
      <c r="CE169" s="1">
        <v>-1</v>
      </c>
      <c r="CF169" s="1">
        <v>0</v>
      </c>
      <c r="CH169" s="1">
        <v>2413663416</v>
      </c>
      <c r="CI169" s="1">
        <v>29668</v>
      </c>
      <c r="CJ169" s="1">
        <v>1</v>
      </c>
      <c r="CK169" s="1">
        <v>1</v>
      </c>
      <c r="CL169" s="1">
        <v>470000000.99000001</v>
      </c>
      <c r="CM169" s="1">
        <v>1</v>
      </c>
      <c r="CN169" s="1">
        <v>1</v>
      </c>
      <c r="CO169" s="1">
        <v>90</v>
      </c>
      <c r="CP169" s="1">
        <v>60003760</v>
      </c>
      <c r="CQ169" s="1">
        <v>-1</v>
      </c>
      <c r="CR169" s="1">
        <v>0</v>
      </c>
      <c r="CT169"/>
      <c r="CU169"/>
      <c r="CV169"/>
      <c r="CW169"/>
      <c r="CX169"/>
      <c r="CY169"/>
      <c r="CZ169"/>
      <c r="DA169"/>
      <c r="DB169"/>
      <c r="DC169"/>
      <c r="DD169"/>
      <c r="DF169" s="1">
        <v>2381647233</v>
      </c>
      <c r="DG169" s="1">
        <v>17887</v>
      </c>
      <c r="DH169" s="1">
        <v>9000000</v>
      </c>
      <c r="DI169" s="1">
        <v>9000000</v>
      </c>
      <c r="DJ169" s="1">
        <v>161</v>
      </c>
      <c r="DK169" s="1">
        <v>1</v>
      </c>
      <c r="DL169" s="1">
        <v>1</v>
      </c>
      <c r="DM169" s="1">
        <v>90</v>
      </c>
      <c r="DN169" s="1">
        <v>60002281</v>
      </c>
      <c r="DO169" s="1">
        <v>32767</v>
      </c>
      <c r="DP169" s="1">
        <v>0</v>
      </c>
      <c r="DR169" s="1">
        <v>2702344310</v>
      </c>
      <c r="DS169" s="1">
        <v>17888</v>
      </c>
      <c r="DT169" s="1">
        <v>450000</v>
      </c>
      <c r="DU169" s="1">
        <v>173000</v>
      </c>
      <c r="DV169" s="1">
        <v>750</v>
      </c>
      <c r="DW169" s="1">
        <v>1</v>
      </c>
      <c r="DX169" s="1">
        <v>0</v>
      </c>
      <c r="DY169" s="1">
        <v>90</v>
      </c>
      <c r="DZ169" s="1">
        <v>60010192</v>
      </c>
      <c r="EA169" s="1">
        <v>32767</v>
      </c>
      <c r="EB169" s="1">
        <v>7</v>
      </c>
      <c r="ED169" s="1">
        <v>2761331442</v>
      </c>
      <c r="EE169" s="1">
        <v>16273</v>
      </c>
      <c r="EF169" s="1">
        <v>5000000</v>
      </c>
      <c r="EG169" s="1">
        <v>5000000</v>
      </c>
      <c r="EH169" s="1">
        <v>307</v>
      </c>
      <c r="EI169" s="1">
        <v>1</v>
      </c>
      <c r="EJ169" s="1">
        <v>1</v>
      </c>
      <c r="EK169" s="1">
        <v>90</v>
      </c>
      <c r="EL169" s="1">
        <v>60003760</v>
      </c>
      <c r="EM169" s="1">
        <v>-1</v>
      </c>
      <c r="EN169" s="1">
        <v>0</v>
      </c>
      <c r="FZ169"/>
      <c r="GA169"/>
      <c r="GB169"/>
      <c r="GC169"/>
      <c r="GD169"/>
      <c r="GE169"/>
      <c r="GF169"/>
      <c r="GG169"/>
      <c r="GH169"/>
      <c r="GI169"/>
      <c r="GJ169"/>
      <c r="JF169"/>
      <c r="JG169"/>
      <c r="JH169"/>
      <c r="JI169"/>
      <c r="JJ169"/>
      <c r="JK169"/>
      <c r="JL169"/>
      <c r="JM169"/>
      <c r="JN169"/>
      <c r="JO169"/>
      <c r="JP169"/>
      <c r="KD169"/>
      <c r="KE169"/>
      <c r="KF169"/>
      <c r="KG169"/>
      <c r="KH169"/>
      <c r="KI169"/>
      <c r="KJ169"/>
      <c r="KK169"/>
      <c r="KL169"/>
      <c r="KM169"/>
      <c r="KN169"/>
      <c r="LB169"/>
      <c r="LC169"/>
      <c r="LD169"/>
      <c r="LE169"/>
      <c r="LF169"/>
      <c r="LG169"/>
      <c r="LH169"/>
      <c r="LI169"/>
      <c r="LJ169"/>
      <c r="LK169"/>
      <c r="LL169"/>
      <c r="NV169"/>
      <c r="NW169"/>
      <c r="NX169"/>
      <c r="NY169"/>
      <c r="NZ169"/>
      <c r="OA169"/>
      <c r="OB169"/>
      <c r="OC169"/>
      <c r="OD169"/>
      <c r="OE169"/>
      <c r="OF169"/>
      <c r="OH169" s="1">
        <v>2813206216</v>
      </c>
      <c r="OI169" s="1">
        <v>25598</v>
      </c>
      <c r="OJ169" s="1">
        <v>76</v>
      </c>
      <c r="OK169" s="1">
        <v>76</v>
      </c>
      <c r="OL169" s="1">
        <v>139980</v>
      </c>
      <c r="OM169" s="1">
        <v>1</v>
      </c>
      <c r="ON169" s="1">
        <v>0</v>
      </c>
      <c r="OO169" s="1">
        <v>90</v>
      </c>
      <c r="OP169" s="1">
        <v>60002377</v>
      </c>
      <c r="OQ169" s="1">
        <v>32767</v>
      </c>
      <c r="OR169" s="1">
        <v>10</v>
      </c>
      <c r="SX169" s="1">
        <v>2879037621</v>
      </c>
      <c r="SY169" s="1">
        <v>25595</v>
      </c>
      <c r="SZ169" s="1">
        <v>10</v>
      </c>
      <c r="TA169" s="1">
        <v>10</v>
      </c>
      <c r="TB169" s="1">
        <v>75000</v>
      </c>
      <c r="TC169" s="1">
        <v>1</v>
      </c>
      <c r="TD169" s="1">
        <v>0</v>
      </c>
      <c r="TE169" s="1">
        <v>30</v>
      </c>
      <c r="TF169" s="1">
        <v>60003760</v>
      </c>
      <c r="TG169" s="1">
        <v>32767</v>
      </c>
      <c r="TH169" s="1">
        <v>0</v>
      </c>
    </row>
    <row r="170" spans="2:528" x14ac:dyDescent="0.25">
      <c r="B170" s="1">
        <v>2843375097</v>
      </c>
      <c r="C170" s="1">
        <v>34</v>
      </c>
      <c r="D170" s="1">
        <v>11873667</v>
      </c>
      <c r="E170" s="1">
        <v>11873667</v>
      </c>
      <c r="F170" s="1">
        <v>5.97</v>
      </c>
      <c r="G170" s="1">
        <v>1</v>
      </c>
      <c r="H170" s="1">
        <v>0</v>
      </c>
      <c r="I170" s="1">
        <v>90</v>
      </c>
      <c r="J170" s="1">
        <v>60003760</v>
      </c>
      <c r="K170" s="1">
        <v>32767</v>
      </c>
      <c r="L170" s="1">
        <v>0</v>
      </c>
      <c r="N170" s="1">
        <v>2878317638</v>
      </c>
      <c r="O170" s="1">
        <v>35</v>
      </c>
      <c r="P170" s="1">
        <v>2094895</v>
      </c>
      <c r="Q170" s="1">
        <v>1684268</v>
      </c>
      <c r="R170" s="1">
        <v>15</v>
      </c>
      <c r="S170" s="1">
        <v>1</v>
      </c>
      <c r="T170" s="1">
        <v>0</v>
      </c>
      <c r="U170" s="1">
        <v>1</v>
      </c>
      <c r="V170" s="1">
        <v>60004219</v>
      </c>
      <c r="W170" s="1">
        <v>32767</v>
      </c>
      <c r="X170" s="1">
        <v>2</v>
      </c>
      <c r="Z170" s="1">
        <v>2860177491</v>
      </c>
      <c r="AA170" s="1">
        <v>36</v>
      </c>
      <c r="AB170" s="1">
        <v>5531444</v>
      </c>
      <c r="AC170" s="1">
        <v>5531444</v>
      </c>
      <c r="AD170" s="16">
        <v>51</v>
      </c>
      <c r="AE170" s="1">
        <v>1</v>
      </c>
      <c r="AF170" s="1">
        <v>0</v>
      </c>
      <c r="AG170" s="1">
        <v>90</v>
      </c>
      <c r="AH170" s="1">
        <v>60003760</v>
      </c>
      <c r="AI170" s="1">
        <v>32767</v>
      </c>
      <c r="AJ170" s="1">
        <v>11</v>
      </c>
      <c r="AL170" s="1">
        <v>2878847603</v>
      </c>
      <c r="AM170" s="1">
        <v>37</v>
      </c>
      <c r="AN170" s="1">
        <v>810864</v>
      </c>
      <c r="AO170" s="1">
        <v>141864</v>
      </c>
      <c r="AP170" s="16">
        <v>146.49</v>
      </c>
      <c r="AQ170" s="1">
        <v>1</v>
      </c>
      <c r="AR170" s="1">
        <v>0</v>
      </c>
      <c r="AS170" s="1">
        <v>90</v>
      </c>
      <c r="AT170" s="1">
        <v>60003760</v>
      </c>
      <c r="AU170" s="1">
        <v>32767</v>
      </c>
      <c r="AV170" s="1">
        <v>9</v>
      </c>
      <c r="AX170" s="1">
        <v>2859907893</v>
      </c>
      <c r="AY170" s="1">
        <v>38</v>
      </c>
      <c r="AZ170" s="1">
        <v>2500000</v>
      </c>
      <c r="BA170" s="1">
        <v>2303383</v>
      </c>
      <c r="BB170" s="1">
        <v>787.55</v>
      </c>
      <c r="BC170" s="1">
        <v>1</v>
      </c>
      <c r="BD170" s="1">
        <v>1</v>
      </c>
      <c r="BE170" s="1">
        <v>90</v>
      </c>
      <c r="BF170" s="1">
        <v>60003757</v>
      </c>
      <c r="BG170" s="1">
        <v>0</v>
      </c>
      <c r="BH170" s="1">
        <v>0</v>
      </c>
      <c r="BJ170" s="1">
        <v>2782943395</v>
      </c>
      <c r="BK170" s="1">
        <v>39</v>
      </c>
      <c r="BL170" s="1">
        <v>500000</v>
      </c>
      <c r="BM170" s="1">
        <v>171527</v>
      </c>
      <c r="BN170" s="1">
        <v>677</v>
      </c>
      <c r="BO170" s="1">
        <v>1</v>
      </c>
      <c r="BP170" s="1">
        <v>1</v>
      </c>
      <c r="BQ170" s="1">
        <v>90</v>
      </c>
      <c r="BR170" s="1">
        <v>60012667</v>
      </c>
      <c r="BS170" s="1">
        <v>-1</v>
      </c>
      <c r="BT170" s="1">
        <v>0</v>
      </c>
      <c r="BV170" s="1">
        <v>2409905671</v>
      </c>
      <c r="BW170" s="1">
        <v>40</v>
      </c>
      <c r="BX170" s="1">
        <v>1000000</v>
      </c>
      <c r="BY170" s="1">
        <v>1000000</v>
      </c>
      <c r="BZ170" s="1">
        <v>2361</v>
      </c>
      <c r="CA170" s="1">
        <v>1</v>
      </c>
      <c r="CB170" s="1">
        <v>1</v>
      </c>
      <c r="CC170" s="1">
        <v>90</v>
      </c>
      <c r="CD170" s="1">
        <v>60003760</v>
      </c>
      <c r="CE170" s="1">
        <v>-1</v>
      </c>
      <c r="CF170" s="1">
        <v>0</v>
      </c>
      <c r="CH170" s="1">
        <v>2413349702</v>
      </c>
      <c r="CI170" s="1">
        <v>29668</v>
      </c>
      <c r="CJ170" s="1">
        <v>3</v>
      </c>
      <c r="CK170" s="1">
        <v>3</v>
      </c>
      <c r="CL170" s="1">
        <v>469000000</v>
      </c>
      <c r="CM170" s="1">
        <v>1</v>
      </c>
      <c r="CN170" s="1">
        <v>1</v>
      </c>
      <c r="CO170" s="1">
        <v>90</v>
      </c>
      <c r="CP170" s="1">
        <v>60003760</v>
      </c>
      <c r="CQ170" s="1">
        <v>32767</v>
      </c>
      <c r="CR170" s="1">
        <v>0</v>
      </c>
      <c r="DF170" s="1">
        <v>2330092107</v>
      </c>
      <c r="DG170" s="1">
        <v>17887</v>
      </c>
      <c r="DH170" s="1">
        <v>1000000</v>
      </c>
      <c r="DI170" s="1">
        <v>139388</v>
      </c>
      <c r="DJ170" s="1">
        <v>751.07</v>
      </c>
      <c r="DK170" s="1">
        <v>10000</v>
      </c>
      <c r="DL170" s="1">
        <v>1</v>
      </c>
      <c r="DM170" s="1">
        <v>90</v>
      </c>
      <c r="DN170" s="1">
        <v>60002281</v>
      </c>
      <c r="DO170" s="1">
        <v>32767</v>
      </c>
      <c r="DP170" s="1">
        <v>0</v>
      </c>
      <c r="DR170" s="1">
        <v>2763519371</v>
      </c>
      <c r="DS170" s="1">
        <v>17888</v>
      </c>
      <c r="DT170" s="1">
        <v>2073660</v>
      </c>
      <c r="DU170" s="1">
        <v>299601</v>
      </c>
      <c r="DV170" s="1">
        <v>595</v>
      </c>
      <c r="DW170" s="1">
        <v>1</v>
      </c>
      <c r="DX170" s="1">
        <v>0</v>
      </c>
      <c r="DY170" s="1">
        <v>90</v>
      </c>
      <c r="DZ170" s="1">
        <v>60003145</v>
      </c>
      <c r="EA170" s="1">
        <v>32767</v>
      </c>
      <c r="EB170" s="1">
        <v>8</v>
      </c>
      <c r="ED170" s="1">
        <v>2761753295</v>
      </c>
      <c r="EE170" s="1">
        <v>16273</v>
      </c>
      <c r="EF170" s="1">
        <v>20000000</v>
      </c>
      <c r="EG170" s="1">
        <v>3687793</v>
      </c>
      <c r="EH170" s="1">
        <v>303</v>
      </c>
      <c r="EI170" s="1">
        <v>1</v>
      </c>
      <c r="EJ170" s="1">
        <v>1</v>
      </c>
      <c r="EK170" s="1">
        <v>90</v>
      </c>
      <c r="EL170" s="1">
        <v>60003760</v>
      </c>
      <c r="EM170" s="1">
        <v>-1</v>
      </c>
      <c r="EN170" s="1">
        <v>0</v>
      </c>
      <c r="FZ170"/>
      <c r="GA170"/>
      <c r="GB170"/>
      <c r="GC170"/>
      <c r="GD170"/>
      <c r="GE170"/>
      <c r="GF170"/>
      <c r="GG170"/>
      <c r="GH170"/>
      <c r="GI170"/>
      <c r="GJ170"/>
      <c r="JF170"/>
      <c r="JG170"/>
      <c r="JH170"/>
      <c r="JI170"/>
      <c r="JJ170"/>
      <c r="JK170"/>
      <c r="JL170"/>
      <c r="JM170"/>
      <c r="JN170"/>
      <c r="JO170"/>
      <c r="JP170"/>
      <c r="KD170"/>
      <c r="KE170"/>
      <c r="KF170"/>
      <c r="KG170"/>
      <c r="KH170"/>
      <c r="KI170"/>
      <c r="KJ170"/>
      <c r="KK170"/>
      <c r="KL170"/>
      <c r="KM170"/>
      <c r="KN170"/>
      <c r="LB170"/>
      <c r="LC170"/>
      <c r="LD170"/>
      <c r="LE170"/>
      <c r="LF170"/>
      <c r="LG170"/>
      <c r="LH170"/>
      <c r="LI170"/>
      <c r="LJ170"/>
      <c r="LK170"/>
      <c r="LL170"/>
      <c r="NV170"/>
      <c r="NW170"/>
      <c r="NX170"/>
      <c r="NY170"/>
      <c r="NZ170"/>
      <c r="OA170"/>
      <c r="OB170"/>
      <c r="OC170"/>
      <c r="OD170"/>
      <c r="OE170"/>
      <c r="OF170"/>
      <c r="OH170" s="1">
        <v>2815754612</v>
      </c>
      <c r="OI170" s="1">
        <v>25598</v>
      </c>
      <c r="OJ170" s="1">
        <v>65</v>
      </c>
      <c r="OK170" s="1">
        <v>60</v>
      </c>
      <c r="OL170" s="1">
        <v>139980</v>
      </c>
      <c r="OM170" s="1">
        <v>1</v>
      </c>
      <c r="ON170" s="1">
        <v>0</v>
      </c>
      <c r="OO170" s="1">
        <v>90</v>
      </c>
      <c r="OP170" s="1">
        <v>60015027</v>
      </c>
      <c r="OQ170" s="1">
        <v>32767</v>
      </c>
      <c r="OR170" s="1">
        <v>4</v>
      </c>
      <c r="SX170" s="1">
        <v>2879041305</v>
      </c>
      <c r="SY170" s="1">
        <v>25595</v>
      </c>
      <c r="SZ170" s="1">
        <v>100</v>
      </c>
      <c r="TA170" s="1">
        <v>44</v>
      </c>
      <c r="TB170" s="1">
        <v>69999</v>
      </c>
      <c r="TC170" s="1">
        <v>1</v>
      </c>
      <c r="TD170" s="1">
        <v>0</v>
      </c>
      <c r="TE170" s="1">
        <v>30</v>
      </c>
      <c r="TF170" s="1">
        <v>60003760</v>
      </c>
      <c r="TG170" s="1">
        <v>32767</v>
      </c>
      <c r="TH170" s="1">
        <v>0</v>
      </c>
    </row>
    <row r="171" spans="2:528" x14ac:dyDescent="0.25">
      <c r="B171" s="1">
        <v>2843535015</v>
      </c>
      <c r="C171" s="1">
        <v>34</v>
      </c>
      <c r="D171" s="1">
        <v>100000000</v>
      </c>
      <c r="E171" s="1">
        <v>100000000</v>
      </c>
      <c r="F171" s="1">
        <v>5.94</v>
      </c>
      <c r="G171" s="1">
        <v>1</v>
      </c>
      <c r="H171" s="1">
        <v>0</v>
      </c>
      <c r="I171" s="1">
        <v>90</v>
      </c>
      <c r="J171" s="1">
        <v>60003760</v>
      </c>
      <c r="K171" s="1">
        <v>32767</v>
      </c>
      <c r="L171" s="1">
        <v>0</v>
      </c>
      <c r="N171" s="1">
        <v>2840196232</v>
      </c>
      <c r="O171" s="1">
        <v>35</v>
      </c>
      <c r="P171" s="1">
        <v>272525</v>
      </c>
      <c r="Q171" s="1">
        <v>272525</v>
      </c>
      <c r="R171" s="1">
        <v>15.9</v>
      </c>
      <c r="S171" s="1">
        <v>1</v>
      </c>
      <c r="T171" s="1">
        <v>0</v>
      </c>
      <c r="U171" s="1">
        <v>30</v>
      </c>
      <c r="V171" s="1">
        <v>60002434</v>
      </c>
      <c r="W171" s="1">
        <v>32767</v>
      </c>
      <c r="X171" s="1">
        <v>3</v>
      </c>
      <c r="Z171" s="1">
        <v>2860522371</v>
      </c>
      <c r="AA171" s="1">
        <v>36</v>
      </c>
      <c r="AB171" s="1">
        <v>15233619</v>
      </c>
      <c r="AC171" s="1">
        <v>15233619</v>
      </c>
      <c r="AD171" s="16">
        <v>51.99</v>
      </c>
      <c r="AE171" s="1">
        <v>1</v>
      </c>
      <c r="AF171" s="1">
        <v>0</v>
      </c>
      <c r="AG171" s="1">
        <v>90</v>
      </c>
      <c r="AH171" s="1">
        <v>60003760</v>
      </c>
      <c r="AI171" s="1">
        <v>32767</v>
      </c>
      <c r="AJ171" s="1">
        <v>11</v>
      </c>
      <c r="AL171" s="1">
        <v>2879114539</v>
      </c>
      <c r="AM171" s="1">
        <v>37</v>
      </c>
      <c r="AN171" s="1">
        <v>827146</v>
      </c>
      <c r="AO171" s="1">
        <v>827146</v>
      </c>
      <c r="AP171" s="16">
        <v>146.49</v>
      </c>
      <c r="AQ171" s="1">
        <v>1</v>
      </c>
      <c r="AR171" s="1">
        <v>0</v>
      </c>
      <c r="AS171" s="1">
        <v>90</v>
      </c>
      <c r="AT171" s="1">
        <v>60003760</v>
      </c>
      <c r="AU171" s="1">
        <v>32767</v>
      </c>
      <c r="AV171" s="1">
        <v>0</v>
      </c>
      <c r="AX171" s="1">
        <v>2860387193</v>
      </c>
      <c r="AY171" s="1">
        <v>38</v>
      </c>
      <c r="AZ171" s="1">
        <v>1000000</v>
      </c>
      <c r="BA171" s="1">
        <v>141895</v>
      </c>
      <c r="BB171" s="1">
        <v>760</v>
      </c>
      <c r="BC171" s="1">
        <v>1</v>
      </c>
      <c r="BD171" s="1">
        <v>1</v>
      </c>
      <c r="BE171" s="1">
        <v>90</v>
      </c>
      <c r="BF171" s="1">
        <v>60003760</v>
      </c>
      <c r="BG171" s="1">
        <v>-1</v>
      </c>
      <c r="BH171" s="1">
        <v>0</v>
      </c>
      <c r="BJ171" s="1">
        <v>2818172708</v>
      </c>
      <c r="BK171" s="1">
        <v>39</v>
      </c>
      <c r="BL171" s="1">
        <v>1000000</v>
      </c>
      <c r="BM171" s="1">
        <v>990325</v>
      </c>
      <c r="BN171" s="1">
        <v>707.02</v>
      </c>
      <c r="BO171" s="1">
        <v>1</v>
      </c>
      <c r="BP171" s="1">
        <v>1</v>
      </c>
      <c r="BQ171" s="1">
        <v>90</v>
      </c>
      <c r="BR171" s="1">
        <v>60003073</v>
      </c>
      <c r="BS171" s="1">
        <v>32767</v>
      </c>
      <c r="BT171" s="1">
        <v>0</v>
      </c>
      <c r="BV171" s="1">
        <v>2410679483</v>
      </c>
      <c r="BW171" s="1">
        <v>40</v>
      </c>
      <c r="BX171" s="1">
        <v>300000</v>
      </c>
      <c r="BY171" s="1">
        <v>300000</v>
      </c>
      <c r="BZ171" s="1">
        <v>2500.0100000000002</v>
      </c>
      <c r="CA171" s="1">
        <v>1</v>
      </c>
      <c r="CB171" s="1">
        <v>1</v>
      </c>
      <c r="CC171" s="1">
        <v>90</v>
      </c>
      <c r="CD171" s="1">
        <v>60003760</v>
      </c>
      <c r="CE171" s="1">
        <v>-1</v>
      </c>
      <c r="CF171" s="1">
        <v>0</v>
      </c>
      <c r="CH171" s="1">
        <v>2413424010</v>
      </c>
      <c r="CI171" s="1">
        <v>29668</v>
      </c>
      <c r="CJ171" s="1">
        <v>6</v>
      </c>
      <c r="CK171" s="1">
        <v>6</v>
      </c>
      <c r="CL171" s="1">
        <v>479200000</v>
      </c>
      <c r="CM171" s="1">
        <v>1</v>
      </c>
      <c r="CN171" s="1">
        <v>1</v>
      </c>
      <c r="CO171" s="1">
        <v>90</v>
      </c>
      <c r="CP171" s="1">
        <v>60003760</v>
      </c>
      <c r="CQ171" s="1">
        <v>-1</v>
      </c>
      <c r="CR171" s="1">
        <v>0</v>
      </c>
      <c r="DF171" s="1">
        <v>2393290884</v>
      </c>
      <c r="DG171" s="1">
        <v>17887</v>
      </c>
      <c r="DH171" s="1">
        <v>100000</v>
      </c>
      <c r="DI171" s="1">
        <v>100000</v>
      </c>
      <c r="DJ171" s="1">
        <v>470</v>
      </c>
      <c r="DK171" s="1">
        <v>1</v>
      </c>
      <c r="DL171" s="1">
        <v>1</v>
      </c>
      <c r="DM171" s="1">
        <v>90</v>
      </c>
      <c r="DN171" s="1">
        <v>60004057</v>
      </c>
      <c r="DO171" s="1">
        <v>1</v>
      </c>
      <c r="DP171" s="1">
        <v>0</v>
      </c>
      <c r="DR171" s="1">
        <v>2871057960</v>
      </c>
      <c r="DS171" s="1">
        <v>17888</v>
      </c>
      <c r="DT171" s="1">
        <v>1000000</v>
      </c>
      <c r="DU171" s="1">
        <v>1000000</v>
      </c>
      <c r="DV171" s="1">
        <v>400</v>
      </c>
      <c r="DW171" s="1">
        <v>1</v>
      </c>
      <c r="DX171" s="1">
        <v>0</v>
      </c>
      <c r="DY171" s="1">
        <v>90</v>
      </c>
      <c r="DZ171" s="1">
        <v>60003145</v>
      </c>
      <c r="EA171" s="1">
        <v>32767</v>
      </c>
      <c r="EB171" s="1">
        <v>8</v>
      </c>
      <c r="ED171" s="1">
        <v>2759229879</v>
      </c>
      <c r="EE171" s="1">
        <v>16273</v>
      </c>
      <c r="EF171" s="1">
        <v>1000000</v>
      </c>
      <c r="EG171" s="1">
        <v>997062</v>
      </c>
      <c r="EH171" s="1">
        <v>306.02999999999997</v>
      </c>
      <c r="EI171" s="1">
        <v>1</v>
      </c>
      <c r="EJ171" s="1">
        <v>1</v>
      </c>
      <c r="EK171" s="1">
        <v>90</v>
      </c>
      <c r="EL171" s="1">
        <v>60003760</v>
      </c>
      <c r="EM171" s="1">
        <v>-1</v>
      </c>
      <c r="EN171" s="1">
        <v>0</v>
      </c>
      <c r="FZ171"/>
      <c r="GA171"/>
      <c r="GB171"/>
      <c r="GC171"/>
      <c r="GD171"/>
      <c r="GE171"/>
      <c r="GF171"/>
      <c r="GG171"/>
      <c r="GH171"/>
      <c r="GI171"/>
      <c r="GJ171"/>
      <c r="JF171"/>
      <c r="JG171"/>
      <c r="JH171"/>
      <c r="JI171"/>
      <c r="JJ171"/>
      <c r="JK171"/>
      <c r="JL171"/>
      <c r="JM171"/>
      <c r="JN171"/>
      <c r="JO171"/>
      <c r="JP171"/>
      <c r="KD171"/>
      <c r="KE171"/>
      <c r="KF171"/>
      <c r="KG171"/>
      <c r="KH171"/>
      <c r="KI171"/>
      <c r="KJ171"/>
      <c r="KK171"/>
      <c r="KL171"/>
      <c r="KM171"/>
      <c r="KN171"/>
      <c r="LB171"/>
      <c r="LC171"/>
      <c r="LD171"/>
      <c r="LE171"/>
      <c r="LF171"/>
      <c r="LG171"/>
      <c r="LH171"/>
      <c r="LI171"/>
      <c r="LJ171"/>
      <c r="LK171"/>
      <c r="LL171"/>
      <c r="NV171"/>
      <c r="NW171"/>
      <c r="NX171"/>
      <c r="NY171"/>
      <c r="NZ171"/>
      <c r="OA171"/>
      <c r="OB171"/>
      <c r="OC171"/>
      <c r="OD171"/>
      <c r="OE171"/>
      <c r="OF171"/>
      <c r="OH171" s="1">
        <v>2791364666</v>
      </c>
      <c r="OI171" s="1">
        <v>25598</v>
      </c>
      <c r="OJ171" s="1">
        <v>17</v>
      </c>
      <c r="OK171" s="1">
        <v>17</v>
      </c>
      <c r="OL171" s="1">
        <v>139980</v>
      </c>
      <c r="OM171" s="1">
        <v>1</v>
      </c>
      <c r="ON171" s="1">
        <v>0</v>
      </c>
      <c r="OO171" s="1">
        <v>90</v>
      </c>
      <c r="OP171" s="1">
        <v>60015027</v>
      </c>
      <c r="OQ171" s="1">
        <v>32767</v>
      </c>
      <c r="OR171" s="1">
        <v>4</v>
      </c>
      <c r="SX171" s="1">
        <v>2879070529</v>
      </c>
      <c r="SY171" s="1">
        <v>25595</v>
      </c>
      <c r="SZ171" s="1">
        <v>64</v>
      </c>
      <c r="TA171" s="1">
        <v>64</v>
      </c>
      <c r="TB171" s="1">
        <v>72780.600000000006</v>
      </c>
      <c r="TC171" s="1">
        <v>1</v>
      </c>
      <c r="TD171" s="1">
        <v>0</v>
      </c>
      <c r="TE171" s="1">
        <v>7</v>
      </c>
      <c r="TF171" s="1">
        <v>60003760</v>
      </c>
      <c r="TG171" s="1">
        <v>32767</v>
      </c>
      <c r="TH171" s="1">
        <v>0</v>
      </c>
    </row>
    <row r="172" spans="2:528" x14ac:dyDescent="0.25">
      <c r="B172" s="1">
        <v>2843524899</v>
      </c>
      <c r="C172" s="1">
        <v>34</v>
      </c>
      <c r="D172" s="1">
        <v>1186439</v>
      </c>
      <c r="E172" s="1">
        <v>1186439</v>
      </c>
      <c r="F172" s="1">
        <v>5.95</v>
      </c>
      <c r="G172" s="1">
        <v>1</v>
      </c>
      <c r="H172" s="1">
        <v>0</v>
      </c>
      <c r="I172" s="1">
        <v>30</v>
      </c>
      <c r="J172" s="1">
        <v>60003760</v>
      </c>
      <c r="K172" s="1">
        <v>32767</v>
      </c>
      <c r="L172" s="1">
        <v>0</v>
      </c>
      <c r="N172" s="1">
        <v>2853047522</v>
      </c>
      <c r="O172" s="1">
        <v>35</v>
      </c>
      <c r="P172" s="1">
        <v>12748565</v>
      </c>
      <c r="Q172" s="1">
        <v>30255</v>
      </c>
      <c r="R172" s="1">
        <v>15.99</v>
      </c>
      <c r="S172" s="1">
        <v>1</v>
      </c>
      <c r="T172" s="1">
        <v>0</v>
      </c>
      <c r="U172" s="1">
        <v>90</v>
      </c>
      <c r="V172" s="1">
        <v>60003037</v>
      </c>
      <c r="W172" s="1">
        <v>32767</v>
      </c>
      <c r="X172" s="1">
        <v>3</v>
      </c>
      <c r="Z172" s="1">
        <v>2860505720</v>
      </c>
      <c r="AA172" s="1">
        <v>36</v>
      </c>
      <c r="AB172" s="1">
        <v>555499</v>
      </c>
      <c r="AC172" s="1">
        <v>555499</v>
      </c>
      <c r="AD172" s="16">
        <v>50.86</v>
      </c>
      <c r="AE172" s="1">
        <v>1</v>
      </c>
      <c r="AF172" s="1">
        <v>0</v>
      </c>
      <c r="AG172" s="1">
        <v>90</v>
      </c>
      <c r="AH172" s="1">
        <v>60003760</v>
      </c>
      <c r="AI172" s="1">
        <v>32767</v>
      </c>
      <c r="AJ172" s="1">
        <v>11</v>
      </c>
      <c r="AL172" s="1">
        <v>2879121443</v>
      </c>
      <c r="AM172" s="1">
        <v>37</v>
      </c>
      <c r="AN172" s="1">
        <v>12897</v>
      </c>
      <c r="AO172" s="1">
        <v>12897</v>
      </c>
      <c r="AP172" s="16">
        <v>200</v>
      </c>
      <c r="AQ172" s="1">
        <v>1</v>
      </c>
      <c r="AR172" s="1">
        <v>0</v>
      </c>
      <c r="AS172" s="1">
        <v>90</v>
      </c>
      <c r="AT172" s="1">
        <v>60003142</v>
      </c>
      <c r="AU172" s="1">
        <v>32767</v>
      </c>
      <c r="AV172" s="1">
        <v>0</v>
      </c>
      <c r="AX172" s="1">
        <v>2860656634</v>
      </c>
      <c r="AY172" s="1">
        <v>38</v>
      </c>
      <c r="AZ172" s="1">
        <v>6000000</v>
      </c>
      <c r="BA172" s="1">
        <v>6000000</v>
      </c>
      <c r="BB172" s="1">
        <v>784.45</v>
      </c>
      <c r="BC172" s="1">
        <v>1</v>
      </c>
      <c r="BD172" s="1">
        <v>1</v>
      </c>
      <c r="BE172" s="1">
        <v>90</v>
      </c>
      <c r="BF172" s="1">
        <v>60003760</v>
      </c>
      <c r="BG172" s="1">
        <v>-1</v>
      </c>
      <c r="BH172" s="1">
        <v>0</v>
      </c>
      <c r="BJ172" s="1">
        <v>2877333119</v>
      </c>
      <c r="BK172" s="1">
        <v>39</v>
      </c>
      <c r="BL172" s="1">
        <v>100000</v>
      </c>
      <c r="BM172" s="1">
        <v>95368</v>
      </c>
      <c r="BN172" s="1">
        <v>750.03</v>
      </c>
      <c r="BO172" s="1">
        <v>1</v>
      </c>
      <c r="BP172" s="1">
        <v>1</v>
      </c>
      <c r="BQ172" s="1">
        <v>90</v>
      </c>
      <c r="BR172" s="1">
        <v>60012667</v>
      </c>
      <c r="BS172" s="1">
        <v>0</v>
      </c>
      <c r="BT172" s="1">
        <v>0</v>
      </c>
      <c r="BV172" s="1">
        <v>2410590917</v>
      </c>
      <c r="BW172" s="1">
        <v>40</v>
      </c>
      <c r="BX172" s="1">
        <v>50000</v>
      </c>
      <c r="BY172" s="1">
        <v>48081</v>
      </c>
      <c r="BZ172" s="1">
        <v>2570.71</v>
      </c>
      <c r="CA172" s="1">
        <v>1</v>
      </c>
      <c r="CB172" s="1">
        <v>1</v>
      </c>
      <c r="CC172" s="1">
        <v>30</v>
      </c>
      <c r="CD172" s="1">
        <v>60004423</v>
      </c>
      <c r="CE172" s="1">
        <v>-1</v>
      </c>
      <c r="CF172" s="1">
        <v>0</v>
      </c>
      <c r="CH172" s="1">
        <v>2413543747</v>
      </c>
      <c r="CI172" s="1">
        <v>29668</v>
      </c>
      <c r="CJ172" s="1">
        <v>4</v>
      </c>
      <c r="CK172" s="1">
        <v>4</v>
      </c>
      <c r="CL172" s="1">
        <v>481000000</v>
      </c>
      <c r="CM172" s="1">
        <v>1</v>
      </c>
      <c r="CN172" s="1">
        <v>1</v>
      </c>
      <c r="CO172" s="1">
        <v>90</v>
      </c>
      <c r="CP172" s="1">
        <v>60003760</v>
      </c>
      <c r="CQ172" s="1">
        <v>-1</v>
      </c>
      <c r="CR172" s="1">
        <v>0</v>
      </c>
      <c r="DF172" s="1">
        <v>2415135725</v>
      </c>
      <c r="DG172" s="1">
        <v>17887</v>
      </c>
      <c r="DH172" s="1">
        <v>2000000</v>
      </c>
      <c r="DI172" s="1">
        <v>2000000</v>
      </c>
      <c r="DJ172" s="1">
        <v>887.06</v>
      </c>
      <c r="DK172" s="1">
        <v>1</v>
      </c>
      <c r="DL172" s="1">
        <v>1</v>
      </c>
      <c r="DM172" s="1">
        <v>30</v>
      </c>
      <c r="DN172" s="1">
        <v>60003760</v>
      </c>
      <c r="DO172" s="1">
        <v>-1</v>
      </c>
      <c r="DP172" s="1">
        <v>0</v>
      </c>
      <c r="DR172" s="1">
        <v>2790177312</v>
      </c>
      <c r="DS172" s="1">
        <v>17888</v>
      </c>
      <c r="DT172" s="1">
        <v>49</v>
      </c>
      <c r="DU172" s="1">
        <v>49</v>
      </c>
      <c r="DV172" s="1">
        <v>479</v>
      </c>
      <c r="DW172" s="1">
        <v>1</v>
      </c>
      <c r="DX172" s="1">
        <v>0</v>
      </c>
      <c r="DY172" s="1">
        <v>90</v>
      </c>
      <c r="DZ172" s="1">
        <v>60000916</v>
      </c>
      <c r="EA172" s="1">
        <v>32767</v>
      </c>
      <c r="EB172" s="1">
        <v>7</v>
      </c>
      <c r="ED172" s="1">
        <v>2764589384</v>
      </c>
      <c r="EE172" s="1">
        <v>16273</v>
      </c>
      <c r="EF172" s="1">
        <v>525342</v>
      </c>
      <c r="EG172" s="1">
        <v>525342</v>
      </c>
      <c r="EH172" s="1">
        <v>308.01</v>
      </c>
      <c r="EI172" s="1">
        <v>1</v>
      </c>
      <c r="EJ172" s="1">
        <v>1</v>
      </c>
      <c r="EK172" s="1">
        <v>90</v>
      </c>
      <c r="EL172" s="1">
        <v>60003760</v>
      </c>
      <c r="EM172" s="1">
        <v>-1</v>
      </c>
      <c r="EN172" s="1">
        <v>0</v>
      </c>
      <c r="FZ172"/>
      <c r="GA172"/>
      <c r="GB172"/>
      <c r="GC172"/>
      <c r="GD172"/>
      <c r="GE172"/>
      <c r="GF172"/>
      <c r="GG172"/>
      <c r="GH172"/>
      <c r="GI172"/>
      <c r="GJ172"/>
      <c r="JF172"/>
      <c r="JG172"/>
      <c r="JH172"/>
      <c r="JI172"/>
      <c r="JJ172"/>
      <c r="JK172"/>
      <c r="JL172"/>
      <c r="JM172"/>
      <c r="JN172"/>
      <c r="JO172"/>
      <c r="JP172"/>
      <c r="KD172"/>
      <c r="KE172"/>
      <c r="KF172"/>
      <c r="KG172"/>
      <c r="KH172"/>
      <c r="KI172"/>
      <c r="KJ172"/>
      <c r="KK172"/>
      <c r="KL172"/>
      <c r="KM172"/>
      <c r="KN172"/>
      <c r="LB172"/>
      <c r="LC172"/>
      <c r="LD172"/>
      <c r="LE172"/>
      <c r="LF172"/>
      <c r="LG172"/>
      <c r="LH172"/>
      <c r="LI172"/>
      <c r="LJ172"/>
      <c r="LK172"/>
      <c r="LL172"/>
      <c r="NV172"/>
      <c r="NW172"/>
      <c r="NX172"/>
      <c r="NY172"/>
      <c r="NZ172"/>
      <c r="OA172"/>
      <c r="OB172"/>
      <c r="OC172"/>
      <c r="OD172"/>
      <c r="OE172"/>
      <c r="OF172"/>
      <c r="OH172" s="1">
        <v>2838245230</v>
      </c>
      <c r="OI172" s="1">
        <v>25598</v>
      </c>
      <c r="OJ172" s="1">
        <v>145</v>
      </c>
      <c r="OK172" s="1">
        <v>68</v>
      </c>
      <c r="OL172" s="1">
        <v>139980</v>
      </c>
      <c r="OM172" s="1">
        <v>1</v>
      </c>
      <c r="ON172" s="1">
        <v>0</v>
      </c>
      <c r="OO172" s="1">
        <v>90</v>
      </c>
      <c r="OP172" s="1">
        <v>60015027</v>
      </c>
      <c r="OQ172" s="1">
        <v>32767</v>
      </c>
      <c r="OR172" s="1">
        <v>4</v>
      </c>
      <c r="SX172" s="1">
        <v>2879125566</v>
      </c>
      <c r="SY172" s="1">
        <v>25595</v>
      </c>
      <c r="SZ172" s="1">
        <v>25</v>
      </c>
      <c r="TA172" s="1">
        <v>25</v>
      </c>
      <c r="TB172" s="1">
        <v>67564</v>
      </c>
      <c r="TC172" s="1">
        <v>1</v>
      </c>
      <c r="TD172" s="1">
        <v>0</v>
      </c>
      <c r="TE172" s="1">
        <v>1</v>
      </c>
      <c r="TF172" s="1">
        <v>60003760</v>
      </c>
      <c r="TG172" s="1">
        <v>32767</v>
      </c>
      <c r="TH172" s="1">
        <v>0</v>
      </c>
    </row>
    <row r="173" spans="2:528" x14ac:dyDescent="0.25">
      <c r="B173" s="1">
        <v>2843555015</v>
      </c>
      <c r="C173" s="1">
        <v>34</v>
      </c>
      <c r="D173" s="1">
        <v>716015</v>
      </c>
      <c r="E173" s="1">
        <v>716015</v>
      </c>
      <c r="F173" s="1">
        <v>6.9</v>
      </c>
      <c r="G173" s="1">
        <v>1</v>
      </c>
      <c r="H173" s="1">
        <v>0</v>
      </c>
      <c r="I173" s="1">
        <v>90</v>
      </c>
      <c r="J173" s="1">
        <v>60003760</v>
      </c>
      <c r="K173" s="1">
        <v>32767</v>
      </c>
      <c r="L173" s="1">
        <v>0</v>
      </c>
      <c r="N173" s="1">
        <v>2866578427</v>
      </c>
      <c r="O173" s="1">
        <v>35</v>
      </c>
      <c r="P173" s="1">
        <v>314633</v>
      </c>
      <c r="Q173" s="1">
        <v>314633</v>
      </c>
      <c r="R173" s="1">
        <v>16</v>
      </c>
      <c r="S173" s="1">
        <v>1</v>
      </c>
      <c r="T173" s="1">
        <v>0</v>
      </c>
      <c r="U173" s="1">
        <v>90</v>
      </c>
      <c r="V173" s="1">
        <v>60002434</v>
      </c>
      <c r="W173" s="1">
        <v>32767</v>
      </c>
      <c r="X173" s="1">
        <v>3</v>
      </c>
      <c r="Z173" s="1">
        <v>2860475533</v>
      </c>
      <c r="AA173" s="1">
        <v>36</v>
      </c>
      <c r="AB173" s="1">
        <v>1795825</v>
      </c>
      <c r="AC173" s="1">
        <v>1795825</v>
      </c>
      <c r="AD173" s="16">
        <v>50.48</v>
      </c>
      <c r="AE173" s="1">
        <v>1</v>
      </c>
      <c r="AF173" s="1">
        <v>0</v>
      </c>
      <c r="AG173" s="1">
        <v>90</v>
      </c>
      <c r="AH173" s="1">
        <v>60003760</v>
      </c>
      <c r="AI173" s="1">
        <v>32767</v>
      </c>
      <c r="AJ173" s="1">
        <v>11</v>
      </c>
      <c r="AL173" s="1">
        <v>2879121847</v>
      </c>
      <c r="AM173" s="1">
        <v>37</v>
      </c>
      <c r="AN173" s="1">
        <v>10801</v>
      </c>
      <c r="AO173" s="1">
        <v>10801</v>
      </c>
      <c r="AP173" s="16">
        <v>200</v>
      </c>
      <c r="AQ173" s="1">
        <v>1</v>
      </c>
      <c r="AR173" s="1">
        <v>0</v>
      </c>
      <c r="AS173" s="1">
        <v>90</v>
      </c>
      <c r="AT173" s="1">
        <v>60001804</v>
      </c>
      <c r="AU173" s="1">
        <v>32767</v>
      </c>
      <c r="AV173" s="1">
        <v>0</v>
      </c>
      <c r="AX173" s="1">
        <v>2619835094</v>
      </c>
      <c r="AY173" s="1">
        <v>38</v>
      </c>
      <c r="AZ173" s="1">
        <v>999999</v>
      </c>
      <c r="BA173" s="1">
        <v>446443</v>
      </c>
      <c r="BB173" s="1">
        <v>429.01</v>
      </c>
      <c r="BC173" s="1">
        <v>1</v>
      </c>
      <c r="BD173" s="1">
        <v>1</v>
      </c>
      <c r="BE173" s="1">
        <v>90</v>
      </c>
      <c r="BF173" s="1">
        <v>60003760</v>
      </c>
      <c r="BG173" s="1">
        <v>32767</v>
      </c>
      <c r="BH173" s="1">
        <v>0</v>
      </c>
      <c r="BJ173" s="1">
        <v>1550360761</v>
      </c>
      <c r="BK173" s="1">
        <v>39</v>
      </c>
      <c r="BL173" s="1">
        <v>200000</v>
      </c>
      <c r="BM173" s="1">
        <v>108474</v>
      </c>
      <c r="BN173" s="1">
        <v>75.72</v>
      </c>
      <c r="BO173" s="1">
        <v>1</v>
      </c>
      <c r="BP173" s="1">
        <v>1</v>
      </c>
      <c r="BQ173" s="1">
        <v>90</v>
      </c>
      <c r="BR173" s="1">
        <v>60004444</v>
      </c>
      <c r="BS173" s="1">
        <v>10</v>
      </c>
      <c r="BT173" s="1">
        <v>0</v>
      </c>
      <c r="BV173" s="1">
        <v>2410212102</v>
      </c>
      <c r="BW173" s="1">
        <v>40</v>
      </c>
      <c r="BX173" s="1">
        <v>25000</v>
      </c>
      <c r="BY173" s="1">
        <v>11036</v>
      </c>
      <c r="BZ173" s="1">
        <v>2400.0500000000002</v>
      </c>
      <c r="CA173" s="1">
        <v>1</v>
      </c>
      <c r="CB173" s="1">
        <v>1</v>
      </c>
      <c r="CC173" s="1">
        <v>90</v>
      </c>
      <c r="CD173" s="1">
        <v>60003760</v>
      </c>
      <c r="CE173" s="1">
        <v>1</v>
      </c>
      <c r="CF173" s="1">
        <v>0</v>
      </c>
      <c r="CH173" s="1">
        <v>2413460254</v>
      </c>
      <c r="CI173" s="1">
        <v>29668</v>
      </c>
      <c r="CJ173" s="1">
        <v>1</v>
      </c>
      <c r="CK173" s="1">
        <v>1</v>
      </c>
      <c r="CL173" s="1">
        <v>1000000</v>
      </c>
      <c r="CM173" s="1">
        <v>1</v>
      </c>
      <c r="CN173" s="1">
        <v>1</v>
      </c>
      <c r="CO173" s="1">
        <v>90</v>
      </c>
      <c r="CP173" s="1">
        <v>60003760</v>
      </c>
      <c r="CQ173" s="1">
        <v>32767</v>
      </c>
      <c r="CR173" s="1">
        <v>0</v>
      </c>
      <c r="DF173" s="1">
        <v>2415241644</v>
      </c>
      <c r="DG173" s="1">
        <v>17887</v>
      </c>
      <c r="DH173" s="1">
        <v>920000</v>
      </c>
      <c r="DI173" s="1">
        <v>920000</v>
      </c>
      <c r="DJ173" s="1">
        <v>887.13</v>
      </c>
      <c r="DK173" s="1">
        <v>1</v>
      </c>
      <c r="DL173" s="1">
        <v>1</v>
      </c>
      <c r="DM173" s="1">
        <v>90</v>
      </c>
      <c r="DN173" s="1">
        <v>60003760</v>
      </c>
      <c r="DO173" s="1">
        <v>-1</v>
      </c>
      <c r="DP173" s="1">
        <v>0</v>
      </c>
      <c r="DR173" s="1">
        <v>2784982701</v>
      </c>
      <c r="DS173" s="1">
        <v>17888</v>
      </c>
      <c r="DT173" s="1">
        <v>24</v>
      </c>
      <c r="DU173" s="1">
        <v>24</v>
      </c>
      <c r="DV173" s="1">
        <v>522</v>
      </c>
      <c r="DW173" s="1">
        <v>1</v>
      </c>
      <c r="DX173" s="1">
        <v>0</v>
      </c>
      <c r="DY173" s="1">
        <v>90</v>
      </c>
      <c r="DZ173" s="1">
        <v>60000916</v>
      </c>
      <c r="EA173" s="1">
        <v>32767</v>
      </c>
      <c r="EB173" s="1">
        <v>7</v>
      </c>
      <c r="ED173" s="1">
        <v>2765830989</v>
      </c>
      <c r="EE173" s="1">
        <v>16273</v>
      </c>
      <c r="EF173" s="1">
        <v>16500000</v>
      </c>
      <c r="EG173" s="1">
        <v>16500000</v>
      </c>
      <c r="EH173" s="1">
        <v>303</v>
      </c>
      <c r="EI173" s="1">
        <v>1</v>
      </c>
      <c r="EJ173" s="1">
        <v>1</v>
      </c>
      <c r="EK173" s="1">
        <v>90</v>
      </c>
      <c r="EL173" s="1">
        <v>60003760</v>
      </c>
      <c r="EM173" s="1">
        <v>-1</v>
      </c>
      <c r="EN173" s="1">
        <v>0</v>
      </c>
      <c r="FZ173"/>
      <c r="GA173"/>
      <c r="GB173"/>
      <c r="GC173"/>
      <c r="GD173"/>
      <c r="GE173"/>
      <c r="GF173"/>
      <c r="GG173"/>
      <c r="GH173"/>
      <c r="GI173"/>
      <c r="GJ173"/>
      <c r="JF173"/>
      <c r="JG173"/>
      <c r="JH173"/>
      <c r="JI173"/>
      <c r="JJ173"/>
      <c r="JK173"/>
      <c r="JL173"/>
      <c r="JM173"/>
      <c r="JN173"/>
      <c r="JO173"/>
      <c r="JP173"/>
      <c r="KD173"/>
      <c r="KE173"/>
      <c r="KF173"/>
      <c r="KG173"/>
      <c r="KH173"/>
      <c r="KI173"/>
      <c r="KJ173"/>
      <c r="KK173"/>
      <c r="KL173"/>
      <c r="KM173"/>
      <c r="KN173"/>
      <c r="LB173"/>
      <c r="LC173"/>
      <c r="LD173"/>
      <c r="LE173"/>
      <c r="LF173"/>
      <c r="LG173"/>
      <c r="LH173"/>
      <c r="LI173"/>
      <c r="LJ173"/>
      <c r="LK173"/>
      <c r="LL173"/>
      <c r="NV173"/>
      <c r="NW173"/>
      <c r="NX173"/>
      <c r="NY173"/>
      <c r="NZ173"/>
      <c r="OA173"/>
      <c r="OB173"/>
      <c r="OC173"/>
      <c r="OD173"/>
      <c r="OE173"/>
      <c r="OF173"/>
      <c r="OH173" s="1">
        <v>2841735904</v>
      </c>
      <c r="OI173" s="1">
        <v>25598</v>
      </c>
      <c r="OJ173" s="1">
        <v>150</v>
      </c>
      <c r="OK173" s="1">
        <v>150</v>
      </c>
      <c r="OL173" s="1">
        <v>150000</v>
      </c>
      <c r="OM173" s="1">
        <v>1</v>
      </c>
      <c r="ON173" s="1">
        <v>0</v>
      </c>
      <c r="OO173" s="1">
        <v>30</v>
      </c>
      <c r="OP173" s="1">
        <v>60015027</v>
      </c>
      <c r="OQ173" s="1">
        <v>32767</v>
      </c>
      <c r="OR173" s="1">
        <v>4</v>
      </c>
      <c r="SX173" s="1">
        <v>2879135768</v>
      </c>
      <c r="SY173" s="1">
        <v>25595</v>
      </c>
      <c r="SZ173" s="1">
        <v>192</v>
      </c>
      <c r="TA173" s="1">
        <v>192</v>
      </c>
      <c r="TB173" s="1">
        <v>76781.14</v>
      </c>
      <c r="TC173" s="1">
        <v>1</v>
      </c>
      <c r="TD173" s="1">
        <v>0</v>
      </c>
      <c r="TE173" s="1">
        <v>90</v>
      </c>
      <c r="TF173" s="1">
        <v>60003760</v>
      </c>
      <c r="TG173" s="1">
        <v>32767</v>
      </c>
      <c r="TH173" s="1">
        <v>0</v>
      </c>
    </row>
    <row r="174" spans="2:528" x14ac:dyDescent="0.25">
      <c r="B174" s="1">
        <v>2843653396</v>
      </c>
      <c r="C174" s="1">
        <v>34</v>
      </c>
      <c r="D174" s="1">
        <v>82751944</v>
      </c>
      <c r="E174" s="1">
        <v>82751944</v>
      </c>
      <c r="F174" s="1">
        <v>5.94</v>
      </c>
      <c r="G174" s="1">
        <v>1</v>
      </c>
      <c r="H174" s="1">
        <v>0</v>
      </c>
      <c r="I174" s="1">
        <v>90</v>
      </c>
      <c r="J174" s="1">
        <v>60003760</v>
      </c>
      <c r="K174" s="1">
        <v>32767</v>
      </c>
      <c r="L174" s="1">
        <v>0</v>
      </c>
      <c r="N174" s="1">
        <v>2874266796</v>
      </c>
      <c r="O174" s="1">
        <v>35</v>
      </c>
      <c r="P174" s="1">
        <v>138514</v>
      </c>
      <c r="Q174" s="1">
        <v>138514</v>
      </c>
      <c r="R174" s="1">
        <v>15.85</v>
      </c>
      <c r="S174" s="1">
        <v>1</v>
      </c>
      <c r="T174" s="1">
        <v>0</v>
      </c>
      <c r="U174" s="1">
        <v>90</v>
      </c>
      <c r="V174" s="1">
        <v>60002434</v>
      </c>
      <c r="W174" s="1">
        <v>32767</v>
      </c>
      <c r="X174" s="1">
        <v>3</v>
      </c>
      <c r="Z174" s="1">
        <v>2488358837</v>
      </c>
      <c r="AA174" s="1">
        <v>36</v>
      </c>
      <c r="AB174" s="1">
        <v>263784960</v>
      </c>
      <c r="AC174" s="1">
        <v>259347586</v>
      </c>
      <c r="AD174" s="16">
        <v>99.98</v>
      </c>
      <c r="AE174" s="1">
        <v>1</v>
      </c>
      <c r="AF174" s="1">
        <v>0</v>
      </c>
      <c r="AG174" s="1">
        <v>90</v>
      </c>
      <c r="AH174" s="1">
        <v>60003760</v>
      </c>
      <c r="AI174" s="1">
        <v>32767</v>
      </c>
      <c r="AJ174" s="1">
        <v>11</v>
      </c>
      <c r="AL174" s="1">
        <v>2878800876</v>
      </c>
      <c r="AM174" s="1">
        <v>37</v>
      </c>
      <c r="AN174" s="1">
        <v>600000</v>
      </c>
      <c r="AO174" s="1">
        <v>600000</v>
      </c>
      <c r="AP174" s="16">
        <v>146.47999999999999</v>
      </c>
      <c r="AQ174" s="1">
        <v>1</v>
      </c>
      <c r="AR174" s="1">
        <v>0</v>
      </c>
      <c r="AS174" s="1">
        <v>90</v>
      </c>
      <c r="AT174" s="1">
        <v>60003760</v>
      </c>
      <c r="AU174" s="1">
        <v>32767</v>
      </c>
      <c r="AV174" s="1">
        <v>9</v>
      </c>
      <c r="AX174" s="1">
        <v>2633365594</v>
      </c>
      <c r="AY174" s="1">
        <v>38</v>
      </c>
      <c r="AZ174" s="1">
        <v>1750000</v>
      </c>
      <c r="BA174" s="1">
        <v>1750000</v>
      </c>
      <c r="BB174" s="1">
        <v>528</v>
      </c>
      <c r="BC174" s="1">
        <v>25000</v>
      </c>
      <c r="BD174" s="1">
        <v>1</v>
      </c>
      <c r="BE174" s="1">
        <v>90</v>
      </c>
      <c r="BF174" s="1">
        <v>60003760</v>
      </c>
      <c r="BG174" s="1">
        <v>32767</v>
      </c>
      <c r="BH174" s="1">
        <v>0</v>
      </c>
      <c r="BJ174" s="1">
        <v>2750386970</v>
      </c>
      <c r="BK174" s="1">
        <v>39</v>
      </c>
      <c r="BL174" s="1">
        <v>10000</v>
      </c>
      <c r="BM174" s="1">
        <v>10000</v>
      </c>
      <c r="BN174" s="1">
        <v>675.19</v>
      </c>
      <c r="BO174" s="1">
        <v>1</v>
      </c>
      <c r="BP174" s="1">
        <v>1</v>
      </c>
      <c r="BQ174" s="1">
        <v>90</v>
      </c>
      <c r="BR174" s="1">
        <v>60010816</v>
      </c>
      <c r="BS174" s="1">
        <v>0</v>
      </c>
      <c r="BT174" s="1">
        <v>0</v>
      </c>
      <c r="BV174" s="1">
        <v>2410001243</v>
      </c>
      <c r="BW174" s="1">
        <v>40</v>
      </c>
      <c r="BX174" s="1">
        <v>75000</v>
      </c>
      <c r="BY174" s="1">
        <v>75000</v>
      </c>
      <c r="BZ174" s="1">
        <v>2400.0500000000002</v>
      </c>
      <c r="CA174" s="1">
        <v>1</v>
      </c>
      <c r="CB174" s="1">
        <v>1</v>
      </c>
      <c r="CC174" s="1">
        <v>90</v>
      </c>
      <c r="CD174" s="1">
        <v>60003760</v>
      </c>
      <c r="CE174" s="1">
        <v>-1</v>
      </c>
      <c r="CF174" s="1">
        <v>0</v>
      </c>
      <c r="CH174" s="1">
        <v>2413467512</v>
      </c>
      <c r="CI174" s="1">
        <v>29668</v>
      </c>
      <c r="CJ174" s="1">
        <v>4</v>
      </c>
      <c r="CK174" s="1">
        <v>4</v>
      </c>
      <c r="CL174" s="1">
        <v>480000000</v>
      </c>
      <c r="CM174" s="1">
        <v>1</v>
      </c>
      <c r="CN174" s="1">
        <v>1</v>
      </c>
      <c r="CO174" s="1">
        <v>90</v>
      </c>
      <c r="CP174" s="1">
        <v>60003760</v>
      </c>
      <c r="CQ174" s="1">
        <v>-1</v>
      </c>
      <c r="CR174" s="1">
        <v>0</v>
      </c>
      <c r="DF174" s="1">
        <v>2415246450</v>
      </c>
      <c r="DG174" s="1">
        <v>17887</v>
      </c>
      <c r="DH174" s="1">
        <v>100000</v>
      </c>
      <c r="DI174" s="1">
        <v>100000</v>
      </c>
      <c r="DJ174" s="1">
        <v>887.16</v>
      </c>
      <c r="DK174" s="1">
        <v>1</v>
      </c>
      <c r="DL174" s="1">
        <v>1</v>
      </c>
      <c r="DM174" s="1">
        <v>90</v>
      </c>
      <c r="DN174" s="1">
        <v>60003760</v>
      </c>
      <c r="DO174" s="1">
        <v>-1</v>
      </c>
      <c r="DP174" s="1">
        <v>0</v>
      </c>
      <c r="DR174" s="1">
        <v>2813761009</v>
      </c>
      <c r="DS174" s="1">
        <v>17888</v>
      </c>
      <c r="DT174" s="1">
        <v>366915</v>
      </c>
      <c r="DU174" s="1">
        <v>181915</v>
      </c>
      <c r="DV174" s="1">
        <v>464</v>
      </c>
      <c r="DW174" s="1">
        <v>1</v>
      </c>
      <c r="DX174" s="1">
        <v>0</v>
      </c>
      <c r="DY174" s="1">
        <v>90</v>
      </c>
      <c r="DZ174" s="1">
        <v>60004081</v>
      </c>
      <c r="EA174" s="1">
        <v>32767</v>
      </c>
      <c r="EB174" s="1">
        <v>7</v>
      </c>
      <c r="ED174" s="1">
        <v>2778304581</v>
      </c>
      <c r="EE174" s="1">
        <v>16273</v>
      </c>
      <c r="EF174" s="1">
        <v>3000000</v>
      </c>
      <c r="EG174" s="1">
        <v>3000000</v>
      </c>
      <c r="EH174" s="1">
        <v>308.05</v>
      </c>
      <c r="EI174" s="1">
        <v>1</v>
      </c>
      <c r="EJ174" s="1">
        <v>1</v>
      </c>
      <c r="EK174" s="1">
        <v>90</v>
      </c>
      <c r="EL174" s="1">
        <v>60003760</v>
      </c>
      <c r="EM174" s="1">
        <v>-1</v>
      </c>
      <c r="EN174" s="1">
        <v>0</v>
      </c>
      <c r="FZ174"/>
      <c r="GA174"/>
      <c r="GB174"/>
      <c r="GC174"/>
      <c r="GD174"/>
      <c r="GE174"/>
      <c r="GF174"/>
      <c r="GG174"/>
      <c r="GH174"/>
      <c r="GI174"/>
      <c r="GJ174"/>
      <c r="JF174"/>
      <c r="JG174"/>
      <c r="JH174"/>
      <c r="JI174"/>
      <c r="JJ174"/>
      <c r="JK174"/>
      <c r="JL174"/>
      <c r="JM174"/>
      <c r="JN174"/>
      <c r="JO174"/>
      <c r="JP174"/>
      <c r="KD174"/>
      <c r="KE174"/>
      <c r="KF174"/>
      <c r="KG174"/>
      <c r="KH174"/>
      <c r="KI174"/>
      <c r="KJ174"/>
      <c r="KK174"/>
      <c r="KL174"/>
      <c r="KM174"/>
      <c r="KN174"/>
      <c r="LB174"/>
      <c r="LC174"/>
      <c r="LD174"/>
      <c r="LE174"/>
      <c r="LF174"/>
      <c r="LG174"/>
      <c r="LH174"/>
      <c r="LI174"/>
      <c r="LJ174"/>
      <c r="LK174"/>
      <c r="LL174"/>
      <c r="NV174"/>
      <c r="NW174"/>
      <c r="NX174"/>
      <c r="NY174"/>
      <c r="NZ174"/>
      <c r="OA174"/>
      <c r="OB174"/>
      <c r="OC174"/>
      <c r="OD174"/>
      <c r="OE174"/>
      <c r="OF174"/>
      <c r="OH174" s="1">
        <v>2878480785</v>
      </c>
      <c r="OI174" s="1">
        <v>25598</v>
      </c>
      <c r="OJ174" s="1">
        <v>32</v>
      </c>
      <c r="OK174" s="1">
        <v>32</v>
      </c>
      <c r="OL174" s="1">
        <v>135000</v>
      </c>
      <c r="OM174" s="1">
        <v>1</v>
      </c>
      <c r="ON174" s="1">
        <v>0</v>
      </c>
      <c r="OO174" s="1">
        <v>1</v>
      </c>
      <c r="OP174" s="1">
        <v>60015027</v>
      </c>
      <c r="OQ174" s="1">
        <v>32767</v>
      </c>
      <c r="OR174" s="1">
        <v>4</v>
      </c>
      <c r="SX174" s="1">
        <v>2800493571</v>
      </c>
      <c r="SY174" s="1">
        <v>25595</v>
      </c>
      <c r="SZ174" s="1">
        <v>3000</v>
      </c>
      <c r="TA174" s="1">
        <v>3000</v>
      </c>
      <c r="TB174" s="1">
        <v>50000</v>
      </c>
      <c r="TC174" s="1">
        <v>100</v>
      </c>
      <c r="TD174" s="1">
        <v>1</v>
      </c>
      <c r="TE174" s="1">
        <v>90</v>
      </c>
      <c r="TF174" s="1">
        <v>60003760</v>
      </c>
      <c r="TG174" s="1">
        <v>32767</v>
      </c>
      <c r="TH174" s="1">
        <v>0</v>
      </c>
    </row>
    <row r="175" spans="2:528" x14ac:dyDescent="0.25">
      <c r="B175" s="1">
        <v>2843825153</v>
      </c>
      <c r="C175" s="1">
        <v>34</v>
      </c>
      <c r="D175" s="1">
        <v>3580428</v>
      </c>
      <c r="E175" s="1">
        <v>3580428</v>
      </c>
      <c r="F175" s="1">
        <v>5.94</v>
      </c>
      <c r="G175" s="1">
        <v>1</v>
      </c>
      <c r="H175" s="1">
        <v>0</v>
      </c>
      <c r="I175" s="1">
        <v>90</v>
      </c>
      <c r="J175" s="1">
        <v>60003760</v>
      </c>
      <c r="K175" s="1">
        <v>32767</v>
      </c>
      <c r="L175" s="1">
        <v>0</v>
      </c>
      <c r="N175" s="1">
        <v>2876904340</v>
      </c>
      <c r="O175" s="1">
        <v>35</v>
      </c>
      <c r="P175" s="1">
        <v>3529884</v>
      </c>
      <c r="Q175" s="1">
        <v>3529884</v>
      </c>
      <c r="R175" s="1">
        <v>15.84</v>
      </c>
      <c r="S175" s="1">
        <v>1</v>
      </c>
      <c r="T175" s="1">
        <v>0</v>
      </c>
      <c r="U175" s="1">
        <v>30</v>
      </c>
      <c r="V175" s="1">
        <v>60003034</v>
      </c>
      <c r="W175" s="1">
        <v>32767</v>
      </c>
      <c r="X175" s="1">
        <v>3</v>
      </c>
      <c r="Z175" s="1">
        <v>2492055763</v>
      </c>
      <c r="AA175" s="1">
        <v>36</v>
      </c>
      <c r="AB175" s="1">
        <v>244260864</v>
      </c>
      <c r="AC175" s="1">
        <v>241812232</v>
      </c>
      <c r="AD175" s="16">
        <v>89.98</v>
      </c>
      <c r="AE175" s="1">
        <v>1</v>
      </c>
      <c r="AF175" s="1">
        <v>0</v>
      </c>
      <c r="AG175" s="1">
        <v>90</v>
      </c>
      <c r="AH175" s="1">
        <v>60003760</v>
      </c>
      <c r="AI175" s="1">
        <v>32767</v>
      </c>
      <c r="AJ175" s="1">
        <v>11</v>
      </c>
      <c r="AL175" s="1">
        <v>2717799436</v>
      </c>
      <c r="AM175" s="1">
        <v>37</v>
      </c>
      <c r="AN175" s="1">
        <v>1000000</v>
      </c>
      <c r="AO175" s="1">
        <v>1000000</v>
      </c>
      <c r="AP175" s="16">
        <v>127</v>
      </c>
      <c r="AQ175" s="1">
        <v>1</v>
      </c>
      <c r="AR175" s="1">
        <v>1</v>
      </c>
      <c r="AS175" s="1">
        <v>90</v>
      </c>
      <c r="AT175" s="1">
        <v>60001543</v>
      </c>
      <c r="AU175" s="1">
        <v>-1</v>
      </c>
      <c r="AV175" s="1">
        <v>0</v>
      </c>
      <c r="AX175" s="1">
        <v>2625294809</v>
      </c>
      <c r="AY175" s="1">
        <v>38</v>
      </c>
      <c r="AZ175" s="1">
        <v>1000000</v>
      </c>
      <c r="BA175" s="1">
        <v>1000000</v>
      </c>
      <c r="BB175" s="1">
        <v>417.25</v>
      </c>
      <c r="BC175" s="1">
        <v>1</v>
      </c>
      <c r="BD175" s="1">
        <v>1</v>
      </c>
      <c r="BE175" s="1">
        <v>90</v>
      </c>
      <c r="BF175" s="1">
        <v>60003760</v>
      </c>
      <c r="BG175" s="1">
        <v>-1</v>
      </c>
      <c r="BH175" s="1">
        <v>0</v>
      </c>
      <c r="BJ175" s="1">
        <v>2754205404</v>
      </c>
      <c r="BK175" s="1">
        <v>39</v>
      </c>
      <c r="BL175" s="1">
        <v>100000</v>
      </c>
      <c r="BM175" s="1">
        <v>99812</v>
      </c>
      <c r="BN175" s="1">
        <v>739</v>
      </c>
      <c r="BO175" s="1">
        <v>1</v>
      </c>
      <c r="BP175" s="1">
        <v>1</v>
      </c>
      <c r="BQ175" s="1">
        <v>90</v>
      </c>
      <c r="BR175" s="1">
        <v>60002239</v>
      </c>
      <c r="BS175" s="1">
        <v>0</v>
      </c>
      <c r="BT175" s="1">
        <v>0</v>
      </c>
      <c r="BV175" s="1">
        <v>2410001531</v>
      </c>
      <c r="BW175" s="1">
        <v>40</v>
      </c>
      <c r="BX175" s="1">
        <v>75000</v>
      </c>
      <c r="BY175" s="1">
        <v>75000</v>
      </c>
      <c r="BZ175" s="1">
        <v>2305</v>
      </c>
      <c r="CA175" s="1">
        <v>1</v>
      </c>
      <c r="CB175" s="1">
        <v>1</v>
      </c>
      <c r="CC175" s="1">
        <v>90</v>
      </c>
      <c r="CD175" s="1">
        <v>60003760</v>
      </c>
      <c r="CE175" s="1">
        <v>-1</v>
      </c>
      <c r="CF175" s="1">
        <v>0</v>
      </c>
      <c r="CH175" s="1">
        <v>2413469146</v>
      </c>
      <c r="CI175" s="1">
        <v>29668</v>
      </c>
      <c r="CJ175" s="1">
        <v>1</v>
      </c>
      <c r="CK175" s="1">
        <v>1</v>
      </c>
      <c r="CL175" s="1">
        <v>420000000</v>
      </c>
      <c r="CM175" s="1">
        <v>1</v>
      </c>
      <c r="CN175" s="1">
        <v>1</v>
      </c>
      <c r="CO175" s="1">
        <v>7</v>
      </c>
      <c r="CP175" s="1">
        <v>60003760</v>
      </c>
      <c r="CQ175" s="1">
        <v>0</v>
      </c>
      <c r="CR175" s="1">
        <v>0</v>
      </c>
      <c r="DF175" s="1">
        <v>2415047875</v>
      </c>
      <c r="DG175" s="1">
        <v>17887</v>
      </c>
      <c r="DH175" s="1">
        <v>201000</v>
      </c>
      <c r="DI175" s="1">
        <v>201000</v>
      </c>
      <c r="DJ175" s="1">
        <v>887.3</v>
      </c>
      <c r="DK175" s="1">
        <v>1</v>
      </c>
      <c r="DL175" s="1">
        <v>1</v>
      </c>
      <c r="DM175" s="1">
        <v>30</v>
      </c>
      <c r="DN175" s="1">
        <v>60003760</v>
      </c>
      <c r="DO175" s="1">
        <v>0</v>
      </c>
      <c r="DP175" s="1">
        <v>0</v>
      </c>
      <c r="DR175" s="1">
        <v>2860280601</v>
      </c>
      <c r="DS175" s="1">
        <v>17888</v>
      </c>
      <c r="DT175" s="1">
        <v>2341284</v>
      </c>
      <c r="DU175" s="1">
        <v>1874618</v>
      </c>
      <c r="DV175" s="1">
        <v>463.95</v>
      </c>
      <c r="DW175" s="1">
        <v>1</v>
      </c>
      <c r="DX175" s="1">
        <v>0</v>
      </c>
      <c r="DY175" s="1">
        <v>90</v>
      </c>
      <c r="DZ175" s="1">
        <v>60001801</v>
      </c>
      <c r="EA175" s="1">
        <v>32767</v>
      </c>
      <c r="EB175" s="1">
        <v>7</v>
      </c>
      <c r="ED175" s="1">
        <v>2780084602</v>
      </c>
      <c r="EE175" s="1">
        <v>16273</v>
      </c>
      <c r="EF175" s="1">
        <v>300000</v>
      </c>
      <c r="EG175" s="1">
        <v>295539</v>
      </c>
      <c r="EH175" s="1">
        <v>291.41000000000003</v>
      </c>
      <c r="EI175" s="1">
        <v>1</v>
      </c>
      <c r="EJ175" s="1">
        <v>1</v>
      </c>
      <c r="EK175" s="1">
        <v>90</v>
      </c>
      <c r="EL175" s="1">
        <v>60003760</v>
      </c>
      <c r="EM175" s="1">
        <v>10</v>
      </c>
      <c r="EN175" s="1">
        <v>0</v>
      </c>
      <c r="FZ175"/>
      <c r="GA175"/>
      <c r="GB175"/>
      <c r="GC175"/>
      <c r="GD175"/>
      <c r="GE175"/>
      <c r="GF175"/>
      <c r="GG175"/>
      <c r="GH175"/>
      <c r="GI175"/>
      <c r="GJ175"/>
      <c r="JF175"/>
      <c r="JG175"/>
      <c r="JH175"/>
      <c r="JI175"/>
      <c r="JJ175"/>
      <c r="JK175"/>
      <c r="JL175"/>
      <c r="JM175"/>
      <c r="JN175"/>
      <c r="JO175"/>
      <c r="JP175"/>
      <c r="KD175"/>
      <c r="KE175"/>
      <c r="KF175"/>
      <c r="KG175"/>
      <c r="KH175"/>
      <c r="KI175"/>
      <c r="KJ175"/>
      <c r="KK175"/>
      <c r="KL175"/>
      <c r="KM175"/>
      <c r="KN175"/>
      <c r="LB175"/>
      <c r="LC175"/>
      <c r="LD175"/>
      <c r="LE175"/>
      <c r="LF175"/>
      <c r="LG175"/>
      <c r="LH175"/>
      <c r="LI175"/>
      <c r="LJ175"/>
      <c r="LK175"/>
      <c r="LL175"/>
      <c r="NV175"/>
      <c r="NW175"/>
      <c r="NX175"/>
      <c r="NY175"/>
      <c r="NZ175"/>
      <c r="OA175"/>
      <c r="OB175"/>
      <c r="OC175"/>
      <c r="OD175"/>
      <c r="OE175"/>
      <c r="OF175"/>
      <c r="OH175" s="1">
        <v>2878497932</v>
      </c>
      <c r="OI175" s="1">
        <v>25598</v>
      </c>
      <c r="OJ175" s="1">
        <v>13</v>
      </c>
      <c r="OK175" s="1">
        <v>13</v>
      </c>
      <c r="OL175" s="1">
        <v>134000</v>
      </c>
      <c r="OM175" s="1">
        <v>1</v>
      </c>
      <c r="ON175" s="1">
        <v>0</v>
      </c>
      <c r="OO175" s="1">
        <v>1</v>
      </c>
      <c r="OP175" s="1">
        <v>60002434</v>
      </c>
      <c r="OQ175" s="1">
        <v>32767</v>
      </c>
      <c r="OR175" s="1">
        <v>3</v>
      </c>
      <c r="SX175" s="1">
        <v>2870857008</v>
      </c>
      <c r="SY175" s="1">
        <v>25595</v>
      </c>
      <c r="SZ175" s="1">
        <v>1000</v>
      </c>
      <c r="TA175" s="1">
        <v>887</v>
      </c>
      <c r="TB175" s="1">
        <v>60000</v>
      </c>
      <c r="TC175" s="1">
        <v>1</v>
      </c>
      <c r="TD175" s="1">
        <v>1</v>
      </c>
      <c r="TE175" s="1">
        <v>30</v>
      </c>
      <c r="TF175" s="1">
        <v>60003760</v>
      </c>
      <c r="TG175" s="1">
        <v>5</v>
      </c>
      <c r="TH175" s="1">
        <v>0</v>
      </c>
    </row>
    <row r="176" spans="2:528" x14ac:dyDescent="0.25">
      <c r="B176" s="1">
        <v>2843757138</v>
      </c>
      <c r="C176" s="1">
        <v>34</v>
      </c>
      <c r="D176" s="1">
        <v>48008000</v>
      </c>
      <c r="E176" s="1">
        <v>48008000</v>
      </c>
      <c r="F176" s="1">
        <v>5.97</v>
      </c>
      <c r="G176" s="1">
        <v>1</v>
      </c>
      <c r="H176" s="1">
        <v>0</v>
      </c>
      <c r="I176" s="1">
        <v>90</v>
      </c>
      <c r="J176" s="1">
        <v>60003760</v>
      </c>
      <c r="K176" s="1">
        <v>32767</v>
      </c>
      <c r="L176" s="1">
        <v>0</v>
      </c>
      <c r="N176" s="1">
        <v>2878340070</v>
      </c>
      <c r="O176" s="1">
        <v>35</v>
      </c>
      <c r="P176" s="1">
        <v>34837</v>
      </c>
      <c r="Q176" s="1">
        <v>34837</v>
      </c>
      <c r="R176" s="1">
        <v>15</v>
      </c>
      <c r="S176" s="1">
        <v>1</v>
      </c>
      <c r="T176" s="1">
        <v>0</v>
      </c>
      <c r="U176" s="1">
        <v>1</v>
      </c>
      <c r="V176" s="1">
        <v>60002434</v>
      </c>
      <c r="W176" s="1">
        <v>32767</v>
      </c>
      <c r="X176" s="1">
        <v>3</v>
      </c>
      <c r="Z176" s="1">
        <v>2492787202</v>
      </c>
      <c r="AA176" s="1">
        <v>36</v>
      </c>
      <c r="AB176" s="1">
        <v>143051904</v>
      </c>
      <c r="AC176" s="1">
        <v>142970490</v>
      </c>
      <c r="AD176" s="16">
        <v>79.98</v>
      </c>
      <c r="AE176" s="1">
        <v>1</v>
      </c>
      <c r="AF176" s="1">
        <v>0</v>
      </c>
      <c r="AG176" s="1">
        <v>90</v>
      </c>
      <c r="AH176" s="1">
        <v>60003760</v>
      </c>
      <c r="AI176" s="1">
        <v>32767</v>
      </c>
      <c r="AJ176" s="1">
        <v>11</v>
      </c>
      <c r="AL176" s="1">
        <v>2873333748</v>
      </c>
      <c r="AM176" s="1">
        <v>37</v>
      </c>
      <c r="AN176" s="1">
        <v>50000000</v>
      </c>
      <c r="AO176" s="1">
        <v>44951111</v>
      </c>
      <c r="AP176" s="16">
        <v>142</v>
      </c>
      <c r="AQ176" s="1">
        <v>1</v>
      </c>
      <c r="AR176" s="1">
        <v>1</v>
      </c>
      <c r="AS176" s="1">
        <v>90</v>
      </c>
      <c r="AT176" s="1">
        <v>60004234</v>
      </c>
      <c r="AU176" s="1">
        <v>-1</v>
      </c>
      <c r="AV176" s="1">
        <v>0</v>
      </c>
      <c r="AX176" s="1">
        <v>2682795099</v>
      </c>
      <c r="AY176" s="1">
        <v>38</v>
      </c>
      <c r="AZ176" s="1">
        <v>430000</v>
      </c>
      <c r="BA176" s="1">
        <v>413481</v>
      </c>
      <c r="BB176" s="1">
        <v>762</v>
      </c>
      <c r="BC176" s="1">
        <v>1</v>
      </c>
      <c r="BD176" s="1">
        <v>1</v>
      </c>
      <c r="BE176" s="1">
        <v>90</v>
      </c>
      <c r="BF176" s="1">
        <v>60003760</v>
      </c>
      <c r="BG176" s="1">
        <v>0</v>
      </c>
      <c r="BH176" s="1">
        <v>0</v>
      </c>
      <c r="BJ176" s="1">
        <v>2746938291</v>
      </c>
      <c r="BK176" s="1">
        <v>39</v>
      </c>
      <c r="BL176" s="1">
        <v>10000</v>
      </c>
      <c r="BM176" s="1">
        <v>9951</v>
      </c>
      <c r="BN176" s="1">
        <v>675.19</v>
      </c>
      <c r="BO176" s="1">
        <v>1</v>
      </c>
      <c r="BP176" s="1">
        <v>1</v>
      </c>
      <c r="BQ176" s="1">
        <v>90</v>
      </c>
      <c r="BR176" s="1">
        <v>60004465</v>
      </c>
      <c r="BS176" s="1">
        <v>0</v>
      </c>
      <c r="BT176" s="1">
        <v>0</v>
      </c>
      <c r="BV176" s="1">
        <v>2410357083</v>
      </c>
      <c r="BW176" s="1">
        <v>40</v>
      </c>
      <c r="BX176" s="1">
        <v>20000</v>
      </c>
      <c r="BY176" s="1">
        <v>20000</v>
      </c>
      <c r="BZ176" s="1">
        <v>2000.98</v>
      </c>
      <c r="CA176" s="1">
        <v>20000</v>
      </c>
      <c r="CB176" s="1">
        <v>1</v>
      </c>
      <c r="CC176" s="1">
        <v>90</v>
      </c>
      <c r="CD176" s="1">
        <v>60003760</v>
      </c>
      <c r="CE176" s="1">
        <v>32767</v>
      </c>
      <c r="CF176" s="1">
        <v>0</v>
      </c>
      <c r="CH176" s="1">
        <v>2413521050</v>
      </c>
      <c r="CI176" s="1">
        <v>29668</v>
      </c>
      <c r="CJ176" s="1">
        <v>3</v>
      </c>
      <c r="CK176" s="1">
        <v>3</v>
      </c>
      <c r="CL176" s="1">
        <v>481000017</v>
      </c>
      <c r="CM176" s="1">
        <v>1</v>
      </c>
      <c r="CN176" s="1">
        <v>1</v>
      </c>
      <c r="CO176" s="1">
        <v>90</v>
      </c>
      <c r="CP176" s="1">
        <v>60003760</v>
      </c>
      <c r="CQ176" s="1">
        <v>-1</v>
      </c>
      <c r="CR176" s="1">
        <v>0</v>
      </c>
      <c r="DF176" s="1">
        <v>2415315410</v>
      </c>
      <c r="DG176" s="1">
        <v>17887</v>
      </c>
      <c r="DH176" s="1">
        <v>500000</v>
      </c>
      <c r="DI176" s="1">
        <v>500000</v>
      </c>
      <c r="DJ176" s="1">
        <v>889.99</v>
      </c>
      <c r="DK176" s="1">
        <v>1</v>
      </c>
      <c r="DL176" s="1">
        <v>1</v>
      </c>
      <c r="DM176" s="1">
        <v>90</v>
      </c>
      <c r="DN176" s="1">
        <v>60003760</v>
      </c>
      <c r="DO176" s="1">
        <v>-1</v>
      </c>
      <c r="DP176" s="1">
        <v>0</v>
      </c>
      <c r="DR176" s="1">
        <v>2862854188</v>
      </c>
      <c r="DS176" s="1">
        <v>17888</v>
      </c>
      <c r="DT176" s="1">
        <v>300000</v>
      </c>
      <c r="DU176" s="1">
        <v>213402</v>
      </c>
      <c r="DV176" s="1">
        <v>464.99</v>
      </c>
      <c r="DW176" s="1">
        <v>1</v>
      </c>
      <c r="DX176" s="1">
        <v>0</v>
      </c>
      <c r="DY176" s="1">
        <v>90</v>
      </c>
      <c r="DZ176" s="1">
        <v>60004081</v>
      </c>
      <c r="EA176" s="1">
        <v>32767</v>
      </c>
      <c r="EB176" s="1">
        <v>7</v>
      </c>
      <c r="ED176" s="1">
        <v>2811414569</v>
      </c>
      <c r="EE176" s="1">
        <v>16273</v>
      </c>
      <c r="EF176" s="1">
        <v>1000</v>
      </c>
      <c r="EG176" s="1">
        <v>1000</v>
      </c>
      <c r="EH176" s="1">
        <v>3</v>
      </c>
      <c r="EI176" s="1">
        <v>1</v>
      </c>
      <c r="EJ176" s="1">
        <v>1</v>
      </c>
      <c r="EK176" s="1">
        <v>90</v>
      </c>
      <c r="EL176" s="1">
        <v>60003760</v>
      </c>
      <c r="EM176" s="1">
        <v>-1</v>
      </c>
      <c r="EN176" s="1">
        <v>0</v>
      </c>
      <c r="FZ176"/>
      <c r="GA176"/>
      <c r="GB176"/>
      <c r="GC176"/>
      <c r="GD176"/>
      <c r="GE176"/>
      <c r="GF176"/>
      <c r="GG176"/>
      <c r="GH176"/>
      <c r="GI176"/>
      <c r="GJ176"/>
      <c r="JF176"/>
      <c r="JG176"/>
      <c r="JH176"/>
      <c r="JI176"/>
      <c r="JJ176"/>
      <c r="JK176"/>
      <c r="JL176"/>
      <c r="JM176"/>
      <c r="JN176"/>
      <c r="JO176"/>
      <c r="JP176"/>
      <c r="KD176"/>
      <c r="KE176"/>
      <c r="KF176"/>
      <c r="KG176"/>
      <c r="KH176"/>
      <c r="KI176"/>
      <c r="KJ176"/>
      <c r="KK176"/>
      <c r="KL176"/>
      <c r="KM176"/>
      <c r="KN176"/>
      <c r="LB176"/>
      <c r="LC176"/>
      <c r="LD176"/>
      <c r="LE176"/>
      <c r="LF176"/>
      <c r="LG176"/>
      <c r="LH176"/>
      <c r="LI176"/>
      <c r="LJ176"/>
      <c r="LK176"/>
      <c r="LL176"/>
      <c r="NV176"/>
      <c r="NW176"/>
      <c r="NX176"/>
      <c r="NY176"/>
      <c r="NZ176"/>
      <c r="OA176"/>
      <c r="OB176"/>
      <c r="OC176"/>
      <c r="OD176"/>
      <c r="OE176"/>
      <c r="OF176"/>
      <c r="OH176" s="1">
        <v>2878498774</v>
      </c>
      <c r="OI176" s="1">
        <v>25598</v>
      </c>
      <c r="OJ176" s="1">
        <v>51</v>
      </c>
      <c r="OK176" s="1">
        <v>51</v>
      </c>
      <c r="OL176" s="1">
        <v>145250.10999999999</v>
      </c>
      <c r="OM176" s="1">
        <v>1</v>
      </c>
      <c r="ON176" s="1">
        <v>0</v>
      </c>
      <c r="OO176" s="1">
        <v>7</v>
      </c>
      <c r="OP176" s="1">
        <v>60003760</v>
      </c>
      <c r="OQ176" s="1">
        <v>32767</v>
      </c>
      <c r="OR176" s="1">
        <v>0</v>
      </c>
      <c r="SX176" s="1">
        <v>2874175376</v>
      </c>
      <c r="SY176" s="1">
        <v>25595</v>
      </c>
      <c r="SZ176" s="1">
        <v>10000</v>
      </c>
      <c r="TA176" s="1">
        <v>10000</v>
      </c>
      <c r="TB176" s="1">
        <v>720</v>
      </c>
      <c r="TC176" s="1">
        <v>1</v>
      </c>
      <c r="TD176" s="1">
        <v>1</v>
      </c>
      <c r="TE176" s="1">
        <v>90</v>
      </c>
      <c r="TF176" s="1">
        <v>60003760</v>
      </c>
      <c r="TG176" s="1">
        <v>1</v>
      </c>
      <c r="TH176" s="1">
        <v>0</v>
      </c>
    </row>
    <row r="177" spans="2:528" x14ac:dyDescent="0.25">
      <c r="B177" s="1">
        <v>2844013976</v>
      </c>
      <c r="C177" s="1">
        <v>34</v>
      </c>
      <c r="D177" s="1">
        <v>90000000</v>
      </c>
      <c r="E177" s="1">
        <v>90000000</v>
      </c>
      <c r="F177" s="1">
        <v>5.94</v>
      </c>
      <c r="G177" s="1">
        <v>1</v>
      </c>
      <c r="H177" s="1">
        <v>0</v>
      </c>
      <c r="I177" s="1">
        <v>90</v>
      </c>
      <c r="J177" s="1">
        <v>60003760</v>
      </c>
      <c r="K177" s="1">
        <v>32767</v>
      </c>
      <c r="L177" s="1">
        <v>0</v>
      </c>
      <c r="N177" s="1">
        <v>2878327945</v>
      </c>
      <c r="O177" s="1">
        <v>35</v>
      </c>
      <c r="P177" s="1">
        <v>65044</v>
      </c>
      <c r="Q177" s="1">
        <v>65044</v>
      </c>
      <c r="R177" s="1">
        <v>14.95</v>
      </c>
      <c r="S177" s="1">
        <v>1</v>
      </c>
      <c r="T177" s="1">
        <v>0</v>
      </c>
      <c r="U177" s="1">
        <v>14</v>
      </c>
      <c r="V177" s="1">
        <v>60004210</v>
      </c>
      <c r="W177" s="1">
        <v>32767</v>
      </c>
      <c r="X177" s="1">
        <v>5</v>
      </c>
      <c r="Z177" s="1">
        <v>2497394247</v>
      </c>
      <c r="AA177" s="1">
        <v>36</v>
      </c>
      <c r="AB177" s="1">
        <v>188064000</v>
      </c>
      <c r="AC177" s="1">
        <v>188064000</v>
      </c>
      <c r="AD177" s="16">
        <v>84.98</v>
      </c>
      <c r="AE177" s="1">
        <v>1</v>
      </c>
      <c r="AF177" s="1">
        <v>0</v>
      </c>
      <c r="AG177" s="1">
        <v>90</v>
      </c>
      <c r="AH177" s="1">
        <v>60003760</v>
      </c>
      <c r="AI177" s="1">
        <v>32767</v>
      </c>
      <c r="AJ177" s="1">
        <v>11</v>
      </c>
      <c r="AL177" s="1">
        <v>2873452605</v>
      </c>
      <c r="AM177" s="1">
        <v>37</v>
      </c>
      <c r="AN177" s="1">
        <v>2000000</v>
      </c>
      <c r="AO177" s="1">
        <v>1995245</v>
      </c>
      <c r="AP177" s="16">
        <v>131.01</v>
      </c>
      <c r="AQ177" s="1">
        <v>1</v>
      </c>
      <c r="AR177" s="1">
        <v>1</v>
      </c>
      <c r="AS177" s="1">
        <v>90</v>
      </c>
      <c r="AT177" s="1">
        <v>60006430</v>
      </c>
      <c r="AU177" s="1">
        <v>1</v>
      </c>
      <c r="AV177" s="1">
        <v>0</v>
      </c>
      <c r="AX177" s="1">
        <v>2751154080</v>
      </c>
      <c r="AY177" s="1">
        <v>38</v>
      </c>
      <c r="AZ177" s="1">
        <v>516450</v>
      </c>
      <c r="BA177" s="1">
        <v>516450</v>
      </c>
      <c r="BB177" s="1">
        <v>1</v>
      </c>
      <c r="BC177" s="1">
        <v>1</v>
      </c>
      <c r="BD177" s="1">
        <v>1</v>
      </c>
      <c r="BE177" s="1">
        <v>90</v>
      </c>
      <c r="BF177" s="1">
        <v>60003760</v>
      </c>
      <c r="BG177" s="1">
        <v>32767</v>
      </c>
      <c r="BH177" s="1">
        <v>0</v>
      </c>
      <c r="BJ177" s="1">
        <v>2822228207</v>
      </c>
      <c r="BK177" s="1">
        <v>39</v>
      </c>
      <c r="BL177" s="1">
        <v>50000</v>
      </c>
      <c r="BM177" s="1">
        <v>38684</v>
      </c>
      <c r="BN177" s="1">
        <v>750</v>
      </c>
      <c r="BO177" s="1">
        <v>1</v>
      </c>
      <c r="BP177" s="1">
        <v>1</v>
      </c>
      <c r="BQ177" s="1">
        <v>90</v>
      </c>
      <c r="BR177" s="1">
        <v>60015027</v>
      </c>
      <c r="BS177" s="1">
        <v>-1</v>
      </c>
      <c r="BT177" s="1">
        <v>0</v>
      </c>
      <c r="BV177" s="1">
        <v>2408120953</v>
      </c>
      <c r="BW177" s="1">
        <v>40</v>
      </c>
      <c r="BX177" s="1">
        <v>1000000</v>
      </c>
      <c r="BY177" s="1">
        <v>955789</v>
      </c>
      <c r="BZ177" s="1">
        <v>2400</v>
      </c>
      <c r="CA177" s="1">
        <v>1</v>
      </c>
      <c r="CB177" s="1">
        <v>1</v>
      </c>
      <c r="CC177" s="1">
        <v>90</v>
      </c>
      <c r="CD177" s="1">
        <v>60003760</v>
      </c>
      <c r="CE177" s="1">
        <v>0</v>
      </c>
      <c r="CF177" s="1">
        <v>0</v>
      </c>
      <c r="CH177" s="1">
        <v>2413521742</v>
      </c>
      <c r="CI177" s="1">
        <v>29668</v>
      </c>
      <c r="CJ177" s="1">
        <v>3</v>
      </c>
      <c r="CK177" s="1">
        <v>3</v>
      </c>
      <c r="CL177" s="1">
        <v>473333333</v>
      </c>
      <c r="CM177" s="1">
        <v>1</v>
      </c>
      <c r="CN177" s="1">
        <v>1</v>
      </c>
      <c r="CO177" s="1">
        <v>90</v>
      </c>
      <c r="CP177" s="1">
        <v>60003760</v>
      </c>
      <c r="CQ177" s="1">
        <v>-1</v>
      </c>
      <c r="CR177" s="1">
        <v>0</v>
      </c>
      <c r="DF177" s="1">
        <v>2415333138</v>
      </c>
      <c r="DG177" s="1">
        <v>17887</v>
      </c>
      <c r="DH177" s="1">
        <v>600000</v>
      </c>
      <c r="DI177" s="1">
        <v>600000</v>
      </c>
      <c r="DJ177" s="1">
        <v>891.08</v>
      </c>
      <c r="DK177" s="1">
        <v>1</v>
      </c>
      <c r="DL177" s="1">
        <v>1</v>
      </c>
      <c r="DM177" s="1">
        <v>3</v>
      </c>
      <c r="DN177" s="1">
        <v>60003760</v>
      </c>
      <c r="DO177" s="1">
        <v>-1</v>
      </c>
      <c r="DP177" s="1">
        <v>0</v>
      </c>
      <c r="DR177" s="1">
        <v>2862240601</v>
      </c>
      <c r="DS177" s="1">
        <v>17888</v>
      </c>
      <c r="DT177" s="1">
        <v>170553</v>
      </c>
      <c r="DU177" s="1">
        <v>157553</v>
      </c>
      <c r="DV177" s="1">
        <v>575</v>
      </c>
      <c r="DW177" s="1">
        <v>1</v>
      </c>
      <c r="DX177" s="1">
        <v>0</v>
      </c>
      <c r="DY177" s="1">
        <v>90</v>
      </c>
      <c r="DZ177" s="1">
        <v>60003046</v>
      </c>
      <c r="EA177" s="1">
        <v>32767</v>
      </c>
      <c r="EB177" s="1">
        <v>7</v>
      </c>
      <c r="ED177" s="1">
        <v>2804260482</v>
      </c>
      <c r="EE177" s="1">
        <v>16273</v>
      </c>
      <c r="EF177" s="1">
        <v>5000000</v>
      </c>
      <c r="EG177" s="1">
        <v>5000000</v>
      </c>
      <c r="EH177" s="1">
        <v>313.2</v>
      </c>
      <c r="EI177" s="1">
        <v>1</v>
      </c>
      <c r="EJ177" s="1">
        <v>1</v>
      </c>
      <c r="EK177" s="1">
        <v>30</v>
      </c>
      <c r="EL177" s="1">
        <v>60003760</v>
      </c>
      <c r="EM177" s="1">
        <v>-1</v>
      </c>
      <c r="EN177" s="1">
        <v>0</v>
      </c>
      <c r="FZ177"/>
      <c r="GA177"/>
      <c r="GB177"/>
      <c r="GC177"/>
      <c r="GD177"/>
      <c r="GE177"/>
      <c r="GF177"/>
      <c r="GG177"/>
      <c r="GH177"/>
      <c r="GI177"/>
      <c r="GJ177"/>
      <c r="JF177"/>
      <c r="JG177"/>
      <c r="JH177"/>
      <c r="JI177"/>
      <c r="JJ177"/>
      <c r="JK177"/>
      <c r="JL177"/>
      <c r="JM177"/>
      <c r="JN177"/>
      <c r="JO177"/>
      <c r="JP177"/>
      <c r="KD177"/>
      <c r="KE177"/>
      <c r="KF177"/>
      <c r="KG177"/>
      <c r="KH177"/>
      <c r="KI177"/>
      <c r="KJ177"/>
      <c r="KK177"/>
      <c r="KL177"/>
      <c r="KM177"/>
      <c r="KN177"/>
      <c r="LB177"/>
      <c r="LC177"/>
      <c r="LD177"/>
      <c r="LE177"/>
      <c r="LF177"/>
      <c r="LG177"/>
      <c r="LH177"/>
      <c r="LI177"/>
      <c r="LJ177"/>
      <c r="LK177"/>
      <c r="LL177"/>
      <c r="NV177"/>
      <c r="NW177"/>
      <c r="NX177"/>
      <c r="NY177"/>
      <c r="NZ177"/>
      <c r="OA177"/>
      <c r="OB177"/>
      <c r="OC177"/>
      <c r="OD177"/>
      <c r="OE177"/>
      <c r="OF177"/>
      <c r="OH177" s="1">
        <v>2878673425</v>
      </c>
      <c r="OI177" s="1">
        <v>25598</v>
      </c>
      <c r="OJ177" s="1">
        <v>2000</v>
      </c>
      <c r="OK177" s="1">
        <v>2000</v>
      </c>
      <c r="OL177" s="1">
        <v>149000</v>
      </c>
      <c r="OM177" s="1">
        <v>1</v>
      </c>
      <c r="ON177" s="1">
        <v>0</v>
      </c>
      <c r="OO177" s="1">
        <v>90</v>
      </c>
      <c r="OP177" s="1">
        <v>60003760</v>
      </c>
      <c r="OQ177" s="1">
        <v>32767</v>
      </c>
      <c r="OR177" s="1">
        <v>0</v>
      </c>
      <c r="SX177" s="1">
        <v>2872660718</v>
      </c>
      <c r="SY177" s="1">
        <v>25595</v>
      </c>
      <c r="SZ177" s="1">
        <v>20000</v>
      </c>
      <c r="TA177" s="1">
        <v>20000</v>
      </c>
      <c r="TB177" s="1">
        <v>50000.11</v>
      </c>
      <c r="TC177" s="1">
        <v>1</v>
      </c>
      <c r="TD177" s="1">
        <v>1</v>
      </c>
      <c r="TE177" s="1">
        <v>90</v>
      </c>
      <c r="TF177" s="1">
        <v>60003760</v>
      </c>
      <c r="TG177" s="1">
        <v>-1</v>
      </c>
      <c r="TH177" s="1">
        <v>0</v>
      </c>
    </row>
    <row r="178" spans="2:528" x14ac:dyDescent="0.25">
      <c r="B178" s="1">
        <v>2844219095</v>
      </c>
      <c r="C178" s="1">
        <v>34</v>
      </c>
      <c r="D178" s="1">
        <v>76067670</v>
      </c>
      <c r="E178" s="1">
        <v>76067670</v>
      </c>
      <c r="F178" s="1">
        <v>6.1</v>
      </c>
      <c r="G178" s="1">
        <v>1</v>
      </c>
      <c r="H178" s="1">
        <v>0</v>
      </c>
      <c r="I178" s="1">
        <v>90</v>
      </c>
      <c r="J178" s="1">
        <v>60003760</v>
      </c>
      <c r="K178" s="1">
        <v>32767</v>
      </c>
      <c r="L178" s="1">
        <v>0</v>
      </c>
      <c r="N178" s="1">
        <v>2851252140</v>
      </c>
      <c r="O178" s="1">
        <v>35</v>
      </c>
      <c r="P178" s="1">
        <v>13545041</v>
      </c>
      <c r="Q178" s="1">
        <v>82236</v>
      </c>
      <c r="R178" s="1">
        <v>15</v>
      </c>
      <c r="S178" s="1">
        <v>1</v>
      </c>
      <c r="T178" s="1">
        <v>0</v>
      </c>
      <c r="U178" s="1">
        <v>90</v>
      </c>
      <c r="V178" s="1">
        <v>60004075</v>
      </c>
      <c r="W178" s="1">
        <v>32767</v>
      </c>
      <c r="X178" s="1">
        <v>8</v>
      </c>
      <c r="Z178" s="1">
        <v>2672629173</v>
      </c>
      <c r="AA178" s="1">
        <v>36</v>
      </c>
      <c r="AB178" s="1">
        <v>13898595</v>
      </c>
      <c r="AC178" s="1">
        <v>13898595</v>
      </c>
      <c r="AD178" s="16">
        <v>63.58</v>
      </c>
      <c r="AE178" s="1">
        <v>1</v>
      </c>
      <c r="AF178" s="1">
        <v>0</v>
      </c>
      <c r="AG178" s="1">
        <v>90</v>
      </c>
      <c r="AH178" s="1">
        <v>60003760</v>
      </c>
      <c r="AI178" s="1">
        <v>32767</v>
      </c>
      <c r="AJ178" s="1">
        <v>11</v>
      </c>
      <c r="AL178" s="1">
        <v>2646917442</v>
      </c>
      <c r="AM178" s="1">
        <v>37</v>
      </c>
      <c r="AN178" s="1">
        <v>10000000</v>
      </c>
      <c r="AO178" s="1">
        <v>9995174</v>
      </c>
      <c r="AP178" s="16">
        <v>41.79</v>
      </c>
      <c r="AQ178" s="1">
        <v>1</v>
      </c>
      <c r="AR178" s="1">
        <v>1</v>
      </c>
      <c r="AS178" s="1">
        <v>90</v>
      </c>
      <c r="AT178" s="1">
        <v>60003007</v>
      </c>
      <c r="AU178" s="1">
        <v>20</v>
      </c>
      <c r="AV178" s="1">
        <v>0</v>
      </c>
      <c r="AX178" s="1">
        <v>2867489940</v>
      </c>
      <c r="AY178" s="1">
        <v>38</v>
      </c>
      <c r="AZ178" s="1">
        <v>1800635</v>
      </c>
      <c r="BA178" s="1">
        <v>1800635</v>
      </c>
      <c r="BB178" s="1">
        <v>761.01</v>
      </c>
      <c r="BC178" s="1">
        <v>1</v>
      </c>
      <c r="BD178" s="1">
        <v>1</v>
      </c>
      <c r="BE178" s="1">
        <v>90</v>
      </c>
      <c r="BF178" s="1">
        <v>60003760</v>
      </c>
      <c r="BG178" s="1">
        <v>-1</v>
      </c>
      <c r="BH178" s="1">
        <v>0</v>
      </c>
      <c r="BJ178" s="1">
        <v>2844974332</v>
      </c>
      <c r="BK178" s="1">
        <v>39</v>
      </c>
      <c r="BL178" s="1">
        <v>1000</v>
      </c>
      <c r="BM178" s="1">
        <v>1000</v>
      </c>
      <c r="BN178" s="1">
        <v>750</v>
      </c>
      <c r="BO178" s="1">
        <v>1</v>
      </c>
      <c r="BP178" s="1">
        <v>1</v>
      </c>
      <c r="BQ178" s="1">
        <v>90</v>
      </c>
      <c r="BR178" s="1">
        <v>60015027</v>
      </c>
      <c r="BS178" s="1">
        <v>-1</v>
      </c>
      <c r="BT178" s="1">
        <v>0</v>
      </c>
      <c r="BV178" s="1">
        <v>2203832440</v>
      </c>
      <c r="BW178" s="1">
        <v>40</v>
      </c>
      <c r="BX178" s="1">
        <v>100000</v>
      </c>
      <c r="BY178" s="1">
        <v>100000</v>
      </c>
      <c r="BZ178" s="1">
        <v>100.01</v>
      </c>
      <c r="CA178" s="1">
        <v>1</v>
      </c>
      <c r="CB178" s="1">
        <v>1</v>
      </c>
      <c r="CC178" s="1">
        <v>90</v>
      </c>
      <c r="CD178" s="1">
        <v>60003724</v>
      </c>
      <c r="CE178" s="1">
        <v>10</v>
      </c>
      <c r="CF178" s="1">
        <v>0</v>
      </c>
      <c r="CH178" s="1">
        <v>2413870133</v>
      </c>
      <c r="CI178" s="1">
        <v>29668</v>
      </c>
      <c r="CJ178" s="1">
        <v>1</v>
      </c>
      <c r="CK178" s="1">
        <v>1</v>
      </c>
      <c r="CL178" s="1">
        <v>480200000.00999999</v>
      </c>
      <c r="CM178" s="1">
        <v>1</v>
      </c>
      <c r="CN178" s="1">
        <v>1</v>
      </c>
      <c r="CO178" s="1">
        <v>90</v>
      </c>
      <c r="CP178" s="1">
        <v>60003760</v>
      </c>
      <c r="CQ178" s="1">
        <v>-1</v>
      </c>
      <c r="CR178" s="1">
        <v>0</v>
      </c>
      <c r="DF178" s="1">
        <v>2274536615</v>
      </c>
      <c r="DG178" s="1">
        <v>17887</v>
      </c>
      <c r="DH178" s="1">
        <v>500000</v>
      </c>
      <c r="DI178" s="1">
        <v>178745</v>
      </c>
      <c r="DJ178" s="1">
        <v>461.03</v>
      </c>
      <c r="DK178" s="1">
        <v>1000</v>
      </c>
      <c r="DL178" s="1">
        <v>1</v>
      </c>
      <c r="DM178" s="1">
        <v>90</v>
      </c>
      <c r="DN178" s="1">
        <v>60015002</v>
      </c>
      <c r="DO178" s="1">
        <v>32767</v>
      </c>
      <c r="DP178" s="1">
        <v>0</v>
      </c>
      <c r="DR178" s="1">
        <v>2842763108</v>
      </c>
      <c r="DS178" s="1">
        <v>17888</v>
      </c>
      <c r="DT178" s="1">
        <v>91807</v>
      </c>
      <c r="DU178" s="1">
        <v>91807</v>
      </c>
      <c r="DV178" s="1">
        <v>700</v>
      </c>
      <c r="DW178" s="1">
        <v>1</v>
      </c>
      <c r="DX178" s="1">
        <v>0</v>
      </c>
      <c r="DY178" s="1">
        <v>30</v>
      </c>
      <c r="DZ178" s="1">
        <v>60003142</v>
      </c>
      <c r="EA178" s="1">
        <v>32767</v>
      </c>
      <c r="EB178" s="1">
        <v>7</v>
      </c>
      <c r="ED178" s="1">
        <v>2789850749</v>
      </c>
      <c r="EE178" s="1">
        <v>16273</v>
      </c>
      <c r="EF178" s="1">
        <v>5000000</v>
      </c>
      <c r="EG178" s="1">
        <v>2123550</v>
      </c>
      <c r="EH178" s="1">
        <v>312</v>
      </c>
      <c r="EI178" s="1">
        <v>1</v>
      </c>
      <c r="EJ178" s="1">
        <v>1</v>
      </c>
      <c r="EK178" s="1">
        <v>90</v>
      </c>
      <c r="EL178" s="1">
        <v>60003760</v>
      </c>
      <c r="EM178" s="1">
        <v>-1</v>
      </c>
      <c r="EN178" s="1">
        <v>0</v>
      </c>
      <c r="FZ178"/>
      <c r="GA178"/>
      <c r="GB178"/>
      <c r="GC178"/>
      <c r="GD178"/>
      <c r="GE178"/>
      <c r="GF178"/>
      <c r="GG178"/>
      <c r="GH178"/>
      <c r="GI178"/>
      <c r="GJ178"/>
      <c r="JF178"/>
      <c r="JG178"/>
      <c r="JH178"/>
      <c r="JI178"/>
      <c r="JJ178"/>
      <c r="JK178"/>
      <c r="JL178"/>
      <c r="JM178"/>
      <c r="JN178"/>
      <c r="JO178"/>
      <c r="JP178"/>
      <c r="KD178"/>
      <c r="KE178"/>
      <c r="KF178"/>
      <c r="KG178"/>
      <c r="KH178"/>
      <c r="KI178"/>
      <c r="KJ178"/>
      <c r="KK178"/>
      <c r="KL178"/>
      <c r="KM178"/>
      <c r="KN178"/>
      <c r="LB178"/>
      <c r="LC178"/>
      <c r="LD178"/>
      <c r="LE178"/>
      <c r="LF178"/>
      <c r="LG178"/>
      <c r="LH178"/>
      <c r="LI178"/>
      <c r="LJ178"/>
      <c r="LK178"/>
      <c r="LL178"/>
      <c r="NV178"/>
      <c r="NW178"/>
      <c r="NX178"/>
      <c r="NY178"/>
      <c r="NZ178"/>
      <c r="OA178"/>
      <c r="OB178"/>
      <c r="OC178"/>
      <c r="OD178"/>
      <c r="OE178"/>
      <c r="OF178"/>
      <c r="OH178" s="1">
        <v>2878711617</v>
      </c>
      <c r="OI178" s="1">
        <v>25598</v>
      </c>
      <c r="OJ178" s="1">
        <v>288</v>
      </c>
      <c r="OK178" s="1">
        <v>288</v>
      </c>
      <c r="OL178" s="1">
        <v>150000</v>
      </c>
      <c r="OM178" s="1">
        <v>1</v>
      </c>
      <c r="ON178" s="1">
        <v>0</v>
      </c>
      <c r="OO178" s="1">
        <v>90</v>
      </c>
      <c r="OP178" s="1">
        <v>60001480</v>
      </c>
      <c r="OQ178" s="1">
        <v>32767</v>
      </c>
      <c r="OR178" s="1">
        <v>3</v>
      </c>
      <c r="SX178" s="1">
        <v>2878010414</v>
      </c>
      <c r="SY178" s="1">
        <v>25595</v>
      </c>
      <c r="SZ178" s="1">
        <v>10000</v>
      </c>
      <c r="TA178" s="1">
        <v>9866</v>
      </c>
      <c r="TB178" s="1">
        <v>62000</v>
      </c>
      <c r="TC178" s="1">
        <v>1</v>
      </c>
      <c r="TD178" s="1">
        <v>1</v>
      </c>
      <c r="TE178" s="1">
        <v>90</v>
      </c>
      <c r="TF178" s="1">
        <v>60003760</v>
      </c>
      <c r="TG178" s="1">
        <v>-1</v>
      </c>
      <c r="TH178" s="1">
        <v>0</v>
      </c>
    </row>
    <row r="179" spans="2:528" x14ac:dyDescent="0.25">
      <c r="B179" s="1">
        <v>2844523396</v>
      </c>
      <c r="C179" s="1">
        <v>34</v>
      </c>
      <c r="D179" s="1">
        <v>301032459</v>
      </c>
      <c r="E179" s="1">
        <v>301032459</v>
      </c>
      <c r="F179" s="1">
        <v>5.75</v>
      </c>
      <c r="G179" s="1">
        <v>1</v>
      </c>
      <c r="H179" s="1">
        <v>0</v>
      </c>
      <c r="I179" s="1">
        <v>30</v>
      </c>
      <c r="J179" s="1">
        <v>60003760</v>
      </c>
      <c r="K179" s="1">
        <v>32767</v>
      </c>
      <c r="L179" s="1">
        <v>0</v>
      </c>
      <c r="N179" s="1">
        <v>2875966781</v>
      </c>
      <c r="O179" s="1">
        <v>35</v>
      </c>
      <c r="P179" s="1">
        <v>601498</v>
      </c>
      <c r="Q179" s="1">
        <v>1498</v>
      </c>
      <c r="R179" s="1">
        <v>14.79</v>
      </c>
      <c r="S179" s="1">
        <v>1</v>
      </c>
      <c r="T179" s="1">
        <v>0</v>
      </c>
      <c r="U179" s="1">
        <v>90</v>
      </c>
      <c r="V179" s="1">
        <v>60004075</v>
      </c>
      <c r="W179" s="1">
        <v>32767</v>
      </c>
      <c r="X179" s="1">
        <v>8</v>
      </c>
      <c r="Z179" s="1">
        <v>2672629332</v>
      </c>
      <c r="AA179" s="1">
        <v>36</v>
      </c>
      <c r="AB179" s="1">
        <v>16545632</v>
      </c>
      <c r="AC179" s="1">
        <v>16545632</v>
      </c>
      <c r="AD179" s="16">
        <v>64.709999999999994</v>
      </c>
      <c r="AE179" s="1">
        <v>1</v>
      </c>
      <c r="AF179" s="1">
        <v>0</v>
      </c>
      <c r="AG179" s="1">
        <v>90</v>
      </c>
      <c r="AH179" s="1">
        <v>60003760</v>
      </c>
      <c r="AI179" s="1">
        <v>32767</v>
      </c>
      <c r="AJ179" s="1">
        <v>11</v>
      </c>
      <c r="AL179" s="1">
        <v>2836869206</v>
      </c>
      <c r="AM179" s="1">
        <v>37</v>
      </c>
      <c r="AN179" s="1">
        <v>12500000</v>
      </c>
      <c r="AO179" s="1">
        <v>8337883</v>
      </c>
      <c r="AP179" s="16">
        <v>127.6</v>
      </c>
      <c r="AQ179" s="1">
        <v>1</v>
      </c>
      <c r="AR179" s="1">
        <v>1</v>
      </c>
      <c r="AS179" s="1">
        <v>90</v>
      </c>
      <c r="AT179" s="1">
        <v>60003337</v>
      </c>
      <c r="AU179" s="1">
        <v>10</v>
      </c>
      <c r="AV179" s="1">
        <v>0</v>
      </c>
      <c r="AX179" s="1">
        <v>2869533413</v>
      </c>
      <c r="AY179" s="1">
        <v>38</v>
      </c>
      <c r="AZ179" s="1">
        <v>2567987</v>
      </c>
      <c r="BA179" s="1">
        <v>2567670</v>
      </c>
      <c r="BB179" s="1">
        <v>790</v>
      </c>
      <c r="BC179" s="1">
        <v>1</v>
      </c>
      <c r="BD179" s="1">
        <v>1</v>
      </c>
      <c r="BE179" s="1">
        <v>90</v>
      </c>
      <c r="BF179" s="1">
        <v>60003760</v>
      </c>
      <c r="BG179" s="1">
        <v>-1</v>
      </c>
      <c r="BH179" s="1">
        <v>0</v>
      </c>
      <c r="BJ179" s="1">
        <v>2876283713</v>
      </c>
      <c r="BK179" s="1">
        <v>39</v>
      </c>
      <c r="BL179" s="1">
        <v>2600</v>
      </c>
      <c r="BM179" s="1">
        <v>2213</v>
      </c>
      <c r="BN179" s="1">
        <v>755</v>
      </c>
      <c r="BO179" s="1">
        <v>1</v>
      </c>
      <c r="BP179" s="1">
        <v>1</v>
      </c>
      <c r="BQ179" s="1">
        <v>7</v>
      </c>
      <c r="BR179" s="1">
        <v>60015027</v>
      </c>
      <c r="BS179" s="1">
        <v>-1</v>
      </c>
      <c r="BT179" s="1">
        <v>0</v>
      </c>
      <c r="BV179" s="1">
        <v>2303943782</v>
      </c>
      <c r="BW179" s="1">
        <v>40</v>
      </c>
      <c r="BX179" s="1">
        <v>3000</v>
      </c>
      <c r="BY179" s="1">
        <v>1390</v>
      </c>
      <c r="BZ179" s="1">
        <v>2615.0100000000002</v>
      </c>
      <c r="CA179" s="1">
        <v>1</v>
      </c>
      <c r="CB179" s="1">
        <v>1</v>
      </c>
      <c r="CC179" s="1">
        <v>90</v>
      </c>
      <c r="CD179" s="1">
        <v>60000505</v>
      </c>
      <c r="CE179" s="1">
        <v>-1</v>
      </c>
      <c r="CF179" s="1">
        <v>0</v>
      </c>
      <c r="CH179" s="1">
        <v>2414089734</v>
      </c>
      <c r="CI179" s="1">
        <v>29668</v>
      </c>
      <c r="CJ179" s="1">
        <v>1</v>
      </c>
      <c r="CK179" s="1">
        <v>1</v>
      </c>
      <c r="CL179" s="1">
        <v>50000</v>
      </c>
      <c r="CM179" s="1">
        <v>1</v>
      </c>
      <c r="CN179" s="1">
        <v>1</v>
      </c>
      <c r="CO179" s="1">
        <v>30</v>
      </c>
      <c r="CP179" s="1">
        <v>60003760</v>
      </c>
      <c r="CQ179" s="1">
        <v>-1</v>
      </c>
      <c r="CR179" s="1">
        <v>0</v>
      </c>
      <c r="DF179" s="1">
        <v>2415432878</v>
      </c>
      <c r="DG179" s="1">
        <v>17887</v>
      </c>
      <c r="DH179" s="1">
        <v>100000</v>
      </c>
      <c r="DI179" s="1">
        <v>100000</v>
      </c>
      <c r="DJ179" s="1">
        <v>891.44</v>
      </c>
      <c r="DK179" s="1">
        <v>1</v>
      </c>
      <c r="DL179" s="1">
        <v>1</v>
      </c>
      <c r="DM179" s="1">
        <v>1</v>
      </c>
      <c r="DN179" s="1">
        <v>60003760</v>
      </c>
      <c r="DO179" s="1">
        <v>-1</v>
      </c>
      <c r="DP179" s="1">
        <v>0</v>
      </c>
      <c r="DR179" s="1">
        <v>2870232635</v>
      </c>
      <c r="DS179" s="1">
        <v>17888</v>
      </c>
      <c r="DT179" s="1">
        <v>687524</v>
      </c>
      <c r="DU179" s="1">
        <v>534524</v>
      </c>
      <c r="DV179" s="1">
        <v>463.97</v>
      </c>
      <c r="DW179" s="1">
        <v>1</v>
      </c>
      <c r="DX179" s="1">
        <v>0</v>
      </c>
      <c r="DY179" s="1">
        <v>90</v>
      </c>
      <c r="DZ179" s="1">
        <v>60001801</v>
      </c>
      <c r="EA179" s="1">
        <v>32767</v>
      </c>
      <c r="EB179" s="1">
        <v>7</v>
      </c>
      <c r="ED179" s="1">
        <v>2789714968</v>
      </c>
      <c r="EE179" s="1">
        <v>16273</v>
      </c>
      <c r="EF179" s="1">
        <v>5000000</v>
      </c>
      <c r="EG179" s="1">
        <v>4999975</v>
      </c>
      <c r="EH179" s="1">
        <v>311.10000000000002</v>
      </c>
      <c r="EI179" s="1">
        <v>1</v>
      </c>
      <c r="EJ179" s="1">
        <v>1</v>
      </c>
      <c r="EK179" s="1">
        <v>90</v>
      </c>
      <c r="EL179" s="1">
        <v>60003760</v>
      </c>
      <c r="EM179" s="1">
        <v>-1</v>
      </c>
      <c r="EN179" s="1">
        <v>0</v>
      </c>
      <c r="FZ179"/>
      <c r="GA179"/>
      <c r="GB179"/>
      <c r="GC179"/>
      <c r="GD179"/>
      <c r="GE179"/>
      <c r="GF179"/>
      <c r="GG179"/>
      <c r="GH179"/>
      <c r="GI179"/>
      <c r="GJ179"/>
      <c r="JF179"/>
      <c r="JG179"/>
      <c r="JH179"/>
      <c r="JI179"/>
      <c r="JJ179"/>
      <c r="JK179"/>
      <c r="JL179"/>
      <c r="JM179"/>
      <c r="JN179"/>
      <c r="JO179"/>
      <c r="JP179"/>
      <c r="KD179"/>
      <c r="KE179"/>
      <c r="KF179"/>
      <c r="KG179"/>
      <c r="KH179"/>
      <c r="KI179"/>
      <c r="KJ179"/>
      <c r="KK179"/>
      <c r="KL179"/>
      <c r="KM179"/>
      <c r="KN179"/>
      <c r="LB179"/>
      <c r="LC179"/>
      <c r="LD179"/>
      <c r="LE179"/>
      <c r="LF179"/>
      <c r="LG179"/>
      <c r="LH179"/>
      <c r="LI179"/>
      <c r="LJ179"/>
      <c r="LK179"/>
      <c r="LL179"/>
      <c r="NV179"/>
      <c r="NW179"/>
      <c r="NX179"/>
      <c r="NY179"/>
      <c r="NZ179"/>
      <c r="OA179"/>
      <c r="OB179"/>
      <c r="OC179"/>
      <c r="OD179"/>
      <c r="OE179"/>
      <c r="OF179"/>
      <c r="OH179" s="1">
        <v>2878871142</v>
      </c>
      <c r="OI179" s="1">
        <v>25598</v>
      </c>
      <c r="OJ179" s="1">
        <v>8</v>
      </c>
      <c r="OK179" s="1">
        <v>8</v>
      </c>
      <c r="OL179" s="1">
        <v>130000</v>
      </c>
      <c r="OM179" s="1">
        <v>1</v>
      </c>
      <c r="ON179" s="1">
        <v>0</v>
      </c>
      <c r="OO179" s="1">
        <v>90</v>
      </c>
      <c r="OP179" s="1">
        <v>60003754</v>
      </c>
      <c r="OQ179" s="1">
        <v>32767</v>
      </c>
      <c r="OR179" s="1">
        <v>1</v>
      </c>
      <c r="SX179" s="1">
        <v>2859973012</v>
      </c>
      <c r="SY179" s="1">
        <v>25595</v>
      </c>
      <c r="SZ179" s="1">
        <v>1000</v>
      </c>
      <c r="TA179" s="1">
        <v>895</v>
      </c>
      <c r="TB179" s="1">
        <v>50000.01</v>
      </c>
      <c r="TC179" s="1">
        <v>1</v>
      </c>
      <c r="TD179" s="1">
        <v>1</v>
      </c>
      <c r="TE179" s="1">
        <v>90</v>
      </c>
      <c r="TF179" s="1">
        <v>60004054</v>
      </c>
      <c r="TG179" s="1">
        <v>2</v>
      </c>
      <c r="TH179" s="1">
        <v>0</v>
      </c>
    </row>
    <row r="180" spans="2:528" x14ac:dyDescent="0.25">
      <c r="B180" s="1">
        <v>2845691965</v>
      </c>
      <c r="C180" s="1">
        <v>34</v>
      </c>
      <c r="D180" s="1">
        <v>728000000</v>
      </c>
      <c r="E180" s="1">
        <v>728000000</v>
      </c>
      <c r="F180" s="1">
        <v>5.75</v>
      </c>
      <c r="G180" s="1">
        <v>1</v>
      </c>
      <c r="H180" s="1">
        <v>0</v>
      </c>
      <c r="I180" s="1">
        <v>90</v>
      </c>
      <c r="J180" s="1">
        <v>60003760</v>
      </c>
      <c r="K180" s="1">
        <v>32767</v>
      </c>
      <c r="L180" s="1">
        <v>0</v>
      </c>
      <c r="N180" s="1">
        <v>2877069266</v>
      </c>
      <c r="O180" s="1">
        <v>35</v>
      </c>
      <c r="P180" s="1">
        <v>431794</v>
      </c>
      <c r="Q180" s="1">
        <v>431794</v>
      </c>
      <c r="R180" s="1">
        <v>16</v>
      </c>
      <c r="S180" s="1">
        <v>1</v>
      </c>
      <c r="T180" s="1">
        <v>0</v>
      </c>
      <c r="U180" s="1">
        <v>3</v>
      </c>
      <c r="V180" s="1">
        <v>60004075</v>
      </c>
      <c r="W180" s="1">
        <v>32767</v>
      </c>
      <c r="X180" s="1">
        <v>8</v>
      </c>
      <c r="Z180" s="1">
        <v>2662943753</v>
      </c>
      <c r="AA180" s="1">
        <v>36</v>
      </c>
      <c r="AB180" s="1">
        <v>19541232</v>
      </c>
      <c r="AC180" s="1">
        <v>18374507</v>
      </c>
      <c r="AD180" s="16">
        <v>64.94</v>
      </c>
      <c r="AE180" s="1">
        <v>1</v>
      </c>
      <c r="AF180" s="1">
        <v>0</v>
      </c>
      <c r="AG180" s="1">
        <v>90</v>
      </c>
      <c r="AH180" s="1">
        <v>60003760</v>
      </c>
      <c r="AI180" s="1">
        <v>32767</v>
      </c>
      <c r="AJ180" s="1">
        <v>11</v>
      </c>
      <c r="AL180" s="1">
        <v>2762572021</v>
      </c>
      <c r="AM180" s="1">
        <v>37</v>
      </c>
      <c r="AN180" s="1">
        <v>3000000</v>
      </c>
      <c r="AO180" s="1">
        <v>3000000</v>
      </c>
      <c r="AP180" s="16">
        <v>82</v>
      </c>
      <c r="AQ180" s="1">
        <v>1</v>
      </c>
      <c r="AR180" s="1">
        <v>1</v>
      </c>
      <c r="AS180" s="1">
        <v>90</v>
      </c>
      <c r="AT180" s="1">
        <v>60003760</v>
      </c>
      <c r="AU180" s="1">
        <v>-1</v>
      </c>
      <c r="AV180" s="1">
        <v>0</v>
      </c>
      <c r="AX180" s="1">
        <v>2866709731</v>
      </c>
      <c r="AY180" s="1">
        <v>38</v>
      </c>
      <c r="AZ180" s="1">
        <v>3000000</v>
      </c>
      <c r="BA180" s="1">
        <v>493381</v>
      </c>
      <c r="BB180" s="1">
        <v>792.13</v>
      </c>
      <c r="BC180" s="1">
        <v>1</v>
      </c>
      <c r="BD180" s="1">
        <v>1</v>
      </c>
      <c r="BE180" s="1">
        <v>90</v>
      </c>
      <c r="BF180" s="1">
        <v>60003760</v>
      </c>
      <c r="BG180" s="1">
        <v>-1</v>
      </c>
      <c r="BH180" s="1">
        <v>0</v>
      </c>
      <c r="BJ180" s="1">
        <v>2723529475</v>
      </c>
      <c r="BK180" s="1">
        <v>39</v>
      </c>
      <c r="BL180" s="1">
        <v>1000000</v>
      </c>
      <c r="BM180" s="1">
        <v>870322</v>
      </c>
      <c r="BN180" s="1">
        <v>737.81</v>
      </c>
      <c r="BO180" s="1">
        <v>1</v>
      </c>
      <c r="BP180" s="1">
        <v>1</v>
      </c>
      <c r="BQ180" s="1">
        <v>90</v>
      </c>
      <c r="BR180" s="1">
        <v>60002818</v>
      </c>
      <c r="BS180" s="1">
        <v>0</v>
      </c>
      <c r="BT180" s="1">
        <v>0</v>
      </c>
      <c r="BV180" s="1">
        <v>2405880562</v>
      </c>
      <c r="BW180" s="1">
        <v>40</v>
      </c>
      <c r="BX180" s="1">
        <v>5000</v>
      </c>
      <c r="BY180" s="1">
        <v>2848</v>
      </c>
      <c r="BZ180" s="1">
        <v>2258.13</v>
      </c>
      <c r="CA180" s="1">
        <v>1</v>
      </c>
      <c r="CB180" s="1">
        <v>1</v>
      </c>
      <c r="CC180" s="1">
        <v>90</v>
      </c>
      <c r="CD180" s="1">
        <v>60002740</v>
      </c>
      <c r="CE180" s="1">
        <v>4</v>
      </c>
      <c r="CF180" s="1">
        <v>0</v>
      </c>
      <c r="CH180" s="1">
        <v>2414121990</v>
      </c>
      <c r="CI180" s="1">
        <v>29668</v>
      </c>
      <c r="CJ180" s="1">
        <v>9</v>
      </c>
      <c r="CK180" s="1">
        <v>9</v>
      </c>
      <c r="CL180" s="1">
        <v>489999.99</v>
      </c>
      <c r="CM180" s="1">
        <v>1</v>
      </c>
      <c r="CN180" s="1">
        <v>1</v>
      </c>
      <c r="CO180" s="1">
        <v>7</v>
      </c>
      <c r="CP180" s="1">
        <v>60003760</v>
      </c>
      <c r="CQ180" s="1">
        <v>0</v>
      </c>
      <c r="CR180" s="1">
        <v>0</v>
      </c>
      <c r="DF180" s="1">
        <v>2415262472</v>
      </c>
      <c r="DG180" s="1">
        <v>17887</v>
      </c>
      <c r="DH180" s="1">
        <v>53333</v>
      </c>
      <c r="DI180" s="1">
        <v>53333</v>
      </c>
      <c r="DJ180" s="1">
        <v>891.66</v>
      </c>
      <c r="DK180" s="1">
        <v>1</v>
      </c>
      <c r="DL180" s="1">
        <v>1</v>
      </c>
      <c r="DM180" s="1">
        <v>90</v>
      </c>
      <c r="DN180" s="1">
        <v>60003760</v>
      </c>
      <c r="DO180" s="1">
        <v>-1</v>
      </c>
      <c r="DP180" s="1">
        <v>0</v>
      </c>
      <c r="DR180" s="1">
        <v>2865590058</v>
      </c>
      <c r="DS180" s="1">
        <v>17888</v>
      </c>
      <c r="DT180" s="1">
        <v>600000</v>
      </c>
      <c r="DU180" s="1">
        <v>580000</v>
      </c>
      <c r="DV180" s="1">
        <v>419</v>
      </c>
      <c r="DW180" s="1">
        <v>1</v>
      </c>
      <c r="DX180" s="1">
        <v>0</v>
      </c>
      <c r="DY180" s="1">
        <v>90</v>
      </c>
      <c r="DZ180" s="1">
        <v>60003142</v>
      </c>
      <c r="EA180" s="1">
        <v>32767</v>
      </c>
      <c r="EB180" s="1">
        <v>7</v>
      </c>
      <c r="ED180" s="1">
        <v>2786918483</v>
      </c>
      <c r="EE180" s="1">
        <v>16273</v>
      </c>
      <c r="EF180" s="1">
        <v>2500000</v>
      </c>
      <c r="EG180" s="1">
        <v>2476450</v>
      </c>
      <c r="EH180" s="1">
        <v>310.10000000000002</v>
      </c>
      <c r="EI180" s="1">
        <v>1</v>
      </c>
      <c r="EJ180" s="1">
        <v>1</v>
      </c>
      <c r="EK180" s="1">
        <v>90</v>
      </c>
      <c r="EL180" s="1">
        <v>60003760</v>
      </c>
      <c r="EM180" s="1">
        <v>-1</v>
      </c>
      <c r="EN180" s="1">
        <v>0</v>
      </c>
      <c r="FZ180"/>
      <c r="GA180"/>
      <c r="GB180"/>
      <c r="GC180"/>
      <c r="GD180"/>
      <c r="GE180"/>
      <c r="GF180"/>
      <c r="GG180"/>
      <c r="GH180"/>
      <c r="GI180"/>
      <c r="GJ180"/>
      <c r="JF180"/>
      <c r="JG180"/>
      <c r="JH180"/>
      <c r="JI180"/>
      <c r="JJ180"/>
      <c r="JK180"/>
      <c r="JL180"/>
      <c r="JM180"/>
      <c r="JN180"/>
      <c r="JO180"/>
      <c r="JP180"/>
      <c r="KD180"/>
      <c r="KE180"/>
      <c r="KF180"/>
      <c r="KG180"/>
      <c r="KH180"/>
      <c r="KI180"/>
      <c r="KJ180"/>
      <c r="KK180"/>
      <c r="KL180"/>
      <c r="KM180"/>
      <c r="KN180"/>
      <c r="LB180"/>
      <c r="LC180"/>
      <c r="LD180"/>
      <c r="LE180"/>
      <c r="LF180"/>
      <c r="LG180"/>
      <c r="LH180"/>
      <c r="LI180"/>
      <c r="LJ180"/>
      <c r="LK180"/>
      <c r="LL180"/>
      <c r="NV180"/>
      <c r="NW180"/>
      <c r="NX180"/>
      <c r="NY180"/>
      <c r="NZ180"/>
      <c r="OA180"/>
      <c r="OB180"/>
      <c r="OC180"/>
      <c r="OD180"/>
      <c r="OE180"/>
      <c r="OF180"/>
      <c r="OH180" s="1">
        <v>2878891893</v>
      </c>
      <c r="OI180" s="1">
        <v>25598</v>
      </c>
      <c r="OJ180" s="1">
        <v>978</v>
      </c>
      <c r="OK180" s="1">
        <v>978</v>
      </c>
      <c r="OL180" s="1">
        <v>140998.99</v>
      </c>
      <c r="OM180" s="1">
        <v>1</v>
      </c>
      <c r="ON180" s="1">
        <v>0</v>
      </c>
      <c r="OO180" s="1">
        <v>90</v>
      </c>
      <c r="OP180" s="1">
        <v>60003760</v>
      </c>
      <c r="OQ180" s="1">
        <v>32767</v>
      </c>
      <c r="OR180" s="1">
        <v>0</v>
      </c>
      <c r="SX180" s="1">
        <v>2859638093</v>
      </c>
      <c r="SY180" s="1">
        <v>25595</v>
      </c>
      <c r="SZ180" s="1">
        <v>200</v>
      </c>
      <c r="TA180" s="1">
        <v>195</v>
      </c>
      <c r="TB180" s="1">
        <v>65000</v>
      </c>
      <c r="TC180" s="1">
        <v>1</v>
      </c>
      <c r="TD180" s="1">
        <v>1</v>
      </c>
      <c r="TE180" s="1">
        <v>90</v>
      </c>
      <c r="TF180" s="1">
        <v>60004075</v>
      </c>
      <c r="TG180" s="1">
        <v>-1</v>
      </c>
      <c r="TH180" s="1">
        <v>0</v>
      </c>
    </row>
    <row r="181" spans="2:528" x14ac:dyDescent="0.25">
      <c r="B181" s="1">
        <v>2846458290</v>
      </c>
      <c r="C181" s="1">
        <v>34</v>
      </c>
      <c r="D181" s="1">
        <v>77017615</v>
      </c>
      <c r="E181" s="1">
        <v>26501273</v>
      </c>
      <c r="F181" s="1">
        <v>5.92</v>
      </c>
      <c r="G181" s="1">
        <v>1</v>
      </c>
      <c r="H181" s="1">
        <v>0</v>
      </c>
      <c r="I181" s="1">
        <v>90</v>
      </c>
      <c r="J181" s="1">
        <v>60003760</v>
      </c>
      <c r="K181" s="1">
        <v>32767</v>
      </c>
      <c r="L181" s="1">
        <v>0</v>
      </c>
      <c r="N181" s="1">
        <v>2835138656</v>
      </c>
      <c r="O181" s="1">
        <v>35</v>
      </c>
      <c r="P181" s="1">
        <v>243951</v>
      </c>
      <c r="Q181" s="1">
        <v>143950</v>
      </c>
      <c r="R181" s="1">
        <v>24.9</v>
      </c>
      <c r="S181" s="1">
        <v>1</v>
      </c>
      <c r="T181" s="1">
        <v>0</v>
      </c>
      <c r="U181" s="1">
        <v>90</v>
      </c>
      <c r="V181" s="1">
        <v>60010192</v>
      </c>
      <c r="W181" s="1">
        <v>32767</v>
      </c>
      <c r="X181" s="1">
        <v>9</v>
      </c>
      <c r="Z181" s="1">
        <v>2642668487</v>
      </c>
      <c r="AA181" s="1">
        <v>36</v>
      </c>
      <c r="AB181" s="1">
        <v>151526369</v>
      </c>
      <c r="AC181" s="1">
        <v>151526369</v>
      </c>
      <c r="AD181" s="16">
        <v>68.38</v>
      </c>
      <c r="AE181" s="1">
        <v>1</v>
      </c>
      <c r="AF181" s="1">
        <v>0</v>
      </c>
      <c r="AG181" s="1">
        <v>90</v>
      </c>
      <c r="AH181" s="1">
        <v>60003760</v>
      </c>
      <c r="AI181" s="1">
        <v>32767</v>
      </c>
      <c r="AJ181" s="1">
        <v>11</v>
      </c>
      <c r="AL181" s="1">
        <v>2836526960</v>
      </c>
      <c r="AM181" s="1">
        <v>37</v>
      </c>
      <c r="AN181" s="1">
        <v>400000</v>
      </c>
      <c r="AO181" s="1">
        <v>396122</v>
      </c>
      <c r="AP181" s="16">
        <v>95.97</v>
      </c>
      <c r="AQ181" s="1">
        <v>100</v>
      </c>
      <c r="AR181" s="1">
        <v>1</v>
      </c>
      <c r="AS181" s="1">
        <v>30</v>
      </c>
      <c r="AT181" s="1">
        <v>60003760</v>
      </c>
      <c r="AU181" s="1">
        <v>10</v>
      </c>
      <c r="AV181" s="1">
        <v>0</v>
      </c>
      <c r="AX181" s="1">
        <v>2866496602</v>
      </c>
      <c r="AY181" s="1">
        <v>38</v>
      </c>
      <c r="AZ181" s="1">
        <v>80000</v>
      </c>
      <c r="BA181" s="1">
        <v>80000</v>
      </c>
      <c r="BB181" s="1">
        <v>787.15</v>
      </c>
      <c r="BC181" s="1">
        <v>1</v>
      </c>
      <c r="BD181" s="1">
        <v>1</v>
      </c>
      <c r="BE181" s="1">
        <v>90</v>
      </c>
      <c r="BF181" s="1">
        <v>60003760</v>
      </c>
      <c r="BG181" s="1">
        <v>-1</v>
      </c>
      <c r="BH181" s="1">
        <v>0</v>
      </c>
      <c r="BJ181" s="1">
        <v>2876097525</v>
      </c>
      <c r="BK181" s="1">
        <v>39</v>
      </c>
      <c r="BL181" s="1">
        <v>35000</v>
      </c>
      <c r="BM181" s="1">
        <v>32156</v>
      </c>
      <c r="BN181" s="1">
        <v>750.05</v>
      </c>
      <c r="BO181" s="1">
        <v>1</v>
      </c>
      <c r="BP181" s="1">
        <v>1</v>
      </c>
      <c r="BQ181" s="1">
        <v>90</v>
      </c>
      <c r="BR181" s="1">
        <v>60000535</v>
      </c>
      <c r="BS181" s="1">
        <v>2</v>
      </c>
      <c r="BT181" s="1">
        <v>0</v>
      </c>
      <c r="BV181" s="1">
        <v>2410849915</v>
      </c>
      <c r="BW181" s="1">
        <v>40</v>
      </c>
      <c r="BX181" s="1">
        <v>10800</v>
      </c>
      <c r="BY181" s="1">
        <v>8648</v>
      </c>
      <c r="BZ181" s="1">
        <v>2450.0100000000002</v>
      </c>
      <c r="CA181" s="1">
        <v>1</v>
      </c>
      <c r="CB181" s="1">
        <v>1</v>
      </c>
      <c r="CC181" s="1">
        <v>90</v>
      </c>
      <c r="CD181" s="1">
        <v>60003934</v>
      </c>
      <c r="CE181" s="1">
        <v>-1</v>
      </c>
      <c r="CF181" s="1">
        <v>0</v>
      </c>
      <c r="CH181" s="1">
        <v>2413237675</v>
      </c>
      <c r="CI181" s="1">
        <v>29668</v>
      </c>
      <c r="CJ181" s="1">
        <v>5</v>
      </c>
      <c r="CK181" s="1">
        <v>5</v>
      </c>
      <c r="CL181" s="1">
        <v>468601000</v>
      </c>
      <c r="CM181" s="1">
        <v>1</v>
      </c>
      <c r="CN181" s="1">
        <v>1</v>
      </c>
      <c r="CO181" s="1">
        <v>90</v>
      </c>
      <c r="CP181" s="1">
        <v>60003760</v>
      </c>
      <c r="CQ181" s="1">
        <v>20</v>
      </c>
      <c r="CR181" s="1">
        <v>0</v>
      </c>
      <c r="DF181" s="1">
        <v>2415501949</v>
      </c>
      <c r="DG181" s="1">
        <v>17887</v>
      </c>
      <c r="DH181" s="1">
        <v>1000000</v>
      </c>
      <c r="DI181" s="1">
        <v>1000000</v>
      </c>
      <c r="DJ181" s="1">
        <v>891.94</v>
      </c>
      <c r="DK181" s="1">
        <v>1</v>
      </c>
      <c r="DL181" s="1">
        <v>1</v>
      </c>
      <c r="DM181" s="1">
        <v>90</v>
      </c>
      <c r="DN181" s="1">
        <v>60003760</v>
      </c>
      <c r="DO181" s="1">
        <v>-1</v>
      </c>
      <c r="DP181" s="1">
        <v>0</v>
      </c>
      <c r="DR181" s="1">
        <v>2780890536</v>
      </c>
      <c r="DS181" s="1">
        <v>17888</v>
      </c>
      <c r="DT181" s="1">
        <v>2209100</v>
      </c>
      <c r="DU181" s="1">
        <v>1699100</v>
      </c>
      <c r="DV181" s="1">
        <v>524.98</v>
      </c>
      <c r="DW181" s="1">
        <v>1</v>
      </c>
      <c r="DX181" s="1">
        <v>0</v>
      </c>
      <c r="DY181" s="1">
        <v>90</v>
      </c>
      <c r="DZ181" s="1">
        <v>60003043</v>
      </c>
      <c r="EA181" s="1">
        <v>32767</v>
      </c>
      <c r="EB181" s="1">
        <v>6</v>
      </c>
      <c r="ED181" s="1">
        <v>2836533702</v>
      </c>
      <c r="EE181" s="1">
        <v>16273</v>
      </c>
      <c r="EF181" s="1">
        <v>90000</v>
      </c>
      <c r="EG181" s="1">
        <v>90000</v>
      </c>
      <c r="EH181" s="1">
        <v>152.93</v>
      </c>
      <c r="EI181" s="1">
        <v>100</v>
      </c>
      <c r="EJ181" s="1">
        <v>1</v>
      </c>
      <c r="EK181" s="1">
        <v>30</v>
      </c>
      <c r="EL181" s="1">
        <v>60003760</v>
      </c>
      <c r="EM181" s="1">
        <v>10</v>
      </c>
      <c r="EN181" s="1">
        <v>0</v>
      </c>
      <c r="FZ181"/>
      <c r="GA181"/>
      <c r="GB181"/>
      <c r="GC181"/>
      <c r="GD181"/>
      <c r="GE181"/>
      <c r="GF181"/>
      <c r="GG181"/>
      <c r="GH181"/>
      <c r="GI181"/>
      <c r="GJ181"/>
      <c r="JF181"/>
      <c r="JG181"/>
      <c r="JH181"/>
      <c r="JI181"/>
      <c r="JJ181"/>
      <c r="JK181"/>
      <c r="JL181"/>
      <c r="JM181"/>
      <c r="JN181"/>
      <c r="JO181"/>
      <c r="JP181"/>
      <c r="KD181"/>
      <c r="KE181"/>
      <c r="KF181"/>
      <c r="KG181"/>
      <c r="KH181"/>
      <c r="KI181"/>
      <c r="KJ181"/>
      <c r="KK181"/>
      <c r="KL181"/>
      <c r="KM181"/>
      <c r="KN181"/>
      <c r="LB181"/>
      <c r="LC181"/>
      <c r="LD181"/>
      <c r="LE181"/>
      <c r="LF181"/>
      <c r="LG181"/>
      <c r="LH181"/>
      <c r="LI181"/>
      <c r="LJ181"/>
      <c r="LK181"/>
      <c r="LL181"/>
      <c r="NV181"/>
      <c r="NW181"/>
      <c r="NX181"/>
      <c r="NY181"/>
      <c r="NZ181"/>
      <c r="OA181"/>
      <c r="OB181"/>
      <c r="OC181"/>
      <c r="OD181"/>
      <c r="OE181"/>
      <c r="OF181"/>
      <c r="OH181" s="1">
        <v>2879002689</v>
      </c>
      <c r="OI181" s="1">
        <v>25598</v>
      </c>
      <c r="OJ181" s="1">
        <v>1067</v>
      </c>
      <c r="OK181" s="1">
        <v>1067</v>
      </c>
      <c r="OL181" s="1">
        <v>138999</v>
      </c>
      <c r="OM181" s="1">
        <v>1</v>
      </c>
      <c r="ON181" s="1">
        <v>0</v>
      </c>
      <c r="OO181" s="1">
        <v>90</v>
      </c>
      <c r="OP181" s="1">
        <v>60003757</v>
      </c>
      <c r="OQ181" s="1">
        <v>32767</v>
      </c>
      <c r="OR181" s="1">
        <v>0</v>
      </c>
      <c r="SX181" s="1">
        <v>2869031132</v>
      </c>
      <c r="SY181" s="1">
        <v>25595</v>
      </c>
      <c r="SZ181" s="1">
        <v>100</v>
      </c>
      <c r="TA181" s="1">
        <v>80</v>
      </c>
      <c r="TB181" s="1">
        <v>51000</v>
      </c>
      <c r="TC181" s="1">
        <v>1</v>
      </c>
      <c r="TD181" s="1">
        <v>1</v>
      </c>
      <c r="TE181" s="1">
        <v>90</v>
      </c>
      <c r="TF181" s="1">
        <v>60010195</v>
      </c>
      <c r="TG181" s="1">
        <v>1</v>
      </c>
      <c r="TH181" s="1">
        <v>0</v>
      </c>
    </row>
    <row r="182" spans="2:528" x14ac:dyDescent="0.25">
      <c r="B182" s="1">
        <v>2846169137</v>
      </c>
      <c r="C182" s="1">
        <v>34</v>
      </c>
      <c r="D182" s="1">
        <v>86000000</v>
      </c>
      <c r="E182" s="1">
        <v>86000000</v>
      </c>
      <c r="F182" s="1">
        <v>6</v>
      </c>
      <c r="G182" s="1">
        <v>1</v>
      </c>
      <c r="H182" s="1">
        <v>0</v>
      </c>
      <c r="I182" s="1">
        <v>90</v>
      </c>
      <c r="J182" s="1">
        <v>60003760</v>
      </c>
      <c r="K182" s="1">
        <v>32767</v>
      </c>
      <c r="L182" s="1">
        <v>0</v>
      </c>
      <c r="N182" s="1">
        <v>2874346244</v>
      </c>
      <c r="O182" s="1">
        <v>35</v>
      </c>
      <c r="P182" s="1">
        <v>339419</v>
      </c>
      <c r="Q182" s="1">
        <v>339419</v>
      </c>
      <c r="R182" s="1">
        <v>19.899999999999999</v>
      </c>
      <c r="S182" s="1">
        <v>1</v>
      </c>
      <c r="T182" s="1">
        <v>0</v>
      </c>
      <c r="U182" s="1">
        <v>90</v>
      </c>
      <c r="V182" s="1">
        <v>60010192</v>
      </c>
      <c r="W182" s="1">
        <v>32767</v>
      </c>
      <c r="X182" s="1">
        <v>9</v>
      </c>
      <c r="Z182" s="1">
        <v>2642777768</v>
      </c>
      <c r="AA182" s="1">
        <v>36</v>
      </c>
      <c r="AB182" s="1">
        <v>85754112</v>
      </c>
      <c r="AC182" s="1">
        <v>85754112</v>
      </c>
      <c r="AD182" s="16">
        <v>66.58</v>
      </c>
      <c r="AE182" s="1">
        <v>1</v>
      </c>
      <c r="AF182" s="1">
        <v>0</v>
      </c>
      <c r="AG182" s="1">
        <v>90</v>
      </c>
      <c r="AH182" s="1">
        <v>60003760</v>
      </c>
      <c r="AI182" s="1">
        <v>32767</v>
      </c>
      <c r="AJ182" s="1">
        <v>11</v>
      </c>
      <c r="AL182" s="1">
        <v>2838259766</v>
      </c>
      <c r="AM182" s="1">
        <v>37</v>
      </c>
      <c r="AN182" s="1">
        <v>10000000</v>
      </c>
      <c r="AO182" s="1">
        <v>9352421</v>
      </c>
      <c r="AP182" s="16">
        <v>127.65</v>
      </c>
      <c r="AQ182" s="1">
        <v>100000</v>
      </c>
      <c r="AR182" s="1">
        <v>1</v>
      </c>
      <c r="AS182" s="1">
        <v>90</v>
      </c>
      <c r="AT182" s="1">
        <v>60003760</v>
      </c>
      <c r="AU182" s="1">
        <v>32767</v>
      </c>
      <c r="AV182" s="1">
        <v>0</v>
      </c>
      <c r="AX182" s="1">
        <v>2866010641</v>
      </c>
      <c r="AY182" s="1">
        <v>38</v>
      </c>
      <c r="AZ182" s="1">
        <v>100000</v>
      </c>
      <c r="BA182" s="1">
        <v>100000</v>
      </c>
      <c r="BB182" s="1">
        <v>786.23</v>
      </c>
      <c r="BC182" s="1">
        <v>1</v>
      </c>
      <c r="BD182" s="1">
        <v>1</v>
      </c>
      <c r="BE182" s="1">
        <v>90</v>
      </c>
      <c r="BF182" s="1">
        <v>60003760</v>
      </c>
      <c r="BG182" s="1">
        <v>-1</v>
      </c>
      <c r="BH182" s="1">
        <v>0</v>
      </c>
      <c r="BJ182" s="1">
        <v>2862324026</v>
      </c>
      <c r="BK182" s="1">
        <v>39</v>
      </c>
      <c r="BL182" s="1">
        <v>20000</v>
      </c>
      <c r="BM182" s="1">
        <v>19084</v>
      </c>
      <c r="BN182" s="1">
        <v>730.32</v>
      </c>
      <c r="BO182" s="1">
        <v>100</v>
      </c>
      <c r="BP182" s="1">
        <v>1</v>
      </c>
      <c r="BQ182" s="1">
        <v>30</v>
      </c>
      <c r="BR182" s="1">
        <v>60002857</v>
      </c>
      <c r="BS182" s="1">
        <v>2</v>
      </c>
      <c r="BT182" s="1">
        <v>0</v>
      </c>
      <c r="BV182" s="1">
        <v>2412032196</v>
      </c>
      <c r="BW182" s="1">
        <v>40</v>
      </c>
      <c r="BX182" s="1">
        <v>5000</v>
      </c>
      <c r="BY182" s="1">
        <v>4238</v>
      </c>
      <c r="BZ182" s="1">
        <v>2300.02</v>
      </c>
      <c r="CA182" s="1">
        <v>1</v>
      </c>
      <c r="CB182" s="1">
        <v>1</v>
      </c>
      <c r="CC182" s="1">
        <v>90</v>
      </c>
      <c r="CD182" s="1">
        <v>60002818</v>
      </c>
      <c r="CE182" s="1">
        <v>1</v>
      </c>
      <c r="CF182" s="1">
        <v>0</v>
      </c>
      <c r="CH182" s="1">
        <v>2413057485</v>
      </c>
      <c r="CI182" s="1">
        <v>29668</v>
      </c>
      <c r="CJ182" s="1">
        <v>1000</v>
      </c>
      <c r="CK182" s="1">
        <v>1000</v>
      </c>
      <c r="CL182" s="1">
        <v>0.01</v>
      </c>
      <c r="CM182" s="1">
        <v>1</v>
      </c>
      <c r="CN182" s="1">
        <v>1</v>
      </c>
      <c r="CO182" s="1">
        <v>14</v>
      </c>
      <c r="CP182" s="1">
        <v>60003760</v>
      </c>
      <c r="CQ182" s="1">
        <v>40</v>
      </c>
      <c r="CR182" s="1">
        <v>0</v>
      </c>
      <c r="DF182" s="1">
        <v>2414321148</v>
      </c>
      <c r="DG182" s="1">
        <v>17887</v>
      </c>
      <c r="DH182" s="1">
        <v>100000</v>
      </c>
      <c r="DI182" s="1">
        <v>100000</v>
      </c>
      <c r="DJ182" s="1">
        <v>892.31</v>
      </c>
      <c r="DK182" s="1">
        <v>1</v>
      </c>
      <c r="DL182" s="1">
        <v>1</v>
      </c>
      <c r="DM182" s="1">
        <v>90</v>
      </c>
      <c r="DN182" s="1">
        <v>60003760</v>
      </c>
      <c r="DO182" s="1">
        <v>-1</v>
      </c>
      <c r="DP182" s="1">
        <v>0</v>
      </c>
      <c r="DR182" s="1">
        <v>2765994414</v>
      </c>
      <c r="DS182" s="1">
        <v>17888</v>
      </c>
      <c r="DT182" s="1">
        <v>500000</v>
      </c>
      <c r="DU182" s="1">
        <v>64556</v>
      </c>
      <c r="DV182" s="1">
        <v>750</v>
      </c>
      <c r="DW182" s="1">
        <v>1</v>
      </c>
      <c r="DX182" s="1">
        <v>0</v>
      </c>
      <c r="DY182" s="1">
        <v>90</v>
      </c>
      <c r="DZ182" s="1">
        <v>60010198</v>
      </c>
      <c r="EA182" s="1">
        <v>32767</v>
      </c>
      <c r="EB182" s="1">
        <v>6</v>
      </c>
      <c r="ED182" s="1">
        <v>2834497798</v>
      </c>
      <c r="EE182" s="1">
        <v>16273</v>
      </c>
      <c r="EF182" s="1">
        <v>2550000</v>
      </c>
      <c r="EG182" s="1">
        <v>718665</v>
      </c>
      <c r="EH182" s="1">
        <v>330.02</v>
      </c>
      <c r="EI182" s="1">
        <v>1</v>
      </c>
      <c r="EJ182" s="1">
        <v>1</v>
      </c>
      <c r="EK182" s="1">
        <v>30</v>
      </c>
      <c r="EL182" s="1">
        <v>60003760</v>
      </c>
      <c r="EM182" s="1">
        <v>0</v>
      </c>
      <c r="EN182" s="1">
        <v>0</v>
      </c>
      <c r="FZ182"/>
      <c r="GA182"/>
      <c r="GB182"/>
      <c r="GC182"/>
      <c r="GD182"/>
      <c r="GE182"/>
      <c r="GF182"/>
      <c r="GG182"/>
      <c r="GH182"/>
      <c r="GI182"/>
      <c r="GJ182"/>
      <c r="JF182"/>
      <c r="JG182"/>
      <c r="JH182"/>
      <c r="JI182"/>
      <c r="JJ182"/>
      <c r="JK182"/>
      <c r="JL182"/>
      <c r="JM182"/>
      <c r="JN182"/>
      <c r="JO182"/>
      <c r="JP182"/>
      <c r="KD182"/>
      <c r="KE182"/>
      <c r="KF182"/>
      <c r="KG182"/>
      <c r="KH182"/>
      <c r="KI182"/>
      <c r="KJ182"/>
      <c r="KK182"/>
      <c r="KL182"/>
      <c r="KM182"/>
      <c r="KN182"/>
      <c r="LB182"/>
      <c r="LC182"/>
      <c r="LD182"/>
      <c r="LE182"/>
      <c r="LF182"/>
      <c r="LG182"/>
      <c r="LH182"/>
      <c r="LI182"/>
      <c r="LJ182"/>
      <c r="LK182"/>
      <c r="LL182"/>
      <c r="NV182"/>
      <c r="NW182"/>
      <c r="NX182"/>
      <c r="NY182"/>
      <c r="NZ182"/>
      <c r="OA182"/>
      <c r="OB182"/>
      <c r="OC182"/>
      <c r="OD182"/>
      <c r="OE182"/>
      <c r="OF182"/>
      <c r="OH182" s="1">
        <v>2879003217</v>
      </c>
      <c r="OI182" s="1">
        <v>25598</v>
      </c>
      <c r="OJ182" s="1">
        <v>1340</v>
      </c>
      <c r="OK182" s="1">
        <v>1340</v>
      </c>
      <c r="OL182" s="1">
        <v>139999</v>
      </c>
      <c r="OM182" s="1">
        <v>1</v>
      </c>
      <c r="ON182" s="1">
        <v>0</v>
      </c>
      <c r="OO182" s="1">
        <v>90</v>
      </c>
      <c r="OP182" s="1">
        <v>60001633</v>
      </c>
      <c r="OQ182" s="1">
        <v>32767</v>
      </c>
      <c r="OR182" s="1">
        <v>8</v>
      </c>
      <c r="SX182" s="1">
        <v>2850196499</v>
      </c>
      <c r="SY182" s="1">
        <v>25595</v>
      </c>
      <c r="SZ182" s="1">
        <v>10</v>
      </c>
      <c r="TA182" s="1">
        <v>6</v>
      </c>
      <c r="TB182" s="1">
        <v>68800.56</v>
      </c>
      <c r="TC182" s="1">
        <v>1</v>
      </c>
      <c r="TD182" s="1">
        <v>1</v>
      </c>
      <c r="TE182" s="1">
        <v>30</v>
      </c>
      <c r="TF182" s="1">
        <v>60002281</v>
      </c>
      <c r="TG182" s="1">
        <v>2</v>
      </c>
      <c r="TH182" s="1">
        <v>0</v>
      </c>
    </row>
    <row r="183" spans="2:528" x14ac:dyDescent="0.25">
      <c r="B183" s="1">
        <v>2846297434</v>
      </c>
      <c r="C183" s="1">
        <v>34</v>
      </c>
      <c r="D183" s="1">
        <v>46819761</v>
      </c>
      <c r="E183" s="1">
        <v>46819761</v>
      </c>
      <c r="F183" s="1">
        <v>8</v>
      </c>
      <c r="G183" s="1">
        <v>1</v>
      </c>
      <c r="H183" s="1">
        <v>0</v>
      </c>
      <c r="I183" s="1">
        <v>90</v>
      </c>
      <c r="J183" s="1">
        <v>60003760</v>
      </c>
      <c r="K183" s="1">
        <v>32767</v>
      </c>
      <c r="L183" s="1">
        <v>0</v>
      </c>
      <c r="N183" s="1">
        <v>2782372354</v>
      </c>
      <c r="O183" s="1">
        <v>35</v>
      </c>
      <c r="P183" s="1">
        <v>1075083</v>
      </c>
      <c r="Q183" s="1">
        <v>955688</v>
      </c>
      <c r="R183" s="1">
        <v>17.2</v>
      </c>
      <c r="S183" s="1">
        <v>1</v>
      </c>
      <c r="T183" s="1">
        <v>0</v>
      </c>
      <c r="U183" s="1">
        <v>90</v>
      </c>
      <c r="V183" s="1">
        <v>60003145</v>
      </c>
      <c r="W183" s="1">
        <v>32767</v>
      </c>
      <c r="X183" s="1">
        <v>9</v>
      </c>
      <c r="Z183" s="1">
        <v>2641900829</v>
      </c>
      <c r="AA183" s="1">
        <v>36</v>
      </c>
      <c r="AB183" s="1">
        <v>49133745</v>
      </c>
      <c r="AC183" s="1">
        <v>49133745</v>
      </c>
      <c r="AD183" s="16">
        <v>66.55</v>
      </c>
      <c r="AE183" s="1">
        <v>1</v>
      </c>
      <c r="AF183" s="1">
        <v>0</v>
      </c>
      <c r="AG183" s="1">
        <v>90</v>
      </c>
      <c r="AH183" s="1">
        <v>60003760</v>
      </c>
      <c r="AI183" s="1">
        <v>32767</v>
      </c>
      <c r="AJ183" s="1">
        <v>11</v>
      </c>
      <c r="AL183" s="1">
        <v>2838306909</v>
      </c>
      <c r="AM183" s="1">
        <v>37</v>
      </c>
      <c r="AN183" s="1">
        <v>6000000</v>
      </c>
      <c r="AO183" s="1">
        <v>3203181</v>
      </c>
      <c r="AP183" s="16">
        <v>131.07</v>
      </c>
      <c r="AQ183" s="1">
        <v>50000</v>
      </c>
      <c r="AR183" s="1">
        <v>1</v>
      </c>
      <c r="AS183" s="1">
        <v>90</v>
      </c>
      <c r="AT183" s="1">
        <v>60003760</v>
      </c>
      <c r="AU183" s="1">
        <v>3</v>
      </c>
      <c r="AV183" s="1">
        <v>0</v>
      </c>
      <c r="AX183" s="1">
        <v>2870825053</v>
      </c>
      <c r="AY183" s="1">
        <v>38</v>
      </c>
      <c r="AZ183" s="1">
        <v>200000</v>
      </c>
      <c r="BA183" s="1">
        <v>200000</v>
      </c>
      <c r="BB183" s="1">
        <v>600</v>
      </c>
      <c r="BC183" s="1">
        <v>1</v>
      </c>
      <c r="BD183" s="1">
        <v>1</v>
      </c>
      <c r="BE183" s="1">
        <v>30</v>
      </c>
      <c r="BF183" s="1">
        <v>60003760</v>
      </c>
      <c r="BG183" s="1">
        <v>5</v>
      </c>
      <c r="BH183" s="1">
        <v>0</v>
      </c>
      <c r="BJ183" s="1">
        <v>2793834044</v>
      </c>
      <c r="BK183" s="1">
        <v>39</v>
      </c>
      <c r="BL183" s="1">
        <v>10000</v>
      </c>
      <c r="BM183" s="1">
        <v>9958</v>
      </c>
      <c r="BN183" s="1">
        <v>768.64</v>
      </c>
      <c r="BO183" s="1">
        <v>1</v>
      </c>
      <c r="BP183" s="1">
        <v>1</v>
      </c>
      <c r="BQ183" s="1">
        <v>90</v>
      </c>
      <c r="BR183" s="1">
        <v>60003757</v>
      </c>
      <c r="BS183" s="1">
        <v>-1</v>
      </c>
      <c r="BT183" s="1">
        <v>0</v>
      </c>
      <c r="BV183" s="1">
        <v>2412176575</v>
      </c>
      <c r="BW183" s="1">
        <v>40</v>
      </c>
      <c r="BX183" s="1">
        <v>200000</v>
      </c>
      <c r="BY183" s="1">
        <v>199282</v>
      </c>
      <c r="BZ183" s="1">
        <v>2508</v>
      </c>
      <c r="CA183" s="1">
        <v>1</v>
      </c>
      <c r="CB183" s="1">
        <v>1</v>
      </c>
      <c r="CC183" s="1">
        <v>90</v>
      </c>
      <c r="CD183" s="1">
        <v>60004219</v>
      </c>
      <c r="CE183" s="1">
        <v>-1</v>
      </c>
      <c r="CF183" s="1">
        <v>0</v>
      </c>
      <c r="CH183" s="1">
        <v>2413149235</v>
      </c>
      <c r="CI183" s="1">
        <v>29668</v>
      </c>
      <c r="CJ183" s="1">
        <v>1</v>
      </c>
      <c r="CK183" s="1">
        <v>1</v>
      </c>
      <c r="CL183" s="1">
        <v>466000000</v>
      </c>
      <c r="CM183" s="1">
        <v>1</v>
      </c>
      <c r="CN183" s="1">
        <v>1</v>
      </c>
      <c r="CO183" s="1">
        <v>90</v>
      </c>
      <c r="CP183" s="1">
        <v>60003760</v>
      </c>
      <c r="CQ183" s="1">
        <v>5</v>
      </c>
      <c r="CR183" s="1">
        <v>0</v>
      </c>
      <c r="DF183" s="1">
        <v>2413982265</v>
      </c>
      <c r="DG183" s="1">
        <v>17887</v>
      </c>
      <c r="DH183" s="1">
        <v>3000000</v>
      </c>
      <c r="DI183" s="1">
        <v>1106331</v>
      </c>
      <c r="DJ183" s="1">
        <v>893.42</v>
      </c>
      <c r="DK183" s="1">
        <v>1</v>
      </c>
      <c r="DL183" s="1">
        <v>1</v>
      </c>
      <c r="DM183" s="1">
        <v>7</v>
      </c>
      <c r="DN183" s="1">
        <v>60003760</v>
      </c>
      <c r="DO183" s="1">
        <v>-1</v>
      </c>
      <c r="DP183" s="1">
        <v>0</v>
      </c>
      <c r="DR183" s="1">
        <v>2749757766</v>
      </c>
      <c r="DS183" s="1">
        <v>17888</v>
      </c>
      <c r="DT183" s="1">
        <v>84374</v>
      </c>
      <c r="DU183" s="1">
        <v>64374</v>
      </c>
      <c r="DV183" s="1">
        <v>598</v>
      </c>
      <c r="DW183" s="1">
        <v>1</v>
      </c>
      <c r="DX183" s="1">
        <v>0</v>
      </c>
      <c r="DY183" s="1">
        <v>90</v>
      </c>
      <c r="DZ183" s="1">
        <v>60003043</v>
      </c>
      <c r="EA183" s="1">
        <v>32767</v>
      </c>
      <c r="EB183" s="1">
        <v>6</v>
      </c>
      <c r="ED183" s="1">
        <v>2841432832</v>
      </c>
      <c r="EE183" s="1">
        <v>16273</v>
      </c>
      <c r="EF183" s="1">
        <v>5000000</v>
      </c>
      <c r="EG183" s="1">
        <v>5000000</v>
      </c>
      <c r="EH183" s="1">
        <v>313.20999999999998</v>
      </c>
      <c r="EI183" s="1">
        <v>1</v>
      </c>
      <c r="EJ183" s="1">
        <v>1</v>
      </c>
      <c r="EK183" s="1">
        <v>30</v>
      </c>
      <c r="EL183" s="1">
        <v>60003760</v>
      </c>
      <c r="EM183" s="1">
        <v>-1</v>
      </c>
      <c r="EN183" s="1">
        <v>0</v>
      </c>
      <c r="FZ183"/>
      <c r="GA183"/>
      <c r="GB183"/>
      <c r="GC183"/>
      <c r="GD183"/>
      <c r="GE183"/>
      <c r="GF183"/>
      <c r="GG183"/>
      <c r="GH183"/>
      <c r="GI183"/>
      <c r="GJ183"/>
      <c r="JF183"/>
      <c r="JG183"/>
      <c r="JH183"/>
      <c r="JI183"/>
      <c r="JJ183"/>
      <c r="JK183"/>
      <c r="JL183"/>
      <c r="JM183"/>
      <c r="JN183"/>
      <c r="JO183"/>
      <c r="JP183"/>
      <c r="KD183"/>
      <c r="KE183"/>
      <c r="KF183"/>
      <c r="KG183"/>
      <c r="KH183"/>
      <c r="KI183"/>
      <c r="KJ183"/>
      <c r="KK183"/>
      <c r="KL183"/>
      <c r="KM183"/>
      <c r="KN183"/>
      <c r="LB183"/>
      <c r="LC183"/>
      <c r="LD183"/>
      <c r="LE183"/>
      <c r="LF183"/>
      <c r="LG183"/>
      <c r="LH183"/>
      <c r="LI183"/>
      <c r="LJ183"/>
      <c r="LK183"/>
      <c r="LL183"/>
      <c r="NV183"/>
      <c r="NW183"/>
      <c r="NX183"/>
      <c r="NY183"/>
      <c r="NZ183"/>
      <c r="OA183"/>
      <c r="OB183"/>
      <c r="OC183"/>
      <c r="OD183"/>
      <c r="OE183"/>
      <c r="OF183"/>
      <c r="OH183" s="1">
        <v>2879020043</v>
      </c>
      <c r="OI183" s="1">
        <v>25598</v>
      </c>
      <c r="OJ183" s="1">
        <v>238</v>
      </c>
      <c r="OK183" s="1">
        <v>238</v>
      </c>
      <c r="OL183" s="1">
        <v>138998</v>
      </c>
      <c r="OM183" s="1">
        <v>1</v>
      </c>
      <c r="ON183" s="1">
        <v>0</v>
      </c>
      <c r="OO183" s="1">
        <v>90</v>
      </c>
      <c r="OP183" s="1">
        <v>60003760</v>
      </c>
      <c r="OQ183" s="1">
        <v>32767</v>
      </c>
      <c r="OR183" s="1">
        <v>0</v>
      </c>
      <c r="SX183" s="1">
        <v>2850795490</v>
      </c>
      <c r="SY183" s="1">
        <v>25595</v>
      </c>
      <c r="SZ183" s="1">
        <v>500</v>
      </c>
      <c r="TA183" s="1">
        <v>333</v>
      </c>
      <c r="TB183" s="1">
        <v>40000.019999999997</v>
      </c>
      <c r="TC183" s="1">
        <v>1</v>
      </c>
      <c r="TD183" s="1">
        <v>1</v>
      </c>
      <c r="TE183" s="1">
        <v>30</v>
      </c>
      <c r="TF183" s="1">
        <v>60004063</v>
      </c>
      <c r="TG183" s="1">
        <v>3</v>
      </c>
      <c r="TH183" s="1">
        <v>0</v>
      </c>
    </row>
    <row r="184" spans="2:528" x14ac:dyDescent="0.25">
      <c r="B184" s="1">
        <v>2845528164</v>
      </c>
      <c r="C184" s="1">
        <v>34</v>
      </c>
      <c r="D184" s="1">
        <v>73107944</v>
      </c>
      <c r="E184" s="1">
        <v>73107944</v>
      </c>
      <c r="F184" s="1">
        <v>5.93</v>
      </c>
      <c r="G184" s="1">
        <v>1</v>
      </c>
      <c r="H184" s="1">
        <v>0</v>
      </c>
      <c r="I184" s="1">
        <v>90</v>
      </c>
      <c r="J184" s="1">
        <v>60003760</v>
      </c>
      <c r="K184" s="1">
        <v>32767</v>
      </c>
      <c r="L184" s="1">
        <v>0</v>
      </c>
      <c r="N184" s="1">
        <v>2863670042</v>
      </c>
      <c r="O184" s="1">
        <v>35</v>
      </c>
      <c r="P184" s="1">
        <v>2904694</v>
      </c>
      <c r="Q184" s="1">
        <v>2904694</v>
      </c>
      <c r="R184" s="1">
        <v>15.15</v>
      </c>
      <c r="S184" s="1">
        <v>1</v>
      </c>
      <c r="T184" s="1">
        <v>0</v>
      </c>
      <c r="U184" s="1">
        <v>90</v>
      </c>
      <c r="V184" s="1">
        <v>60004081</v>
      </c>
      <c r="W184" s="1">
        <v>32767</v>
      </c>
      <c r="X184" s="1">
        <v>10</v>
      </c>
      <c r="Z184" s="1">
        <v>2645239081</v>
      </c>
      <c r="AA184" s="1">
        <v>36</v>
      </c>
      <c r="AB184" s="1">
        <v>37541256</v>
      </c>
      <c r="AC184" s="1">
        <v>37541256</v>
      </c>
      <c r="AD184" s="16">
        <v>66.55</v>
      </c>
      <c r="AE184" s="1">
        <v>1</v>
      </c>
      <c r="AF184" s="1">
        <v>0</v>
      </c>
      <c r="AG184" s="1">
        <v>90</v>
      </c>
      <c r="AH184" s="1">
        <v>60003760</v>
      </c>
      <c r="AI184" s="1">
        <v>32767</v>
      </c>
      <c r="AJ184" s="1">
        <v>11</v>
      </c>
      <c r="AL184" s="1">
        <v>2838309392</v>
      </c>
      <c r="AM184" s="1">
        <v>37</v>
      </c>
      <c r="AN184" s="1">
        <v>4000000</v>
      </c>
      <c r="AO184" s="1">
        <v>3293884</v>
      </c>
      <c r="AP184" s="16">
        <v>131.07</v>
      </c>
      <c r="AQ184" s="1">
        <v>50000</v>
      </c>
      <c r="AR184" s="1">
        <v>1</v>
      </c>
      <c r="AS184" s="1">
        <v>90</v>
      </c>
      <c r="AT184" s="1">
        <v>60003760</v>
      </c>
      <c r="AU184" s="1">
        <v>5</v>
      </c>
      <c r="AV184" s="1">
        <v>0</v>
      </c>
      <c r="AX184" s="1">
        <v>2871162751</v>
      </c>
      <c r="AY184" s="1">
        <v>38</v>
      </c>
      <c r="AZ184" s="1">
        <v>50000</v>
      </c>
      <c r="BA184" s="1">
        <v>49996</v>
      </c>
      <c r="BB184" s="1">
        <v>792.43</v>
      </c>
      <c r="BC184" s="1">
        <v>1</v>
      </c>
      <c r="BD184" s="1">
        <v>1</v>
      </c>
      <c r="BE184" s="1">
        <v>90</v>
      </c>
      <c r="BF184" s="1">
        <v>60003760</v>
      </c>
      <c r="BG184" s="1">
        <v>-1</v>
      </c>
      <c r="BH184" s="1">
        <v>0</v>
      </c>
      <c r="BJ184" s="1">
        <v>2832367068</v>
      </c>
      <c r="BK184" s="1">
        <v>39</v>
      </c>
      <c r="BL184" s="1">
        <v>100000</v>
      </c>
      <c r="BM184" s="1">
        <v>97238</v>
      </c>
      <c r="BN184" s="1">
        <v>732.83</v>
      </c>
      <c r="BO184" s="1">
        <v>1</v>
      </c>
      <c r="BP184" s="1">
        <v>1</v>
      </c>
      <c r="BQ184" s="1">
        <v>90</v>
      </c>
      <c r="BR184" s="1">
        <v>60015026</v>
      </c>
      <c r="BS184" s="1">
        <v>3</v>
      </c>
      <c r="BT184" s="1">
        <v>0</v>
      </c>
      <c r="BV184" s="1">
        <v>2409918181</v>
      </c>
      <c r="BW184" s="1">
        <v>40</v>
      </c>
      <c r="BX184" s="1">
        <v>100000</v>
      </c>
      <c r="BY184" s="1">
        <v>99994</v>
      </c>
      <c r="BZ184" s="1">
        <v>2258.19</v>
      </c>
      <c r="CA184" s="1">
        <v>1</v>
      </c>
      <c r="CB184" s="1">
        <v>1</v>
      </c>
      <c r="CC184" s="1">
        <v>90</v>
      </c>
      <c r="CD184" s="1">
        <v>60001834</v>
      </c>
      <c r="CE184" s="1">
        <v>0</v>
      </c>
      <c r="CF184" s="1">
        <v>0</v>
      </c>
      <c r="CH184" s="1">
        <v>2412830082</v>
      </c>
      <c r="CI184" s="1">
        <v>29668</v>
      </c>
      <c r="CJ184" s="1">
        <v>2</v>
      </c>
      <c r="CK184" s="1">
        <v>2</v>
      </c>
      <c r="CL184" s="1">
        <v>385000000.01999998</v>
      </c>
      <c r="CM184" s="1">
        <v>1</v>
      </c>
      <c r="CN184" s="1">
        <v>1</v>
      </c>
      <c r="CO184" s="1">
        <v>90</v>
      </c>
      <c r="CP184" s="1">
        <v>60003760</v>
      </c>
      <c r="CQ184" s="1">
        <v>-1</v>
      </c>
      <c r="CR184" s="1">
        <v>0</v>
      </c>
      <c r="DF184" s="1">
        <v>2415405863</v>
      </c>
      <c r="DG184" s="1">
        <v>17887</v>
      </c>
      <c r="DH184" s="1">
        <v>400000</v>
      </c>
      <c r="DI184" s="1">
        <v>400000</v>
      </c>
      <c r="DJ184" s="1">
        <v>893.44</v>
      </c>
      <c r="DK184" s="1">
        <v>1</v>
      </c>
      <c r="DL184" s="1">
        <v>1</v>
      </c>
      <c r="DM184" s="1">
        <v>90</v>
      </c>
      <c r="DN184" s="1">
        <v>60003760</v>
      </c>
      <c r="DO184" s="1">
        <v>0</v>
      </c>
      <c r="DP184" s="1">
        <v>0</v>
      </c>
      <c r="DR184" s="1">
        <v>2847403624</v>
      </c>
      <c r="DS184" s="1">
        <v>17888</v>
      </c>
      <c r="DT184" s="1">
        <v>500000</v>
      </c>
      <c r="DU184" s="1">
        <v>367000</v>
      </c>
      <c r="DV184" s="1">
        <v>600</v>
      </c>
      <c r="DW184" s="1">
        <v>1</v>
      </c>
      <c r="DX184" s="1">
        <v>0</v>
      </c>
      <c r="DY184" s="1">
        <v>90</v>
      </c>
      <c r="DZ184" s="1">
        <v>60010201</v>
      </c>
      <c r="EA184" s="1">
        <v>32767</v>
      </c>
      <c r="EB184" s="1">
        <v>7</v>
      </c>
      <c r="ED184" s="1">
        <v>2840453785</v>
      </c>
      <c r="EE184" s="1">
        <v>16273</v>
      </c>
      <c r="EF184" s="1">
        <v>150000</v>
      </c>
      <c r="EG184" s="1">
        <v>150000</v>
      </c>
      <c r="EH184" s="1">
        <v>330.03</v>
      </c>
      <c r="EI184" s="1">
        <v>1</v>
      </c>
      <c r="EJ184" s="1">
        <v>1</v>
      </c>
      <c r="EK184" s="1">
        <v>30</v>
      </c>
      <c r="EL184" s="1">
        <v>60003760</v>
      </c>
      <c r="EM184" s="1">
        <v>-1</v>
      </c>
      <c r="EN184" s="1">
        <v>0</v>
      </c>
      <c r="FZ184"/>
      <c r="GA184"/>
      <c r="GB184"/>
      <c r="GC184"/>
      <c r="GD184"/>
      <c r="GE184"/>
      <c r="GF184"/>
      <c r="GG184"/>
      <c r="GH184"/>
      <c r="GI184"/>
      <c r="GJ184"/>
      <c r="JF184"/>
      <c r="JG184"/>
      <c r="JH184"/>
      <c r="JI184"/>
      <c r="JJ184"/>
      <c r="JK184"/>
      <c r="JL184"/>
      <c r="JM184"/>
      <c r="JN184"/>
      <c r="JO184"/>
      <c r="JP184"/>
      <c r="KD184"/>
      <c r="KE184"/>
      <c r="KF184"/>
      <c r="KG184"/>
      <c r="KH184"/>
      <c r="KI184"/>
      <c r="KJ184"/>
      <c r="KK184"/>
      <c r="KL184"/>
      <c r="KM184"/>
      <c r="KN184"/>
      <c r="LB184"/>
      <c r="LC184"/>
      <c r="LD184"/>
      <c r="LE184"/>
      <c r="LF184"/>
      <c r="LG184"/>
      <c r="LH184"/>
      <c r="LI184"/>
      <c r="LJ184"/>
      <c r="LK184"/>
      <c r="LL184"/>
      <c r="NV184"/>
      <c r="NW184"/>
      <c r="NX184"/>
      <c r="NY184"/>
      <c r="NZ184"/>
      <c r="OA184"/>
      <c r="OB184"/>
      <c r="OC184"/>
      <c r="OD184"/>
      <c r="OE184"/>
      <c r="OF184"/>
      <c r="OH184" s="1">
        <v>2879023272</v>
      </c>
      <c r="OI184" s="1">
        <v>25598</v>
      </c>
      <c r="OJ184" s="1">
        <v>1585</v>
      </c>
      <c r="OK184" s="1">
        <v>1574</v>
      </c>
      <c r="OL184" s="1">
        <v>138997.99</v>
      </c>
      <c r="OM184" s="1">
        <v>1</v>
      </c>
      <c r="ON184" s="1">
        <v>0</v>
      </c>
      <c r="OO184" s="1">
        <v>90</v>
      </c>
      <c r="OP184" s="1">
        <v>60003760</v>
      </c>
      <c r="OQ184" s="1">
        <v>32767</v>
      </c>
      <c r="OR184" s="1">
        <v>0</v>
      </c>
      <c r="SX184" s="1">
        <v>2870471350</v>
      </c>
      <c r="SY184" s="1">
        <v>25595</v>
      </c>
      <c r="SZ184" s="1">
        <v>100</v>
      </c>
      <c r="TA184" s="1">
        <v>100</v>
      </c>
      <c r="TB184" s="1">
        <v>51000</v>
      </c>
      <c r="TC184" s="1">
        <v>1</v>
      </c>
      <c r="TD184" s="1">
        <v>1</v>
      </c>
      <c r="TE184" s="1">
        <v>14</v>
      </c>
      <c r="TF184" s="1">
        <v>60012718</v>
      </c>
      <c r="TG184" s="1">
        <v>-1</v>
      </c>
      <c r="TH184" s="1">
        <v>0</v>
      </c>
    </row>
    <row r="185" spans="2:528" x14ac:dyDescent="0.25">
      <c r="B185" s="1">
        <v>2845360683</v>
      </c>
      <c r="C185" s="1">
        <v>34</v>
      </c>
      <c r="D185" s="1">
        <v>1111653</v>
      </c>
      <c r="E185" s="1">
        <v>1111653</v>
      </c>
      <c r="F185" s="1">
        <v>6</v>
      </c>
      <c r="G185" s="1">
        <v>1</v>
      </c>
      <c r="H185" s="1">
        <v>0</v>
      </c>
      <c r="I185" s="1">
        <v>90</v>
      </c>
      <c r="J185" s="1">
        <v>60003760</v>
      </c>
      <c r="K185" s="1">
        <v>32767</v>
      </c>
      <c r="L185" s="1">
        <v>0</v>
      </c>
      <c r="N185" s="1">
        <v>2851184653</v>
      </c>
      <c r="O185" s="1">
        <v>35</v>
      </c>
      <c r="P185" s="1">
        <v>155815</v>
      </c>
      <c r="Q185" s="1">
        <v>155815</v>
      </c>
      <c r="R185" s="1">
        <v>25</v>
      </c>
      <c r="S185" s="1">
        <v>1</v>
      </c>
      <c r="T185" s="1">
        <v>0</v>
      </c>
      <c r="U185" s="1">
        <v>90</v>
      </c>
      <c r="V185" s="1">
        <v>60001801</v>
      </c>
      <c r="W185" s="1">
        <v>32767</v>
      </c>
      <c r="X185" s="1">
        <v>10</v>
      </c>
      <c r="Z185" s="1">
        <v>2645239339</v>
      </c>
      <c r="AA185" s="1">
        <v>36</v>
      </c>
      <c r="AB185" s="1">
        <v>40500966</v>
      </c>
      <c r="AC185" s="1">
        <v>40500966</v>
      </c>
      <c r="AD185" s="16">
        <v>66.55</v>
      </c>
      <c r="AE185" s="1">
        <v>1</v>
      </c>
      <c r="AF185" s="1">
        <v>0</v>
      </c>
      <c r="AG185" s="1">
        <v>90</v>
      </c>
      <c r="AH185" s="1">
        <v>60003760</v>
      </c>
      <c r="AI185" s="1">
        <v>32767</v>
      </c>
      <c r="AJ185" s="1">
        <v>11</v>
      </c>
      <c r="AL185" s="1">
        <v>2838608932</v>
      </c>
      <c r="AM185" s="1">
        <v>37</v>
      </c>
      <c r="AN185" s="1">
        <v>10000000</v>
      </c>
      <c r="AO185" s="1">
        <v>10000000</v>
      </c>
      <c r="AP185" s="16">
        <v>0.01</v>
      </c>
      <c r="AQ185" s="1">
        <v>1</v>
      </c>
      <c r="AR185" s="1">
        <v>1</v>
      </c>
      <c r="AS185" s="1">
        <v>90</v>
      </c>
      <c r="AT185" s="1">
        <v>60003760</v>
      </c>
      <c r="AU185" s="1">
        <v>40</v>
      </c>
      <c r="AV185" s="1">
        <v>0</v>
      </c>
      <c r="AX185" s="1">
        <v>2870382401</v>
      </c>
      <c r="AY185" s="1">
        <v>38</v>
      </c>
      <c r="AZ185" s="1">
        <v>15698</v>
      </c>
      <c r="BA185" s="1">
        <v>15698</v>
      </c>
      <c r="BB185" s="1">
        <v>790.34</v>
      </c>
      <c r="BC185" s="1">
        <v>1</v>
      </c>
      <c r="BD185" s="1">
        <v>1</v>
      </c>
      <c r="BE185" s="1">
        <v>30</v>
      </c>
      <c r="BF185" s="1">
        <v>60003760</v>
      </c>
      <c r="BG185" s="1">
        <v>-1</v>
      </c>
      <c r="BH185" s="1">
        <v>0</v>
      </c>
      <c r="BJ185" s="1">
        <v>2878950465</v>
      </c>
      <c r="BK185" s="1">
        <v>39</v>
      </c>
      <c r="BL185" s="1">
        <v>500000</v>
      </c>
      <c r="BM185" s="1">
        <v>474220</v>
      </c>
      <c r="BN185" s="1">
        <v>750.01</v>
      </c>
      <c r="BO185" s="1">
        <v>1</v>
      </c>
      <c r="BP185" s="1">
        <v>1</v>
      </c>
      <c r="BQ185" s="1">
        <v>90</v>
      </c>
      <c r="BR185" s="1">
        <v>60003760</v>
      </c>
      <c r="BS185" s="1">
        <v>-1</v>
      </c>
      <c r="BT185" s="1">
        <v>0</v>
      </c>
      <c r="BV185" s="1">
        <v>2413563077</v>
      </c>
      <c r="BW185" s="1">
        <v>40</v>
      </c>
      <c r="BX185" s="1">
        <v>100000</v>
      </c>
      <c r="BY185" s="1">
        <v>99943</v>
      </c>
      <c r="BZ185" s="1">
        <v>2501.0100000000002</v>
      </c>
      <c r="CA185" s="1">
        <v>1</v>
      </c>
      <c r="CB185" s="1">
        <v>1</v>
      </c>
      <c r="CC185" s="1">
        <v>90</v>
      </c>
      <c r="CD185" s="1">
        <v>60001804</v>
      </c>
      <c r="CE185" s="1">
        <v>0</v>
      </c>
      <c r="CF185" s="1">
        <v>0</v>
      </c>
      <c r="CH185" s="1">
        <v>2412922683</v>
      </c>
      <c r="CI185" s="1">
        <v>29668</v>
      </c>
      <c r="CJ185" s="1">
        <v>1</v>
      </c>
      <c r="CK185" s="1">
        <v>1</v>
      </c>
      <c r="CL185" s="1">
        <v>470090011</v>
      </c>
      <c r="CM185" s="1">
        <v>1</v>
      </c>
      <c r="CN185" s="1">
        <v>1</v>
      </c>
      <c r="CO185" s="1">
        <v>30</v>
      </c>
      <c r="CP185" s="1">
        <v>60003760</v>
      </c>
      <c r="CQ185" s="1">
        <v>0</v>
      </c>
      <c r="CR185" s="1">
        <v>0</v>
      </c>
      <c r="DF185" s="1">
        <v>2415354448</v>
      </c>
      <c r="DG185" s="1">
        <v>17887</v>
      </c>
      <c r="DH185" s="1">
        <v>3000000</v>
      </c>
      <c r="DI185" s="1">
        <v>2991345</v>
      </c>
      <c r="DJ185" s="1">
        <v>893.48</v>
      </c>
      <c r="DK185" s="1">
        <v>1</v>
      </c>
      <c r="DL185" s="1">
        <v>1</v>
      </c>
      <c r="DM185" s="1">
        <v>7</v>
      </c>
      <c r="DN185" s="1">
        <v>60003760</v>
      </c>
      <c r="DO185" s="1">
        <v>-1</v>
      </c>
      <c r="DP185" s="1">
        <v>0</v>
      </c>
      <c r="DR185" s="1">
        <v>2861960010</v>
      </c>
      <c r="DS185" s="1">
        <v>17888</v>
      </c>
      <c r="DT185" s="1">
        <v>5606</v>
      </c>
      <c r="DU185" s="1">
        <v>5606</v>
      </c>
      <c r="DV185" s="1">
        <v>340</v>
      </c>
      <c r="DW185" s="1">
        <v>1</v>
      </c>
      <c r="DX185" s="1">
        <v>0</v>
      </c>
      <c r="DY185" s="1">
        <v>90</v>
      </c>
      <c r="DZ185" s="1">
        <v>60014686</v>
      </c>
      <c r="EA185" s="1">
        <v>32767</v>
      </c>
      <c r="EB185" s="1">
        <v>4</v>
      </c>
      <c r="ED185" s="1">
        <v>2838667762</v>
      </c>
      <c r="EE185" s="1">
        <v>16273</v>
      </c>
      <c r="EF185" s="1">
        <v>5000000</v>
      </c>
      <c r="EG185" s="1">
        <v>4250830</v>
      </c>
      <c r="EH185" s="1">
        <v>304.12</v>
      </c>
      <c r="EI185" s="1">
        <v>1</v>
      </c>
      <c r="EJ185" s="1">
        <v>1</v>
      </c>
      <c r="EK185" s="1">
        <v>90</v>
      </c>
      <c r="EL185" s="1">
        <v>60003760</v>
      </c>
      <c r="EM185" s="1">
        <v>32767</v>
      </c>
      <c r="EN185" s="1">
        <v>0</v>
      </c>
      <c r="FZ185"/>
      <c r="GA185"/>
      <c r="GB185"/>
      <c r="GC185"/>
      <c r="GD185"/>
      <c r="GE185"/>
      <c r="GF185"/>
      <c r="GG185"/>
      <c r="GH185"/>
      <c r="GI185"/>
      <c r="GJ185"/>
      <c r="JF185"/>
      <c r="JG185"/>
      <c r="JH185"/>
      <c r="JI185"/>
      <c r="JJ185"/>
      <c r="JK185"/>
      <c r="JL185"/>
      <c r="JM185"/>
      <c r="JN185"/>
      <c r="JO185"/>
      <c r="JP185"/>
      <c r="KD185"/>
      <c r="KE185"/>
      <c r="KF185"/>
      <c r="KG185"/>
      <c r="KH185"/>
      <c r="KI185"/>
      <c r="KJ185"/>
      <c r="KK185"/>
      <c r="KL185"/>
      <c r="KM185"/>
      <c r="KN185"/>
      <c r="LB185"/>
      <c r="LC185"/>
      <c r="LD185"/>
      <c r="LE185"/>
      <c r="LF185"/>
      <c r="LG185"/>
      <c r="LH185"/>
      <c r="LI185"/>
      <c r="LJ185"/>
      <c r="LK185"/>
      <c r="LL185"/>
      <c r="NV185"/>
      <c r="NW185"/>
      <c r="NX185"/>
      <c r="NY185"/>
      <c r="NZ185"/>
      <c r="OA185"/>
      <c r="OB185"/>
      <c r="OC185"/>
      <c r="OD185"/>
      <c r="OE185"/>
      <c r="OF185"/>
      <c r="OH185" s="1">
        <v>2876431568</v>
      </c>
      <c r="OI185" s="1">
        <v>25598</v>
      </c>
      <c r="OJ185" s="1">
        <v>10</v>
      </c>
      <c r="OK185" s="1">
        <v>10</v>
      </c>
      <c r="OL185" s="1">
        <v>138997</v>
      </c>
      <c r="OM185" s="1">
        <v>1</v>
      </c>
      <c r="ON185" s="1">
        <v>0</v>
      </c>
      <c r="OO185" s="1">
        <v>3</v>
      </c>
      <c r="OP185" s="1">
        <v>60003760</v>
      </c>
      <c r="OQ185" s="1">
        <v>32767</v>
      </c>
      <c r="OR185" s="1">
        <v>0</v>
      </c>
      <c r="SX185" s="1">
        <v>1934793729</v>
      </c>
      <c r="SY185" s="1">
        <v>25595</v>
      </c>
      <c r="SZ185" s="1">
        <v>1000</v>
      </c>
      <c r="TA185" s="1">
        <v>626</v>
      </c>
      <c r="TB185" s="1">
        <v>10100.040000000001</v>
      </c>
      <c r="TC185" s="1">
        <v>1</v>
      </c>
      <c r="TD185" s="1">
        <v>1</v>
      </c>
      <c r="TE185" s="1">
        <v>90</v>
      </c>
      <c r="TF185" s="1">
        <v>60004459</v>
      </c>
      <c r="TG185" s="1">
        <v>10</v>
      </c>
      <c r="TH185" s="1">
        <v>0</v>
      </c>
    </row>
    <row r="186" spans="2:528" x14ac:dyDescent="0.25">
      <c r="B186" s="1">
        <v>2845268408</v>
      </c>
      <c r="C186" s="1">
        <v>34</v>
      </c>
      <c r="D186" s="1">
        <v>594339044</v>
      </c>
      <c r="E186" s="1">
        <v>594339044</v>
      </c>
      <c r="F186" s="1">
        <v>5.95</v>
      </c>
      <c r="G186" s="1">
        <v>1</v>
      </c>
      <c r="H186" s="1">
        <v>0</v>
      </c>
      <c r="I186" s="1">
        <v>90</v>
      </c>
      <c r="J186" s="1">
        <v>60003760</v>
      </c>
      <c r="K186" s="1">
        <v>32767</v>
      </c>
      <c r="L186" s="1">
        <v>0</v>
      </c>
      <c r="N186" s="1">
        <v>2784757340</v>
      </c>
      <c r="O186" s="1">
        <v>35</v>
      </c>
      <c r="P186" s="1">
        <v>400000</v>
      </c>
      <c r="Q186" s="1">
        <v>400000</v>
      </c>
      <c r="R186" s="1">
        <v>20</v>
      </c>
      <c r="S186" s="1">
        <v>1</v>
      </c>
      <c r="T186" s="1">
        <v>0</v>
      </c>
      <c r="U186" s="1">
        <v>90</v>
      </c>
      <c r="V186" s="1">
        <v>60006859</v>
      </c>
      <c r="W186" s="1">
        <v>32767</v>
      </c>
      <c r="X186" s="1">
        <v>10</v>
      </c>
      <c r="Z186" s="1">
        <v>2652224244</v>
      </c>
      <c r="AA186" s="1">
        <v>36</v>
      </c>
      <c r="AB186" s="1">
        <v>56034374</v>
      </c>
      <c r="AC186" s="1">
        <v>10918671</v>
      </c>
      <c r="AD186" s="16">
        <v>65.03</v>
      </c>
      <c r="AE186" s="1">
        <v>1</v>
      </c>
      <c r="AF186" s="1">
        <v>0</v>
      </c>
      <c r="AG186" s="1">
        <v>90</v>
      </c>
      <c r="AH186" s="1">
        <v>60003760</v>
      </c>
      <c r="AI186" s="1">
        <v>32767</v>
      </c>
      <c r="AJ186" s="1">
        <v>11</v>
      </c>
      <c r="AL186" s="1">
        <v>2840529175</v>
      </c>
      <c r="AM186" s="1">
        <v>37</v>
      </c>
      <c r="AN186" s="1">
        <v>9838800</v>
      </c>
      <c r="AO186" s="1">
        <v>9838800</v>
      </c>
      <c r="AP186" s="16">
        <v>0.01</v>
      </c>
      <c r="AQ186" s="1">
        <v>1</v>
      </c>
      <c r="AR186" s="1">
        <v>1</v>
      </c>
      <c r="AS186" s="1">
        <v>90</v>
      </c>
      <c r="AT186" s="1">
        <v>60003760</v>
      </c>
      <c r="AU186" s="1">
        <v>-1</v>
      </c>
      <c r="AV186" s="1">
        <v>0</v>
      </c>
      <c r="AX186" s="1">
        <v>2870548427</v>
      </c>
      <c r="AY186" s="1">
        <v>38</v>
      </c>
      <c r="AZ186" s="1">
        <v>199000</v>
      </c>
      <c r="BA186" s="1">
        <v>198025</v>
      </c>
      <c r="BB186" s="1">
        <v>790.6</v>
      </c>
      <c r="BC186" s="1">
        <v>1</v>
      </c>
      <c r="BD186" s="1">
        <v>1</v>
      </c>
      <c r="BE186" s="1">
        <v>14</v>
      </c>
      <c r="BF186" s="1">
        <v>60003760</v>
      </c>
      <c r="BG186" s="1">
        <v>-1</v>
      </c>
      <c r="BH186" s="1">
        <v>0</v>
      </c>
      <c r="BJ186" s="1">
        <v>2878976281</v>
      </c>
      <c r="BK186" s="1">
        <v>39</v>
      </c>
      <c r="BL186" s="1">
        <v>4444444</v>
      </c>
      <c r="BM186" s="1">
        <v>4444444</v>
      </c>
      <c r="BN186" s="1">
        <v>744.44</v>
      </c>
      <c r="BO186" s="1">
        <v>1</v>
      </c>
      <c r="BP186" s="1">
        <v>1</v>
      </c>
      <c r="BQ186" s="1">
        <v>90</v>
      </c>
      <c r="BR186" s="1">
        <v>60003760</v>
      </c>
      <c r="BS186" s="1">
        <v>-1</v>
      </c>
      <c r="BT186" s="1">
        <v>0</v>
      </c>
      <c r="BV186" s="1">
        <v>2411354850</v>
      </c>
      <c r="BW186" s="1">
        <v>40</v>
      </c>
      <c r="BX186" s="1">
        <v>25000</v>
      </c>
      <c r="BY186" s="1">
        <v>24059</v>
      </c>
      <c r="BZ186" s="1">
        <v>2300</v>
      </c>
      <c r="CA186" s="1">
        <v>1</v>
      </c>
      <c r="CB186" s="1">
        <v>1</v>
      </c>
      <c r="CC186" s="1">
        <v>90</v>
      </c>
      <c r="CD186" s="1">
        <v>60014686</v>
      </c>
      <c r="CE186" s="1">
        <v>4</v>
      </c>
      <c r="CF186" s="1">
        <v>0</v>
      </c>
      <c r="CH186" s="1">
        <v>2412955641</v>
      </c>
      <c r="CI186" s="1">
        <v>29668</v>
      </c>
      <c r="CJ186" s="1">
        <v>26</v>
      </c>
      <c r="CK186" s="1">
        <v>5</v>
      </c>
      <c r="CL186" s="1">
        <v>475000000</v>
      </c>
      <c r="CM186" s="1">
        <v>1</v>
      </c>
      <c r="CN186" s="1">
        <v>1</v>
      </c>
      <c r="CO186" s="1">
        <v>90</v>
      </c>
      <c r="CP186" s="1">
        <v>60003760</v>
      </c>
      <c r="CQ186" s="1">
        <v>-1</v>
      </c>
      <c r="CR186" s="1">
        <v>0</v>
      </c>
      <c r="DF186" s="1">
        <v>2415612167</v>
      </c>
      <c r="DG186" s="1">
        <v>17887</v>
      </c>
      <c r="DH186" s="1">
        <v>320000</v>
      </c>
      <c r="DI186" s="1">
        <v>320000</v>
      </c>
      <c r="DJ186" s="1">
        <v>899.99</v>
      </c>
      <c r="DK186" s="1">
        <v>1</v>
      </c>
      <c r="DL186" s="1">
        <v>1</v>
      </c>
      <c r="DM186" s="1">
        <v>3</v>
      </c>
      <c r="DN186" s="1">
        <v>60003760</v>
      </c>
      <c r="DO186" s="1">
        <v>-1</v>
      </c>
      <c r="DP186" s="1">
        <v>0</v>
      </c>
      <c r="DR186" s="1">
        <v>2802904217</v>
      </c>
      <c r="DS186" s="1">
        <v>17888</v>
      </c>
      <c r="DT186" s="1">
        <v>9188</v>
      </c>
      <c r="DU186" s="1">
        <v>9188</v>
      </c>
      <c r="DV186" s="1">
        <v>380.03</v>
      </c>
      <c r="DW186" s="1">
        <v>1</v>
      </c>
      <c r="DX186" s="1">
        <v>0</v>
      </c>
      <c r="DY186" s="1">
        <v>90</v>
      </c>
      <c r="DZ186" s="1">
        <v>60004435</v>
      </c>
      <c r="EA186" s="1">
        <v>32767</v>
      </c>
      <c r="EB186" s="1">
        <v>5</v>
      </c>
      <c r="ED186" s="1">
        <v>2643224154</v>
      </c>
      <c r="EE186" s="1">
        <v>16273</v>
      </c>
      <c r="EF186" s="1">
        <v>6000000</v>
      </c>
      <c r="EG186" s="1">
        <v>5839673</v>
      </c>
      <c r="EH186" s="1">
        <v>119.99</v>
      </c>
      <c r="EI186" s="1">
        <v>1</v>
      </c>
      <c r="EJ186" s="1">
        <v>1</v>
      </c>
      <c r="EK186" s="1">
        <v>90</v>
      </c>
      <c r="EL186" s="1">
        <v>60003760</v>
      </c>
      <c r="EM186" s="1">
        <v>10</v>
      </c>
      <c r="EN186" s="1">
        <v>0</v>
      </c>
      <c r="FZ186"/>
      <c r="GA186"/>
      <c r="GB186"/>
      <c r="GC186"/>
      <c r="GD186"/>
      <c r="GE186"/>
      <c r="GF186"/>
      <c r="GG186"/>
      <c r="GH186"/>
      <c r="GI186"/>
      <c r="GJ186"/>
      <c r="JF186"/>
      <c r="JG186"/>
      <c r="JH186"/>
      <c r="JI186"/>
      <c r="JJ186"/>
      <c r="JK186"/>
      <c r="JL186"/>
      <c r="JM186"/>
      <c r="JN186"/>
      <c r="JO186"/>
      <c r="JP186"/>
      <c r="KD186"/>
      <c r="KE186"/>
      <c r="KF186"/>
      <c r="KG186"/>
      <c r="KH186"/>
      <c r="KI186"/>
      <c r="KJ186"/>
      <c r="KK186"/>
      <c r="KL186"/>
      <c r="KM186"/>
      <c r="KN186"/>
      <c r="LB186"/>
      <c r="LC186"/>
      <c r="LD186"/>
      <c r="LE186"/>
      <c r="LF186"/>
      <c r="LG186"/>
      <c r="LH186"/>
      <c r="LI186"/>
      <c r="LJ186"/>
      <c r="LK186"/>
      <c r="LL186"/>
      <c r="NV186"/>
      <c r="NW186"/>
      <c r="NX186"/>
      <c r="NY186"/>
      <c r="NZ186"/>
      <c r="OA186"/>
      <c r="OB186"/>
      <c r="OC186"/>
      <c r="OD186"/>
      <c r="OE186"/>
      <c r="OF186"/>
      <c r="OH186" s="1">
        <v>2879088465</v>
      </c>
      <c r="OI186" s="1">
        <v>25598</v>
      </c>
      <c r="OJ186" s="1">
        <v>18</v>
      </c>
      <c r="OK186" s="1">
        <v>18</v>
      </c>
      <c r="OL186" s="1">
        <v>137999</v>
      </c>
      <c r="OM186" s="1">
        <v>1</v>
      </c>
      <c r="ON186" s="1">
        <v>0</v>
      </c>
      <c r="OO186" s="1">
        <v>1</v>
      </c>
      <c r="OP186" s="1">
        <v>60003760</v>
      </c>
      <c r="OQ186" s="1">
        <v>32767</v>
      </c>
      <c r="OR186" s="1">
        <v>0</v>
      </c>
      <c r="SX186" s="1">
        <v>2868995897</v>
      </c>
      <c r="SY186" s="1">
        <v>25595</v>
      </c>
      <c r="SZ186" s="1">
        <v>500</v>
      </c>
      <c r="TA186" s="1">
        <v>122</v>
      </c>
      <c r="TB186" s="1">
        <v>60001</v>
      </c>
      <c r="TC186" s="1">
        <v>1</v>
      </c>
      <c r="TD186" s="1">
        <v>1</v>
      </c>
      <c r="TE186" s="1">
        <v>90</v>
      </c>
      <c r="TF186" s="1">
        <v>60004210</v>
      </c>
      <c r="TG186" s="1">
        <v>3</v>
      </c>
      <c r="TH186" s="1">
        <v>0</v>
      </c>
    </row>
    <row r="187" spans="2:528" x14ac:dyDescent="0.25">
      <c r="B187" s="1">
        <v>2845286638</v>
      </c>
      <c r="C187" s="1">
        <v>34</v>
      </c>
      <c r="D187" s="1">
        <v>814416</v>
      </c>
      <c r="E187" s="1">
        <v>814416</v>
      </c>
      <c r="F187" s="1">
        <v>5.94</v>
      </c>
      <c r="G187" s="1">
        <v>1</v>
      </c>
      <c r="H187" s="1">
        <v>0</v>
      </c>
      <c r="I187" s="1">
        <v>90</v>
      </c>
      <c r="J187" s="1">
        <v>60003760</v>
      </c>
      <c r="K187" s="1">
        <v>32767</v>
      </c>
      <c r="L187" s="1">
        <v>0</v>
      </c>
      <c r="N187" s="1">
        <v>2794808647</v>
      </c>
      <c r="O187" s="1">
        <v>35</v>
      </c>
      <c r="P187" s="1">
        <v>2319404</v>
      </c>
      <c r="Q187" s="1">
        <v>2256784</v>
      </c>
      <c r="R187" s="1">
        <v>17</v>
      </c>
      <c r="S187" s="1">
        <v>1</v>
      </c>
      <c r="T187" s="1">
        <v>0</v>
      </c>
      <c r="U187" s="1">
        <v>90</v>
      </c>
      <c r="V187" s="1">
        <v>60010198</v>
      </c>
      <c r="W187" s="1">
        <v>32767</v>
      </c>
      <c r="X187" s="1">
        <v>10</v>
      </c>
      <c r="Z187" s="1">
        <v>2651480983</v>
      </c>
      <c r="AA187" s="1">
        <v>36</v>
      </c>
      <c r="AB187" s="1">
        <v>23215454</v>
      </c>
      <c r="AC187" s="1">
        <v>23215454</v>
      </c>
      <c r="AD187" s="16">
        <v>65.62</v>
      </c>
      <c r="AE187" s="1">
        <v>1</v>
      </c>
      <c r="AF187" s="1">
        <v>0</v>
      </c>
      <c r="AG187" s="1">
        <v>90</v>
      </c>
      <c r="AH187" s="1">
        <v>60003760</v>
      </c>
      <c r="AI187" s="1">
        <v>32767</v>
      </c>
      <c r="AJ187" s="1">
        <v>11</v>
      </c>
      <c r="AL187" s="1">
        <v>2850969854</v>
      </c>
      <c r="AM187" s="1">
        <v>37</v>
      </c>
      <c r="AN187" s="1">
        <v>10000000</v>
      </c>
      <c r="AO187" s="1">
        <v>5845026</v>
      </c>
      <c r="AP187" s="16">
        <v>136.5</v>
      </c>
      <c r="AQ187" s="1">
        <v>1</v>
      </c>
      <c r="AR187" s="1">
        <v>1</v>
      </c>
      <c r="AS187" s="1">
        <v>90</v>
      </c>
      <c r="AT187" s="1">
        <v>60003760</v>
      </c>
      <c r="AU187" s="1">
        <v>-1</v>
      </c>
      <c r="AV187" s="1">
        <v>0</v>
      </c>
      <c r="AX187" s="1">
        <v>2870529012</v>
      </c>
      <c r="AY187" s="1">
        <v>38</v>
      </c>
      <c r="AZ187" s="1">
        <v>100000</v>
      </c>
      <c r="BA187" s="1">
        <v>52805</v>
      </c>
      <c r="BB187" s="1">
        <v>790.59</v>
      </c>
      <c r="BC187" s="1">
        <v>1</v>
      </c>
      <c r="BD187" s="1">
        <v>1</v>
      </c>
      <c r="BE187" s="1">
        <v>90</v>
      </c>
      <c r="BF187" s="1">
        <v>60003760</v>
      </c>
      <c r="BG187" s="1">
        <v>-1</v>
      </c>
      <c r="BH187" s="1">
        <v>0</v>
      </c>
      <c r="BJ187" s="1">
        <v>2878986616</v>
      </c>
      <c r="BK187" s="1">
        <v>39</v>
      </c>
      <c r="BL187" s="1">
        <v>20000000</v>
      </c>
      <c r="BM187" s="1">
        <v>20000000</v>
      </c>
      <c r="BN187" s="1">
        <v>520.09</v>
      </c>
      <c r="BO187" s="1">
        <v>1</v>
      </c>
      <c r="BP187" s="1">
        <v>1</v>
      </c>
      <c r="BQ187" s="1">
        <v>90</v>
      </c>
      <c r="BR187" s="1">
        <v>60003760</v>
      </c>
      <c r="BS187" s="1">
        <v>-1</v>
      </c>
      <c r="BT187" s="1">
        <v>0</v>
      </c>
      <c r="BV187" s="1">
        <v>2411180885</v>
      </c>
      <c r="BW187" s="1">
        <v>40</v>
      </c>
      <c r="BX187" s="1">
        <v>100000</v>
      </c>
      <c r="BY187" s="1">
        <v>90596</v>
      </c>
      <c r="BZ187" s="1">
        <v>2302.0100000000002</v>
      </c>
      <c r="CA187" s="1">
        <v>1</v>
      </c>
      <c r="CB187" s="1">
        <v>1</v>
      </c>
      <c r="CC187" s="1">
        <v>90</v>
      </c>
      <c r="CD187" s="1">
        <v>60001879</v>
      </c>
      <c r="CE187" s="1">
        <v>32767</v>
      </c>
      <c r="CF187" s="1">
        <v>0</v>
      </c>
      <c r="CH187" s="1">
        <v>2412271809</v>
      </c>
      <c r="CI187" s="1">
        <v>29668</v>
      </c>
      <c r="CJ187" s="1">
        <v>1</v>
      </c>
      <c r="CK187" s="1">
        <v>1</v>
      </c>
      <c r="CL187" s="1">
        <v>455000000</v>
      </c>
      <c r="CM187" s="1">
        <v>1</v>
      </c>
      <c r="CN187" s="1">
        <v>1</v>
      </c>
      <c r="CO187" s="1">
        <v>30</v>
      </c>
      <c r="CP187" s="1">
        <v>60003760</v>
      </c>
      <c r="CQ187" s="1">
        <v>-1</v>
      </c>
      <c r="CR187" s="1">
        <v>0</v>
      </c>
      <c r="DF187" s="1">
        <v>2415323986</v>
      </c>
      <c r="DG187" s="1">
        <v>17887</v>
      </c>
      <c r="DH187" s="1">
        <v>400000</v>
      </c>
      <c r="DI187" s="1">
        <v>400000</v>
      </c>
      <c r="DJ187" s="1">
        <v>900.22</v>
      </c>
      <c r="DK187" s="1">
        <v>1</v>
      </c>
      <c r="DL187" s="1">
        <v>1</v>
      </c>
      <c r="DM187" s="1">
        <v>90</v>
      </c>
      <c r="DN187" s="1">
        <v>60003760</v>
      </c>
      <c r="DO187" s="1">
        <v>-1</v>
      </c>
      <c r="DP187" s="1">
        <v>0</v>
      </c>
      <c r="DR187" s="1">
        <v>2858689649</v>
      </c>
      <c r="DS187" s="1">
        <v>17888</v>
      </c>
      <c r="DT187" s="1">
        <v>1763</v>
      </c>
      <c r="DU187" s="1">
        <v>1763</v>
      </c>
      <c r="DV187" s="1">
        <v>344</v>
      </c>
      <c r="DW187" s="1">
        <v>1</v>
      </c>
      <c r="DX187" s="1">
        <v>0</v>
      </c>
      <c r="DY187" s="1">
        <v>90</v>
      </c>
      <c r="DZ187" s="1">
        <v>60002284</v>
      </c>
      <c r="EA187" s="1">
        <v>32767</v>
      </c>
      <c r="EB187" s="1">
        <v>5</v>
      </c>
      <c r="ED187" s="1">
        <v>2640424888</v>
      </c>
      <c r="EE187" s="1">
        <v>16273</v>
      </c>
      <c r="EF187" s="1">
        <v>10000000</v>
      </c>
      <c r="EG187" s="1">
        <v>9968697</v>
      </c>
      <c r="EH187" s="1">
        <v>31.97</v>
      </c>
      <c r="EI187" s="1">
        <v>1</v>
      </c>
      <c r="EJ187" s="1">
        <v>1</v>
      </c>
      <c r="EK187" s="1">
        <v>90</v>
      </c>
      <c r="EL187" s="1">
        <v>60003760</v>
      </c>
      <c r="EM187" s="1">
        <v>32767</v>
      </c>
      <c r="EN187" s="1">
        <v>0</v>
      </c>
      <c r="FZ187"/>
      <c r="GA187"/>
      <c r="GB187"/>
      <c r="GC187"/>
      <c r="GD187"/>
      <c r="GE187"/>
      <c r="GF187"/>
      <c r="GG187"/>
      <c r="GH187"/>
      <c r="GI187"/>
      <c r="GJ187"/>
      <c r="JF187"/>
      <c r="JG187"/>
      <c r="JH187"/>
      <c r="JI187"/>
      <c r="JJ187"/>
      <c r="JK187"/>
      <c r="JL187"/>
      <c r="JM187"/>
      <c r="JN187"/>
      <c r="JO187"/>
      <c r="JP187"/>
      <c r="KD187"/>
      <c r="KE187"/>
      <c r="KF187"/>
      <c r="KG187"/>
      <c r="KH187"/>
      <c r="KI187"/>
      <c r="KJ187"/>
      <c r="KK187"/>
      <c r="KL187"/>
      <c r="KM187"/>
      <c r="KN187"/>
      <c r="LB187"/>
      <c r="LC187"/>
      <c r="LD187"/>
      <c r="LE187"/>
      <c r="LF187"/>
      <c r="LG187"/>
      <c r="LH187"/>
      <c r="LI187"/>
      <c r="LJ187"/>
      <c r="LK187"/>
      <c r="LL187"/>
      <c r="NV187"/>
      <c r="NW187"/>
      <c r="NX187"/>
      <c r="NY187"/>
      <c r="NZ187"/>
      <c r="OA187"/>
      <c r="OB187"/>
      <c r="OC187"/>
      <c r="OD187"/>
      <c r="OE187"/>
      <c r="OF187"/>
      <c r="OH187" s="1">
        <v>2878315031</v>
      </c>
      <c r="OI187" s="1">
        <v>25598</v>
      </c>
      <c r="OJ187" s="1">
        <v>626</v>
      </c>
      <c r="OK187" s="1">
        <v>331</v>
      </c>
      <c r="OL187" s="1">
        <v>138996</v>
      </c>
      <c r="OM187" s="1">
        <v>1</v>
      </c>
      <c r="ON187" s="1">
        <v>0</v>
      </c>
      <c r="OO187" s="1">
        <v>90</v>
      </c>
      <c r="OP187" s="1">
        <v>60003760</v>
      </c>
      <c r="OQ187" s="1">
        <v>32767</v>
      </c>
      <c r="OR187" s="1">
        <v>0</v>
      </c>
      <c r="SX187" s="1">
        <v>2872747916</v>
      </c>
      <c r="SY187" s="1">
        <v>25595</v>
      </c>
      <c r="SZ187" s="1">
        <v>500</v>
      </c>
      <c r="TA187" s="1">
        <v>278</v>
      </c>
      <c r="TB187" s="1">
        <v>60002</v>
      </c>
      <c r="TC187" s="1">
        <v>1</v>
      </c>
      <c r="TD187" s="1">
        <v>1</v>
      </c>
      <c r="TE187" s="1">
        <v>90</v>
      </c>
      <c r="TF187" s="1">
        <v>60012667</v>
      </c>
      <c r="TG187" s="1">
        <v>1</v>
      </c>
      <c r="TH187" s="1">
        <v>0</v>
      </c>
    </row>
    <row r="188" spans="2:528" x14ac:dyDescent="0.25">
      <c r="B188" s="1">
        <v>2845030528</v>
      </c>
      <c r="C188" s="1">
        <v>34</v>
      </c>
      <c r="D188" s="1">
        <v>1247949</v>
      </c>
      <c r="E188" s="1">
        <v>1247949</v>
      </c>
      <c r="F188" s="1">
        <v>5.94</v>
      </c>
      <c r="G188" s="1">
        <v>1</v>
      </c>
      <c r="H188" s="1">
        <v>0</v>
      </c>
      <c r="I188" s="1">
        <v>30</v>
      </c>
      <c r="J188" s="1">
        <v>60003760</v>
      </c>
      <c r="K188" s="1">
        <v>32767</v>
      </c>
      <c r="L188" s="1">
        <v>0</v>
      </c>
      <c r="N188" s="1">
        <v>2838935029</v>
      </c>
      <c r="O188" s="1">
        <v>35</v>
      </c>
      <c r="P188" s="1">
        <v>1385432</v>
      </c>
      <c r="Q188" s="1">
        <v>1385432</v>
      </c>
      <c r="R188" s="1">
        <v>16.25</v>
      </c>
      <c r="S188" s="1">
        <v>1</v>
      </c>
      <c r="T188" s="1">
        <v>0</v>
      </c>
      <c r="U188" s="1">
        <v>90</v>
      </c>
      <c r="V188" s="1">
        <v>60003241</v>
      </c>
      <c r="W188" s="1">
        <v>32767</v>
      </c>
      <c r="X188" s="1">
        <v>10</v>
      </c>
      <c r="Z188" s="1">
        <v>2680591542</v>
      </c>
      <c r="AA188" s="1">
        <v>36</v>
      </c>
      <c r="AB188" s="1">
        <v>21543698</v>
      </c>
      <c r="AC188" s="1">
        <v>21543698</v>
      </c>
      <c r="AD188" s="16">
        <v>63.56</v>
      </c>
      <c r="AE188" s="1">
        <v>1</v>
      </c>
      <c r="AF188" s="1">
        <v>0</v>
      </c>
      <c r="AG188" s="1">
        <v>90</v>
      </c>
      <c r="AH188" s="1">
        <v>60003760</v>
      </c>
      <c r="AI188" s="1">
        <v>32767</v>
      </c>
      <c r="AJ188" s="1">
        <v>11</v>
      </c>
      <c r="AL188" s="1">
        <v>2848519756</v>
      </c>
      <c r="AM188" s="1">
        <v>37</v>
      </c>
      <c r="AN188" s="1">
        <v>783941</v>
      </c>
      <c r="AO188" s="1">
        <v>503571</v>
      </c>
      <c r="AP188" s="16">
        <v>134.11000000000001</v>
      </c>
      <c r="AQ188" s="1">
        <v>1</v>
      </c>
      <c r="AR188" s="1">
        <v>1</v>
      </c>
      <c r="AS188" s="1">
        <v>90</v>
      </c>
      <c r="AT188" s="1">
        <v>60003760</v>
      </c>
      <c r="AU188" s="1">
        <v>-1</v>
      </c>
      <c r="AV188" s="1">
        <v>0</v>
      </c>
      <c r="AX188" s="1">
        <v>2871426904</v>
      </c>
      <c r="AY188" s="1">
        <v>38</v>
      </c>
      <c r="AZ188" s="1">
        <v>50000</v>
      </c>
      <c r="BA188" s="1">
        <v>50000</v>
      </c>
      <c r="BB188" s="1">
        <v>783</v>
      </c>
      <c r="BC188" s="1">
        <v>100</v>
      </c>
      <c r="BD188" s="1">
        <v>1</v>
      </c>
      <c r="BE188" s="1">
        <v>90</v>
      </c>
      <c r="BF188" s="1">
        <v>60003760</v>
      </c>
      <c r="BG188" s="1">
        <v>-1</v>
      </c>
      <c r="BH188" s="1">
        <v>0</v>
      </c>
      <c r="BJ188" s="1">
        <v>2879043470</v>
      </c>
      <c r="BK188" s="1">
        <v>39</v>
      </c>
      <c r="BL188" s="1">
        <v>1000000</v>
      </c>
      <c r="BM188" s="1">
        <v>1000000</v>
      </c>
      <c r="BN188" s="1">
        <v>708</v>
      </c>
      <c r="BO188" s="1">
        <v>1</v>
      </c>
      <c r="BP188" s="1">
        <v>1</v>
      </c>
      <c r="BQ188" s="1">
        <v>7</v>
      </c>
      <c r="BR188" s="1">
        <v>60003760</v>
      </c>
      <c r="BS188" s="1">
        <v>-1</v>
      </c>
      <c r="BT188" s="1">
        <v>0</v>
      </c>
      <c r="BV188" s="1">
        <v>2410215767</v>
      </c>
      <c r="BW188" s="1">
        <v>40</v>
      </c>
      <c r="BX188" s="1">
        <v>200</v>
      </c>
      <c r="BY188" s="1">
        <v>99</v>
      </c>
      <c r="BZ188" s="1">
        <v>2267</v>
      </c>
      <c r="CA188" s="1">
        <v>1</v>
      </c>
      <c r="CB188" s="1">
        <v>1</v>
      </c>
      <c r="CC188" s="1">
        <v>30</v>
      </c>
      <c r="CD188" s="1">
        <v>60002281</v>
      </c>
      <c r="CE188" s="1">
        <v>1</v>
      </c>
      <c r="CF188" s="1">
        <v>0</v>
      </c>
      <c r="CH188" s="1">
        <v>2412404067</v>
      </c>
      <c r="CI188" s="1">
        <v>29668</v>
      </c>
      <c r="CJ188" s="1">
        <v>4</v>
      </c>
      <c r="CK188" s="1">
        <v>4</v>
      </c>
      <c r="CL188" s="1">
        <v>455000000</v>
      </c>
      <c r="CM188" s="1">
        <v>1</v>
      </c>
      <c r="CN188" s="1">
        <v>1</v>
      </c>
      <c r="CO188" s="1">
        <v>90</v>
      </c>
      <c r="CP188" s="1">
        <v>60003760</v>
      </c>
      <c r="CQ188" s="1">
        <v>40</v>
      </c>
      <c r="CR188" s="1">
        <v>0</v>
      </c>
      <c r="DF188" s="1">
        <v>2415114426</v>
      </c>
      <c r="DG188" s="1">
        <v>17887</v>
      </c>
      <c r="DH188" s="1">
        <v>338452</v>
      </c>
      <c r="DI188" s="1">
        <v>303492</v>
      </c>
      <c r="DJ188" s="1">
        <v>900.25</v>
      </c>
      <c r="DK188" s="1">
        <v>1</v>
      </c>
      <c r="DL188" s="1">
        <v>1</v>
      </c>
      <c r="DM188" s="1">
        <v>90</v>
      </c>
      <c r="DN188" s="1">
        <v>60003760</v>
      </c>
      <c r="DO188" s="1">
        <v>-1</v>
      </c>
      <c r="DP188" s="1">
        <v>0</v>
      </c>
      <c r="DR188" s="1">
        <v>2854466303</v>
      </c>
      <c r="DS188" s="1">
        <v>17888</v>
      </c>
      <c r="DT188" s="1">
        <v>69927</v>
      </c>
      <c r="DU188" s="1">
        <v>69927</v>
      </c>
      <c r="DV188" s="1">
        <v>799.77</v>
      </c>
      <c r="DW188" s="1">
        <v>1</v>
      </c>
      <c r="DX188" s="1">
        <v>0</v>
      </c>
      <c r="DY188" s="1">
        <v>90</v>
      </c>
      <c r="DZ188" s="1">
        <v>60002281</v>
      </c>
      <c r="EA188" s="1">
        <v>32767</v>
      </c>
      <c r="EB188" s="1">
        <v>6</v>
      </c>
      <c r="ED188" s="1">
        <v>2746251876</v>
      </c>
      <c r="EE188" s="1">
        <v>16273</v>
      </c>
      <c r="EF188" s="1">
        <v>600000</v>
      </c>
      <c r="EG188" s="1">
        <v>209942</v>
      </c>
      <c r="EH188" s="1">
        <v>305.08999999999997</v>
      </c>
      <c r="EI188" s="1">
        <v>1</v>
      </c>
      <c r="EJ188" s="1">
        <v>1</v>
      </c>
      <c r="EK188" s="1">
        <v>90</v>
      </c>
      <c r="EL188" s="1">
        <v>60003760</v>
      </c>
      <c r="EM188" s="1">
        <v>2</v>
      </c>
      <c r="EN188" s="1">
        <v>0</v>
      </c>
      <c r="FZ188"/>
      <c r="GA188"/>
      <c r="GB188"/>
      <c r="GC188"/>
      <c r="GD188"/>
      <c r="GE188"/>
      <c r="GF188"/>
      <c r="GG188"/>
      <c r="GH188"/>
      <c r="GI188"/>
      <c r="GJ188"/>
      <c r="JF188"/>
      <c r="JG188"/>
      <c r="JH188"/>
      <c r="JI188"/>
      <c r="JJ188"/>
      <c r="JK188"/>
      <c r="JL188"/>
      <c r="JM188"/>
      <c r="JN188"/>
      <c r="JO188"/>
      <c r="JP188"/>
      <c r="KD188"/>
      <c r="KE188"/>
      <c r="KF188"/>
      <c r="KG188"/>
      <c r="KH188"/>
      <c r="KI188"/>
      <c r="KJ188"/>
      <c r="KK188"/>
      <c r="KL188"/>
      <c r="KM188"/>
      <c r="KN188"/>
      <c r="LB188"/>
      <c r="LC188"/>
      <c r="LD188"/>
      <c r="LE188"/>
      <c r="LF188"/>
      <c r="LG188"/>
      <c r="LH188"/>
      <c r="LI188"/>
      <c r="LJ188"/>
      <c r="LK188"/>
      <c r="LL188"/>
      <c r="NV188"/>
      <c r="NW188"/>
      <c r="NX188"/>
      <c r="NY188"/>
      <c r="NZ188"/>
      <c r="OA188"/>
      <c r="OB188"/>
      <c r="OC188"/>
      <c r="OD188"/>
      <c r="OE188"/>
      <c r="OF188"/>
      <c r="OH188" s="1">
        <v>2879140824</v>
      </c>
      <c r="OI188" s="1">
        <v>25598</v>
      </c>
      <c r="OJ188" s="1">
        <v>385</v>
      </c>
      <c r="OK188" s="1">
        <v>385</v>
      </c>
      <c r="OL188" s="1">
        <v>138995.34</v>
      </c>
      <c r="OM188" s="1">
        <v>1</v>
      </c>
      <c r="ON188" s="1">
        <v>0</v>
      </c>
      <c r="OO188" s="1">
        <v>90</v>
      </c>
      <c r="OP188" s="1">
        <v>60003760</v>
      </c>
      <c r="OQ188" s="1">
        <v>32767</v>
      </c>
      <c r="OR188" s="1">
        <v>0</v>
      </c>
      <c r="SX188" s="1">
        <v>2878366233</v>
      </c>
      <c r="SY188" s="1">
        <v>25595</v>
      </c>
      <c r="SZ188" s="1">
        <v>5000</v>
      </c>
      <c r="TA188" s="1">
        <v>1449</v>
      </c>
      <c r="TB188" s="1">
        <v>62150.16</v>
      </c>
      <c r="TC188" s="1">
        <v>1</v>
      </c>
      <c r="TD188" s="1">
        <v>1</v>
      </c>
      <c r="TE188" s="1">
        <v>90</v>
      </c>
      <c r="TF188" s="1">
        <v>60003760</v>
      </c>
      <c r="TG188" s="1">
        <v>-1</v>
      </c>
      <c r="TH188" s="1">
        <v>0</v>
      </c>
    </row>
    <row r="189" spans="2:528" x14ac:dyDescent="0.25">
      <c r="B189" s="1">
        <v>2845013130</v>
      </c>
      <c r="C189" s="1">
        <v>34</v>
      </c>
      <c r="D189" s="1">
        <v>2712926</v>
      </c>
      <c r="E189" s="1">
        <v>2712926</v>
      </c>
      <c r="F189" s="1">
        <v>5.95</v>
      </c>
      <c r="G189" s="1">
        <v>1</v>
      </c>
      <c r="H189" s="1">
        <v>0</v>
      </c>
      <c r="I189" s="1">
        <v>90</v>
      </c>
      <c r="J189" s="1">
        <v>60003760</v>
      </c>
      <c r="K189" s="1">
        <v>32767</v>
      </c>
      <c r="L189" s="1">
        <v>0</v>
      </c>
      <c r="N189" s="1">
        <v>2865130202</v>
      </c>
      <c r="O189" s="1">
        <v>35</v>
      </c>
      <c r="P189" s="1">
        <v>2003</v>
      </c>
      <c r="Q189" s="1">
        <v>2002</v>
      </c>
      <c r="R189" s="1">
        <v>14.8</v>
      </c>
      <c r="S189" s="1">
        <v>1</v>
      </c>
      <c r="T189" s="1">
        <v>0</v>
      </c>
      <c r="U189" s="1">
        <v>90</v>
      </c>
      <c r="V189" s="1">
        <v>60003241</v>
      </c>
      <c r="W189" s="1">
        <v>32767</v>
      </c>
      <c r="X189" s="1">
        <v>10</v>
      </c>
      <c r="Z189" s="1">
        <v>2680591715</v>
      </c>
      <c r="AA189" s="1">
        <v>36</v>
      </c>
      <c r="AB189" s="1">
        <v>22070507</v>
      </c>
      <c r="AC189" s="1">
        <v>22070507</v>
      </c>
      <c r="AD189" s="16">
        <v>64.69</v>
      </c>
      <c r="AE189" s="1">
        <v>1</v>
      </c>
      <c r="AF189" s="1">
        <v>0</v>
      </c>
      <c r="AG189" s="1">
        <v>90</v>
      </c>
      <c r="AH189" s="1">
        <v>60003760</v>
      </c>
      <c r="AI189" s="1">
        <v>32767</v>
      </c>
      <c r="AJ189" s="1">
        <v>11</v>
      </c>
      <c r="AL189" s="1">
        <v>2849558173</v>
      </c>
      <c r="AM189" s="1">
        <v>37</v>
      </c>
      <c r="AN189" s="1">
        <v>4000000</v>
      </c>
      <c r="AO189" s="1">
        <v>3837732</v>
      </c>
      <c r="AP189" s="16">
        <v>125.12</v>
      </c>
      <c r="AQ189" s="1">
        <v>75000</v>
      </c>
      <c r="AR189" s="1">
        <v>1</v>
      </c>
      <c r="AS189" s="1">
        <v>90</v>
      </c>
      <c r="AT189" s="1">
        <v>60003760</v>
      </c>
      <c r="AU189" s="1">
        <v>20</v>
      </c>
      <c r="AV189" s="1">
        <v>0</v>
      </c>
      <c r="AX189" s="1">
        <v>2874173824</v>
      </c>
      <c r="AY189" s="1">
        <v>38</v>
      </c>
      <c r="AZ189" s="1">
        <v>100000</v>
      </c>
      <c r="BA189" s="1">
        <v>100000</v>
      </c>
      <c r="BB189" s="1">
        <v>87</v>
      </c>
      <c r="BC189" s="1">
        <v>1</v>
      </c>
      <c r="BD189" s="1">
        <v>1</v>
      </c>
      <c r="BE189" s="1">
        <v>90</v>
      </c>
      <c r="BF189" s="1">
        <v>60003760</v>
      </c>
      <c r="BG189" s="1">
        <v>1</v>
      </c>
      <c r="BH189" s="1">
        <v>0</v>
      </c>
      <c r="BJ189" s="1">
        <v>2879047005</v>
      </c>
      <c r="BK189" s="1">
        <v>39</v>
      </c>
      <c r="BL189" s="1">
        <v>300000</v>
      </c>
      <c r="BM189" s="1">
        <v>300000</v>
      </c>
      <c r="BN189" s="1">
        <v>744.5</v>
      </c>
      <c r="BO189" s="1">
        <v>1</v>
      </c>
      <c r="BP189" s="1">
        <v>1</v>
      </c>
      <c r="BQ189" s="1">
        <v>90</v>
      </c>
      <c r="BR189" s="1">
        <v>60003760</v>
      </c>
      <c r="BS189" s="1">
        <v>-1</v>
      </c>
      <c r="BT189" s="1">
        <v>0</v>
      </c>
      <c r="BV189" s="1">
        <v>2411892444</v>
      </c>
      <c r="BW189" s="1">
        <v>40</v>
      </c>
      <c r="BX189" s="1">
        <v>10000</v>
      </c>
      <c r="BY189" s="1">
        <v>10000</v>
      </c>
      <c r="BZ189" s="1">
        <v>2302.02</v>
      </c>
      <c r="CA189" s="1">
        <v>1</v>
      </c>
      <c r="CB189" s="1">
        <v>1</v>
      </c>
      <c r="CC189" s="1">
        <v>90</v>
      </c>
      <c r="CD189" s="1">
        <v>60012667</v>
      </c>
      <c r="CE189" s="1">
        <v>0</v>
      </c>
      <c r="CF189" s="1">
        <v>0</v>
      </c>
      <c r="CH189" s="1">
        <v>2414713666</v>
      </c>
      <c r="CI189" s="1">
        <v>29668</v>
      </c>
      <c r="CJ189" s="1">
        <v>1</v>
      </c>
      <c r="CK189" s="1">
        <v>1</v>
      </c>
      <c r="CL189" s="1">
        <v>481004119.13</v>
      </c>
      <c r="CM189" s="1">
        <v>1</v>
      </c>
      <c r="CN189" s="1">
        <v>1</v>
      </c>
      <c r="CO189" s="1">
        <v>3</v>
      </c>
      <c r="CP189" s="1">
        <v>60003760</v>
      </c>
      <c r="CQ189" s="1">
        <v>-1</v>
      </c>
      <c r="CR189" s="1">
        <v>0</v>
      </c>
      <c r="DF189" s="1">
        <v>2414320401</v>
      </c>
      <c r="DG189" s="1">
        <v>17887</v>
      </c>
      <c r="DH189" s="1">
        <v>1000000</v>
      </c>
      <c r="DI189" s="1">
        <v>1000000</v>
      </c>
      <c r="DJ189" s="1">
        <v>900.27</v>
      </c>
      <c r="DK189" s="1">
        <v>1</v>
      </c>
      <c r="DL189" s="1">
        <v>1</v>
      </c>
      <c r="DM189" s="1">
        <v>30</v>
      </c>
      <c r="DN189" s="1">
        <v>60003760</v>
      </c>
      <c r="DO189" s="1">
        <v>-1</v>
      </c>
      <c r="DP189" s="1">
        <v>0</v>
      </c>
      <c r="DR189" s="1">
        <v>2854471967</v>
      </c>
      <c r="DS189" s="1">
        <v>17888</v>
      </c>
      <c r="DT189" s="1">
        <v>500000</v>
      </c>
      <c r="DU189" s="1">
        <v>500000</v>
      </c>
      <c r="DV189" s="1">
        <v>899.69</v>
      </c>
      <c r="DW189" s="1">
        <v>1</v>
      </c>
      <c r="DX189" s="1">
        <v>0</v>
      </c>
      <c r="DY189" s="1">
        <v>90</v>
      </c>
      <c r="DZ189" s="1">
        <v>60001876</v>
      </c>
      <c r="EA189" s="1">
        <v>32767</v>
      </c>
      <c r="EB189" s="1">
        <v>7</v>
      </c>
      <c r="ED189" s="1">
        <v>2868934464</v>
      </c>
      <c r="EE189" s="1">
        <v>16273</v>
      </c>
      <c r="EF189" s="1">
        <v>10000000</v>
      </c>
      <c r="EG189" s="1">
        <v>9434750</v>
      </c>
      <c r="EH189" s="1">
        <v>330.04</v>
      </c>
      <c r="EI189" s="1">
        <v>1</v>
      </c>
      <c r="EJ189" s="1">
        <v>1</v>
      </c>
      <c r="EK189" s="1">
        <v>90</v>
      </c>
      <c r="EL189" s="1">
        <v>60003760</v>
      </c>
      <c r="EM189" s="1">
        <v>-1</v>
      </c>
      <c r="EN189" s="1">
        <v>0</v>
      </c>
      <c r="FZ189"/>
      <c r="GA189"/>
      <c r="GB189"/>
      <c r="GC189"/>
      <c r="GD189"/>
      <c r="GE189"/>
      <c r="GF189"/>
      <c r="GG189"/>
      <c r="GH189"/>
      <c r="GI189"/>
      <c r="GJ189"/>
      <c r="JF189"/>
      <c r="JG189"/>
      <c r="JH189"/>
      <c r="JI189"/>
      <c r="JJ189"/>
      <c r="JK189"/>
      <c r="JL189"/>
      <c r="JM189"/>
      <c r="JN189"/>
      <c r="JO189"/>
      <c r="JP189"/>
      <c r="KD189"/>
      <c r="KE189"/>
      <c r="KF189"/>
      <c r="KG189"/>
      <c r="KH189"/>
      <c r="KI189"/>
      <c r="KJ189"/>
      <c r="KK189"/>
      <c r="KL189"/>
      <c r="KM189"/>
      <c r="KN189"/>
      <c r="LB189"/>
      <c r="LC189"/>
      <c r="LD189"/>
      <c r="LE189"/>
      <c r="LF189"/>
      <c r="LG189"/>
      <c r="LH189"/>
      <c r="LI189"/>
      <c r="LJ189"/>
      <c r="LK189"/>
      <c r="LL189"/>
      <c r="NV189"/>
      <c r="NW189"/>
      <c r="NX189"/>
      <c r="NY189"/>
      <c r="NZ189"/>
      <c r="OA189"/>
      <c r="OB189"/>
      <c r="OC189"/>
      <c r="OD189"/>
      <c r="OE189"/>
      <c r="OF189"/>
      <c r="OH189" s="1">
        <v>2824893369</v>
      </c>
      <c r="OI189" s="1">
        <v>25598</v>
      </c>
      <c r="OJ189" s="1">
        <v>1</v>
      </c>
      <c r="OK189" s="1">
        <v>1</v>
      </c>
      <c r="OL189" s="1">
        <v>14931</v>
      </c>
      <c r="OM189" s="1">
        <v>1</v>
      </c>
      <c r="ON189" s="1">
        <v>1</v>
      </c>
      <c r="OO189" s="1">
        <v>90</v>
      </c>
      <c r="OP189" s="1">
        <v>60003760</v>
      </c>
      <c r="OQ189" s="1">
        <v>-1</v>
      </c>
      <c r="OR189" s="1">
        <v>0</v>
      </c>
      <c r="SX189" s="1">
        <v>2878493108</v>
      </c>
      <c r="SY189" s="1">
        <v>25595</v>
      </c>
      <c r="SZ189" s="1">
        <v>7000</v>
      </c>
      <c r="TA189" s="1">
        <v>6701</v>
      </c>
      <c r="TB189" s="1">
        <v>62150.17</v>
      </c>
      <c r="TC189" s="1">
        <v>1</v>
      </c>
      <c r="TD189" s="1">
        <v>1</v>
      </c>
      <c r="TE189" s="1">
        <v>90</v>
      </c>
      <c r="TF189" s="1">
        <v>60003760</v>
      </c>
      <c r="TG189" s="1">
        <v>-1</v>
      </c>
      <c r="TH189" s="1">
        <v>0</v>
      </c>
    </row>
    <row r="190" spans="2:528" x14ac:dyDescent="0.25">
      <c r="B190" s="1">
        <v>2844870498</v>
      </c>
      <c r="C190" s="1">
        <v>34</v>
      </c>
      <c r="D190" s="1">
        <v>1606800</v>
      </c>
      <c r="E190" s="1">
        <v>1606800</v>
      </c>
      <c r="F190" s="1">
        <v>5.97</v>
      </c>
      <c r="G190" s="1">
        <v>1</v>
      </c>
      <c r="H190" s="1">
        <v>0</v>
      </c>
      <c r="I190" s="1">
        <v>90</v>
      </c>
      <c r="J190" s="1">
        <v>60003760</v>
      </c>
      <c r="K190" s="1">
        <v>32767</v>
      </c>
      <c r="L190" s="1">
        <v>0</v>
      </c>
      <c r="N190" s="1">
        <v>2870734859</v>
      </c>
      <c r="O190" s="1">
        <v>35</v>
      </c>
      <c r="P190" s="1">
        <v>11928</v>
      </c>
      <c r="Q190" s="1">
        <v>11928</v>
      </c>
      <c r="R190" s="1">
        <v>14.8</v>
      </c>
      <c r="S190" s="1">
        <v>1</v>
      </c>
      <c r="T190" s="1">
        <v>0</v>
      </c>
      <c r="U190" s="1">
        <v>90</v>
      </c>
      <c r="V190" s="1">
        <v>60003043</v>
      </c>
      <c r="W190" s="1">
        <v>32767</v>
      </c>
      <c r="X190" s="1">
        <v>10</v>
      </c>
      <c r="Z190" s="1">
        <v>2740714846</v>
      </c>
      <c r="AA190" s="1">
        <v>36</v>
      </c>
      <c r="AB190" s="1">
        <v>51952193</v>
      </c>
      <c r="AC190" s="1">
        <v>51952193</v>
      </c>
      <c r="AD190" s="16">
        <v>61.98</v>
      </c>
      <c r="AE190" s="1">
        <v>1</v>
      </c>
      <c r="AF190" s="1">
        <v>0</v>
      </c>
      <c r="AG190" s="1">
        <v>90</v>
      </c>
      <c r="AH190" s="1">
        <v>60003760</v>
      </c>
      <c r="AI190" s="1">
        <v>32767</v>
      </c>
      <c r="AJ190" s="1">
        <v>11</v>
      </c>
      <c r="AL190" s="1">
        <v>2857120334</v>
      </c>
      <c r="AM190" s="1">
        <v>37</v>
      </c>
      <c r="AN190" s="1">
        <v>500000</v>
      </c>
      <c r="AO190" s="1">
        <v>182651</v>
      </c>
      <c r="AP190" s="16">
        <v>127.69</v>
      </c>
      <c r="AQ190" s="1">
        <v>1</v>
      </c>
      <c r="AR190" s="1">
        <v>1</v>
      </c>
      <c r="AS190" s="1">
        <v>30</v>
      </c>
      <c r="AT190" s="1">
        <v>60003760</v>
      </c>
      <c r="AU190" s="1">
        <v>5</v>
      </c>
      <c r="AV190" s="1">
        <v>0</v>
      </c>
      <c r="AX190" s="1">
        <v>2874402194</v>
      </c>
      <c r="AY190" s="1">
        <v>38</v>
      </c>
      <c r="AZ190" s="1">
        <v>2000000</v>
      </c>
      <c r="BA190" s="1">
        <v>814668</v>
      </c>
      <c r="BB190" s="1">
        <v>790.01</v>
      </c>
      <c r="BC190" s="1">
        <v>1</v>
      </c>
      <c r="BD190" s="1">
        <v>1</v>
      </c>
      <c r="BE190" s="1">
        <v>90</v>
      </c>
      <c r="BF190" s="1">
        <v>60003760</v>
      </c>
      <c r="BG190" s="1">
        <v>3</v>
      </c>
      <c r="BH190" s="1">
        <v>0</v>
      </c>
      <c r="BJ190" s="1">
        <v>2879047285</v>
      </c>
      <c r="BK190" s="1">
        <v>39</v>
      </c>
      <c r="BL190" s="1">
        <v>300000</v>
      </c>
      <c r="BM190" s="1">
        <v>300000</v>
      </c>
      <c r="BN190" s="1">
        <v>744.5</v>
      </c>
      <c r="BO190" s="1">
        <v>1</v>
      </c>
      <c r="BP190" s="1">
        <v>1</v>
      </c>
      <c r="BQ190" s="1">
        <v>90</v>
      </c>
      <c r="BR190" s="1">
        <v>60003760</v>
      </c>
      <c r="BS190" s="1">
        <v>-1</v>
      </c>
      <c r="BT190" s="1">
        <v>0</v>
      </c>
      <c r="BV190" s="1">
        <v>2405023238</v>
      </c>
      <c r="BW190" s="1">
        <v>40</v>
      </c>
      <c r="BX190" s="1">
        <v>25000</v>
      </c>
      <c r="BY190" s="1">
        <v>24064</v>
      </c>
      <c r="BZ190" s="1">
        <v>2456.0700000000002</v>
      </c>
      <c r="CA190" s="1">
        <v>1</v>
      </c>
      <c r="CB190" s="1">
        <v>1</v>
      </c>
      <c r="CC190" s="1">
        <v>30</v>
      </c>
      <c r="CD190" s="1">
        <v>60012667</v>
      </c>
      <c r="CE190" s="1">
        <v>-1</v>
      </c>
      <c r="CF190" s="1">
        <v>0</v>
      </c>
      <c r="CH190" s="1">
        <v>2414606664</v>
      </c>
      <c r="CI190" s="1">
        <v>29668</v>
      </c>
      <c r="CJ190" s="1">
        <v>1</v>
      </c>
      <c r="CK190" s="1">
        <v>1</v>
      </c>
      <c r="CL190" s="1">
        <v>0.01</v>
      </c>
      <c r="CM190" s="1">
        <v>1</v>
      </c>
      <c r="CN190" s="1">
        <v>1</v>
      </c>
      <c r="CO190" s="1">
        <v>90</v>
      </c>
      <c r="CP190" s="1">
        <v>60003760</v>
      </c>
      <c r="CQ190" s="1">
        <v>-1</v>
      </c>
      <c r="CR190" s="1">
        <v>0</v>
      </c>
      <c r="DF190" s="1">
        <v>2415685009</v>
      </c>
      <c r="DG190" s="1">
        <v>17887</v>
      </c>
      <c r="DH190" s="1">
        <v>200000</v>
      </c>
      <c r="DI190" s="1">
        <v>200000</v>
      </c>
      <c r="DJ190" s="1">
        <v>900.38</v>
      </c>
      <c r="DK190" s="1">
        <v>1</v>
      </c>
      <c r="DL190" s="1">
        <v>1</v>
      </c>
      <c r="DM190" s="1">
        <v>90</v>
      </c>
      <c r="DN190" s="1">
        <v>60003760</v>
      </c>
      <c r="DO190" s="1">
        <v>-1</v>
      </c>
      <c r="DP190" s="1">
        <v>0</v>
      </c>
      <c r="DR190" s="1">
        <v>2854472301</v>
      </c>
      <c r="DS190" s="1">
        <v>17888</v>
      </c>
      <c r="DT190" s="1">
        <v>150000</v>
      </c>
      <c r="DU190" s="1">
        <v>150000</v>
      </c>
      <c r="DV190" s="1">
        <v>895.02</v>
      </c>
      <c r="DW190" s="1">
        <v>1</v>
      </c>
      <c r="DX190" s="1">
        <v>0</v>
      </c>
      <c r="DY190" s="1">
        <v>90</v>
      </c>
      <c r="DZ190" s="1">
        <v>60001876</v>
      </c>
      <c r="EA190" s="1">
        <v>32767</v>
      </c>
      <c r="EB190" s="1">
        <v>7</v>
      </c>
      <c r="ED190" s="1">
        <v>2870051868</v>
      </c>
      <c r="EE190" s="1">
        <v>16273</v>
      </c>
      <c r="EF190" s="1">
        <v>5000000</v>
      </c>
      <c r="EG190" s="1">
        <v>4921101</v>
      </c>
      <c r="EH190" s="1">
        <v>305.12</v>
      </c>
      <c r="EI190" s="1">
        <v>1</v>
      </c>
      <c r="EJ190" s="1">
        <v>1</v>
      </c>
      <c r="EK190" s="1">
        <v>90</v>
      </c>
      <c r="EL190" s="1">
        <v>60003760</v>
      </c>
      <c r="EM190" s="1">
        <v>32767</v>
      </c>
      <c r="EN190" s="1">
        <v>0</v>
      </c>
      <c r="FZ190"/>
      <c r="GA190"/>
      <c r="GB190"/>
      <c r="GC190"/>
      <c r="GD190"/>
      <c r="GE190"/>
      <c r="GF190"/>
      <c r="GG190"/>
      <c r="GH190"/>
      <c r="GI190"/>
      <c r="GJ190"/>
      <c r="JF190"/>
      <c r="JG190"/>
      <c r="JH190"/>
      <c r="JI190"/>
      <c r="JJ190"/>
      <c r="JK190"/>
      <c r="JL190"/>
      <c r="JM190"/>
      <c r="JN190"/>
      <c r="JO190"/>
      <c r="JP190"/>
      <c r="KD190"/>
      <c r="KE190"/>
      <c r="KF190"/>
      <c r="KG190"/>
      <c r="KH190"/>
      <c r="KI190"/>
      <c r="KJ190"/>
      <c r="KK190"/>
      <c r="KL190"/>
      <c r="KM190"/>
      <c r="KN190"/>
      <c r="LB190"/>
      <c r="LC190"/>
      <c r="LD190"/>
      <c r="LE190"/>
      <c r="LF190"/>
      <c r="LG190"/>
      <c r="LH190"/>
      <c r="LI190"/>
      <c r="LJ190"/>
      <c r="LK190"/>
      <c r="LL190"/>
      <c r="NV190"/>
      <c r="NW190"/>
      <c r="NX190"/>
      <c r="NY190"/>
      <c r="NZ190"/>
      <c r="OA190"/>
      <c r="OB190"/>
      <c r="OC190"/>
      <c r="OD190"/>
      <c r="OE190"/>
      <c r="OF190"/>
      <c r="OH190" s="1">
        <v>2844839426</v>
      </c>
      <c r="OI190" s="1">
        <v>25598</v>
      </c>
      <c r="OJ190" s="1">
        <v>10000</v>
      </c>
      <c r="OK190" s="1">
        <v>5482</v>
      </c>
      <c r="OL190" s="1">
        <v>129133</v>
      </c>
      <c r="OM190" s="1">
        <v>1</v>
      </c>
      <c r="ON190" s="1">
        <v>1</v>
      </c>
      <c r="OO190" s="1">
        <v>90</v>
      </c>
      <c r="OP190" s="1">
        <v>60003760</v>
      </c>
      <c r="OQ190" s="1">
        <v>-1</v>
      </c>
      <c r="OR190" s="1">
        <v>0</v>
      </c>
      <c r="SX190" s="1">
        <v>2878551960</v>
      </c>
      <c r="SY190" s="1">
        <v>25595</v>
      </c>
      <c r="SZ190" s="1">
        <v>944</v>
      </c>
      <c r="TA190" s="1">
        <v>941</v>
      </c>
      <c r="TB190" s="1">
        <v>62150.18</v>
      </c>
      <c r="TC190" s="1">
        <v>1</v>
      </c>
      <c r="TD190" s="1">
        <v>1</v>
      </c>
      <c r="TE190" s="1">
        <v>90</v>
      </c>
      <c r="TF190" s="1">
        <v>60003760</v>
      </c>
      <c r="TG190" s="1">
        <v>-1</v>
      </c>
      <c r="TH190" s="1">
        <v>0</v>
      </c>
    </row>
    <row r="191" spans="2:528" x14ac:dyDescent="0.25">
      <c r="B191" s="1">
        <v>2852327584</v>
      </c>
      <c r="C191" s="1">
        <v>34</v>
      </c>
      <c r="D191" s="1">
        <v>14922928</v>
      </c>
      <c r="E191" s="1">
        <v>14922928</v>
      </c>
      <c r="F191" s="1">
        <v>6</v>
      </c>
      <c r="G191" s="1">
        <v>1</v>
      </c>
      <c r="H191" s="1">
        <v>0</v>
      </c>
      <c r="I191" s="1">
        <v>90</v>
      </c>
      <c r="J191" s="1">
        <v>60003760</v>
      </c>
      <c r="K191" s="1">
        <v>32767</v>
      </c>
      <c r="L191" s="1">
        <v>0</v>
      </c>
      <c r="N191" s="1">
        <v>2876332440</v>
      </c>
      <c r="O191" s="1">
        <v>35</v>
      </c>
      <c r="P191" s="1">
        <v>54795</v>
      </c>
      <c r="Q191" s="1">
        <v>42867</v>
      </c>
      <c r="R191" s="1">
        <v>14.61</v>
      </c>
      <c r="S191" s="1">
        <v>1</v>
      </c>
      <c r="T191" s="1">
        <v>0</v>
      </c>
      <c r="U191" s="1">
        <v>90</v>
      </c>
      <c r="V191" s="1">
        <v>60003043</v>
      </c>
      <c r="W191" s="1">
        <v>32767</v>
      </c>
      <c r="X191" s="1">
        <v>10</v>
      </c>
      <c r="Z191" s="1">
        <v>2736263808</v>
      </c>
      <c r="AA191" s="1">
        <v>36</v>
      </c>
      <c r="AB191" s="1">
        <v>119451703</v>
      </c>
      <c r="AC191" s="1">
        <v>119451703</v>
      </c>
      <c r="AD191" s="16">
        <v>63.63</v>
      </c>
      <c r="AE191" s="1">
        <v>1</v>
      </c>
      <c r="AF191" s="1">
        <v>0</v>
      </c>
      <c r="AG191" s="1">
        <v>90</v>
      </c>
      <c r="AH191" s="1">
        <v>60003760</v>
      </c>
      <c r="AI191" s="1">
        <v>32767</v>
      </c>
      <c r="AJ191" s="1">
        <v>11</v>
      </c>
      <c r="AL191" s="1">
        <v>2366884961</v>
      </c>
      <c r="AM191" s="1">
        <v>37</v>
      </c>
      <c r="AN191" s="1">
        <v>1000000</v>
      </c>
      <c r="AO191" s="1">
        <v>695080</v>
      </c>
      <c r="AP191" s="16">
        <v>59.79</v>
      </c>
      <c r="AQ191" s="1">
        <v>1</v>
      </c>
      <c r="AR191" s="1">
        <v>1</v>
      </c>
      <c r="AS191" s="1">
        <v>90</v>
      </c>
      <c r="AT191" s="1">
        <v>60003760</v>
      </c>
      <c r="AU191" s="1">
        <v>-1</v>
      </c>
      <c r="AV191" s="1">
        <v>0</v>
      </c>
      <c r="AX191" s="1">
        <v>2875758141</v>
      </c>
      <c r="AY191" s="1">
        <v>38</v>
      </c>
      <c r="AZ191" s="1">
        <v>500000</v>
      </c>
      <c r="BA191" s="1">
        <v>59096</v>
      </c>
      <c r="BB191" s="1">
        <v>801.76</v>
      </c>
      <c r="BC191" s="1">
        <v>1</v>
      </c>
      <c r="BD191" s="1">
        <v>1</v>
      </c>
      <c r="BE191" s="1">
        <v>90</v>
      </c>
      <c r="BF191" s="1">
        <v>60003466</v>
      </c>
      <c r="BG191" s="1">
        <v>-1</v>
      </c>
      <c r="BH191" s="1">
        <v>0</v>
      </c>
      <c r="BJ191" s="1">
        <v>2879091388</v>
      </c>
      <c r="BK191" s="1">
        <v>39</v>
      </c>
      <c r="BL191" s="1">
        <v>170000</v>
      </c>
      <c r="BM191" s="1">
        <v>162792</v>
      </c>
      <c r="BN191" s="1">
        <v>750.06</v>
      </c>
      <c r="BO191" s="1">
        <v>1</v>
      </c>
      <c r="BP191" s="1">
        <v>1</v>
      </c>
      <c r="BQ191" s="1">
        <v>90</v>
      </c>
      <c r="BR191" s="1">
        <v>60003760</v>
      </c>
      <c r="BS191" s="1">
        <v>-1</v>
      </c>
      <c r="BT191" s="1">
        <v>0</v>
      </c>
      <c r="BV191" s="1">
        <v>2412207379</v>
      </c>
      <c r="BW191" s="1">
        <v>40</v>
      </c>
      <c r="BX191" s="1">
        <v>40000</v>
      </c>
      <c r="BY191" s="1">
        <v>38968</v>
      </c>
      <c r="BZ191" s="1">
        <v>2580</v>
      </c>
      <c r="CA191" s="1">
        <v>1</v>
      </c>
      <c r="CB191" s="1">
        <v>1</v>
      </c>
      <c r="CC191" s="1">
        <v>90</v>
      </c>
      <c r="CD191" s="1">
        <v>60004474</v>
      </c>
      <c r="CE191" s="1">
        <v>-1</v>
      </c>
      <c r="CF191" s="1">
        <v>0</v>
      </c>
      <c r="CH191" s="1">
        <v>2414755828</v>
      </c>
      <c r="CI191" s="1">
        <v>29668</v>
      </c>
      <c r="CJ191" s="1">
        <v>9</v>
      </c>
      <c r="CK191" s="1">
        <v>6</v>
      </c>
      <c r="CL191" s="1">
        <v>481004131</v>
      </c>
      <c r="CM191" s="1">
        <v>1</v>
      </c>
      <c r="CN191" s="1">
        <v>1</v>
      </c>
      <c r="CO191" s="1">
        <v>1</v>
      </c>
      <c r="CP191" s="1">
        <v>60003760</v>
      </c>
      <c r="CQ191" s="1">
        <v>-1</v>
      </c>
      <c r="CR191" s="1">
        <v>0</v>
      </c>
      <c r="DF191" s="1">
        <v>2415689524</v>
      </c>
      <c r="DG191" s="1">
        <v>17887</v>
      </c>
      <c r="DH191" s="1">
        <v>200000</v>
      </c>
      <c r="DI191" s="1">
        <v>200000</v>
      </c>
      <c r="DJ191" s="1">
        <v>900.61</v>
      </c>
      <c r="DK191" s="1">
        <v>1</v>
      </c>
      <c r="DL191" s="1">
        <v>1</v>
      </c>
      <c r="DM191" s="1">
        <v>90</v>
      </c>
      <c r="DN191" s="1">
        <v>60003760</v>
      </c>
      <c r="DO191" s="1">
        <v>-1</v>
      </c>
      <c r="DP191" s="1">
        <v>0</v>
      </c>
      <c r="DR191" s="1">
        <v>2854441107</v>
      </c>
      <c r="DS191" s="1">
        <v>17888</v>
      </c>
      <c r="DT191" s="1">
        <v>173912</v>
      </c>
      <c r="DU191" s="1">
        <v>153912</v>
      </c>
      <c r="DV191" s="1">
        <v>805.99</v>
      </c>
      <c r="DW191" s="1">
        <v>1</v>
      </c>
      <c r="DX191" s="1">
        <v>0</v>
      </c>
      <c r="DY191" s="1">
        <v>90</v>
      </c>
      <c r="DZ191" s="1">
        <v>60003208</v>
      </c>
      <c r="EA191" s="1">
        <v>32767</v>
      </c>
      <c r="EB191" s="1">
        <v>7</v>
      </c>
      <c r="ED191" s="1">
        <v>2865834741</v>
      </c>
      <c r="EE191" s="1">
        <v>16273</v>
      </c>
      <c r="EF191" s="1">
        <v>5000000</v>
      </c>
      <c r="EG191" s="1">
        <v>5000000</v>
      </c>
      <c r="EH191" s="1">
        <v>325</v>
      </c>
      <c r="EI191" s="1">
        <v>1</v>
      </c>
      <c r="EJ191" s="1">
        <v>1</v>
      </c>
      <c r="EK191" s="1">
        <v>90</v>
      </c>
      <c r="EL191" s="1">
        <v>60003760</v>
      </c>
      <c r="EM191" s="1">
        <v>0</v>
      </c>
      <c r="EN191" s="1">
        <v>0</v>
      </c>
      <c r="FZ191"/>
      <c r="GA191"/>
      <c r="GB191"/>
      <c r="GC191"/>
      <c r="GD191"/>
      <c r="GE191"/>
      <c r="GF191"/>
      <c r="GG191"/>
      <c r="GH191"/>
      <c r="GI191"/>
      <c r="GJ191"/>
      <c r="JF191"/>
      <c r="JG191"/>
      <c r="JH191"/>
      <c r="JI191"/>
      <c r="JJ191"/>
      <c r="JK191"/>
      <c r="JL191"/>
      <c r="JM191"/>
      <c r="JN191"/>
      <c r="JO191"/>
      <c r="JP191"/>
      <c r="KD191"/>
      <c r="KE191"/>
      <c r="KF191"/>
      <c r="KG191"/>
      <c r="KH191"/>
      <c r="KI191"/>
      <c r="KJ191"/>
      <c r="KK191"/>
      <c r="KL191"/>
      <c r="KM191"/>
      <c r="KN191"/>
      <c r="LB191"/>
      <c r="LC191"/>
      <c r="LD191"/>
      <c r="LE191"/>
      <c r="LF191"/>
      <c r="LG191"/>
      <c r="LH191"/>
      <c r="LI191"/>
      <c r="LJ191"/>
      <c r="LK191"/>
      <c r="LL191"/>
      <c r="NV191"/>
      <c r="NW191"/>
      <c r="NX191"/>
      <c r="NY191"/>
      <c r="NZ191"/>
      <c r="OA191"/>
      <c r="OB191"/>
      <c r="OC191"/>
      <c r="OD191"/>
      <c r="OE191"/>
      <c r="OF191"/>
      <c r="OH191" s="1">
        <v>2845278177</v>
      </c>
      <c r="OI191" s="1">
        <v>25598</v>
      </c>
      <c r="OJ191" s="1">
        <v>25000</v>
      </c>
      <c r="OK191" s="1">
        <v>25000</v>
      </c>
      <c r="OL191" s="1">
        <v>120302</v>
      </c>
      <c r="OM191" s="1">
        <v>1</v>
      </c>
      <c r="ON191" s="1">
        <v>1</v>
      </c>
      <c r="OO191" s="1">
        <v>90</v>
      </c>
      <c r="OP191" s="1">
        <v>60003760</v>
      </c>
      <c r="OQ191" s="1">
        <v>-1</v>
      </c>
      <c r="OR191" s="1">
        <v>0</v>
      </c>
      <c r="SX191" s="1">
        <v>2878603320</v>
      </c>
      <c r="SY191" s="1">
        <v>25595</v>
      </c>
      <c r="SZ191" s="1">
        <v>2000</v>
      </c>
      <c r="TA191" s="1">
        <v>1919</v>
      </c>
      <c r="TB191" s="1">
        <v>62400.02</v>
      </c>
      <c r="TC191" s="1">
        <v>1</v>
      </c>
      <c r="TD191" s="1">
        <v>1</v>
      </c>
      <c r="TE191" s="1">
        <v>90</v>
      </c>
      <c r="TF191" s="1">
        <v>60003760</v>
      </c>
      <c r="TG191" s="1">
        <v>-1</v>
      </c>
      <c r="TH191" s="1">
        <v>0</v>
      </c>
    </row>
    <row r="192" spans="2:528" x14ac:dyDescent="0.25">
      <c r="B192" s="1">
        <v>2852284409</v>
      </c>
      <c r="C192" s="1">
        <v>34</v>
      </c>
      <c r="D192" s="1">
        <v>70538150</v>
      </c>
      <c r="E192" s="1">
        <v>70538150</v>
      </c>
      <c r="F192" s="1">
        <v>5.95</v>
      </c>
      <c r="G192" s="1">
        <v>1</v>
      </c>
      <c r="H192" s="1">
        <v>0</v>
      </c>
      <c r="I192" s="1">
        <v>30</v>
      </c>
      <c r="J192" s="1">
        <v>60003760</v>
      </c>
      <c r="K192" s="1">
        <v>32767</v>
      </c>
      <c r="L192" s="1">
        <v>0</v>
      </c>
      <c r="N192" s="1">
        <v>2815741641</v>
      </c>
      <c r="O192" s="1">
        <v>35</v>
      </c>
      <c r="P192" s="1">
        <v>511269</v>
      </c>
      <c r="Q192" s="1">
        <v>391269</v>
      </c>
      <c r="R192" s="1">
        <v>15.82</v>
      </c>
      <c r="S192" s="1">
        <v>1</v>
      </c>
      <c r="T192" s="1">
        <v>0</v>
      </c>
      <c r="U192" s="1">
        <v>90</v>
      </c>
      <c r="V192" s="1">
        <v>60010201</v>
      </c>
      <c r="W192" s="1">
        <v>32767</v>
      </c>
      <c r="X192" s="1">
        <v>11</v>
      </c>
      <c r="Z192" s="1">
        <v>2736757707</v>
      </c>
      <c r="AA192" s="1">
        <v>36</v>
      </c>
      <c r="AB192" s="1">
        <v>25754437</v>
      </c>
      <c r="AC192" s="1">
        <v>25754437</v>
      </c>
      <c r="AD192" s="16">
        <v>62.38</v>
      </c>
      <c r="AE192" s="1">
        <v>1</v>
      </c>
      <c r="AF192" s="1">
        <v>0</v>
      </c>
      <c r="AG192" s="1">
        <v>90</v>
      </c>
      <c r="AH192" s="1">
        <v>60003760</v>
      </c>
      <c r="AI192" s="1">
        <v>32767</v>
      </c>
      <c r="AJ192" s="1">
        <v>11</v>
      </c>
      <c r="AL192" s="1">
        <v>2373322533</v>
      </c>
      <c r="AM192" s="1">
        <v>37</v>
      </c>
      <c r="AN192" s="1">
        <v>1000000</v>
      </c>
      <c r="AO192" s="1">
        <v>1000000</v>
      </c>
      <c r="AP192" s="16">
        <v>59</v>
      </c>
      <c r="AQ192" s="1">
        <v>1</v>
      </c>
      <c r="AR192" s="1">
        <v>1</v>
      </c>
      <c r="AS192" s="1">
        <v>90</v>
      </c>
      <c r="AT192" s="1">
        <v>60003760</v>
      </c>
      <c r="AU192" s="1">
        <v>-1</v>
      </c>
      <c r="AV192" s="1">
        <v>0</v>
      </c>
      <c r="AX192" s="1">
        <v>2878224798</v>
      </c>
      <c r="AY192" s="1">
        <v>38</v>
      </c>
      <c r="AZ192" s="1">
        <v>1000000</v>
      </c>
      <c r="BA192" s="1">
        <v>1000000</v>
      </c>
      <c r="BB192" s="1">
        <v>730.01</v>
      </c>
      <c r="BC192" s="1">
        <v>25000</v>
      </c>
      <c r="BD192" s="1">
        <v>1</v>
      </c>
      <c r="BE192" s="1">
        <v>90</v>
      </c>
      <c r="BF192" s="1">
        <v>60003760</v>
      </c>
      <c r="BG192" s="1">
        <v>32767</v>
      </c>
      <c r="BH192" s="1">
        <v>0</v>
      </c>
      <c r="BJ192" s="1">
        <v>2879116483</v>
      </c>
      <c r="BK192" s="1">
        <v>39</v>
      </c>
      <c r="BL192" s="1">
        <v>26498</v>
      </c>
      <c r="BM192" s="1">
        <v>26498</v>
      </c>
      <c r="BN192" s="1">
        <v>750.02</v>
      </c>
      <c r="BO192" s="1">
        <v>1</v>
      </c>
      <c r="BP192" s="1">
        <v>1</v>
      </c>
      <c r="BQ192" s="1">
        <v>90</v>
      </c>
      <c r="BR192" s="1">
        <v>60003760</v>
      </c>
      <c r="BS192" s="1">
        <v>-1</v>
      </c>
      <c r="BT192" s="1">
        <v>0</v>
      </c>
      <c r="BV192" s="1">
        <v>2404481240</v>
      </c>
      <c r="BW192" s="1">
        <v>40</v>
      </c>
      <c r="BX192" s="1">
        <v>20000</v>
      </c>
      <c r="BY192" s="1">
        <v>20000</v>
      </c>
      <c r="BZ192" s="1">
        <v>2550</v>
      </c>
      <c r="CA192" s="1">
        <v>1</v>
      </c>
      <c r="CB192" s="1">
        <v>1</v>
      </c>
      <c r="CC192" s="1">
        <v>90</v>
      </c>
      <c r="CD192" s="1">
        <v>60004474</v>
      </c>
      <c r="CE192" s="1">
        <v>-1</v>
      </c>
      <c r="CF192" s="1">
        <v>0</v>
      </c>
      <c r="CH192" s="1">
        <v>2414479604</v>
      </c>
      <c r="CI192" s="1">
        <v>29668</v>
      </c>
      <c r="CJ192" s="1">
        <v>1</v>
      </c>
      <c r="CK192" s="1">
        <v>1</v>
      </c>
      <c r="CL192" s="1">
        <v>481000058.00999999</v>
      </c>
      <c r="CM192" s="1">
        <v>1</v>
      </c>
      <c r="CN192" s="1">
        <v>1</v>
      </c>
      <c r="CO192" s="1">
        <v>90</v>
      </c>
      <c r="CP192" s="1">
        <v>60003760</v>
      </c>
      <c r="CQ192" s="1">
        <v>-1</v>
      </c>
      <c r="CR192" s="1">
        <v>0</v>
      </c>
      <c r="DF192" s="1">
        <v>2415151397</v>
      </c>
      <c r="DG192" s="1">
        <v>17887</v>
      </c>
      <c r="DH192" s="1">
        <v>100000</v>
      </c>
      <c r="DI192" s="1">
        <v>100000</v>
      </c>
      <c r="DJ192" s="1">
        <v>900.66</v>
      </c>
      <c r="DK192" s="1">
        <v>1</v>
      </c>
      <c r="DL192" s="1">
        <v>1</v>
      </c>
      <c r="DM192" s="1">
        <v>90</v>
      </c>
      <c r="DN192" s="1">
        <v>60003760</v>
      </c>
      <c r="DO192" s="1">
        <v>0</v>
      </c>
      <c r="DP192" s="1">
        <v>0</v>
      </c>
      <c r="DR192" s="1">
        <v>2854474976</v>
      </c>
      <c r="DS192" s="1">
        <v>17888</v>
      </c>
      <c r="DT192" s="1">
        <v>147842</v>
      </c>
      <c r="DU192" s="1">
        <v>127842</v>
      </c>
      <c r="DV192" s="1">
        <v>888.88</v>
      </c>
      <c r="DW192" s="1">
        <v>1</v>
      </c>
      <c r="DX192" s="1">
        <v>0</v>
      </c>
      <c r="DY192" s="1">
        <v>90</v>
      </c>
      <c r="DZ192" s="1">
        <v>60001876</v>
      </c>
      <c r="EA192" s="1">
        <v>32767</v>
      </c>
      <c r="EB192" s="1">
        <v>7</v>
      </c>
      <c r="ED192" s="1">
        <v>2875548838</v>
      </c>
      <c r="EE192" s="1">
        <v>16273</v>
      </c>
      <c r="EF192" s="1">
        <v>5000000</v>
      </c>
      <c r="EG192" s="1">
        <v>4999746</v>
      </c>
      <c r="EH192" s="1">
        <v>340.33</v>
      </c>
      <c r="EI192" s="1">
        <v>1</v>
      </c>
      <c r="EJ192" s="1">
        <v>1</v>
      </c>
      <c r="EK192" s="1">
        <v>90</v>
      </c>
      <c r="EL192" s="1">
        <v>60003760</v>
      </c>
      <c r="EM192" s="1">
        <v>-1</v>
      </c>
      <c r="EN192" s="1">
        <v>0</v>
      </c>
      <c r="FZ192"/>
      <c r="GA192"/>
      <c r="GB192"/>
      <c r="GC192"/>
      <c r="GD192"/>
      <c r="GE192"/>
      <c r="GF192"/>
      <c r="GG192"/>
      <c r="GH192"/>
      <c r="GI192"/>
      <c r="GJ192"/>
      <c r="JF192"/>
      <c r="JG192"/>
      <c r="JH192"/>
      <c r="JI192"/>
      <c r="JJ192"/>
      <c r="JK192"/>
      <c r="JL192"/>
      <c r="JM192"/>
      <c r="JN192"/>
      <c r="JO192"/>
      <c r="JP192"/>
      <c r="KD192"/>
      <c r="KE192"/>
      <c r="KF192"/>
      <c r="KG192"/>
      <c r="KH192"/>
      <c r="KI192"/>
      <c r="KJ192"/>
      <c r="KK192"/>
      <c r="KL192"/>
      <c r="KM192"/>
      <c r="KN192"/>
      <c r="LB192"/>
      <c r="LC192"/>
      <c r="LD192"/>
      <c r="LE192"/>
      <c r="LF192"/>
      <c r="LG192"/>
      <c r="LH192"/>
      <c r="LI192"/>
      <c r="LJ192"/>
      <c r="LK192"/>
      <c r="LL192"/>
      <c r="NV192"/>
      <c r="NW192"/>
      <c r="NX192"/>
      <c r="NY192"/>
      <c r="NZ192"/>
      <c r="OA192"/>
      <c r="OB192"/>
      <c r="OC192"/>
      <c r="OD192"/>
      <c r="OE192"/>
      <c r="OF192"/>
      <c r="OH192" s="1">
        <v>2857603587</v>
      </c>
      <c r="OI192" s="1">
        <v>25598</v>
      </c>
      <c r="OJ192" s="1">
        <v>3000</v>
      </c>
      <c r="OK192" s="1">
        <v>1952</v>
      </c>
      <c r="OL192" s="1">
        <v>125100</v>
      </c>
      <c r="OM192" s="1">
        <v>100</v>
      </c>
      <c r="ON192" s="1">
        <v>1</v>
      </c>
      <c r="OO192" s="1">
        <v>90</v>
      </c>
      <c r="OP192" s="1">
        <v>60003760</v>
      </c>
      <c r="OQ192" s="1">
        <v>32767</v>
      </c>
      <c r="OR192" s="1">
        <v>0</v>
      </c>
      <c r="SX192" s="1">
        <v>2878733995</v>
      </c>
      <c r="SY192" s="1">
        <v>25595</v>
      </c>
      <c r="SZ192" s="1">
        <v>5000</v>
      </c>
      <c r="TA192" s="1">
        <v>4999</v>
      </c>
      <c r="TB192" s="1">
        <v>62400.5</v>
      </c>
      <c r="TC192" s="1">
        <v>1</v>
      </c>
      <c r="TD192" s="1">
        <v>1</v>
      </c>
      <c r="TE192" s="1">
        <v>30</v>
      </c>
      <c r="TF192" s="1">
        <v>60003760</v>
      </c>
      <c r="TG192" s="1">
        <v>-1</v>
      </c>
      <c r="TH192" s="1">
        <v>0</v>
      </c>
    </row>
    <row r="193" spans="2:528" x14ac:dyDescent="0.25">
      <c r="B193" s="1">
        <v>2850775572</v>
      </c>
      <c r="C193" s="1">
        <v>34</v>
      </c>
      <c r="D193" s="1">
        <v>3325</v>
      </c>
      <c r="E193" s="1">
        <v>3325</v>
      </c>
      <c r="F193" s="1">
        <v>6.21</v>
      </c>
      <c r="G193" s="1">
        <v>1</v>
      </c>
      <c r="H193" s="1">
        <v>0</v>
      </c>
      <c r="I193" s="1">
        <v>30</v>
      </c>
      <c r="J193" s="1">
        <v>60003760</v>
      </c>
      <c r="K193" s="1">
        <v>32767</v>
      </c>
      <c r="L193" s="1">
        <v>0</v>
      </c>
      <c r="N193" s="1">
        <v>2871856386</v>
      </c>
      <c r="O193" s="1">
        <v>35</v>
      </c>
      <c r="P193" s="1">
        <v>419057</v>
      </c>
      <c r="Q193" s="1">
        <v>419057</v>
      </c>
      <c r="R193" s="1">
        <v>15</v>
      </c>
      <c r="S193" s="1">
        <v>1</v>
      </c>
      <c r="T193" s="1">
        <v>0</v>
      </c>
      <c r="U193" s="1">
        <v>90</v>
      </c>
      <c r="V193" s="1">
        <v>60010201</v>
      </c>
      <c r="W193" s="1">
        <v>32767</v>
      </c>
      <c r="X193" s="1">
        <v>11</v>
      </c>
      <c r="Z193" s="1">
        <v>2724814366</v>
      </c>
      <c r="AA193" s="1">
        <v>36</v>
      </c>
      <c r="AB193" s="1">
        <v>23185584</v>
      </c>
      <c r="AC193" s="1">
        <v>23185584</v>
      </c>
      <c r="AD193" s="16">
        <v>63.58</v>
      </c>
      <c r="AE193" s="1">
        <v>1</v>
      </c>
      <c r="AF193" s="1">
        <v>0</v>
      </c>
      <c r="AG193" s="1">
        <v>90</v>
      </c>
      <c r="AH193" s="1">
        <v>60003760</v>
      </c>
      <c r="AI193" s="1">
        <v>32767</v>
      </c>
      <c r="AJ193" s="1">
        <v>11</v>
      </c>
      <c r="AL193" s="1">
        <v>2226238669</v>
      </c>
      <c r="AM193" s="1">
        <v>37</v>
      </c>
      <c r="AN193" s="1">
        <v>2000000</v>
      </c>
      <c r="AO193" s="1">
        <v>2000000</v>
      </c>
      <c r="AP193" s="16">
        <v>53.42</v>
      </c>
      <c r="AQ193" s="1">
        <v>1</v>
      </c>
      <c r="AR193" s="1">
        <v>1</v>
      </c>
      <c r="AS193" s="1">
        <v>90</v>
      </c>
      <c r="AT193" s="1">
        <v>60003760</v>
      </c>
      <c r="AU193" s="1">
        <v>-1</v>
      </c>
      <c r="AV193" s="1">
        <v>0</v>
      </c>
      <c r="AX193" s="1">
        <v>2877411797</v>
      </c>
      <c r="AY193" s="1">
        <v>38</v>
      </c>
      <c r="AZ193" s="1">
        <v>2000000</v>
      </c>
      <c r="BA193" s="1">
        <v>1964920</v>
      </c>
      <c r="BB193" s="1">
        <v>744.57</v>
      </c>
      <c r="BC193" s="1">
        <v>1</v>
      </c>
      <c r="BD193" s="1">
        <v>1</v>
      </c>
      <c r="BE193" s="1">
        <v>90</v>
      </c>
      <c r="BF193" s="1">
        <v>60003760</v>
      </c>
      <c r="BG193" s="1">
        <v>4</v>
      </c>
      <c r="BH193" s="1">
        <v>0</v>
      </c>
      <c r="BJ193" s="1">
        <v>2879129466</v>
      </c>
      <c r="BK193" s="1">
        <v>39</v>
      </c>
      <c r="BL193" s="1">
        <v>40000</v>
      </c>
      <c r="BM193" s="1">
        <v>39994</v>
      </c>
      <c r="BN193" s="1">
        <v>750.07</v>
      </c>
      <c r="BO193" s="1">
        <v>1</v>
      </c>
      <c r="BP193" s="1">
        <v>1</v>
      </c>
      <c r="BQ193" s="1">
        <v>30</v>
      </c>
      <c r="BR193" s="1">
        <v>60003760</v>
      </c>
      <c r="BS193" s="1">
        <v>-1</v>
      </c>
      <c r="BT193" s="1">
        <v>0</v>
      </c>
      <c r="BV193" s="1">
        <v>2410571394</v>
      </c>
      <c r="BW193" s="1">
        <v>40</v>
      </c>
      <c r="BX193" s="1">
        <v>10000</v>
      </c>
      <c r="BY193" s="1">
        <v>9957</v>
      </c>
      <c r="BZ193" s="1">
        <v>2561</v>
      </c>
      <c r="CA193" s="1">
        <v>1</v>
      </c>
      <c r="CB193" s="1">
        <v>1</v>
      </c>
      <c r="CC193" s="1">
        <v>90</v>
      </c>
      <c r="CD193" s="1">
        <v>60003172</v>
      </c>
      <c r="CE193" s="1">
        <v>-1</v>
      </c>
      <c r="CF193" s="1">
        <v>0</v>
      </c>
      <c r="CH193" s="1">
        <v>2414479361</v>
      </c>
      <c r="CI193" s="1">
        <v>29668</v>
      </c>
      <c r="CJ193" s="1">
        <v>3</v>
      </c>
      <c r="CK193" s="1">
        <v>2</v>
      </c>
      <c r="CL193" s="1">
        <v>481001162</v>
      </c>
      <c r="CM193" s="1">
        <v>1</v>
      </c>
      <c r="CN193" s="1">
        <v>1</v>
      </c>
      <c r="CO193" s="1">
        <v>90</v>
      </c>
      <c r="CP193" s="1">
        <v>60003760</v>
      </c>
      <c r="CQ193" s="1">
        <v>-1</v>
      </c>
      <c r="CR193" s="1">
        <v>0</v>
      </c>
      <c r="DF193" s="1">
        <v>2415300501</v>
      </c>
      <c r="DG193" s="1">
        <v>17887</v>
      </c>
      <c r="DH193" s="1">
        <v>1300000</v>
      </c>
      <c r="DI193" s="1">
        <v>1300000</v>
      </c>
      <c r="DJ193" s="1">
        <v>900.81</v>
      </c>
      <c r="DK193" s="1">
        <v>1</v>
      </c>
      <c r="DL193" s="1">
        <v>1</v>
      </c>
      <c r="DM193" s="1">
        <v>90</v>
      </c>
      <c r="DN193" s="1">
        <v>60003760</v>
      </c>
      <c r="DO193" s="1">
        <v>-1</v>
      </c>
      <c r="DP193" s="1">
        <v>0</v>
      </c>
      <c r="DR193" s="1">
        <v>2646313260</v>
      </c>
      <c r="DS193" s="1">
        <v>17888</v>
      </c>
      <c r="DT193" s="1">
        <v>250000</v>
      </c>
      <c r="DU193" s="1">
        <v>111596</v>
      </c>
      <c r="DV193" s="1">
        <v>1392</v>
      </c>
      <c r="DW193" s="1">
        <v>1</v>
      </c>
      <c r="DX193" s="1">
        <v>0</v>
      </c>
      <c r="DY193" s="1">
        <v>90</v>
      </c>
      <c r="DZ193" s="1">
        <v>60001876</v>
      </c>
      <c r="EA193" s="1">
        <v>32767</v>
      </c>
      <c r="EB193" s="1">
        <v>7</v>
      </c>
      <c r="ED193" s="1">
        <v>2875680271</v>
      </c>
      <c r="EE193" s="1">
        <v>16273</v>
      </c>
      <c r="EF193" s="1">
        <v>5000000</v>
      </c>
      <c r="EG193" s="1">
        <v>1884602</v>
      </c>
      <c r="EH193" s="1">
        <v>340.56</v>
      </c>
      <c r="EI193" s="1">
        <v>1</v>
      </c>
      <c r="EJ193" s="1">
        <v>1</v>
      </c>
      <c r="EK193" s="1">
        <v>90</v>
      </c>
      <c r="EL193" s="1">
        <v>60003760</v>
      </c>
      <c r="EM193" s="1">
        <v>-1</v>
      </c>
      <c r="EN193" s="1">
        <v>0</v>
      </c>
      <c r="FZ193"/>
      <c r="GA193"/>
      <c r="GB193"/>
      <c r="GC193"/>
      <c r="GD193"/>
      <c r="GE193"/>
      <c r="GF193"/>
      <c r="GG193"/>
      <c r="GH193"/>
      <c r="GI193"/>
      <c r="GJ193"/>
      <c r="JF193"/>
      <c r="JG193"/>
      <c r="JH193"/>
      <c r="JI193"/>
      <c r="JJ193"/>
      <c r="JK193"/>
      <c r="JL193"/>
      <c r="JM193"/>
      <c r="JN193"/>
      <c r="JO193"/>
      <c r="JP193"/>
      <c r="KD193"/>
      <c r="KE193"/>
      <c r="KF193"/>
      <c r="KG193"/>
      <c r="KH193"/>
      <c r="KI193"/>
      <c r="KJ193"/>
      <c r="KK193"/>
      <c r="KL193"/>
      <c r="KM193"/>
      <c r="KN193"/>
      <c r="LB193"/>
      <c r="LC193"/>
      <c r="LD193"/>
      <c r="LE193"/>
      <c r="LF193"/>
      <c r="LG193"/>
      <c r="LH193"/>
      <c r="LI193"/>
      <c r="LJ193"/>
      <c r="LK193"/>
      <c r="LL193"/>
      <c r="NV193"/>
      <c r="NW193"/>
      <c r="NX193"/>
      <c r="NY193"/>
      <c r="NZ193"/>
      <c r="OA193"/>
      <c r="OB193"/>
      <c r="OC193"/>
      <c r="OD193"/>
      <c r="OE193"/>
      <c r="OF193"/>
      <c r="OH193" s="1">
        <v>2856955806</v>
      </c>
      <c r="OI193" s="1">
        <v>25598</v>
      </c>
      <c r="OJ193" s="1">
        <v>3000</v>
      </c>
      <c r="OK193" s="1">
        <v>1734</v>
      </c>
      <c r="OL193" s="1">
        <v>129310</v>
      </c>
      <c r="OM193" s="1">
        <v>1</v>
      </c>
      <c r="ON193" s="1">
        <v>1</v>
      </c>
      <c r="OO193" s="1">
        <v>90</v>
      </c>
      <c r="OP193" s="1">
        <v>60003760</v>
      </c>
      <c r="OQ193" s="1">
        <v>-1</v>
      </c>
      <c r="OR193" s="1">
        <v>0</v>
      </c>
      <c r="SX193" s="1">
        <v>2878745999</v>
      </c>
      <c r="SY193" s="1">
        <v>25595</v>
      </c>
      <c r="SZ193" s="1">
        <v>1191</v>
      </c>
      <c r="TA193" s="1">
        <v>913</v>
      </c>
      <c r="TB193" s="1">
        <v>62400.97</v>
      </c>
      <c r="TC193" s="1">
        <v>1</v>
      </c>
      <c r="TD193" s="1">
        <v>1</v>
      </c>
      <c r="TE193" s="1">
        <v>90</v>
      </c>
      <c r="TF193" s="1">
        <v>60003760</v>
      </c>
      <c r="TG193" s="1">
        <v>-1</v>
      </c>
      <c r="TH193" s="1">
        <v>0</v>
      </c>
    </row>
    <row r="194" spans="2:528" x14ac:dyDescent="0.25">
      <c r="B194" s="1">
        <v>2849970673</v>
      </c>
      <c r="C194" s="1">
        <v>34</v>
      </c>
      <c r="D194" s="1">
        <v>6</v>
      </c>
      <c r="E194" s="1">
        <v>6</v>
      </c>
      <c r="F194" s="1">
        <v>6.5</v>
      </c>
      <c r="G194" s="1">
        <v>1</v>
      </c>
      <c r="H194" s="1">
        <v>0</v>
      </c>
      <c r="I194" s="1">
        <v>90</v>
      </c>
      <c r="J194" s="1">
        <v>60003760</v>
      </c>
      <c r="K194" s="1">
        <v>32767</v>
      </c>
      <c r="L194" s="1">
        <v>0</v>
      </c>
      <c r="N194" s="1">
        <v>2863840008</v>
      </c>
      <c r="O194" s="1">
        <v>35</v>
      </c>
      <c r="P194" s="1">
        <v>2260983</v>
      </c>
      <c r="Q194" s="1">
        <v>2260983</v>
      </c>
      <c r="R194" s="1">
        <v>15.5</v>
      </c>
      <c r="S194" s="1">
        <v>1</v>
      </c>
      <c r="T194" s="1">
        <v>0</v>
      </c>
      <c r="U194" s="1">
        <v>90</v>
      </c>
      <c r="V194" s="1">
        <v>60014686</v>
      </c>
      <c r="W194" s="1">
        <v>32767</v>
      </c>
      <c r="X194" s="1">
        <v>6</v>
      </c>
      <c r="Z194" s="1">
        <v>2727301718</v>
      </c>
      <c r="AA194" s="1">
        <v>36</v>
      </c>
      <c r="AB194" s="1">
        <v>31445123</v>
      </c>
      <c r="AC194" s="1">
        <v>31445123</v>
      </c>
      <c r="AD194" s="16">
        <v>63.56</v>
      </c>
      <c r="AE194" s="1">
        <v>1</v>
      </c>
      <c r="AF194" s="1">
        <v>0</v>
      </c>
      <c r="AG194" s="1">
        <v>90</v>
      </c>
      <c r="AH194" s="1">
        <v>60003760</v>
      </c>
      <c r="AI194" s="1">
        <v>32767</v>
      </c>
      <c r="AJ194" s="1">
        <v>11</v>
      </c>
      <c r="AL194" s="1">
        <v>2413858875</v>
      </c>
      <c r="AM194" s="1">
        <v>37</v>
      </c>
      <c r="AN194" s="1">
        <v>750000</v>
      </c>
      <c r="AO194" s="1">
        <v>750000</v>
      </c>
      <c r="AP194" s="16">
        <v>61.34</v>
      </c>
      <c r="AQ194" s="1">
        <v>1</v>
      </c>
      <c r="AR194" s="1">
        <v>1</v>
      </c>
      <c r="AS194" s="1">
        <v>90</v>
      </c>
      <c r="AT194" s="1">
        <v>60003760</v>
      </c>
      <c r="AU194" s="1">
        <v>-1</v>
      </c>
      <c r="AV194" s="1">
        <v>0</v>
      </c>
      <c r="AX194" s="1">
        <v>2877192097</v>
      </c>
      <c r="AY194" s="1">
        <v>38</v>
      </c>
      <c r="AZ194" s="1">
        <v>10000</v>
      </c>
      <c r="BA194" s="1">
        <v>5124</v>
      </c>
      <c r="BB194" s="1">
        <v>429.02</v>
      </c>
      <c r="BC194" s="1">
        <v>1000</v>
      </c>
      <c r="BD194" s="1">
        <v>1</v>
      </c>
      <c r="BE194" s="1">
        <v>90</v>
      </c>
      <c r="BF194" s="1">
        <v>60003760</v>
      </c>
      <c r="BG194" s="1">
        <v>32767</v>
      </c>
      <c r="BH194" s="1">
        <v>0</v>
      </c>
      <c r="BJ194"/>
      <c r="BK194"/>
      <c r="BL194"/>
      <c r="BM194"/>
      <c r="BN194"/>
      <c r="BO194"/>
      <c r="BP194"/>
      <c r="BQ194"/>
      <c r="BR194"/>
      <c r="BS194"/>
      <c r="BT194"/>
      <c r="BV194" s="1">
        <v>2404358336</v>
      </c>
      <c r="BW194" s="1">
        <v>40</v>
      </c>
      <c r="BX194" s="1">
        <v>10000</v>
      </c>
      <c r="BY194" s="1">
        <v>6986</v>
      </c>
      <c r="BZ194" s="1">
        <v>2303</v>
      </c>
      <c r="CA194" s="1">
        <v>1</v>
      </c>
      <c r="CB194" s="1">
        <v>1</v>
      </c>
      <c r="CC194" s="1">
        <v>14</v>
      </c>
      <c r="CD194" s="1">
        <v>60004465</v>
      </c>
      <c r="CE194" s="1">
        <v>1</v>
      </c>
      <c r="CF194" s="1">
        <v>0</v>
      </c>
      <c r="CH194" s="1">
        <v>2414445924</v>
      </c>
      <c r="CI194" s="1">
        <v>29668</v>
      </c>
      <c r="CJ194" s="1">
        <v>1</v>
      </c>
      <c r="CK194" s="1">
        <v>1</v>
      </c>
      <c r="CL194" s="1">
        <v>481000028.10000002</v>
      </c>
      <c r="CM194" s="1">
        <v>1</v>
      </c>
      <c r="CN194" s="1">
        <v>1</v>
      </c>
      <c r="CO194" s="1">
        <v>7</v>
      </c>
      <c r="CP194" s="1">
        <v>60003760</v>
      </c>
      <c r="CQ194" s="1">
        <v>-1</v>
      </c>
      <c r="CR194" s="1">
        <v>0</v>
      </c>
      <c r="DF194" s="1">
        <v>2415802508</v>
      </c>
      <c r="DG194" s="1">
        <v>17887</v>
      </c>
      <c r="DH194" s="1">
        <v>1</v>
      </c>
      <c r="DI194" s="1">
        <v>1</v>
      </c>
      <c r="DJ194" s="1">
        <v>751.19</v>
      </c>
      <c r="DK194" s="1">
        <v>1</v>
      </c>
      <c r="DL194" s="1">
        <v>1</v>
      </c>
      <c r="DM194" s="1">
        <v>90</v>
      </c>
      <c r="DN194" s="1">
        <v>60003760</v>
      </c>
      <c r="DO194" s="1">
        <v>32767</v>
      </c>
      <c r="DP194" s="1">
        <v>0</v>
      </c>
      <c r="DR194" s="1">
        <v>2821233362</v>
      </c>
      <c r="DS194" s="1">
        <v>17888</v>
      </c>
      <c r="DT194" s="1">
        <v>20617</v>
      </c>
      <c r="DU194" s="1">
        <v>20617</v>
      </c>
      <c r="DV194" s="1">
        <v>395.19</v>
      </c>
      <c r="DW194" s="1">
        <v>1</v>
      </c>
      <c r="DX194" s="1">
        <v>0</v>
      </c>
      <c r="DY194" s="1">
        <v>90</v>
      </c>
      <c r="DZ194" s="1">
        <v>60004057</v>
      </c>
      <c r="EA194" s="1">
        <v>32767</v>
      </c>
      <c r="EB194" s="1">
        <v>11</v>
      </c>
      <c r="ED194" s="1">
        <v>2875803859</v>
      </c>
      <c r="EE194" s="1">
        <v>16273</v>
      </c>
      <c r="EF194" s="1">
        <v>300000</v>
      </c>
      <c r="EG194" s="1">
        <v>10875</v>
      </c>
      <c r="EH194" s="1">
        <v>339.77</v>
      </c>
      <c r="EI194" s="1">
        <v>1</v>
      </c>
      <c r="EJ194" s="1">
        <v>1</v>
      </c>
      <c r="EK194" s="1">
        <v>90</v>
      </c>
      <c r="EL194" s="1">
        <v>60003760</v>
      </c>
      <c r="EM194" s="1">
        <v>-1</v>
      </c>
      <c r="EN194" s="1">
        <v>0</v>
      </c>
      <c r="FZ194"/>
      <c r="GA194"/>
      <c r="GB194"/>
      <c r="GC194"/>
      <c r="GD194"/>
      <c r="GE194"/>
      <c r="GF194"/>
      <c r="GG194"/>
      <c r="GH194"/>
      <c r="GI194"/>
      <c r="GJ194"/>
      <c r="JF194"/>
      <c r="JG194"/>
      <c r="JH194"/>
      <c r="JI194"/>
      <c r="JJ194"/>
      <c r="JK194"/>
      <c r="JL194"/>
      <c r="JM194"/>
      <c r="JN194"/>
      <c r="JO194"/>
      <c r="JP194"/>
      <c r="KD194"/>
      <c r="KE194"/>
      <c r="KF194"/>
      <c r="KG194"/>
      <c r="KH194"/>
      <c r="KI194"/>
      <c r="KJ194"/>
      <c r="KK194"/>
      <c r="KL194"/>
      <c r="KM194"/>
      <c r="KN194"/>
      <c r="LB194"/>
      <c r="LC194"/>
      <c r="LD194"/>
      <c r="LE194"/>
      <c r="LF194"/>
      <c r="LG194"/>
      <c r="LH194"/>
      <c r="LI194"/>
      <c r="LJ194"/>
      <c r="LK194"/>
      <c r="LL194"/>
      <c r="NV194"/>
      <c r="NW194"/>
      <c r="NX194"/>
      <c r="NY194"/>
      <c r="NZ194"/>
      <c r="OA194"/>
      <c r="OB194"/>
      <c r="OC194"/>
      <c r="OD194"/>
      <c r="OE194"/>
      <c r="OF194"/>
      <c r="OH194" s="1">
        <v>2856878712</v>
      </c>
      <c r="OI194" s="1">
        <v>25598</v>
      </c>
      <c r="OJ194" s="1">
        <v>2154</v>
      </c>
      <c r="OK194" s="1">
        <v>1123</v>
      </c>
      <c r="OL194" s="1">
        <v>129270.34</v>
      </c>
      <c r="OM194" s="1">
        <v>1</v>
      </c>
      <c r="ON194" s="1">
        <v>1</v>
      </c>
      <c r="OO194" s="1">
        <v>90</v>
      </c>
      <c r="OP194" s="1">
        <v>60003760</v>
      </c>
      <c r="OQ194" s="1">
        <v>-1</v>
      </c>
      <c r="OR194" s="1">
        <v>0</v>
      </c>
      <c r="SX194" s="1">
        <v>2878685495</v>
      </c>
      <c r="SY194" s="1">
        <v>25595</v>
      </c>
      <c r="SZ194" s="1">
        <v>1000</v>
      </c>
      <c r="TA194" s="1">
        <v>462</v>
      </c>
      <c r="TB194" s="1">
        <v>62602.5</v>
      </c>
      <c r="TC194" s="1">
        <v>1</v>
      </c>
      <c r="TD194" s="1">
        <v>1</v>
      </c>
      <c r="TE194" s="1">
        <v>90</v>
      </c>
      <c r="TF194" s="1">
        <v>60003760</v>
      </c>
      <c r="TG194" s="1">
        <v>-1</v>
      </c>
      <c r="TH194" s="1">
        <v>0</v>
      </c>
    </row>
    <row r="195" spans="2:528" x14ac:dyDescent="0.25">
      <c r="B195" s="1">
        <v>2850613981</v>
      </c>
      <c r="C195" s="1">
        <v>34</v>
      </c>
      <c r="D195" s="1">
        <v>145181</v>
      </c>
      <c r="E195" s="1">
        <v>145181</v>
      </c>
      <c r="F195" s="1">
        <v>9.65</v>
      </c>
      <c r="G195" s="1">
        <v>1</v>
      </c>
      <c r="H195" s="1">
        <v>0</v>
      </c>
      <c r="I195" s="1">
        <v>30</v>
      </c>
      <c r="J195" s="1">
        <v>60003760</v>
      </c>
      <c r="K195" s="1">
        <v>32767</v>
      </c>
      <c r="L195" s="1">
        <v>0</v>
      </c>
      <c r="N195" s="1">
        <v>2871855256</v>
      </c>
      <c r="O195" s="1">
        <v>35</v>
      </c>
      <c r="P195" s="1">
        <v>3418834</v>
      </c>
      <c r="Q195" s="1">
        <v>3418834</v>
      </c>
      <c r="R195" s="1">
        <v>15</v>
      </c>
      <c r="S195" s="1">
        <v>1</v>
      </c>
      <c r="T195" s="1">
        <v>0</v>
      </c>
      <c r="U195" s="1">
        <v>90</v>
      </c>
      <c r="V195" s="1">
        <v>60003349</v>
      </c>
      <c r="W195" s="1">
        <v>32767</v>
      </c>
      <c r="X195" s="1">
        <v>6</v>
      </c>
      <c r="Z195" s="1">
        <v>2720294251</v>
      </c>
      <c r="AA195" s="1">
        <v>36</v>
      </c>
      <c r="AB195" s="1">
        <v>34599985</v>
      </c>
      <c r="AC195" s="1">
        <v>34599985</v>
      </c>
      <c r="AD195" s="16">
        <v>64.650000000000006</v>
      </c>
      <c r="AE195" s="1">
        <v>1</v>
      </c>
      <c r="AF195" s="1">
        <v>0</v>
      </c>
      <c r="AG195" s="1">
        <v>90</v>
      </c>
      <c r="AH195" s="1">
        <v>60003760</v>
      </c>
      <c r="AI195" s="1">
        <v>32767</v>
      </c>
      <c r="AJ195" s="1">
        <v>11</v>
      </c>
      <c r="AL195" s="1">
        <v>2618267112</v>
      </c>
      <c r="AM195" s="1">
        <v>37</v>
      </c>
      <c r="AN195" s="1">
        <v>12000000</v>
      </c>
      <c r="AO195" s="1">
        <v>11631051</v>
      </c>
      <c r="AP195" s="16">
        <v>99</v>
      </c>
      <c r="AQ195" s="1">
        <v>120000</v>
      </c>
      <c r="AR195" s="1">
        <v>1</v>
      </c>
      <c r="AS195" s="1">
        <v>90</v>
      </c>
      <c r="AT195" s="1">
        <v>60003760</v>
      </c>
      <c r="AU195" s="1">
        <v>32767</v>
      </c>
      <c r="AV195" s="1">
        <v>0</v>
      </c>
      <c r="AX195" s="1">
        <v>2838123145</v>
      </c>
      <c r="AY195" s="1">
        <v>38</v>
      </c>
      <c r="AZ195" s="1">
        <v>100000</v>
      </c>
      <c r="BA195" s="1">
        <v>78702</v>
      </c>
      <c r="BB195" s="1">
        <v>728.3</v>
      </c>
      <c r="BC195" s="1">
        <v>1</v>
      </c>
      <c r="BD195" s="1">
        <v>1</v>
      </c>
      <c r="BE195" s="1">
        <v>90</v>
      </c>
      <c r="BF195" s="1">
        <v>60003754</v>
      </c>
      <c r="BG195" s="1">
        <v>0</v>
      </c>
      <c r="BH195" s="1">
        <v>0</v>
      </c>
      <c r="BJ195"/>
      <c r="BK195"/>
      <c r="BL195"/>
      <c r="BM195"/>
      <c r="BN195"/>
      <c r="BO195"/>
      <c r="BP195"/>
      <c r="BQ195"/>
      <c r="BR195"/>
      <c r="BS195"/>
      <c r="BT195"/>
      <c r="BV195" s="1">
        <v>2412270136</v>
      </c>
      <c r="BW195" s="1">
        <v>40</v>
      </c>
      <c r="BX195" s="1">
        <v>10000</v>
      </c>
      <c r="BY195" s="1">
        <v>10000</v>
      </c>
      <c r="BZ195" s="1">
        <v>2257.33</v>
      </c>
      <c r="CA195" s="1">
        <v>1</v>
      </c>
      <c r="CB195" s="1">
        <v>1</v>
      </c>
      <c r="CC195" s="1">
        <v>90</v>
      </c>
      <c r="CD195" s="1">
        <v>60013042</v>
      </c>
      <c r="CE195" s="1">
        <v>3</v>
      </c>
      <c r="CF195" s="1">
        <v>0</v>
      </c>
      <c r="CH195" s="1">
        <v>2414900941</v>
      </c>
      <c r="CI195" s="1">
        <v>29668</v>
      </c>
      <c r="CJ195" s="1">
        <v>2</v>
      </c>
      <c r="CK195" s="1">
        <v>2</v>
      </c>
      <c r="CL195" s="1">
        <v>460000013</v>
      </c>
      <c r="CM195" s="1">
        <v>1</v>
      </c>
      <c r="CN195" s="1">
        <v>1</v>
      </c>
      <c r="CO195" s="1">
        <v>90</v>
      </c>
      <c r="CP195" s="1">
        <v>60003760</v>
      </c>
      <c r="CQ195" s="1">
        <v>-1</v>
      </c>
      <c r="CR195" s="1">
        <v>0</v>
      </c>
      <c r="DF195" s="1">
        <v>2415802855</v>
      </c>
      <c r="DG195" s="1">
        <v>17887</v>
      </c>
      <c r="DH195" s="1">
        <v>150000</v>
      </c>
      <c r="DI195" s="1">
        <v>150000</v>
      </c>
      <c r="DJ195" s="1">
        <v>751.19</v>
      </c>
      <c r="DK195" s="1">
        <v>1</v>
      </c>
      <c r="DL195" s="1">
        <v>1</v>
      </c>
      <c r="DM195" s="1">
        <v>90</v>
      </c>
      <c r="DN195" s="1">
        <v>60003760</v>
      </c>
      <c r="DO195" s="1">
        <v>32767</v>
      </c>
      <c r="DP195" s="1">
        <v>0</v>
      </c>
      <c r="DR195" s="1">
        <v>2815707397</v>
      </c>
      <c r="DS195" s="1">
        <v>17888</v>
      </c>
      <c r="DT195" s="1">
        <v>110000</v>
      </c>
      <c r="DU195" s="1">
        <v>110000</v>
      </c>
      <c r="DV195" s="1">
        <v>400</v>
      </c>
      <c r="DW195" s="1">
        <v>1</v>
      </c>
      <c r="DX195" s="1">
        <v>0</v>
      </c>
      <c r="DY195" s="1">
        <v>90</v>
      </c>
      <c r="DZ195" s="1">
        <v>60004057</v>
      </c>
      <c r="EA195" s="1">
        <v>32767</v>
      </c>
      <c r="EB195" s="1">
        <v>11</v>
      </c>
      <c r="ED195" s="1">
        <v>2875834439</v>
      </c>
      <c r="EE195" s="1">
        <v>16273</v>
      </c>
      <c r="EF195" s="1">
        <v>550000</v>
      </c>
      <c r="EG195" s="1">
        <v>334707</v>
      </c>
      <c r="EH195" s="1">
        <v>325</v>
      </c>
      <c r="EI195" s="1">
        <v>1</v>
      </c>
      <c r="EJ195" s="1">
        <v>1</v>
      </c>
      <c r="EK195" s="1">
        <v>90</v>
      </c>
      <c r="EL195" s="1">
        <v>60003760</v>
      </c>
      <c r="EM195" s="1">
        <v>-1</v>
      </c>
      <c r="EN195" s="1">
        <v>0</v>
      </c>
      <c r="JF195"/>
      <c r="JG195"/>
      <c r="JH195"/>
      <c r="JI195"/>
      <c r="JJ195"/>
      <c r="JK195"/>
      <c r="JL195"/>
      <c r="JM195"/>
      <c r="JN195"/>
      <c r="JO195"/>
      <c r="JP195"/>
      <c r="KD195"/>
      <c r="KE195"/>
      <c r="KF195"/>
      <c r="KG195"/>
      <c r="KH195"/>
      <c r="KI195"/>
      <c r="KJ195"/>
      <c r="KK195"/>
      <c r="KL195"/>
      <c r="KM195"/>
      <c r="KN195"/>
      <c r="LB195"/>
      <c r="LC195"/>
      <c r="LD195"/>
      <c r="LE195"/>
      <c r="LF195"/>
      <c r="LG195"/>
      <c r="LH195"/>
      <c r="LI195"/>
      <c r="LJ195"/>
      <c r="LK195"/>
      <c r="LL195"/>
      <c r="NV195"/>
      <c r="NW195"/>
      <c r="NX195"/>
      <c r="NY195"/>
      <c r="NZ195"/>
      <c r="OA195"/>
      <c r="OB195"/>
      <c r="OC195"/>
      <c r="OD195"/>
      <c r="OE195"/>
      <c r="OF195"/>
      <c r="OH195" s="1">
        <v>2856792559</v>
      </c>
      <c r="OI195" s="1">
        <v>25598</v>
      </c>
      <c r="OJ195" s="1">
        <v>9000</v>
      </c>
      <c r="OK195" s="1">
        <v>8177</v>
      </c>
      <c r="OL195" s="1">
        <v>120301.01</v>
      </c>
      <c r="OM195" s="1">
        <v>1</v>
      </c>
      <c r="ON195" s="1">
        <v>1</v>
      </c>
      <c r="OO195" s="1">
        <v>90</v>
      </c>
      <c r="OP195" s="1">
        <v>60003760</v>
      </c>
      <c r="OQ195" s="1">
        <v>0</v>
      </c>
      <c r="OR195" s="1">
        <v>0</v>
      </c>
      <c r="SX195" s="1">
        <v>2878587639</v>
      </c>
      <c r="SY195" s="1">
        <v>25595</v>
      </c>
      <c r="SZ195" s="1">
        <v>944</v>
      </c>
      <c r="TA195" s="1">
        <v>442</v>
      </c>
      <c r="TB195" s="1">
        <v>62602.51</v>
      </c>
      <c r="TC195" s="1">
        <v>1</v>
      </c>
      <c r="TD195" s="1">
        <v>1</v>
      </c>
      <c r="TE195" s="1">
        <v>90</v>
      </c>
      <c r="TF195" s="1">
        <v>60003760</v>
      </c>
      <c r="TG195" s="1">
        <v>-1</v>
      </c>
      <c r="TH195" s="1">
        <v>0</v>
      </c>
    </row>
    <row r="196" spans="2:528" x14ac:dyDescent="0.25">
      <c r="B196" s="1">
        <v>2848972984</v>
      </c>
      <c r="C196" s="1">
        <v>34</v>
      </c>
      <c r="D196" s="1">
        <v>4017</v>
      </c>
      <c r="E196" s="1">
        <v>4017</v>
      </c>
      <c r="F196" s="1">
        <v>5.98</v>
      </c>
      <c r="G196" s="1">
        <v>1</v>
      </c>
      <c r="H196" s="1">
        <v>0</v>
      </c>
      <c r="I196" s="1">
        <v>30</v>
      </c>
      <c r="J196" s="1">
        <v>60003760</v>
      </c>
      <c r="K196" s="1">
        <v>32767</v>
      </c>
      <c r="L196" s="1">
        <v>0</v>
      </c>
      <c r="N196" s="1">
        <v>2871855005</v>
      </c>
      <c r="O196" s="1">
        <v>35</v>
      </c>
      <c r="P196" s="1">
        <v>887609</v>
      </c>
      <c r="Q196" s="1">
        <v>887609</v>
      </c>
      <c r="R196" s="1">
        <v>15</v>
      </c>
      <c r="S196" s="1">
        <v>1</v>
      </c>
      <c r="T196" s="1">
        <v>0</v>
      </c>
      <c r="U196" s="1">
        <v>90</v>
      </c>
      <c r="V196" s="1">
        <v>60001873</v>
      </c>
      <c r="W196" s="1">
        <v>32767</v>
      </c>
      <c r="X196" s="1">
        <v>6</v>
      </c>
      <c r="Z196" s="1">
        <v>2723047454</v>
      </c>
      <c r="AA196" s="1">
        <v>36</v>
      </c>
      <c r="AB196" s="1">
        <v>23784491</v>
      </c>
      <c r="AC196" s="1">
        <v>23784491</v>
      </c>
      <c r="AD196" s="16">
        <v>62.85</v>
      </c>
      <c r="AE196" s="1">
        <v>1</v>
      </c>
      <c r="AF196" s="1">
        <v>0</v>
      </c>
      <c r="AG196" s="1">
        <v>90</v>
      </c>
      <c r="AH196" s="1">
        <v>60003760</v>
      </c>
      <c r="AI196" s="1">
        <v>32767</v>
      </c>
      <c r="AJ196" s="1">
        <v>11</v>
      </c>
      <c r="AL196" s="1">
        <v>2621190212</v>
      </c>
      <c r="AM196" s="1">
        <v>37</v>
      </c>
      <c r="AN196" s="1">
        <v>2000000</v>
      </c>
      <c r="AO196" s="1">
        <v>2000000</v>
      </c>
      <c r="AP196" s="16">
        <v>76.13</v>
      </c>
      <c r="AQ196" s="1">
        <v>1</v>
      </c>
      <c r="AR196" s="1">
        <v>1</v>
      </c>
      <c r="AS196" s="1">
        <v>90</v>
      </c>
      <c r="AT196" s="1">
        <v>60003760</v>
      </c>
      <c r="AU196" s="1">
        <v>-1</v>
      </c>
      <c r="AV196" s="1">
        <v>0</v>
      </c>
      <c r="AX196" s="1">
        <v>2046602097</v>
      </c>
      <c r="AY196" s="1">
        <v>38</v>
      </c>
      <c r="AZ196" s="1">
        <v>1000000</v>
      </c>
      <c r="BA196" s="1">
        <v>374642</v>
      </c>
      <c r="BB196" s="1">
        <v>3.6</v>
      </c>
      <c r="BC196" s="1">
        <v>1</v>
      </c>
      <c r="BD196" s="1">
        <v>1</v>
      </c>
      <c r="BE196" s="1">
        <v>90</v>
      </c>
      <c r="BF196" s="1">
        <v>60003724</v>
      </c>
      <c r="BG196" s="1">
        <v>10</v>
      </c>
      <c r="BH196" s="1">
        <v>0</v>
      </c>
      <c r="BJ196"/>
      <c r="BK196"/>
      <c r="BL196"/>
      <c r="BM196"/>
      <c r="BN196"/>
      <c r="BO196"/>
      <c r="BP196"/>
      <c r="BQ196"/>
      <c r="BR196"/>
      <c r="BS196"/>
      <c r="BT196"/>
      <c r="BV196" s="1">
        <v>2413680675</v>
      </c>
      <c r="BW196" s="1">
        <v>40</v>
      </c>
      <c r="BX196" s="1">
        <v>9920</v>
      </c>
      <c r="BY196" s="1">
        <v>9920</v>
      </c>
      <c r="BZ196" s="1">
        <v>2302.0100000000002</v>
      </c>
      <c r="CA196" s="1">
        <v>1</v>
      </c>
      <c r="CB196" s="1">
        <v>1</v>
      </c>
      <c r="CC196" s="1">
        <v>90</v>
      </c>
      <c r="CD196" s="1">
        <v>60015027</v>
      </c>
      <c r="CE196" s="1">
        <v>2</v>
      </c>
      <c r="CF196" s="1">
        <v>0</v>
      </c>
      <c r="CH196" s="1">
        <v>2414943496</v>
      </c>
      <c r="CI196" s="1">
        <v>29668</v>
      </c>
      <c r="CJ196" s="1">
        <v>1</v>
      </c>
      <c r="CK196" s="1">
        <v>1</v>
      </c>
      <c r="CL196" s="1">
        <v>491000</v>
      </c>
      <c r="CM196" s="1">
        <v>1</v>
      </c>
      <c r="CN196" s="1">
        <v>1</v>
      </c>
      <c r="CO196" s="1">
        <v>30</v>
      </c>
      <c r="CP196" s="1">
        <v>60003760</v>
      </c>
      <c r="CQ196" s="1">
        <v>-1</v>
      </c>
      <c r="CR196" s="1">
        <v>0</v>
      </c>
      <c r="DF196" s="1">
        <v>2414576919</v>
      </c>
      <c r="DG196" s="1">
        <v>17887</v>
      </c>
      <c r="DH196" s="1">
        <v>200000</v>
      </c>
      <c r="DI196" s="1">
        <v>200000</v>
      </c>
      <c r="DJ196" s="1">
        <v>901.14</v>
      </c>
      <c r="DK196" s="1">
        <v>1</v>
      </c>
      <c r="DL196" s="1">
        <v>1</v>
      </c>
      <c r="DM196" s="1">
        <v>90</v>
      </c>
      <c r="DN196" s="1">
        <v>60003760</v>
      </c>
      <c r="DO196" s="1">
        <v>-1</v>
      </c>
      <c r="DP196" s="1">
        <v>0</v>
      </c>
      <c r="DR196" s="1">
        <v>2765155359</v>
      </c>
      <c r="DS196" s="1">
        <v>17888</v>
      </c>
      <c r="DT196" s="1">
        <v>129446</v>
      </c>
      <c r="DU196" s="1">
        <v>31446</v>
      </c>
      <c r="DV196" s="1">
        <v>415</v>
      </c>
      <c r="DW196" s="1">
        <v>1</v>
      </c>
      <c r="DX196" s="1">
        <v>0</v>
      </c>
      <c r="DY196" s="1">
        <v>90</v>
      </c>
      <c r="DZ196" s="1">
        <v>60012718</v>
      </c>
      <c r="EA196" s="1">
        <v>32767</v>
      </c>
      <c r="EB196" s="1">
        <v>11</v>
      </c>
      <c r="ED196" s="1">
        <v>2875842382</v>
      </c>
      <c r="EE196" s="1">
        <v>16273</v>
      </c>
      <c r="EF196" s="1">
        <v>4500000</v>
      </c>
      <c r="EG196" s="1">
        <v>4500000</v>
      </c>
      <c r="EH196" s="1">
        <v>336.42</v>
      </c>
      <c r="EI196" s="1">
        <v>1</v>
      </c>
      <c r="EJ196" s="1">
        <v>1</v>
      </c>
      <c r="EK196" s="1">
        <v>90</v>
      </c>
      <c r="EL196" s="1">
        <v>60003760</v>
      </c>
      <c r="EM196" s="1">
        <v>-1</v>
      </c>
      <c r="EN196" s="1">
        <v>0</v>
      </c>
      <c r="JF196"/>
      <c r="JG196"/>
      <c r="JH196"/>
      <c r="JI196"/>
      <c r="JJ196"/>
      <c r="JK196"/>
      <c r="JL196"/>
      <c r="JM196"/>
      <c r="JN196"/>
      <c r="JO196"/>
      <c r="JP196"/>
      <c r="KD196"/>
      <c r="KE196"/>
      <c r="KF196"/>
      <c r="KG196"/>
      <c r="KH196"/>
      <c r="KI196"/>
      <c r="KJ196"/>
      <c r="KK196"/>
      <c r="KL196"/>
      <c r="KM196"/>
      <c r="KN196"/>
      <c r="LB196"/>
      <c r="LC196"/>
      <c r="LD196"/>
      <c r="LE196"/>
      <c r="LF196"/>
      <c r="LG196"/>
      <c r="LH196"/>
      <c r="LI196"/>
      <c r="LJ196"/>
      <c r="LK196"/>
      <c r="LL196"/>
      <c r="NV196"/>
      <c r="NW196"/>
      <c r="NX196"/>
      <c r="NY196"/>
      <c r="NZ196"/>
      <c r="OA196"/>
      <c r="OB196"/>
      <c r="OC196"/>
      <c r="OD196"/>
      <c r="OE196"/>
      <c r="OF196"/>
      <c r="OH196" s="1">
        <v>2863899091</v>
      </c>
      <c r="OI196" s="1">
        <v>25598</v>
      </c>
      <c r="OJ196" s="1">
        <v>3500</v>
      </c>
      <c r="OK196" s="1">
        <v>1902</v>
      </c>
      <c r="OL196" s="1">
        <v>125021.05</v>
      </c>
      <c r="OM196" s="1">
        <v>1</v>
      </c>
      <c r="ON196" s="1">
        <v>1</v>
      </c>
      <c r="OO196" s="1">
        <v>90</v>
      </c>
      <c r="OP196" s="1">
        <v>60003760</v>
      </c>
      <c r="OQ196" s="1">
        <v>32767</v>
      </c>
      <c r="OR196" s="1">
        <v>0</v>
      </c>
      <c r="SX196" s="1">
        <v>2878485593</v>
      </c>
      <c r="SY196" s="1">
        <v>25595</v>
      </c>
      <c r="SZ196" s="1">
        <v>5000</v>
      </c>
      <c r="TA196" s="1">
        <v>2297</v>
      </c>
      <c r="TB196" s="1">
        <v>62700</v>
      </c>
      <c r="TC196" s="1">
        <v>1</v>
      </c>
      <c r="TD196" s="1">
        <v>1</v>
      </c>
      <c r="TE196" s="1">
        <v>1</v>
      </c>
      <c r="TF196" s="1">
        <v>60003760</v>
      </c>
      <c r="TG196" s="1">
        <v>-1</v>
      </c>
      <c r="TH196" s="1">
        <v>0</v>
      </c>
    </row>
    <row r="197" spans="2:528" x14ac:dyDescent="0.25">
      <c r="B197" s="1">
        <v>2848621176</v>
      </c>
      <c r="C197" s="1">
        <v>34</v>
      </c>
      <c r="D197" s="1">
        <v>78538293</v>
      </c>
      <c r="E197" s="1">
        <v>78538293</v>
      </c>
      <c r="F197" s="1">
        <v>5.99</v>
      </c>
      <c r="G197" s="1">
        <v>1</v>
      </c>
      <c r="H197" s="1">
        <v>0</v>
      </c>
      <c r="I197" s="1">
        <v>90</v>
      </c>
      <c r="J197" s="1">
        <v>60003760</v>
      </c>
      <c r="K197" s="1">
        <v>32767</v>
      </c>
      <c r="L197" s="1">
        <v>0</v>
      </c>
      <c r="N197" s="1">
        <v>2871559497</v>
      </c>
      <c r="O197" s="1">
        <v>35</v>
      </c>
      <c r="P197" s="1">
        <v>10144452</v>
      </c>
      <c r="Q197" s="1">
        <v>10144452</v>
      </c>
      <c r="R197" s="1">
        <v>15</v>
      </c>
      <c r="S197" s="1">
        <v>1</v>
      </c>
      <c r="T197" s="1">
        <v>0</v>
      </c>
      <c r="U197" s="1">
        <v>7</v>
      </c>
      <c r="V197" s="1">
        <v>60003349</v>
      </c>
      <c r="W197" s="1">
        <v>32767</v>
      </c>
      <c r="X197" s="1">
        <v>6</v>
      </c>
      <c r="Z197" s="1">
        <v>2706383153</v>
      </c>
      <c r="AA197" s="1">
        <v>36</v>
      </c>
      <c r="AB197" s="1">
        <v>16598454</v>
      </c>
      <c r="AC197" s="1">
        <v>16598454</v>
      </c>
      <c r="AD197" s="16">
        <v>64.67</v>
      </c>
      <c r="AE197" s="1">
        <v>1</v>
      </c>
      <c r="AF197" s="1">
        <v>0</v>
      </c>
      <c r="AG197" s="1">
        <v>90</v>
      </c>
      <c r="AH197" s="1">
        <v>60003760</v>
      </c>
      <c r="AI197" s="1">
        <v>32767</v>
      </c>
      <c r="AJ197" s="1">
        <v>11</v>
      </c>
      <c r="AL197" s="1">
        <v>2644376567</v>
      </c>
      <c r="AM197" s="1">
        <v>37</v>
      </c>
      <c r="AN197" s="1">
        <v>1000000</v>
      </c>
      <c r="AO197" s="1">
        <v>992841</v>
      </c>
      <c r="AP197" s="16">
        <v>85.81</v>
      </c>
      <c r="AQ197" s="1">
        <v>1</v>
      </c>
      <c r="AR197" s="1">
        <v>1</v>
      </c>
      <c r="AS197" s="1">
        <v>90</v>
      </c>
      <c r="AT197" s="1">
        <v>60003760</v>
      </c>
      <c r="AU197" s="1">
        <v>-1</v>
      </c>
      <c r="AV197" s="1">
        <v>0</v>
      </c>
      <c r="AX197" s="1">
        <v>2863121589</v>
      </c>
      <c r="AY197" s="1">
        <v>38</v>
      </c>
      <c r="AZ197" s="1">
        <v>25000</v>
      </c>
      <c r="BA197" s="1">
        <v>9961</v>
      </c>
      <c r="BB197" s="1">
        <v>781.01</v>
      </c>
      <c r="BC197" s="1">
        <v>1</v>
      </c>
      <c r="BD197" s="1">
        <v>1</v>
      </c>
      <c r="BE197" s="1">
        <v>90</v>
      </c>
      <c r="BF197" s="1">
        <v>60003682</v>
      </c>
      <c r="BG197" s="1">
        <v>-1</v>
      </c>
      <c r="BH197" s="1">
        <v>0</v>
      </c>
      <c r="BJ197"/>
      <c r="BK197"/>
      <c r="BL197"/>
      <c r="BM197"/>
      <c r="BN197"/>
      <c r="BO197"/>
      <c r="BP197"/>
      <c r="BQ197"/>
      <c r="BR197"/>
      <c r="BS197"/>
      <c r="BT197"/>
      <c r="BV197" s="1">
        <v>2359330731</v>
      </c>
      <c r="BW197" s="1">
        <v>40</v>
      </c>
      <c r="BX197" s="1">
        <v>200000</v>
      </c>
      <c r="BY197" s="1">
        <v>200000</v>
      </c>
      <c r="BZ197" s="1">
        <v>2</v>
      </c>
      <c r="CA197" s="1">
        <v>1</v>
      </c>
      <c r="CB197" s="1">
        <v>1</v>
      </c>
      <c r="CC197" s="1">
        <v>90</v>
      </c>
      <c r="CD197" s="1">
        <v>60015027</v>
      </c>
      <c r="CE197" s="1">
        <v>40</v>
      </c>
      <c r="CF197" s="1">
        <v>0</v>
      </c>
      <c r="CH197" s="1">
        <v>2399045085</v>
      </c>
      <c r="CI197" s="1">
        <v>29668</v>
      </c>
      <c r="CJ197" s="1">
        <v>2</v>
      </c>
      <c r="CK197" s="1">
        <v>2</v>
      </c>
      <c r="CL197" s="1">
        <v>450350000.01999998</v>
      </c>
      <c r="CM197" s="1">
        <v>1</v>
      </c>
      <c r="CN197" s="1">
        <v>1</v>
      </c>
      <c r="CO197" s="1">
        <v>90</v>
      </c>
      <c r="CP197" s="1">
        <v>60003760</v>
      </c>
      <c r="CQ197" s="1">
        <v>-1</v>
      </c>
      <c r="CR197" s="1">
        <v>0</v>
      </c>
      <c r="DF197" s="1">
        <v>2415618350</v>
      </c>
      <c r="DG197" s="1">
        <v>17887</v>
      </c>
      <c r="DH197" s="1">
        <v>288000</v>
      </c>
      <c r="DI197" s="1">
        <v>26798</v>
      </c>
      <c r="DJ197" s="1">
        <v>901.34</v>
      </c>
      <c r="DK197" s="1">
        <v>1</v>
      </c>
      <c r="DL197" s="1">
        <v>1</v>
      </c>
      <c r="DM197" s="1">
        <v>90</v>
      </c>
      <c r="DN197" s="1">
        <v>60003760</v>
      </c>
      <c r="DO197" s="1">
        <v>-1</v>
      </c>
      <c r="DP197" s="1">
        <v>0</v>
      </c>
      <c r="DR197" s="1">
        <v>2765179037</v>
      </c>
      <c r="DS197" s="1">
        <v>17888</v>
      </c>
      <c r="DT197" s="1">
        <v>6706</v>
      </c>
      <c r="DU197" s="1">
        <v>6706</v>
      </c>
      <c r="DV197" s="1">
        <v>425</v>
      </c>
      <c r="DW197" s="1">
        <v>1</v>
      </c>
      <c r="DX197" s="1">
        <v>0</v>
      </c>
      <c r="DY197" s="1">
        <v>90</v>
      </c>
      <c r="DZ197" s="1">
        <v>60004057</v>
      </c>
      <c r="EA197" s="1">
        <v>32767</v>
      </c>
      <c r="EB197" s="1">
        <v>11</v>
      </c>
      <c r="ED197" s="1">
        <v>2876125563</v>
      </c>
      <c r="EE197" s="1">
        <v>16273</v>
      </c>
      <c r="EF197" s="1">
        <v>3000000</v>
      </c>
      <c r="EG197" s="1">
        <v>3000000</v>
      </c>
      <c r="EH197" s="1">
        <v>339.53</v>
      </c>
      <c r="EI197" s="1">
        <v>1</v>
      </c>
      <c r="EJ197" s="1">
        <v>1</v>
      </c>
      <c r="EK197" s="1">
        <v>90</v>
      </c>
      <c r="EL197" s="1">
        <v>60003760</v>
      </c>
      <c r="EM197" s="1">
        <v>-1</v>
      </c>
      <c r="EN197" s="1">
        <v>0</v>
      </c>
      <c r="JF197"/>
      <c r="JG197"/>
      <c r="JH197"/>
      <c r="JI197"/>
      <c r="JJ197"/>
      <c r="JK197"/>
      <c r="JL197"/>
      <c r="JM197"/>
      <c r="JN197"/>
      <c r="JO197"/>
      <c r="JP197"/>
      <c r="KD197"/>
      <c r="KE197"/>
      <c r="KF197"/>
      <c r="KG197"/>
      <c r="KH197"/>
      <c r="KI197"/>
      <c r="KJ197"/>
      <c r="KK197"/>
      <c r="KL197"/>
      <c r="KM197"/>
      <c r="KN197"/>
      <c r="LB197"/>
      <c r="LC197"/>
      <c r="LD197"/>
      <c r="LE197"/>
      <c r="LF197"/>
      <c r="LG197"/>
      <c r="LH197"/>
      <c r="LI197"/>
      <c r="LJ197"/>
      <c r="LK197"/>
      <c r="LL197"/>
      <c r="NV197"/>
      <c r="NW197"/>
      <c r="NX197"/>
      <c r="NY197"/>
      <c r="NZ197"/>
      <c r="OA197"/>
      <c r="OB197"/>
      <c r="OC197"/>
      <c r="OD197"/>
      <c r="OE197"/>
      <c r="OF197"/>
      <c r="OH197" s="1">
        <v>2862395672</v>
      </c>
      <c r="OI197" s="1">
        <v>25598</v>
      </c>
      <c r="OJ197" s="1">
        <v>3000</v>
      </c>
      <c r="OK197" s="1">
        <v>2218</v>
      </c>
      <c r="OL197" s="1">
        <v>125006.02</v>
      </c>
      <c r="OM197" s="1">
        <v>1</v>
      </c>
      <c r="ON197" s="1">
        <v>1</v>
      </c>
      <c r="OO197" s="1">
        <v>90</v>
      </c>
      <c r="OP197" s="1">
        <v>60003760</v>
      </c>
      <c r="OQ197" s="1">
        <v>5</v>
      </c>
      <c r="OR197" s="1">
        <v>0</v>
      </c>
      <c r="SX197" s="1">
        <v>2878731171</v>
      </c>
      <c r="SY197" s="1">
        <v>25595</v>
      </c>
      <c r="SZ197" s="1">
        <v>100</v>
      </c>
      <c r="TA197" s="1">
        <v>100</v>
      </c>
      <c r="TB197" s="1">
        <v>62780.34</v>
      </c>
      <c r="TC197" s="1">
        <v>1</v>
      </c>
      <c r="TD197" s="1">
        <v>1</v>
      </c>
      <c r="TE197" s="1">
        <v>90</v>
      </c>
      <c r="TF197" s="1">
        <v>60003760</v>
      </c>
      <c r="TG197" s="1">
        <v>-1</v>
      </c>
      <c r="TH197" s="1">
        <v>0</v>
      </c>
    </row>
    <row r="198" spans="2:528" x14ac:dyDescent="0.25">
      <c r="B198" s="1">
        <v>2849181640</v>
      </c>
      <c r="C198" s="1">
        <v>34</v>
      </c>
      <c r="D198" s="1">
        <v>50000</v>
      </c>
      <c r="E198" s="1">
        <v>50000</v>
      </c>
      <c r="F198" s="1">
        <v>6</v>
      </c>
      <c r="G198" s="1">
        <v>1</v>
      </c>
      <c r="H198" s="1">
        <v>0</v>
      </c>
      <c r="I198" s="1">
        <v>30</v>
      </c>
      <c r="J198" s="1">
        <v>60003760</v>
      </c>
      <c r="K198" s="1">
        <v>32767</v>
      </c>
      <c r="L198" s="1">
        <v>0</v>
      </c>
      <c r="N198" s="1">
        <v>2876964045</v>
      </c>
      <c r="O198" s="1">
        <v>35</v>
      </c>
      <c r="P198" s="1">
        <v>1514043</v>
      </c>
      <c r="Q198" s="1">
        <v>1514043</v>
      </c>
      <c r="R198" s="1">
        <v>14.75</v>
      </c>
      <c r="S198" s="1">
        <v>1</v>
      </c>
      <c r="T198" s="1">
        <v>0</v>
      </c>
      <c r="U198" s="1">
        <v>90</v>
      </c>
      <c r="V198" s="1">
        <v>60003349</v>
      </c>
      <c r="W198" s="1">
        <v>32767</v>
      </c>
      <c r="X198" s="1">
        <v>6</v>
      </c>
      <c r="Z198" s="1">
        <v>2706383232</v>
      </c>
      <c r="AA198" s="1">
        <v>36</v>
      </c>
      <c r="AB198" s="1">
        <v>16541445</v>
      </c>
      <c r="AC198" s="1">
        <v>16541445</v>
      </c>
      <c r="AD198" s="16">
        <v>63.57</v>
      </c>
      <c r="AE198" s="1">
        <v>1</v>
      </c>
      <c r="AF198" s="1">
        <v>0</v>
      </c>
      <c r="AG198" s="1">
        <v>90</v>
      </c>
      <c r="AH198" s="1">
        <v>60003760</v>
      </c>
      <c r="AI198" s="1">
        <v>32767</v>
      </c>
      <c r="AJ198" s="1">
        <v>11</v>
      </c>
      <c r="AL198" s="1">
        <v>2644852655</v>
      </c>
      <c r="AM198" s="1">
        <v>37</v>
      </c>
      <c r="AN198" s="1">
        <v>750000</v>
      </c>
      <c r="AO198" s="1">
        <v>51052</v>
      </c>
      <c r="AP198" s="16">
        <v>88.16</v>
      </c>
      <c r="AQ198" s="1">
        <v>1</v>
      </c>
      <c r="AR198" s="1">
        <v>1</v>
      </c>
      <c r="AS198" s="1">
        <v>90</v>
      </c>
      <c r="AT198" s="1">
        <v>60003760</v>
      </c>
      <c r="AU198" s="1">
        <v>-1</v>
      </c>
      <c r="AV198" s="1">
        <v>0</v>
      </c>
      <c r="AX198" s="1">
        <v>2869292286</v>
      </c>
      <c r="AY198" s="1">
        <v>38</v>
      </c>
      <c r="AZ198" s="1">
        <v>200000</v>
      </c>
      <c r="BA198" s="1">
        <v>111597</v>
      </c>
      <c r="BB198" s="1">
        <v>789.05</v>
      </c>
      <c r="BC198" s="1">
        <v>1</v>
      </c>
      <c r="BD198" s="1">
        <v>1</v>
      </c>
      <c r="BE198" s="1">
        <v>90</v>
      </c>
      <c r="BF198" s="1">
        <v>60002749</v>
      </c>
      <c r="BG198" s="1">
        <v>-1</v>
      </c>
      <c r="BH198" s="1">
        <v>0</v>
      </c>
      <c r="BJ198"/>
      <c r="BK198"/>
      <c r="BL198"/>
      <c r="BM198"/>
      <c r="BN198"/>
      <c r="BO198"/>
      <c r="BP198"/>
      <c r="BQ198"/>
      <c r="BR198"/>
      <c r="BS198"/>
      <c r="BT198"/>
      <c r="BV198" s="1">
        <v>2415159789</v>
      </c>
      <c r="BW198" s="1">
        <v>40</v>
      </c>
      <c r="BX198" s="1">
        <v>5000</v>
      </c>
      <c r="BY198" s="1">
        <v>4998</v>
      </c>
      <c r="BZ198" s="1">
        <v>2575.3200000000002</v>
      </c>
      <c r="CA198" s="1">
        <v>1</v>
      </c>
      <c r="CB198" s="1">
        <v>1</v>
      </c>
      <c r="CC198" s="1">
        <v>30</v>
      </c>
      <c r="CD198" s="1">
        <v>60003757</v>
      </c>
      <c r="CE198" s="1">
        <v>0</v>
      </c>
      <c r="CF198" s="1">
        <v>0</v>
      </c>
      <c r="CH198" s="1">
        <v>2399045348</v>
      </c>
      <c r="CI198" s="1">
        <v>29668</v>
      </c>
      <c r="CJ198" s="1">
        <v>1000000</v>
      </c>
      <c r="CK198" s="1">
        <v>1000000</v>
      </c>
      <c r="CL198" s="1">
        <v>0.01</v>
      </c>
      <c r="CM198" s="1">
        <v>1</v>
      </c>
      <c r="CN198" s="1">
        <v>1</v>
      </c>
      <c r="CO198" s="1">
        <v>90</v>
      </c>
      <c r="CP198" s="1">
        <v>60003760</v>
      </c>
      <c r="CQ198" s="1">
        <v>32767</v>
      </c>
      <c r="CR198" s="1">
        <v>0</v>
      </c>
      <c r="DF198" s="1">
        <v>2414284091</v>
      </c>
      <c r="DG198" s="1">
        <v>17887</v>
      </c>
      <c r="DH198" s="1">
        <v>100000</v>
      </c>
      <c r="DI198" s="1">
        <v>100000</v>
      </c>
      <c r="DJ198" s="1">
        <v>901.41</v>
      </c>
      <c r="DK198" s="1">
        <v>1</v>
      </c>
      <c r="DL198" s="1">
        <v>1</v>
      </c>
      <c r="DM198" s="1">
        <v>7</v>
      </c>
      <c r="DN198" s="1">
        <v>60003760</v>
      </c>
      <c r="DO198" s="1">
        <v>-1</v>
      </c>
      <c r="DP198" s="1">
        <v>0</v>
      </c>
      <c r="DR198" s="1">
        <v>2775916316</v>
      </c>
      <c r="DS198" s="1">
        <v>17888</v>
      </c>
      <c r="DT198" s="1">
        <v>6908</v>
      </c>
      <c r="DU198" s="1">
        <v>6908</v>
      </c>
      <c r="DV198" s="1">
        <v>410</v>
      </c>
      <c r="DW198" s="1">
        <v>1</v>
      </c>
      <c r="DX198" s="1">
        <v>0</v>
      </c>
      <c r="DY198" s="1">
        <v>90</v>
      </c>
      <c r="DZ198" s="1">
        <v>60004063</v>
      </c>
      <c r="EA198" s="1">
        <v>32767</v>
      </c>
      <c r="EB198" s="1">
        <v>11</v>
      </c>
      <c r="ED198" s="1">
        <v>2877604443</v>
      </c>
      <c r="EE198" s="1">
        <v>16273</v>
      </c>
      <c r="EF198" s="1">
        <v>3500000</v>
      </c>
      <c r="EG198" s="1">
        <v>3500000</v>
      </c>
      <c r="EH198" s="1">
        <v>325.02</v>
      </c>
      <c r="EI198" s="1">
        <v>1</v>
      </c>
      <c r="EJ198" s="1">
        <v>1</v>
      </c>
      <c r="EK198" s="1">
        <v>90</v>
      </c>
      <c r="EL198" s="1">
        <v>60003760</v>
      </c>
      <c r="EM198" s="1">
        <v>-1</v>
      </c>
      <c r="EN198" s="1">
        <v>0</v>
      </c>
      <c r="JF198"/>
      <c r="JG198"/>
      <c r="JH198"/>
      <c r="JI198"/>
      <c r="JJ198"/>
      <c r="JK198"/>
      <c r="JL198"/>
      <c r="JM198"/>
      <c r="JN198"/>
      <c r="JO198"/>
      <c r="JP198"/>
      <c r="KD198"/>
      <c r="KE198"/>
      <c r="KF198"/>
      <c r="KG198"/>
      <c r="KH198"/>
      <c r="KI198"/>
      <c r="KJ198"/>
      <c r="KK198"/>
      <c r="KL198"/>
      <c r="KM198"/>
      <c r="KN198"/>
      <c r="LB198"/>
      <c r="LC198"/>
      <c r="LD198"/>
      <c r="LE198"/>
      <c r="LF198"/>
      <c r="LG198"/>
      <c r="LH198"/>
      <c r="LI198"/>
      <c r="LJ198"/>
      <c r="LK198"/>
      <c r="LL198"/>
      <c r="NV198"/>
      <c r="NW198"/>
      <c r="NX198"/>
      <c r="NY198"/>
      <c r="NZ198"/>
      <c r="OA198"/>
      <c r="OB198"/>
      <c r="OC198"/>
      <c r="OD198"/>
      <c r="OE198"/>
      <c r="OF198"/>
      <c r="OH198" s="1">
        <v>2730212758</v>
      </c>
      <c r="OI198" s="1">
        <v>25598</v>
      </c>
      <c r="OJ198" s="1">
        <v>2000</v>
      </c>
      <c r="OK198" s="1">
        <v>1531</v>
      </c>
      <c r="OL198" s="1">
        <v>119000.01</v>
      </c>
      <c r="OM198" s="1">
        <v>1</v>
      </c>
      <c r="ON198" s="1">
        <v>1</v>
      </c>
      <c r="OO198" s="1">
        <v>90</v>
      </c>
      <c r="OP198" s="1">
        <v>60003760</v>
      </c>
      <c r="OQ198" s="1">
        <v>0</v>
      </c>
      <c r="OR198" s="1">
        <v>0</v>
      </c>
      <c r="SX198" s="1">
        <v>2878957601</v>
      </c>
      <c r="SY198" s="1">
        <v>25595</v>
      </c>
      <c r="SZ198" s="1">
        <v>10000</v>
      </c>
      <c r="TA198" s="1">
        <v>8600</v>
      </c>
      <c r="TB198" s="1">
        <v>62700.33</v>
      </c>
      <c r="TC198" s="1">
        <v>1</v>
      </c>
      <c r="TD198" s="1">
        <v>1</v>
      </c>
      <c r="TE198" s="1">
        <v>90</v>
      </c>
      <c r="TF198" s="1">
        <v>60003760</v>
      </c>
      <c r="TG198" s="1">
        <v>-1</v>
      </c>
      <c r="TH198" s="1">
        <v>0</v>
      </c>
    </row>
    <row r="199" spans="2:528" x14ac:dyDescent="0.25">
      <c r="B199" s="1">
        <v>2849486437</v>
      </c>
      <c r="C199" s="1">
        <v>34</v>
      </c>
      <c r="D199" s="1">
        <v>69808343</v>
      </c>
      <c r="E199" s="1">
        <v>69808343</v>
      </c>
      <c r="F199" s="1">
        <v>6.3</v>
      </c>
      <c r="G199" s="1">
        <v>1</v>
      </c>
      <c r="H199" s="1">
        <v>0</v>
      </c>
      <c r="I199" s="1">
        <v>90</v>
      </c>
      <c r="J199" s="1">
        <v>60003760</v>
      </c>
      <c r="K199" s="1">
        <v>32767</v>
      </c>
      <c r="L199" s="1">
        <v>0</v>
      </c>
      <c r="N199" s="1">
        <v>2862897822</v>
      </c>
      <c r="O199" s="1">
        <v>35</v>
      </c>
      <c r="P199" s="1">
        <v>1550793</v>
      </c>
      <c r="Q199" s="1">
        <v>1550793</v>
      </c>
      <c r="R199" s="1">
        <v>15.27</v>
      </c>
      <c r="S199" s="1">
        <v>1</v>
      </c>
      <c r="T199" s="1">
        <v>0</v>
      </c>
      <c r="U199" s="1">
        <v>90</v>
      </c>
      <c r="V199" s="1">
        <v>60002284</v>
      </c>
      <c r="W199" s="1">
        <v>32767</v>
      </c>
      <c r="X199" s="1">
        <v>7</v>
      </c>
      <c r="Z199" s="1">
        <v>2687161262</v>
      </c>
      <c r="AA199" s="1">
        <v>36</v>
      </c>
      <c r="AB199" s="1">
        <v>19203886</v>
      </c>
      <c r="AC199" s="1">
        <v>19203886</v>
      </c>
      <c r="AD199" s="16">
        <v>63.57</v>
      </c>
      <c r="AE199" s="1">
        <v>1</v>
      </c>
      <c r="AF199" s="1">
        <v>0</v>
      </c>
      <c r="AG199" s="1">
        <v>90</v>
      </c>
      <c r="AH199" s="1">
        <v>60003760</v>
      </c>
      <c r="AI199" s="1">
        <v>32767</v>
      </c>
      <c r="AJ199" s="1">
        <v>11</v>
      </c>
      <c r="AL199" s="1">
        <v>2681303119</v>
      </c>
      <c r="AM199" s="1">
        <v>37</v>
      </c>
      <c r="AN199" s="1">
        <v>2000000</v>
      </c>
      <c r="AO199" s="1">
        <v>2000000</v>
      </c>
      <c r="AP199" s="16">
        <v>115.74</v>
      </c>
      <c r="AQ199" s="1">
        <v>1</v>
      </c>
      <c r="AR199" s="1">
        <v>1</v>
      </c>
      <c r="AS199" s="1">
        <v>90</v>
      </c>
      <c r="AT199" s="1">
        <v>60003760</v>
      </c>
      <c r="AU199" s="1">
        <v>-1</v>
      </c>
      <c r="AV199" s="1">
        <v>0</v>
      </c>
      <c r="AX199" s="1">
        <v>2872473627</v>
      </c>
      <c r="AY199" s="1">
        <v>38</v>
      </c>
      <c r="AZ199" s="1">
        <v>200000</v>
      </c>
      <c r="BA199" s="1">
        <v>178072</v>
      </c>
      <c r="BB199" s="1">
        <v>728.64</v>
      </c>
      <c r="BC199" s="1">
        <v>1</v>
      </c>
      <c r="BD199" s="1">
        <v>1</v>
      </c>
      <c r="BE199" s="1">
        <v>30</v>
      </c>
      <c r="BF199" s="1">
        <v>60003685</v>
      </c>
      <c r="BG199" s="1">
        <v>1</v>
      </c>
      <c r="BH199" s="1">
        <v>0</v>
      </c>
      <c r="BJ199"/>
      <c r="BK199"/>
      <c r="BL199"/>
      <c r="BM199"/>
      <c r="BN199"/>
      <c r="BO199"/>
      <c r="BP199"/>
      <c r="BQ199"/>
      <c r="BR199"/>
      <c r="BS199"/>
      <c r="BT199"/>
      <c r="BV199" s="1">
        <v>2415296561</v>
      </c>
      <c r="BW199" s="1">
        <v>40</v>
      </c>
      <c r="BX199" s="1">
        <v>124383</v>
      </c>
      <c r="BY199" s="1">
        <v>124383</v>
      </c>
      <c r="BZ199" s="1">
        <v>2576.6999999999998</v>
      </c>
      <c r="CA199" s="1">
        <v>1</v>
      </c>
      <c r="CB199" s="1">
        <v>1</v>
      </c>
      <c r="CC199" s="1">
        <v>90</v>
      </c>
      <c r="CD199" s="1">
        <v>60003760</v>
      </c>
      <c r="CE199" s="1">
        <v>-1</v>
      </c>
      <c r="CF199" s="1">
        <v>0</v>
      </c>
      <c r="CH199" s="1">
        <v>2399113174</v>
      </c>
      <c r="CI199" s="1">
        <v>29668</v>
      </c>
      <c r="CJ199" s="1">
        <v>10</v>
      </c>
      <c r="CK199" s="1">
        <v>1</v>
      </c>
      <c r="CL199" s="1">
        <v>456700000</v>
      </c>
      <c r="CM199" s="1">
        <v>1</v>
      </c>
      <c r="CN199" s="1">
        <v>1</v>
      </c>
      <c r="CO199" s="1">
        <v>90</v>
      </c>
      <c r="CP199" s="1">
        <v>60003760</v>
      </c>
      <c r="CQ199" s="1">
        <v>-1</v>
      </c>
      <c r="CR199" s="1">
        <v>0</v>
      </c>
      <c r="DF199" s="1">
        <v>2415833230</v>
      </c>
      <c r="DG199" s="1">
        <v>17887</v>
      </c>
      <c r="DH199" s="1">
        <v>1000000</v>
      </c>
      <c r="DI199" s="1">
        <v>1000000</v>
      </c>
      <c r="DJ199" s="1">
        <v>901.42</v>
      </c>
      <c r="DK199" s="1">
        <v>1</v>
      </c>
      <c r="DL199" s="1">
        <v>1</v>
      </c>
      <c r="DM199" s="1">
        <v>90</v>
      </c>
      <c r="DN199" s="1">
        <v>60003760</v>
      </c>
      <c r="DO199" s="1">
        <v>-1</v>
      </c>
      <c r="DP199" s="1">
        <v>0</v>
      </c>
      <c r="DR199" s="1">
        <v>2767316893</v>
      </c>
      <c r="DS199" s="1">
        <v>17888</v>
      </c>
      <c r="DT199" s="1">
        <v>211308</v>
      </c>
      <c r="DU199" s="1">
        <v>17007</v>
      </c>
      <c r="DV199" s="1">
        <v>415</v>
      </c>
      <c r="DW199" s="1">
        <v>1</v>
      </c>
      <c r="DX199" s="1">
        <v>0</v>
      </c>
      <c r="DY199" s="1">
        <v>90</v>
      </c>
      <c r="DZ199" s="1">
        <v>60004057</v>
      </c>
      <c r="EA199" s="1">
        <v>32767</v>
      </c>
      <c r="EB199" s="1">
        <v>11</v>
      </c>
      <c r="ED199" s="1">
        <v>1967571013</v>
      </c>
      <c r="EE199" s="1">
        <v>16273</v>
      </c>
      <c r="EF199" s="1">
        <v>1000000</v>
      </c>
      <c r="EG199" s="1">
        <v>829727</v>
      </c>
      <c r="EH199" s="1">
        <v>15.41</v>
      </c>
      <c r="EI199" s="1">
        <v>1</v>
      </c>
      <c r="EJ199" s="1">
        <v>1</v>
      </c>
      <c r="EK199" s="1">
        <v>90</v>
      </c>
      <c r="EL199" s="1">
        <v>60003724</v>
      </c>
      <c r="EM199" s="1">
        <v>10</v>
      </c>
      <c r="EN199" s="1">
        <v>0</v>
      </c>
      <c r="JF199"/>
      <c r="JG199"/>
      <c r="JH199"/>
      <c r="JI199"/>
      <c r="JJ199"/>
      <c r="JK199"/>
      <c r="JL199"/>
      <c r="JM199"/>
      <c r="JN199"/>
      <c r="JO199"/>
      <c r="JP199"/>
      <c r="KD199"/>
      <c r="KE199"/>
      <c r="KF199"/>
      <c r="KG199"/>
      <c r="KH199"/>
      <c r="KI199"/>
      <c r="KJ199"/>
      <c r="KK199"/>
      <c r="KL199"/>
      <c r="KM199"/>
      <c r="KN199"/>
      <c r="LB199"/>
      <c r="LC199"/>
      <c r="LD199"/>
      <c r="LE199"/>
      <c r="LF199"/>
      <c r="LG199"/>
      <c r="LH199"/>
      <c r="LI199"/>
      <c r="LJ199"/>
      <c r="LK199"/>
      <c r="LL199"/>
      <c r="NV199"/>
      <c r="NW199"/>
      <c r="NX199"/>
      <c r="NY199"/>
      <c r="NZ199"/>
      <c r="OA199"/>
      <c r="OB199"/>
      <c r="OC199"/>
      <c r="OD199"/>
      <c r="OE199"/>
      <c r="OF199"/>
      <c r="OH199" s="1">
        <v>2727630271</v>
      </c>
      <c r="OI199" s="1">
        <v>25598</v>
      </c>
      <c r="OJ199" s="1">
        <v>5000</v>
      </c>
      <c r="OK199" s="1">
        <v>3975</v>
      </c>
      <c r="OL199" s="1">
        <v>101000</v>
      </c>
      <c r="OM199" s="1">
        <v>1</v>
      </c>
      <c r="ON199" s="1">
        <v>1</v>
      </c>
      <c r="OO199" s="1">
        <v>90</v>
      </c>
      <c r="OP199" s="1">
        <v>60003760</v>
      </c>
      <c r="OQ199" s="1">
        <v>1</v>
      </c>
      <c r="OR199" s="1">
        <v>0</v>
      </c>
      <c r="SX199" s="1">
        <v>2878765520</v>
      </c>
      <c r="SY199" s="1">
        <v>25595</v>
      </c>
      <c r="SZ199" s="1">
        <v>320</v>
      </c>
      <c r="TA199" s="1">
        <v>275</v>
      </c>
      <c r="TB199" s="1">
        <v>62780.85</v>
      </c>
      <c r="TC199" s="1">
        <v>1</v>
      </c>
      <c r="TD199" s="1">
        <v>1</v>
      </c>
      <c r="TE199" s="1">
        <v>90</v>
      </c>
      <c r="TF199" s="1">
        <v>60003760</v>
      </c>
      <c r="TG199" s="1">
        <v>-1</v>
      </c>
      <c r="TH199" s="1">
        <v>0</v>
      </c>
    </row>
    <row r="200" spans="2:528" x14ac:dyDescent="0.25">
      <c r="B200" s="1">
        <v>2849822466</v>
      </c>
      <c r="C200" s="1">
        <v>34</v>
      </c>
      <c r="D200" s="1">
        <v>10500000</v>
      </c>
      <c r="E200" s="1">
        <v>10500000</v>
      </c>
      <c r="F200" s="1">
        <v>5.99</v>
      </c>
      <c r="G200" s="1">
        <v>1</v>
      </c>
      <c r="H200" s="1">
        <v>0</v>
      </c>
      <c r="I200" s="1">
        <v>90</v>
      </c>
      <c r="J200" s="1">
        <v>60003760</v>
      </c>
      <c r="K200" s="1">
        <v>32767</v>
      </c>
      <c r="L200" s="1">
        <v>0</v>
      </c>
      <c r="N200" s="1">
        <v>2855152013</v>
      </c>
      <c r="O200" s="1">
        <v>35</v>
      </c>
      <c r="P200" s="1">
        <v>505997</v>
      </c>
      <c r="Q200" s="1">
        <v>484310</v>
      </c>
      <c r="R200" s="1">
        <v>15.25</v>
      </c>
      <c r="S200" s="1">
        <v>1</v>
      </c>
      <c r="T200" s="1">
        <v>0</v>
      </c>
      <c r="U200" s="1">
        <v>90</v>
      </c>
      <c r="V200" s="1">
        <v>60002284</v>
      </c>
      <c r="W200" s="1">
        <v>32767</v>
      </c>
      <c r="X200" s="1">
        <v>7</v>
      </c>
      <c r="Z200" s="1">
        <v>2688888284</v>
      </c>
      <c r="AA200" s="1">
        <v>36</v>
      </c>
      <c r="AB200" s="1">
        <v>109483264</v>
      </c>
      <c r="AC200" s="1">
        <v>109483264</v>
      </c>
      <c r="AD200" s="16">
        <v>63.6</v>
      </c>
      <c r="AE200" s="1">
        <v>1</v>
      </c>
      <c r="AF200" s="1">
        <v>0</v>
      </c>
      <c r="AG200" s="1">
        <v>90</v>
      </c>
      <c r="AH200" s="1">
        <v>60003760</v>
      </c>
      <c r="AI200" s="1">
        <v>32767</v>
      </c>
      <c r="AJ200" s="1">
        <v>11</v>
      </c>
      <c r="AL200" s="1">
        <v>2751150266</v>
      </c>
      <c r="AM200" s="1">
        <v>37</v>
      </c>
      <c r="AN200" s="1">
        <v>1764710</v>
      </c>
      <c r="AO200" s="1">
        <v>1764710</v>
      </c>
      <c r="AP200" s="16">
        <v>1</v>
      </c>
      <c r="AQ200" s="1">
        <v>1</v>
      </c>
      <c r="AR200" s="1">
        <v>1</v>
      </c>
      <c r="AS200" s="1">
        <v>90</v>
      </c>
      <c r="AT200" s="1">
        <v>60003760</v>
      </c>
      <c r="AU200" s="1">
        <v>32767</v>
      </c>
      <c r="AV200" s="1">
        <v>0</v>
      </c>
      <c r="AX200" s="1">
        <v>2877391233</v>
      </c>
      <c r="AY200" s="1">
        <v>38</v>
      </c>
      <c r="AZ200" s="1">
        <v>50000</v>
      </c>
      <c r="BA200" s="1">
        <v>49814</v>
      </c>
      <c r="BB200" s="1">
        <v>740</v>
      </c>
      <c r="BC200" s="1">
        <v>1</v>
      </c>
      <c r="BD200" s="1">
        <v>1</v>
      </c>
      <c r="BE200" s="1">
        <v>90</v>
      </c>
      <c r="BF200" s="1">
        <v>60002743</v>
      </c>
      <c r="BG200" s="1">
        <v>1</v>
      </c>
      <c r="BH200" s="1">
        <v>0</v>
      </c>
      <c r="BJ200"/>
      <c r="BK200"/>
      <c r="BL200"/>
      <c r="BM200"/>
      <c r="BN200"/>
      <c r="BO200"/>
      <c r="BP200"/>
      <c r="BQ200"/>
      <c r="BR200"/>
      <c r="BS200"/>
      <c r="BT200"/>
      <c r="BV200" s="1">
        <v>2415327057</v>
      </c>
      <c r="BW200" s="1">
        <v>40</v>
      </c>
      <c r="BX200" s="1">
        <v>450000</v>
      </c>
      <c r="BY200" s="1">
        <v>419650</v>
      </c>
      <c r="BZ200" s="1">
        <v>2580</v>
      </c>
      <c r="CA200" s="1">
        <v>1</v>
      </c>
      <c r="CB200" s="1">
        <v>1</v>
      </c>
      <c r="CC200" s="1">
        <v>90</v>
      </c>
      <c r="CD200" s="1">
        <v>60003760</v>
      </c>
      <c r="CE200" s="1">
        <v>-1</v>
      </c>
      <c r="CF200" s="1">
        <v>0</v>
      </c>
      <c r="CH200" s="1">
        <v>2399113276</v>
      </c>
      <c r="CI200" s="1">
        <v>29668</v>
      </c>
      <c r="CJ200" s="1">
        <v>10</v>
      </c>
      <c r="CK200" s="1">
        <v>10</v>
      </c>
      <c r="CL200" s="1">
        <v>456700000</v>
      </c>
      <c r="CM200" s="1">
        <v>1</v>
      </c>
      <c r="CN200" s="1">
        <v>1</v>
      </c>
      <c r="CO200" s="1">
        <v>90</v>
      </c>
      <c r="CP200" s="1">
        <v>60003760</v>
      </c>
      <c r="CQ200" s="1">
        <v>-1</v>
      </c>
      <c r="CR200" s="1">
        <v>0</v>
      </c>
      <c r="DF200" s="1">
        <v>2415834147</v>
      </c>
      <c r="DG200" s="1">
        <v>17887</v>
      </c>
      <c r="DH200" s="1">
        <v>1000000</v>
      </c>
      <c r="DI200" s="1">
        <v>519100</v>
      </c>
      <c r="DJ200" s="1">
        <v>901.43</v>
      </c>
      <c r="DK200" s="1">
        <v>1</v>
      </c>
      <c r="DL200" s="1">
        <v>1</v>
      </c>
      <c r="DM200" s="1">
        <v>90</v>
      </c>
      <c r="DN200" s="1">
        <v>60003760</v>
      </c>
      <c r="DO200" s="1">
        <v>-1</v>
      </c>
      <c r="DP200" s="1">
        <v>0</v>
      </c>
      <c r="DR200" s="1">
        <v>2767637897</v>
      </c>
      <c r="DS200" s="1">
        <v>17888</v>
      </c>
      <c r="DT200" s="1">
        <v>20583</v>
      </c>
      <c r="DU200" s="1">
        <v>20583</v>
      </c>
      <c r="DV200" s="1">
        <v>415</v>
      </c>
      <c r="DW200" s="1">
        <v>1</v>
      </c>
      <c r="DX200" s="1">
        <v>0</v>
      </c>
      <c r="DY200" s="1">
        <v>90</v>
      </c>
      <c r="DZ200" s="1">
        <v>60004063</v>
      </c>
      <c r="EA200" s="1">
        <v>32767</v>
      </c>
      <c r="EB200" s="1">
        <v>11</v>
      </c>
      <c r="ED200" s="1">
        <v>2859494429</v>
      </c>
      <c r="EE200" s="1">
        <v>16273</v>
      </c>
      <c r="EF200" s="1">
        <v>50000</v>
      </c>
      <c r="EG200" s="1">
        <v>15153</v>
      </c>
      <c r="EH200" s="1">
        <v>314.14999999999998</v>
      </c>
      <c r="EI200" s="1">
        <v>1</v>
      </c>
      <c r="EJ200" s="1">
        <v>1</v>
      </c>
      <c r="EK200" s="1">
        <v>30</v>
      </c>
      <c r="EL200" s="1">
        <v>60002743</v>
      </c>
      <c r="EM200" s="1">
        <v>3</v>
      </c>
      <c r="EN200" s="1">
        <v>0</v>
      </c>
      <c r="JF200"/>
      <c r="JG200"/>
      <c r="JH200"/>
      <c r="JI200"/>
      <c r="JJ200"/>
      <c r="JK200"/>
      <c r="JL200"/>
      <c r="JM200"/>
      <c r="JN200"/>
      <c r="JO200"/>
      <c r="JP200"/>
      <c r="KD200"/>
      <c r="KE200"/>
      <c r="KF200"/>
      <c r="KG200"/>
      <c r="KH200"/>
      <c r="KI200"/>
      <c r="KJ200"/>
      <c r="KK200"/>
      <c r="KL200"/>
      <c r="KM200"/>
      <c r="KN200"/>
      <c r="LB200"/>
      <c r="LC200"/>
      <c r="LD200"/>
      <c r="LE200"/>
      <c r="LF200"/>
      <c r="LG200"/>
      <c r="LH200"/>
      <c r="LI200"/>
      <c r="LJ200"/>
      <c r="LK200"/>
      <c r="LL200"/>
      <c r="NV200"/>
      <c r="NW200"/>
      <c r="NX200"/>
      <c r="NY200"/>
      <c r="NZ200"/>
      <c r="OA200"/>
      <c r="OB200"/>
      <c r="OC200"/>
      <c r="OD200"/>
      <c r="OE200"/>
      <c r="OF200"/>
      <c r="OH200" s="1">
        <v>2722111758</v>
      </c>
      <c r="OI200" s="1">
        <v>25598</v>
      </c>
      <c r="OJ200" s="1">
        <v>10000</v>
      </c>
      <c r="OK200" s="1">
        <v>4543</v>
      </c>
      <c r="OL200" s="1">
        <v>112055.05</v>
      </c>
      <c r="OM200" s="1">
        <v>1</v>
      </c>
      <c r="ON200" s="1">
        <v>1</v>
      </c>
      <c r="OO200" s="1">
        <v>90</v>
      </c>
      <c r="OP200" s="1">
        <v>60003760</v>
      </c>
      <c r="OQ200" s="1">
        <v>-1</v>
      </c>
      <c r="OR200" s="1">
        <v>0</v>
      </c>
      <c r="SX200" s="1">
        <v>2878715956</v>
      </c>
      <c r="SY200" s="1">
        <v>25595</v>
      </c>
      <c r="SZ200" s="1">
        <v>1400</v>
      </c>
      <c r="TA200" s="1">
        <v>1052</v>
      </c>
      <c r="TB200" s="1">
        <v>62780.91</v>
      </c>
      <c r="TC200" s="1">
        <v>1</v>
      </c>
      <c r="TD200" s="1">
        <v>1</v>
      </c>
      <c r="TE200" s="1">
        <v>90</v>
      </c>
      <c r="TF200" s="1">
        <v>60003760</v>
      </c>
      <c r="TG200" s="1">
        <v>-1</v>
      </c>
      <c r="TH200" s="1">
        <v>0</v>
      </c>
    </row>
    <row r="201" spans="2:528" x14ac:dyDescent="0.25">
      <c r="B201" s="1">
        <v>2847147117</v>
      </c>
      <c r="C201" s="1">
        <v>34</v>
      </c>
      <c r="D201" s="1">
        <v>1</v>
      </c>
      <c r="E201" s="1">
        <v>1</v>
      </c>
      <c r="F201" s="1">
        <v>200000</v>
      </c>
      <c r="G201" s="1">
        <v>1</v>
      </c>
      <c r="H201" s="1">
        <v>0</v>
      </c>
      <c r="I201" s="1">
        <v>90</v>
      </c>
      <c r="J201" s="1">
        <v>60003760</v>
      </c>
      <c r="K201" s="1">
        <v>32767</v>
      </c>
      <c r="L201" s="1">
        <v>0</v>
      </c>
      <c r="N201" s="1">
        <v>2856205059</v>
      </c>
      <c r="O201" s="1">
        <v>35</v>
      </c>
      <c r="P201" s="1">
        <v>713648</v>
      </c>
      <c r="Q201" s="1">
        <v>713648</v>
      </c>
      <c r="R201" s="1">
        <v>15.3</v>
      </c>
      <c r="S201" s="1">
        <v>1</v>
      </c>
      <c r="T201" s="1">
        <v>0</v>
      </c>
      <c r="U201" s="1">
        <v>90</v>
      </c>
      <c r="V201" s="1">
        <v>60002284</v>
      </c>
      <c r="W201" s="1">
        <v>32767</v>
      </c>
      <c r="X201" s="1">
        <v>7</v>
      </c>
      <c r="Z201" s="1">
        <v>2685699941</v>
      </c>
      <c r="AA201" s="1">
        <v>36</v>
      </c>
      <c r="AB201" s="1">
        <v>664739</v>
      </c>
      <c r="AC201" s="1">
        <v>664739</v>
      </c>
      <c r="AD201" s="16">
        <v>63.77</v>
      </c>
      <c r="AE201" s="1">
        <v>1</v>
      </c>
      <c r="AF201" s="1">
        <v>0</v>
      </c>
      <c r="AG201" s="1">
        <v>90</v>
      </c>
      <c r="AH201" s="1">
        <v>60003760</v>
      </c>
      <c r="AI201" s="1">
        <v>32767</v>
      </c>
      <c r="AJ201" s="1">
        <v>11</v>
      </c>
      <c r="AL201" s="1">
        <v>2867541152</v>
      </c>
      <c r="AM201" s="1">
        <v>37</v>
      </c>
      <c r="AN201" s="1">
        <v>12500000</v>
      </c>
      <c r="AO201" s="1">
        <v>9665449</v>
      </c>
      <c r="AP201" s="16">
        <v>135</v>
      </c>
      <c r="AQ201" s="1">
        <v>1</v>
      </c>
      <c r="AR201" s="1">
        <v>1</v>
      </c>
      <c r="AS201" s="1">
        <v>90</v>
      </c>
      <c r="AT201" s="1">
        <v>60003757</v>
      </c>
      <c r="AU201" s="1">
        <v>0</v>
      </c>
      <c r="AV201" s="1">
        <v>0</v>
      </c>
      <c r="AX201" s="1">
        <v>2859133955</v>
      </c>
      <c r="AY201" s="1">
        <v>38</v>
      </c>
      <c r="AZ201" s="1">
        <v>100000</v>
      </c>
      <c r="BA201" s="1">
        <v>100000</v>
      </c>
      <c r="BB201" s="1">
        <v>400</v>
      </c>
      <c r="BC201" s="1">
        <v>1</v>
      </c>
      <c r="BD201" s="1">
        <v>1</v>
      </c>
      <c r="BE201" s="1">
        <v>30</v>
      </c>
      <c r="BF201" s="1">
        <v>60000655</v>
      </c>
      <c r="BG201" s="1">
        <v>-1</v>
      </c>
      <c r="BH201" s="1">
        <v>0</v>
      </c>
      <c r="BJ201"/>
      <c r="BK201"/>
      <c r="BL201"/>
      <c r="BM201"/>
      <c r="BN201"/>
      <c r="BO201"/>
      <c r="BP201"/>
      <c r="BQ201"/>
      <c r="BR201"/>
      <c r="BS201"/>
      <c r="BT201"/>
      <c r="BV201" s="1">
        <v>2412227951</v>
      </c>
      <c r="BW201" s="1">
        <v>40</v>
      </c>
      <c r="BX201" s="1">
        <v>1532233</v>
      </c>
      <c r="BY201" s="1">
        <v>1532228</v>
      </c>
      <c r="BZ201" s="1">
        <v>2515.02</v>
      </c>
      <c r="CA201" s="1">
        <v>1</v>
      </c>
      <c r="CB201" s="1">
        <v>1</v>
      </c>
      <c r="CC201" s="1">
        <v>90</v>
      </c>
      <c r="CD201" s="1">
        <v>60003760</v>
      </c>
      <c r="CE201" s="1">
        <v>-1</v>
      </c>
      <c r="CF201" s="1">
        <v>0</v>
      </c>
      <c r="CH201" s="1">
        <v>2399113388</v>
      </c>
      <c r="CI201" s="1">
        <v>29668</v>
      </c>
      <c r="CJ201" s="1">
        <v>10</v>
      </c>
      <c r="CK201" s="1">
        <v>10</v>
      </c>
      <c r="CL201" s="1">
        <v>450501000.01999998</v>
      </c>
      <c r="CM201" s="1">
        <v>1</v>
      </c>
      <c r="CN201" s="1">
        <v>1</v>
      </c>
      <c r="CO201" s="1">
        <v>90</v>
      </c>
      <c r="CP201" s="1">
        <v>60003760</v>
      </c>
      <c r="CQ201" s="1">
        <v>-1</v>
      </c>
      <c r="CR201" s="1">
        <v>0</v>
      </c>
      <c r="DR201" s="1">
        <v>2774748475</v>
      </c>
      <c r="DS201" s="1">
        <v>17888</v>
      </c>
      <c r="DT201" s="1">
        <v>2194453</v>
      </c>
      <c r="DU201" s="1">
        <v>1944453</v>
      </c>
      <c r="DV201" s="1">
        <v>412</v>
      </c>
      <c r="DW201" s="1">
        <v>1</v>
      </c>
      <c r="DX201" s="1">
        <v>0</v>
      </c>
      <c r="DY201" s="1">
        <v>90</v>
      </c>
      <c r="DZ201" s="1">
        <v>60004057</v>
      </c>
      <c r="EA201" s="1">
        <v>32767</v>
      </c>
      <c r="EB201" s="1">
        <v>11</v>
      </c>
      <c r="ED201" s="1">
        <v>2863961212</v>
      </c>
      <c r="EE201" s="1">
        <v>16273</v>
      </c>
      <c r="EF201" s="1">
        <v>300000</v>
      </c>
      <c r="EG201" s="1">
        <v>283977</v>
      </c>
      <c r="EH201" s="1">
        <v>304.14</v>
      </c>
      <c r="EI201" s="1">
        <v>1</v>
      </c>
      <c r="EJ201" s="1">
        <v>1</v>
      </c>
      <c r="EK201" s="1">
        <v>90</v>
      </c>
      <c r="EL201" s="1">
        <v>60003034</v>
      </c>
      <c r="EM201" s="1">
        <v>0</v>
      </c>
      <c r="EN201" s="1">
        <v>0</v>
      </c>
      <c r="JF201"/>
      <c r="JG201"/>
      <c r="JH201"/>
      <c r="JI201"/>
      <c r="JJ201"/>
      <c r="JK201"/>
      <c r="JL201"/>
      <c r="JM201"/>
      <c r="JN201"/>
      <c r="JO201"/>
      <c r="JP201"/>
      <c r="KD201"/>
      <c r="KE201"/>
      <c r="KF201"/>
      <c r="KG201"/>
      <c r="KH201"/>
      <c r="KI201"/>
      <c r="KJ201"/>
      <c r="KK201"/>
      <c r="KL201"/>
      <c r="KM201"/>
      <c r="KN201"/>
      <c r="LB201"/>
      <c r="LC201"/>
      <c r="LD201"/>
      <c r="LE201"/>
      <c r="LF201"/>
      <c r="LG201"/>
      <c r="LH201"/>
      <c r="LI201"/>
      <c r="LJ201"/>
      <c r="LK201"/>
      <c r="LL201"/>
      <c r="NV201"/>
      <c r="NW201"/>
      <c r="NX201"/>
      <c r="NY201"/>
      <c r="NZ201"/>
      <c r="OA201"/>
      <c r="OB201"/>
      <c r="OC201"/>
      <c r="OD201"/>
      <c r="OE201"/>
      <c r="OF201"/>
      <c r="OH201" s="1">
        <v>2703702418</v>
      </c>
      <c r="OI201" s="1">
        <v>25598</v>
      </c>
      <c r="OJ201" s="1">
        <v>3000</v>
      </c>
      <c r="OK201" s="1">
        <v>967</v>
      </c>
      <c r="OL201" s="1">
        <v>95200.03</v>
      </c>
      <c r="OM201" s="1">
        <v>1</v>
      </c>
      <c r="ON201" s="1">
        <v>1</v>
      </c>
      <c r="OO201" s="1">
        <v>90</v>
      </c>
      <c r="OP201" s="1">
        <v>60003760</v>
      </c>
      <c r="OQ201" s="1">
        <v>32767</v>
      </c>
      <c r="OR201" s="1">
        <v>0</v>
      </c>
      <c r="SX201" s="1">
        <v>2877732059</v>
      </c>
      <c r="SY201" s="1">
        <v>25595</v>
      </c>
      <c r="SZ201" s="1">
        <v>2500</v>
      </c>
      <c r="TA201" s="1">
        <v>568</v>
      </c>
      <c r="TB201" s="1">
        <v>62780.959999999999</v>
      </c>
      <c r="TC201" s="1">
        <v>1</v>
      </c>
      <c r="TD201" s="1">
        <v>1</v>
      </c>
      <c r="TE201" s="1">
        <v>90</v>
      </c>
      <c r="TF201" s="1">
        <v>60003760</v>
      </c>
      <c r="TG201" s="1">
        <v>-1</v>
      </c>
      <c r="TH201" s="1">
        <v>0</v>
      </c>
    </row>
    <row r="202" spans="2:528" x14ac:dyDescent="0.25">
      <c r="B202" s="1">
        <v>2846948378</v>
      </c>
      <c r="C202" s="1">
        <v>34</v>
      </c>
      <c r="D202" s="1">
        <v>8667098</v>
      </c>
      <c r="E202" s="1">
        <v>8667098</v>
      </c>
      <c r="F202" s="1">
        <v>5.92</v>
      </c>
      <c r="G202" s="1">
        <v>1</v>
      </c>
      <c r="H202" s="1">
        <v>0</v>
      </c>
      <c r="I202" s="1">
        <v>90</v>
      </c>
      <c r="J202" s="1">
        <v>60003760</v>
      </c>
      <c r="K202" s="1">
        <v>32767</v>
      </c>
      <c r="L202" s="1">
        <v>0</v>
      </c>
      <c r="N202" s="1">
        <v>2849462510</v>
      </c>
      <c r="O202" s="1">
        <v>35</v>
      </c>
      <c r="P202" s="1">
        <v>1908910</v>
      </c>
      <c r="Q202" s="1">
        <v>1908910</v>
      </c>
      <c r="R202" s="1">
        <v>15.49</v>
      </c>
      <c r="S202" s="1">
        <v>1</v>
      </c>
      <c r="T202" s="1">
        <v>0</v>
      </c>
      <c r="U202" s="1">
        <v>90</v>
      </c>
      <c r="V202" s="1">
        <v>60002284</v>
      </c>
      <c r="W202" s="1">
        <v>32767</v>
      </c>
      <c r="X202" s="1">
        <v>7</v>
      </c>
      <c r="Z202" s="1">
        <v>2751036780</v>
      </c>
      <c r="AA202" s="1">
        <v>36</v>
      </c>
      <c r="AB202" s="1">
        <v>15914456</v>
      </c>
      <c r="AC202" s="1">
        <v>15914456</v>
      </c>
      <c r="AD202" s="16">
        <v>59.38</v>
      </c>
      <c r="AE202" s="1">
        <v>1</v>
      </c>
      <c r="AF202" s="1">
        <v>0</v>
      </c>
      <c r="AG202" s="1">
        <v>90</v>
      </c>
      <c r="AH202" s="1">
        <v>60003760</v>
      </c>
      <c r="AI202" s="1">
        <v>32767</v>
      </c>
      <c r="AJ202" s="1">
        <v>11</v>
      </c>
      <c r="AL202" s="1">
        <v>2870830258</v>
      </c>
      <c r="AM202" s="1">
        <v>37</v>
      </c>
      <c r="AN202" s="1">
        <v>1000000</v>
      </c>
      <c r="AO202" s="1">
        <v>1000000</v>
      </c>
      <c r="AP202" s="16">
        <v>110</v>
      </c>
      <c r="AQ202" s="1">
        <v>1</v>
      </c>
      <c r="AR202" s="1">
        <v>1</v>
      </c>
      <c r="AS202" s="1">
        <v>30</v>
      </c>
      <c r="AT202" s="1">
        <v>60003760</v>
      </c>
      <c r="AU202" s="1">
        <v>5</v>
      </c>
      <c r="AV202" s="1">
        <v>0</v>
      </c>
      <c r="AX202" s="1">
        <v>2742993752</v>
      </c>
      <c r="AY202" s="1">
        <v>38</v>
      </c>
      <c r="AZ202" s="1">
        <v>100000</v>
      </c>
      <c r="BA202" s="1">
        <v>100000</v>
      </c>
      <c r="BB202" s="1">
        <v>671</v>
      </c>
      <c r="BC202" s="1">
        <v>1</v>
      </c>
      <c r="BD202" s="1">
        <v>1</v>
      </c>
      <c r="BE202" s="1">
        <v>90</v>
      </c>
      <c r="BF202" s="1">
        <v>60003937</v>
      </c>
      <c r="BG202" s="1">
        <v>-1</v>
      </c>
      <c r="BH202" s="1">
        <v>0</v>
      </c>
      <c r="BJ202"/>
      <c r="BK202"/>
      <c r="BL202"/>
      <c r="BM202"/>
      <c r="BN202"/>
      <c r="BO202"/>
      <c r="BP202"/>
      <c r="BQ202"/>
      <c r="BR202"/>
      <c r="BS202"/>
      <c r="BT202"/>
      <c r="BV202" s="1">
        <v>2415373139</v>
      </c>
      <c r="BW202" s="1">
        <v>40</v>
      </c>
      <c r="BX202" s="1">
        <v>10000</v>
      </c>
      <c r="BY202" s="1">
        <v>10000</v>
      </c>
      <c r="BZ202" s="1">
        <v>2549</v>
      </c>
      <c r="CA202" s="1">
        <v>1</v>
      </c>
      <c r="CB202" s="1">
        <v>1</v>
      </c>
      <c r="CC202" s="1">
        <v>90</v>
      </c>
      <c r="CD202" s="1">
        <v>60013147</v>
      </c>
      <c r="CE202" s="1">
        <v>0</v>
      </c>
      <c r="CF202" s="1">
        <v>0</v>
      </c>
      <c r="CH202" s="1">
        <v>2399113481</v>
      </c>
      <c r="CI202" s="1">
        <v>29668</v>
      </c>
      <c r="CJ202" s="1">
        <v>10</v>
      </c>
      <c r="CK202" s="1">
        <v>10</v>
      </c>
      <c r="CL202" s="1">
        <v>450501000.01999998</v>
      </c>
      <c r="CM202" s="1">
        <v>1</v>
      </c>
      <c r="CN202" s="1">
        <v>1</v>
      </c>
      <c r="CO202" s="1">
        <v>90</v>
      </c>
      <c r="CP202" s="1">
        <v>60003760</v>
      </c>
      <c r="CQ202" s="1">
        <v>-1</v>
      </c>
      <c r="CR202" s="1">
        <v>0</v>
      </c>
      <c r="DR202" s="1">
        <v>2774748290</v>
      </c>
      <c r="DS202" s="1">
        <v>17888</v>
      </c>
      <c r="DT202" s="1">
        <v>46942</v>
      </c>
      <c r="DU202" s="1">
        <v>46942</v>
      </c>
      <c r="DV202" s="1">
        <v>410</v>
      </c>
      <c r="DW202" s="1">
        <v>1</v>
      </c>
      <c r="DX202" s="1">
        <v>0</v>
      </c>
      <c r="DY202" s="1">
        <v>90</v>
      </c>
      <c r="DZ202" s="1">
        <v>60003364</v>
      </c>
      <c r="EA202" s="1">
        <v>32767</v>
      </c>
      <c r="EB202" s="1">
        <v>11</v>
      </c>
      <c r="ED202" s="1">
        <v>2745756634</v>
      </c>
      <c r="EE202" s="1">
        <v>16273</v>
      </c>
      <c r="EF202" s="1">
        <v>100000</v>
      </c>
      <c r="EG202" s="1">
        <v>73346</v>
      </c>
      <c r="EH202" s="1">
        <v>304.01</v>
      </c>
      <c r="EI202" s="1">
        <v>1</v>
      </c>
      <c r="EJ202" s="1">
        <v>1</v>
      </c>
      <c r="EK202" s="1">
        <v>90</v>
      </c>
      <c r="EL202" s="1">
        <v>60002434</v>
      </c>
      <c r="EM202" s="1">
        <v>-1</v>
      </c>
      <c r="EN202" s="1">
        <v>0</v>
      </c>
      <c r="JF202"/>
      <c r="JG202"/>
      <c r="JH202"/>
      <c r="JI202"/>
      <c r="JJ202"/>
      <c r="JK202"/>
      <c r="JL202"/>
      <c r="JM202"/>
      <c r="JN202"/>
      <c r="JO202"/>
      <c r="JP202"/>
      <c r="KD202"/>
      <c r="KE202"/>
      <c r="KF202"/>
      <c r="KG202"/>
      <c r="KH202"/>
      <c r="KI202"/>
      <c r="KJ202"/>
      <c r="KK202"/>
      <c r="KL202"/>
      <c r="KM202"/>
      <c r="KN202"/>
      <c r="NV202"/>
      <c r="NW202"/>
      <c r="NX202"/>
      <c r="NY202"/>
      <c r="NZ202"/>
      <c r="OA202"/>
      <c r="OB202"/>
      <c r="OC202"/>
      <c r="OD202"/>
      <c r="OE202"/>
      <c r="OF202"/>
      <c r="OH202" s="1">
        <v>2867832576</v>
      </c>
      <c r="OI202" s="1">
        <v>25598</v>
      </c>
      <c r="OJ202" s="1">
        <v>5000</v>
      </c>
      <c r="OK202" s="1">
        <v>5000</v>
      </c>
      <c r="OL202" s="1">
        <v>1</v>
      </c>
      <c r="OM202" s="1">
        <v>1</v>
      </c>
      <c r="ON202" s="1">
        <v>1</v>
      </c>
      <c r="OO202" s="1">
        <v>30</v>
      </c>
      <c r="OP202" s="1">
        <v>60003760</v>
      </c>
      <c r="OQ202" s="1">
        <v>-1</v>
      </c>
      <c r="OR202" s="1">
        <v>0</v>
      </c>
      <c r="SX202" s="1">
        <v>2878857851</v>
      </c>
      <c r="SY202" s="1">
        <v>25595</v>
      </c>
      <c r="SZ202" s="1">
        <v>5000</v>
      </c>
      <c r="TA202" s="1">
        <v>3981</v>
      </c>
      <c r="TB202" s="1">
        <v>62781</v>
      </c>
      <c r="TC202" s="1">
        <v>1</v>
      </c>
      <c r="TD202" s="1">
        <v>1</v>
      </c>
      <c r="TE202" s="1">
        <v>90</v>
      </c>
      <c r="TF202" s="1">
        <v>60003760</v>
      </c>
      <c r="TG202" s="1">
        <v>-1</v>
      </c>
      <c r="TH202" s="1">
        <v>0</v>
      </c>
    </row>
    <row r="203" spans="2:528" x14ac:dyDescent="0.25">
      <c r="B203" s="1">
        <v>2846964982</v>
      </c>
      <c r="C203" s="1">
        <v>34</v>
      </c>
      <c r="D203" s="1">
        <v>241644803</v>
      </c>
      <c r="E203" s="1">
        <v>241644803</v>
      </c>
      <c r="F203" s="1">
        <v>6</v>
      </c>
      <c r="G203" s="1">
        <v>1</v>
      </c>
      <c r="H203" s="1">
        <v>0</v>
      </c>
      <c r="I203" s="1">
        <v>90</v>
      </c>
      <c r="J203" s="1">
        <v>60003760</v>
      </c>
      <c r="K203" s="1">
        <v>32767</v>
      </c>
      <c r="L203" s="1">
        <v>0</v>
      </c>
      <c r="N203" s="1">
        <v>2850016258</v>
      </c>
      <c r="O203" s="1">
        <v>35</v>
      </c>
      <c r="P203" s="1">
        <v>63047</v>
      </c>
      <c r="Q203" s="1">
        <v>63047</v>
      </c>
      <c r="R203" s="1">
        <v>15.5</v>
      </c>
      <c r="S203" s="1">
        <v>1</v>
      </c>
      <c r="T203" s="1">
        <v>0</v>
      </c>
      <c r="U203" s="1">
        <v>90</v>
      </c>
      <c r="V203" s="1">
        <v>60002284</v>
      </c>
      <c r="W203" s="1">
        <v>32767</v>
      </c>
      <c r="X203" s="1">
        <v>7</v>
      </c>
      <c r="Z203" s="1">
        <v>2751259752</v>
      </c>
      <c r="AA203" s="1">
        <v>36</v>
      </c>
      <c r="AB203" s="1">
        <v>1221216</v>
      </c>
      <c r="AC203" s="1">
        <v>699073</v>
      </c>
      <c r="AD203" s="16">
        <v>59.3</v>
      </c>
      <c r="AE203" s="1">
        <v>1</v>
      </c>
      <c r="AF203" s="1">
        <v>0</v>
      </c>
      <c r="AG203" s="1">
        <v>90</v>
      </c>
      <c r="AH203" s="1">
        <v>60003760</v>
      </c>
      <c r="AI203" s="1">
        <v>32767</v>
      </c>
      <c r="AJ203" s="1">
        <v>11</v>
      </c>
      <c r="AL203" s="1">
        <v>2874188023</v>
      </c>
      <c r="AM203" s="1">
        <v>37</v>
      </c>
      <c r="AN203" s="1">
        <v>980000</v>
      </c>
      <c r="AO203" s="1">
        <v>332524</v>
      </c>
      <c r="AP203" s="16">
        <v>139.28</v>
      </c>
      <c r="AQ203" s="1">
        <v>1</v>
      </c>
      <c r="AR203" s="1">
        <v>1</v>
      </c>
      <c r="AS203" s="1">
        <v>90</v>
      </c>
      <c r="AT203" s="1">
        <v>60003760</v>
      </c>
      <c r="AU203" s="1">
        <v>-1</v>
      </c>
      <c r="AV203" s="1">
        <v>0</v>
      </c>
      <c r="AX203" s="1">
        <v>2856547549</v>
      </c>
      <c r="AY203" s="1">
        <v>38</v>
      </c>
      <c r="AZ203" s="1">
        <v>2000000</v>
      </c>
      <c r="BA203" s="1">
        <v>1999138</v>
      </c>
      <c r="BB203" s="1">
        <v>728.14</v>
      </c>
      <c r="BC203" s="1">
        <v>1</v>
      </c>
      <c r="BD203" s="1">
        <v>1</v>
      </c>
      <c r="BE203" s="1">
        <v>90</v>
      </c>
      <c r="BF203" s="1">
        <v>60002431</v>
      </c>
      <c r="BG203" s="1">
        <v>5</v>
      </c>
      <c r="BH203" s="1">
        <v>0</v>
      </c>
      <c r="BJ203"/>
      <c r="BK203"/>
      <c r="BL203"/>
      <c r="BM203"/>
      <c r="BN203"/>
      <c r="BO203"/>
      <c r="BP203"/>
      <c r="BQ203"/>
      <c r="BR203"/>
      <c r="BS203"/>
      <c r="BT203"/>
      <c r="BV203" s="1">
        <v>2415411224</v>
      </c>
      <c r="BW203" s="1">
        <v>40</v>
      </c>
      <c r="BX203" s="1">
        <v>547</v>
      </c>
      <c r="BY203" s="1">
        <v>547</v>
      </c>
      <c r="BZ203" s="1">
        <v>2580.5100000000002</v>
      </c>
      <c r="CA203" s="1">
        <v>1</v>
      </c>
      <c r="CB203" s="1">
        <v>1</v>
      </c>
      <c r="CC203" s="1">
        <v>90</v>
      </c>
      <c r="CD203" s="1">
        <v>60003760</v>
      </c>
      <c r="CE203" s="1">
        <v>-1</v>
      </c>
      <c r="CF203" s="1">
        <v>0</v>
      </c>
      <c r="CH203" s="1">
        <v>2399113754</v>
      </c>
      <c r="CI203" s="1">
        <v>29668</v>
      </c>
      <c r="CJ203" s="1">
        <v>10</v>
      </c>
      <c r="CK203" s="1">
        <v>9</v>
      </c>
      <c r="CL203" s="1">
        <v>463000000</v>
      </c>
      <c r="CM203" s="1">
        <v>1</v>
      </c>
      <c r="CN203" s="1">
        <v>1</v>
      </c>
      <c r="CO203" s="1">
        <v>90</v>
      </c>
      <c r="CP203" s="1">
        <v>60003760</v>
      </c>
      <c r="CQ203" s="1">
        <v>-1</v>
      </c>
      <c r="CR203" s="1">
        <v>0</v>
      </c>
      <c r="DR203" s="1">
        <v>2774748382</v>
      </c>
      <c r="DS203" s="1">
        <v>17888</v>
      </c>
      <c r="DT203" s="1">
        <v>123775</v>
      </c>
      <c r="DU203" s="1">
        <v>123775</v>
      </c>
      <c r="DV203" s="1">
        <v>410</v>
      </c>
      <c r="DW203" s="1">
        <v>1</v>
      </c>
      <c r="DX203" s="1">
        <v>0</v>
      </c>
      <c r="DY203" s="1">
        <v>90</v>
      </c>
      <c r="DZ203" s="1">
        <v>60004063</v>
      </c>
      <c r="EA203" s="1">
        <v>32767</v>
      </c>
      <c r="EB203" s="1">
        <v>11</v>
      </c>
      <c r="ED203" s="1">
        <v>2813008754</v>
      </c>
      <c r="EE203" s="1">
        <v>16273</v>
      </c>
      <c r="EF203" s="1">
        <v>60000</v>
      </c>
      <c r="EG203" s="1">
        <v>49488</v>
      </c>
      <c r="EH203" s="1">
        <v>340</v>
      </c>
      <c r="EI203" s="1">
        <v>1</v>
      </c>
      <c r="EJ203" s="1">
        <v>1</v>
      </c>
      <c r="EK203" s="1">
        <v>90</v>
      </c>
      <c r="EL203" s="1">
        <v>60012718</v>
      </c>
      <c r="EM203" s="1">
        <v>-1</v>
      </c>
      <c r="EN203" s="1">
        <v>0</v>
      </c>
      <c r="JF203"/>
      <c r="JG203"/>
      <c r="JH203"/>
      <c r="JI203"/>
      <c r="JJ203"/>
      <c r="JK203"/>
      <c r="JL203"/>
      <c r="JM203"/>
      <c r="JN203"/>
      <c r="JO203"/>
      <c r="JP203"/>
      <c r="NV203"/>
      <c r="NW203"/>
      <c r="NX203"/>
      <c r="NY203"/>
      <c r="NZ203"/>
      <c r="OA203"/>
      <c r="OB203"/>
      <c r="OC203"/>
      <c r="OD203"/>
      <c r="OE203"/>
      <c r="OF203"/>
      <c r="OH203" s="1">
        <v>2867832830</v>
      </c>
      <c r="OI203" s="1">
        <v>25598</v>
      </c>
      <c r="OJ203" s="1">
        <v>5000</v>
      </c>
      <c r="OK203" s="1">
        <v>5000</v>
      </c>
      <c r="OL203" s="1">
        <v>1</v>
      </c>
      <c r="OM203" s="1">
        <v>1</v>
      </c>
      <c r="ON203" s="1">
        <v>1</v>
      </c>
      <c r="OO203" s="1">
        <v>30</v>
      </c>
      <c r="OP203" s="1">
        <v>60003760</v>
      </c>
      <c r="OQ203" s="1">
        <v>-1</v>
      </c>
      <c r="OR203" s="1">
        <v>0</v>
      </c>
      <c r="SX203" s="1">
        <v>2878905800</v>
      </c>
      <c r="SY203" s="1">
        <v>25595</v>
      </c>
      <c r="SZ203" s="1">
        <v>8000</v>
      </c>
      <c r="TA203" s="1">
        <v>7653</v>
      </c>
      <c r="TB203" s="1">
        <v>62781.13</v>
      </c>
      <c r="TC203" s="1">
        <v>1</v>
      </c>
      <c r="TD203" s="1">
        <v>1</v>
      </c>
      <c r="TE203" s="1">
        <v>1</v>
      </c>
      <c r="TF203" s="1">
        <v>60003760</v>
      </c>
      <c r="TG203" s="1">
        <v>-1</v>
      </c>
      <c r="TH203" s="1">
        <v>0</v>
      </c>
    </row>
    <row r="204" spans="2:528" x14ac:dyDescent="0.25">
      <c r="B204" s="1">
        <v>2847301254</v>
      </c>
      <c r="C204" s="1">
        <v>34</v>
      </c>
      <c r="D204" s="1">
        <v>93393468</v>
      </c>
      <c r="E204" s="1">
        <v>93393468</v>
      </c>
      <c r="F204" s="1">
        <v>6.03</v>
      </c>
      <c r="G204" s="1">
        <v>1</v>
      </c>
      <c r="H204" s="1">
        <v>0</v>
      </c>
      <c r="I204" s="1">
        <v>90</v>
      </c>
      <c r="J204" s="1">
        <v>60003760</v>
      </c>
      <c r="K204" s="1">
        <v>32767</v>
      </c>
      <c r="L204" s="1">
        <v>0</v>
      </c>
      <c r="N204" s="1">
        <v>2845124106</v>
      </c>
      <c r="O204" s="1">
        <v>35</v>
      </c>
      <c r="P204" s="1">
        <v>712180</v>
      </c>
      <c r="Q204" s="1">
        <v>712180</v>
      </c>
      <c r="R204" s="1">
        <v>15.5</v>
      </c>
      <c r="S204" s="1">
        <v>1</v>
      </c>
      <c r="T204" s="1">
        <v>0</v>
      </c>
      <c r="U204" s="1">
        <v>90</v>
      </c>
      <c r="V204" s="1">
        <v>60002284</v>
      </c>
      <c r="W204" s="1">
        <v>32767</v>
      </c>
      <c r="X204" s="1">
        <v>7</v>
      </c>
      <c r="Z204" s="1">
        <v>2751370322</v>
      </c>
      <c r="AA204" s="1">
        <v>36</v>
      </c>
      <c r="AB204" s="1">
        <v>806636</v>
      </c>
      <c r="AC204" s="1">
        <v>806636</v>
      </c>
      <c r="AD204" s="16">
        <v>59.84</v>
      </c>
      <c r="AE204" s="1">
        <v>1</v>
      </c>
      <c r="AF204" s="1">
        <v>0</v>
      </c>
      <c r="AG204" s="1">
        <v>90</v>
      </c>
      <c r="AH204" s="1">
        <v>60003760</v>
      </c>
      <c r="AI204" s="1">
        <v>32767</v>
      </c>
      <c r="AJ204" s="1">
        <v>11</v>
      </c>
      <c r="AL204" s="1">
        <v>2874102750</v>
      </c>
      <c r="AM204" s="1">
        <v>37</v>
      </c>
      <c r="AN204" s="1">
        <v>2000000</v>
      </c>
      <c r="AO204" s="1">
        <v>1889250</v>
      </c>
      <c r="AP204" s="16">
        <v>136.78</v>
      </c>
      <c r="AQ204" s="1">
        <v>1</v>
      </c>
      <c r="AR204" s="1">
        <v>1</v>
      </c>
      <c r="AS204" s="1">
        <v>90</v>
      </c>
      <c r="AT204" s="1">
        <v>60003760</v>
      </c>
      <c r="AU204" s="1">
        <v>-1</v>
      </c>
      <c r="AV204" s="1">
        <v>0</v>
      </c>
      <c r="AX204" s="1">
        <v>2878306065</v>
      </c>
      <c r="AY204" s="1">
        <v>38</v>
      </c>
      <c r="AZ204" s="1">
        <v>250000</v>
      </c>
      <c r="BA204" s="1">
        <v>249164</v>
      </c>
      <c r="BB204" s="1">
        <v>800</v>
      </c>
      <c r="BC204" s="1">
        <v>1</v>
      </c>
      <c r="BD204" s="1">
        <v>1</v>
      </c>
      <c r="BE204" s="1">
        <v>90</v>
      </c>
      <c r="BF204" s="1">
        <v>60003037</v>
      </c>
      <c r="BG204" s="1">
        <v>-1</v>
      </c>
      <c r="BH204" s="1">
        <v>0</v>
      </c>
      <c r="BJ204"/>
      <c r="BK204"/>
      <c r="BL204"/>
      <c r="BM204"/>
      <c r="BN204"/>
      <c r="BO204"/>
      <c r="BP204"/>
      <c r="BQ204"/>
      <c r="BR204"/>
      <c r="BS204"/>
      <c r="BT204"/>
      <c r="BV204" s="1">
        <v>2415434871</v>
      </c>
      <c r="BW204" s="1">
        <v>40</v>
      </c>
      <c r="BX204" s="1">
        <v>1409</v>
      </c>
      <c r="BY204" s="1">
        <v>304</v>
      </c>
      <c r="BZ204" s="1">
        <v>2580.65</v>
      </c>
      <c r="CA204" s="1">
        <v>1</v>
      </c>
      <c r="CB204" s="1">
        <v>1</v>
      </c>
      <c r="CC204" s="1">
        <v>90</v>
      </c>
      <c r="CD204" s="1">
        <v>60003760</v>
      </c>
      <c r="CE204" s="1">
        <v>3</v>
      </c>
      <c r="CF204" s="1">
        <v>0</v>
      </c>
      <c r="CH204" s="1">
        <v>2399113903</v>
      </c>
      <c r="CI204" s="1">
        <v>29668</v>
      </c>
      <c r="CJ204" s="1">
        <v>10</v>
      </c>
      <c r="CK204" s="1">
        <v>4</v>
      </c>
      <c r="CL204" s="1">
        <v>456700000</v>
      </c>
      <c r="CM204" s="1">
        <v>1</v>
      </c>
      <c r="CN204" s="1">
        <v>1</v>
      </c>
      <c r="CO204" s="1">
        <v>90</v>
      </c>
      <c r="CP204" s="1">
        <v>60003760</v>
      </c>
      <c r="CQ204" s="1">
        <v>-1</v>
      </c>
      <c r="CR204" s="1">
        <v>0</v>
      </c>
      <c r="DR204" s="1">
        <v>2858690042</v>
      </c>
      <c r="DS204" s="1">
        <v>17888</v>
      </c>
      <c r="DT204" s="1">
        <v>1703355</v>
      </c>
      <c r="DU204" s="1">
        <v>558002</v>
      </c>
      <c r="DV204" s="1">
        <v>344</v>
      </c>
      <c r="DW204" s="1">
        <v>1</v>
      </c>
      <c r="DX204" s="1">
        <v>0</v>
      </c>
      <c r="DY204" s="1">
        <v>90</v>
      </c>
      <c r="DZ204" s="1">
        <v>60004057</v>
      </c>
      <c r="EA204" s="1">
        <v>32767</v>
      </c>
      <c r="EB204" s="1">
        <v>11</v>
      </c>
      <c r="ED204" s="1">
        <v>2851482723</v>
      </c>
      <c r="EE204" s="1">
        <v>16273</v>
      </c>
      <c r="EF204" s="1">
        <v>500000</v>
      </c>
      <c r="EG204" s="1">
        <v>425240</v>
      </c>
      <c r="EH204" s="1">
        <v>305.13</v>
      </c>
      <c r="EI204" s="1">
        <v>1</v>
      </c>
      <c r="EJ204" s="1">
        <v>1</v>
      </c>
      <c r="EK204" s="1">
        <v>90</v>
      </c>
      <c r="EL204" s="1">
        <v>60004057</v>
      </c>
      <c r="EM204" s="1">
        <v>2</v>
      </c>
      <c r="EN204" s="1">
        <v>0</v>
      </c>
      <c r="JF204"/>
      <c r="JG204"/>
      <c r="JH204"/>
      <c r="JI204"/>
      <c r="JJ204"/>
      <c r="JK204"/>
      <c r="JL204"/>
      <c r="JM204"/>
      <c r="JN204"/>
      <c r="JO204"/>
      <c r="JP204"/>
      <c r="NV204"/>
      <c r="NW204"/>
      <c r="NX204"/>
      <c r="NY204"/>
      <c r="NZ204"/>
      <c r="OA204"/>
      <c r="OB204"/>
      <c r="OC204"/>
      <c r="OD204"/>
      <c r="OE204"/>
      <c r="OF204"/>
      <c r="OH204" s="1">
        <v>2864959135</v>
      </c>
      <c r="OI204" s="1">
        <v>25598</v>
      </c>
      <c r="OJ204" s="1">
        <v>10000</v>
      </c>
      <c r="OK204" s="1">
        <v>3378</v>
      </c>
      <c r="OL204" s="1">
        <v>125116.01</v>
      </c>
      <c r="OM204" s="1">
        <v>1</v>
      </c>
      <c r="ON204" s="1">
        <v>1</v>
      </c>
      <c r="OO204" s="1">
        <v>90</v>
      </c>
      <c r="OP204" s="1">
        <v>60003760</v>
      </c>
      <c r="OQ204" s="1">
        <v>5</v>
      </c>
      <c r="OR204" s="1">
        <v>0</v>
      </c>
      <c r="SX204" s="1">
        <v>2878857315</v>
      </c>
      <c r="SY204" s="1">
        <v>25595</v>
      </c>
      <c r="SZ204" s="1">
        <v>2720</v>
      </c>
      <c r="TA204" s="1">
        <v>1467</v>
      </c>
      <c r="TB204" s="1">
        <v>62781.14</v>
      </c>
      <c r="TC204" s="1">
        <v>1</v>
      </c>
      <c r="TD204" s="1">
        <v>1</v>
      </c>
      <c r="TE204" s="1">
        <v>30</v>
      </c>
      <c r="TF204" s="1">
        <v>60003760</v>
      </c>
      <c r="TG204" s="1">
        <v>-1</v>
      </c>
      <c r="TH204" s="1">
        <v>0</v>
      </c>
    </row>
    <row r="205" spans="2:528" x14ac:dyDescent="0.25">
      <c r="B205" s="1">
        <v>2847563741</v>
      </c>
      <c r="C205" s="1">
        <v>34</v>
      </c>
      <c r="D205" s="1">
        <v>39862768</v>
      </c>
      <c r="E205" s="1">
        <v>39862768</v>
      </c>
      <c r="F205" s="1">
        <v>5.96</v>
      </c>
      <c r="G205" s="1">
        <v>1</v>
      </c>
      <c r="H205" s="1">
        <v>0</v>
      </c>
      <c r="I205" s="1">
        <v>90</v>
      </c>
      <c r="J205" s="1">
        <v>60003760</v>
      </c>
      <c r="K205" s="1">
        <v>32767</v>
      </c>
      <c r="L205" s="1">
        <v>0</v>
      </c>
      <c r="N205" s="1">
        <v>2843779624</v>
      </c>
      <c r="O205" s="1">
        <v>35</v>
      </c>
      <c r="P205" s="1">
        <v>649370</v>
      </c>
      <c r="Q205" s="1">
        <v>633946</v>
      </c>
      <c r="R205" s="1">
        <v>15.5</v>
      </c>
      <c r="S205" s="1">
        <v>1</v>
      </c>
      <c r="T205" s="1">
        <v>0</v>
      </c>
      <c r="U205" s="1">
        <v>90</v>
      </c>
      <c r="V205" s="1">
        <v>60002284</v>
      </c>
      <c r="W205" s="1">
        <v>32767</v>
      </c>
      <c r="X205" s="1">
        <v>7</v>
      </c>
      <c r="Z205" s="1">
        <v>2751345221</v>
      </c>
      <c r="AA205" s="1">
        <v>36</v>
      </c>
      <c r="AB205" s="1">
        <v>15097518</v>
      </c>
      <c r="AC205" s="1">
        <v>15097518</v>
      </c>
      <c r="AD205" s="16">
        <v>59.36</v>
      </c>
      <c r="AE205" s="1">
        <v>1</v>
      </c>
      <c r="AF205" s="1">
        <v>0</v>
      </c>
      <c r="AG205" s="1">
        <v>90</v>
      </c>
      <c r="AH205" s="1">
        <v>60003760</v>
      </c>
      <c r="AI205" s="1">
        <v>32767</v>
      </c>
      <c r="AJ205" s="1">
        <v>11</v>
      </c>
      <c r="AL205" s="1">
        <v>2874106610</v>
      </c>
      <c r="AM205" s="1">
        <v>37</v>
      </c>
      <c r="AN205" s="1">
        <v>1000000</v>
      </c>
      <c r="AO205" s="1">
        <v>231414</v>
      </c>
      <c r="AP205" s="16">
        <v>136.78</v>
      </c>
      <c r="AQ205" s="1">
        <v>1</v>
      </c>
      <c r="AR205" s="1">
        <v>1</v>
      </c>
      <c r="AS205" s="1">
        <v>90</v>
      </c>
      <c r="AT205" s="1">
        <v>60003760</v>
      </c>
      <c r="AU205" s="1">
        <v>-1</v>
      </c>
      <c r="AV205" s="1">
        <v>0</v>
      </c>
      <c r="AX205" s="1">
        <v>2854881890</v>
      </c>
      <c r="AY205" s="1">
        <v>38</v>
      </c>
      <c r="AZ205" s="1">
        <v>2000000</v>
      </c>
      <c r="BA205" s="1">
        <v>1127526</v>
      </c>
      <c r="BB205" s="1">
        <v>760</v>
      </c>
      <c r="BC205" s="1">
        <v>1</v>
      </c>
      <c r="BD205" s="1">
        <v>1</v>
      </c>
      <c r="BE205" s="1">
        <v>30</v>
      </c>
      <c r="BF205" s="1">
        <v>60010195</v>
      </c>
      <c r="BG205" s="1">
        <v>1</v>
      </c>
      <c r="BH205" s="1">
        <v>0</v>
      </c>
      <c r="BJ205"/>
      <c r="BK205"/>
      <c r="BL205"/>
      <c r="BM205"/>
      <c r="BN205"/>
      <c r="BO205"/>
      <c r="BP205"/>
      <c r="BQ205"/>
      <c r="BR205"/>
      <c r="BS205"/>
      <c r="BT205"/>
      <c r="BV205" s="1">
        <v>2396306343</v>
      </c>
      <c r="BW205" s="1">
        <v>40</v>
      </c>
      <c r="BX205" s="1">
        <v>1400000</v>
      </c>
      <c r="BY205" s="1">
        <v>1396020</v>
      </c>
      <c r="BZ205" s="1">
        <v>2580.6999999999998</v>
      </c>
      <c r="CA205" s="1">
        <v>1</v>
      </c>
      <c r="CB205" s="1">
        <v>1</v>
      </c>
      <c r="CC205" s="1">
        <v>90</v>
      </c>
      <c r="CD205" s="1">
        <v>60003760</v>
      </c>
      <c r="CE205" s="1">
        <v>-1</v>
      </c>
      <c r="CF205" s="1">
        <v>0</v>
      </c>
      <c r="CH205" s="1">
        <v>2399150156</v>
      </c>
      <c r="CI205" s="1">
        <v>29668</v>
      </c>
      <c r="CJ205" s="1">
        <v>13</v>
      </c>
      <c r="CK205" s="1">
        <v>13</v>
      </c>
      <c r="CL205" s="1">
        <v>450401000.00999999</v>
      </c>
      <c r="CM205" s="1">
        <v>1</v>
      </c>
      <c r="CN205" s="1">
        <v>1</v>
      </c>
      <c r="CO205" s="1">
        <v>90</v>
      </c>
      <c r="CP205" s="1">
        <v>60003760</v>
      </c>
      <c r="CQ205" s="1">
        <v>-1</v>
      </c>
      <c r="CR205" s="1">
        <v>0</v>
      </c>
      <c r="DR205" s="1">
        <v>2862487136</v>
      </c>
      <c r="DS205" s="1">
        <v>17888</v>
      </c>
      <c r="DT205" s="1">
        <v>40000</v>
      </c>
      <c r="DU205" s="1">
        <v>40000</v>
      </c>
      <c r="DV205" s="1">
        <v>350</v>
      </c>
      <c r="DW205" s="1">
        <v>1</v>
      </c>
      <c r="DX205" s="1">
        <v>0</v>
      </c>
      <c r="DY205" s="1">
        <v>90</v>
      </c>
      <c r="DZ205" s="1">
        <v>60004057</v>
      </c>
      <c r="EA205" s="1">
        <v>32767</v>
      </c>
      <c r="EB205" s="1">
        <v>11</v>
      </c>
      <c r="ED205" s="1">
        <v>2751901383</v>
      </c>
      <c r="EE205" s="1">
        <v>16273</v>
      </c>
      <c r="EF205" s="1">
        <v>50000</v>
      </c>
      <c r="EG205" s="1">
        <v>42696</v>
      </c>
      <c r="EH205" s="1">
        <v>281.16000000000003</v>
      </c>
      <c r="EI205" s="1">
        <v>1</v>
      </c>
      <c r="EJ205" s="1">
        <v>1</v>
      </c>
      <c r="EK205" s="1">
        <v>90</v>
      </c>
      <c r="EL205" s="1">
        <v>60002857</v>
      </c>
      <c r="EM205" s="1">
        <v>1</v>
      </c>
      <c r="EN205" s="1">
        <v>0</v>
      </c>
      <c r="JF205"/>
      <c r="JG205"/>
      <c r="JH205"/>
      <c r="JI205"/>
      <c r="JJ205"/>
      <c r="JK205"/>
      <c r="JL205"/>
      <c r="JM205"/>
      <c r="JN205"/>
      <c r="JO205"/>
      <c r="JP205"/>
      <c r="NV205"/>
      <c r="NW205"/>
      <c r="NX205"/>
      <c r="NY205"/>
      <c r="NZ205"/>
      <c r="OA205"/>
      <c r="OB205"/>
      <c r="OC205"/>
      <c r="OD205"/>
      <c r="OE205"/>
      <c r="OF205"/>
      <c r="OH205" s="1">
        <v>2870863821</v>
      </c>
      <c r="OI205" s="1">
        <v>25598</v>
      </c>
      <c r="OJ205" s="1">
        <v>1000</v>
      </c>
      <c r="OK205" s="1">
        <v>1000</v>
      </c>
      <c r="OL205" s="1">
        <v>110000</v>
      </c>
      <c r="OM205" s="1">
        <v>1</v>
      </c>
      <c r="ON205" s="1">
        <v>1</v>
      </c>
      <c r="OO205" s="1">
        <v>30</v>
      </c>
      <c r="OP205" s="1">
        <v>60003760</v>
      </c>
      <c r="OQ205" s="1">
        <v>5</v>
      </c>
      <c r="OR205" s="1">
        <v>0</v>
      </c>
      <c r="SX205" s="1">
        <v>2878716132</v>
      </c>
      <c r="SY205" s="1">
        <v>25595</v>
      </c>
      <c r="SZ205" s="1">
        <v>1400</v>
      </c>
      <c r="TA205" s="1">
        <v>844</v>
      </c>
      <c r="TB205" s="1">
        <v>62781.19</v>
      </c>
      <c r="TC205" s="1">
        <v>1</v>
      </c>
      <c r="TD205" s="1">
        <v>1</v>
      </c>
      <c r="TE205" s="1">
        <v>90</v>
      </c>
      <c r="TF205" s="1">
        <v>60003760</v>
      </c>
      <c r="TG205" s="1">
        <v>-1</v>
      </c>
      <c r="TH205" s="1">
        <v>0</v>
      </c>
    </row>
    <row r="206" spans="2:528" x14ac:dyDescent="0.25">
      <c r="B206" s="1">
        <v>2847681639</v>
      </c>
      <c r="C206" s="1">
        <v>34</v>
      </c>
      <c r="D206" s="1">
        <v>40000000</v>
      </c>
      <c r="E206" s="1">
        <v>40000000</v>
      </c>
      <c r="F206" s="1">
        <v>7</v>
      </c>
      <c r="G206" s="1">
        <v>1</v>
      </c>
      <c r="H206" s="1">
        <v>0</v>
      </c>
      <c r="I206" s="1">
        <v>90</v>
      </c>
      <c r="J206" s="1">
        <v>60003760</v>
      </c>
      <c r="K206" s="1">
        <v>32767</v>
      </c>
      <c r="L206" s="1">
        <v>0</v>
      </c>
      <c r="N206" s="1">
        <v>2865912269</v>
      </c>
      <c r="O206" s="1">
        <v>35</v>
      </c>
      <c r="P206" s="1">
        <v>1429016</v>
      </c>
      <c r="Q206" s="1">
        <v>1429016</v>
      </c>
      <c r="R206" s="1">
        <v>15.26</v>
      </c>
      <c r="S206" s="1">
        <v>1</v>
      </c>
      <c r="T206" s="1">
        <v>0</v>
      </c>
      <c r="U206" s="1">
        <v>90</v>
      </c>
      <c r="V206" s="1">
        <v>60002284</v>
      </c>
      <c r="W206" s="1">
        <v>32767</v>
      </c>
      <c r="X206" s="1">
        <v>7</v>
      </c>
      <c r="Z206" s="1">
        <v>2751437451</v>
      </c>
      <c r="AA206" s="1">
        <v>36</v>
      </c>
      <c r="AB206" s="1">
        <v>21214848</v>
      </c>
      <c r="AC206" s="1">
        <v>21214848</v>
      </c>
      <c r="AD206" s="16">
        <v>59.36</v>
      </c>
      <c r="AE206" s="1">
        <v>1</v>
      </c>
      <c r="AF206" s="1">
        <v>0</v>
      </c>
      <c r="AG206" s="1">
        <v>90</v>
      </c>
      <c r="AH206" s="1">
        <v>60003760</v>
      </c>
      <c r="AI206" s="1">
        <v>32767</v>
      </c>
      <c r="AJ206" s="1">
        <v>11</v>
      </c>
      <c r="AL206" s="1">
        <v>2874561157</v>
      </c>
      <c r="AM206" s="1">
        <v>37</v>
      </c>
      <c r="AN206" s="1">
        <v>1000000</v>
      </c>
      <c r="AO206" s="1">
        <v>1000000</v>
      </c>
      <c r="AP206" s="16">
        <v>139.55000000000001</v>
      </c>
      <c r="AQ206" s="1">
        <v>1</v>
      </c>
      <c r="AR206" s="1">
        <v>1</v>
      </c>
      <c r="AS206" s="1">
        <v>90</v>
      </c>
      <c r="AT206" s="1">
        <v>60003760</v>
      </c>
      <c r="AU206" s="1">
        <v>-1</v>
      </c>
      <c r="AV206" s="1">
        <v>0</v>
      </c>
      <c r="AX206" s="1">
        <v>2871206493</v>
      </c>
      <c r="AY206" s="1">
        <v>38</v>
      </c>
      <c r="AZ206" s="1">
        <v>400000</v>
      </c>
      <c r="BA206" s="1">
        <v>271327</v>
      </c>
      <c r="BB206" s="1">
        <v>744.56</v>
      </c>
      <c r="BC206" s="1">
        <v>1</v>
      </c>
      <c r="BD206" s="1">
        <v>1</v>
      </c>
      <c r="BE206" s="1">
        <v>90</v>
      </c>
      <c r="BF206" s="1">
        <v>60002425</v>
      </c>
      <c r="BG206" s="1">
        <v>2</v>
      </c>
      <c r="BH206" s="1">
        <v>0</v>
      </c>
      <c r="BJ206"/>
      <c r="BK206"/>
      <c r="BL206"/>
      <c r="BM206"/>
      <c r="BN206"/>
      <c r="BO206"/>
      <c r="BP206"/>
      <c r="BQ206"/>
      <c r="BR206"/>
      <c r="BS206"/>
      <c r="BT206"/>
      <c r="BV206" s="1">
        <v>2415480572</v>
      </c>
      <c r="BW206" s="1">
        <v>40</v>
      </c>
      <c r="BX206" s="1">
        <v>300000</v>
      </c>
      <c r="BY206" s="1">
        <v>300000</v>
      </c>
      <c r="BZ206" s="1">
        <v>2581.0300000000002</v>
      </c>
      <c r="CA206" s="1">
        <v>1</v>
      </c>
      <c r="CB206" s="1">
        <v>1</v>
      </c>
      <c r="CC206" s="1">
        <v>90</v>
      </c>
      <c r="CD206" s="1">
        <v>60003760</v>
      </c>
      <c r="CE206" s="1">
        <v>-1</v>
      </c>
      <c r="CF206" s="1">
        <v>0</v>
      </c>
      <c r="CH206" s="1">
        <v>2399174610</v>
      </c>
      <c r="CI206" s="1">
        <v>29668</v>
      </c>
      <c r="CJ206" s="1">
        <v>1</v>
      </c>
      <c r="CK206" s="1">
        <v>1</v>
      </c>
      <c r="CL206" s="1">
        <v>451001000.01999998</v>
      </c>
      <c r="CM206" s="1">
        <v>1</v>
      </c>
      <c r="CN206" s="1">
        <v>1</v>
      </c>
      <c r="CO206" s="1">
        <v>90</v>
      </c>
      <c r="CP206" s="1">
        <v>60003760</v>
      </c>
      <c r="CQ206" s="1">
        <v>-1</v>
      </c>
      <c r="CR206" s="1">
        <v>0</v>
      </c>
      <c r="DR206" s="1">
        <v>2749607834</v>
      </c>
      <c r="DS206" s="1">
        <v>17888</v>
      </c>
      <c r="DT206" s="1">
        <v>35173</v>
      </c>
      <c r="DU206" s="1">
        <v>17065</v>
      </c>
      <c r="DV206" s="1">
        <v>450</v>
      </c>
      <c r="DW206" s="1">
        <v>1</v>
      </c>
      <c r="DX206" s="1">
        <v>0</v>
      </c>
      <c r="DY206" s="1">
        <v>90</v>
      </c>
      <c r="DZ206" s="1">
        <v>60004057</v>
      </c>
      <c r="EA206" s="1">
        <v>32767</v>
      </c>
      <c r="EB206" s="1">
        <v>11</v>
      </c>
      <c r="ED206" s="1">
        <v>2850112799</v>
      </c>
      <c r="EE206" s="1">
        <v>16273</v>
      </c>
      <c r="EF206" s="1">
        <v>20000</v>
      </c>
      <c r="EG206" s="1">
        <v>11857</v>
      </c>
      <c r="EH206" s="1">
        <v>305</v>
      </c>
      <c r="EI206" s="1">
        <v>1</v>
      </c>
      <c r="EJ206" s="1">
        <v>1</v>
      </c>
      <c r="EK206" s="1">
        <v>90</v>
      </c>
      <c r="EL206" s="1">
        <v>60002278</v>
      </c>
      <c r="EM206" s="1">
        <v>1</v>
      </c>
      <c r="EN206" s="1">
        <v>0</v>
      </c>
      <c r="JF206"/>
      <c r="JG206"/>
      <c r="JH206"/>
      <c r="JI206"/>
      <c r="JJ206"/>
      <c r="JK206"/>
      <c r="JL206"/>
      <c r="JM206"/>
      <c r="JN206"/>
      <c r="JO206"/>
      <c r="JP206"/>
      <c r="NV206"/>
      <c r="NW206"/>
      <c r="NX206"/>
      <c r="NY206"/>
      <c r="NZ206"/>
      <c r="OA206"/>
      <c r="OB206"/>
      <c r="OC206"/>
      <c r="OD206"/>
      <c r="OE206"/>
      <c r="OF206"/>
      <c r="OH206" s="1">
        <v>2870198327</v>
      </c>
      <c r="OI206" s="1">
        <v>25598</v>
      </c>
      <c r="OJ206" s="1">
        <v>10000</v>
      </c>
      <c r="OK206" s="1">
        <v>10000</v>
      </c>
      <c r="OL206" s="1">
        <v>1.01</v>
      </c>
      <c r="OM206" s="1">
        <v>1</v>
      </c>
      <c r="ON206" s="1">
        <v>1</v>
      </c>
      <c r="OO206" s="1">
        <v>90</v>
      </c>
      <c r="OP206" s="1">
        <v>60003760</v>
      </c>
      <c r="OQ206" s="1">
        <v>32767</v>
      </c>
      <c r="OR206" s="1">
        <v>0</v>
      </c>
      <c r="SX206" s="1">
        <v>2878791336</v>
      </c>
      <c r="SY206" s="1">
        <v>25595</v>
      </c>
      <c r="SZ206" s="1">
        <v>4000</v>
      </c>
      <c r="TA206" s="1">
        <v>3855</v>
      </c>
      <c r="TB206" s="1">
        <v>62781.2</v>
      </c>
      <c r="TC206" s="1">
        <v>1</v>
      </c>
      <c r="TD206" s="1">
        <v>1</v>
      </c>
      <c r="TE206" s="1">
        <v>90</v>
      </c>
      <c r="TF206" s="1">
        <v>60003760</v>
      </c>
      <c r="TG206" s="1">
        <v>-1</v>
      </c>
      <c r="TH206" s="1">
        <v>0</v>
      </c>
    </row>
    <row r="207" spans="2:528" x14ac:dyDescent="0.25">
      <c r="B207" s="1">
        <v>2847831642</v>
      </c>
      <c r="C207" s="1">
        <v>34</v>
      </c>
      <c r="D207" s="1">
        <v>52094329</v>
      </c>
      <c r="E207" s="1">
        <v>52094329</v>
      </c>
      <c r="F207" s="1">
        <v>5.97</v>
      </c>
      <c r="G207" s="1">
        <v>1</v>
      </c>
      <c r="H207" s="1">
        <v>0</v>
      </c>
      <c r="I207" s="1">
        <v>90</v>
      </c>
      <c r="J207" s="1">
        <v>60003760</v>
      </c>
      <c r="K207" s="1">
        <v>32767</v>
      </c>
      <c r="L207" s="1">
        <v>0</v>
      </c>
      <c r="N207" s="1">
        <v>2876964212</v>
      </c>
      <c r="O207" s="1">
        <v>35</v>
      </c>
      <c r="P207" s="1">
        <v>5360010</v>
      </c>
      <c r="Q207" s="1">
        <v>5360010</v>
      </c>
      <c r="R207" s="1">
        <v>14.8</v>
      </c>
      <c r="S207" s="1">
        <v>1</v>
      </c>
      <c r="T207" s="1">
        <v>0</v>
      </c>
      <c r="U207" s="1">
        <v>90</v>
      </c>
      <c r="V207" s="1">
        <v>60004435</v>
      </c>
      <c r="W207" s="1">
        <v>32767</v>
      </c>
      <c r="X207" s="1">
        <v>7</v>
      </c>
      <c r="Z207" s="1">
        <v>2751656463</v>
      </c>
      <c r="AA207" s="1">
        <v>36</v>
      </c>
      <c r="AB207" s="1">
        <v>1365036</v>
      </c>
      <c r="AC207" s="1">
        <v>1365036</v>
      </c>
      <c r="AD207" s="16">
        <v>60.81</v>
      </c>
      <c r="AE207" s="1">
        <v>1</v>
      </c>
      <c r="AF207" s="1">
        <v>0</v>
      </c>
      <c r="AG207" s="1">
        <v>90</v>
      </c>
      <c r="AH207" s="1">
        <v>60003760</v>
      </c>
      <c r="AI207" s="1">
        <v>32767</v>
      </c>
      <c r="AJ207" s="1">
        <v>11</v>
      </c>
      <c r="AL207" s="1">
        <v>2874405807</v>
      </c>
      <c r="AM207" s="1">
        <v>37</v>
      </c>
      <c r="AN207" s="1">
        <v>1000000</v>
      </c>
      <c r="AO207" s="1">
        <v>999996</v>
      </c>
      <c r="AP207" s="16">
        <v>137.5</v>
      </c>
      <c r="AQ207" s="1">
        <v>1</v>
      </c>
      <c r="AR207" s="1">
        <v>1</v>
      </c>
      <c r="AS207" s="1">
        <v>90</v>
      </c>
      <c r="AT207" s="1">
        <v>60003760</v>
      </c>
      <c r="AU207" s="1">
        <v>-1</v>
      </c>
      <c r="AV207" s="1">
        <v>0</v>
      </c>
      <c r="AX207" s="1">
        <v>2808922338</v>
      </c>
      <c r="AY207" s="1">
        <v>38</v>
      </c>
      <c r="AZ207" s="1">
        <v>250000</v>
      </c>
      <c r="BA207" s="1">
        <v>249430</v>
      </c>
      <c r="BB207" s="1">
        <v>710.11</v>
      </c>
      <c r="BC207" s="1">
        <v>1</v>
      </c>
      <c r="BD207" s="1">
        <v>1</v>
      </c>
      <c r="BE207" s="1">
        <v>90</v>
      </c>
      <c r="BF207" s="1">
        <v>60001882</v>
      </c>
      <c r="BG207" s="1">
        <v>0</v>
      </c>
      <c r="BH207" s="1">
        <v>0</v>
      </c>
      <c r="BJ207"/>
      <c r="BK207"/>
      <c r="BL207"/>
      <c r="BM207"/>
      <c r="BN207"/>
      <c r="BO207"/>
      <c r="BP207"/>
      <c r="BQ207"/>
      <c r="BR207"/>
      <c r="BS207"/>
      <c r="BT207"/>
      <c r="BV207" s="1">
        <v>2410295343</v>
      </c>
      <c r="BW207" s="1">
        <v>40</v>
      </c>
      <c r="BX207" s="1">
        <v>250000</v>
      </c>
      <c r="BY207" s="1">
        <v>249966</v>
      </c>
      <c r="BZ207" s="1">
        <v>2575.33</v>
      </c>
      <c r="CA207" s="1">
        <v>1</v>
      </c>
      <c r="CB207" s="1">
        <v>1</v>
      </c>
      <c r="CC207" s="1">
        <v>14</v>
      </c>
      <c r="CD207" s="1">
        <v>60003757</v>
      </c>
      <c r="CE207" s="1">
        <v>0</v>
      </c>
      <c r="CF207" s="1">
        <v>0</v>
      </c>
      <c r="CH207" s="1">
        <v>2399219619</v>
      </c>
      <c r="CI207" s="1">
        <v>29668</v>
      </c>
      <c r="CJ207" s="1">
        <v>19</v>
      </c>
      <c r="CK207" s="1">
        <v>6</v>
      </c>
      <c r="CL207" s="1">
        <v>454701006</v>
      </c>
      <c r="CM207" s="1">
        <v>1</v>
      </c>
      <c r="CN207" s="1">
        <v>1</v>
      </c>
      <c r="CO207" s="1">
        <v>90</v>
      </c>
      <c r="CP207" s="1">
        <v>60003760</v>
      </c>
      <c r="CQ207" s="1">
        <v>-1</v>
      </c>
      <c r="CR207" s="1">
        <v>0</v>
      </c>
      <c r="DR207" s="1">
        <v>2865127160</v>
      </c>
      <c r="DS207" s="1">
        <v>17888</v>
      </c>
      <c r="DT207" s="1">
        <v>13680</v>
      </c>
      <c r="DU207" s="1">
        <v>80</v>
      </c>
      <c r="DV207" s="1">
        <v>340</v>
      </c>
      <c r="DW207" s="1">
        <v>1</v>
      </c>
      <c r="DX207" s="1">
        <v>0</v>
      </c>
      <c r="DY207" s="1">
        <v>90</v>
      </c>
      <c r="DZ207" s="1">
        <v>60003364</v>
      </c>
      <c r="EA207" s="1">
        <v>32767</v>
      </c>
      <c r="EB207" s="1">
        <v>11</v>
      </c>
      <c r="ED207" s="1">
        <v>2746205652</v>
      </c>
      <c r="EE207" s="1">
        <v>16273</v>
      </c>
      <c r="EF207" s="1">
        <v>50000</v>
      </c>
      <c r="EG207" s="1">
        <v>47510</v>
      </c>
      <c r="EH207" s="1">
        <v>120</v>
      </c>
      <c r="EI207" s="1">
        <v>1</v>
      </c>
      <c r="EJ207" s="1">
        <v>1</v>
      </c>
      <c r="EK207" s="1">
        <v>90</v>
      </c>
      <c r="EL207" s="1">
        <v>60002851</v>
      </c>
      <c r="EM207" s="1">
        <v>4</v>
      </c>
      <c r="EN207" s="1">
        <v>0</v>
      </c>
      <c r="JF207"/>
      <c r="JG207"/>
      <c r="JH207"/>
      <c r="JI207"/>
      <c r="JJ207"/>
      <c r="JK207"/>
      <c r="JL207"/>
      <c r="JM207"/>
      <c r="JN207"/>
      <c r="JO207"/>
      <c r="JP207"/>
      <c r="NV207"/>
      <c r="NW207"/>
      <c r="NX207"/>
      <c r="NY207"/>
      <c r="NZ207"/>
      <c r="OA207"/>
      <c r="OB207"/>
      <c r="OC207"/>
      <c r="OD207"/>
      <c r="OE207"/>
      <c r="OF207"/>
      <c r="OH207" s="1">
        <v>2870483511</v>
      </c>
      <c r="OI207" s="1">
        <v>25598</v>
      </c>
      <c r="OJ207" s="1">
        <v>10000</v>
      </c>
      <c r="OK207" s="1">
        <v>5359</v>
      </c>
      <c r="OL207" s="1">
        <v>132000</v>
      </c>
      <c r="OM207" s="1">
        <v>1</v>
      </c>
      <c r="ON207" s="1">
        <v>1</v>
      </c>
      <c r="OO207" s="1">
        <v>90</v>
      </c>
      <c r="OP207" s="1">
        <v>60003760</v>
      </c>
      <c r="OQ207" s="1">
        <v>-1</v>
      </c>
      <c r="OR207" s="1">
        <v>0</v>
      </c>
      <c r="SX207" s="1">
        <v>2878466899</v>
      </c>
      <c r="SY207" s="1">
        <v>25595</v>
      </c>
      <c r="SZ207" s="1">
        <v>10000</v>
      </c>
      <c r="TA207" s="1">
        <v>6032</v>
      </c>
      <c r="TB207" s="1">
        <v>62782.239999999998</v>
      </c>
      <c r="TC207" s="1">
        <v>1</v>
      </c>
      <c r="TD207" s="1">
        <v>1</v>
      </c>
      <c r="TE207" s="1">
        <v>90</v>
      </c>
      <c r="TF207" s="1">
        <v>60003760</v>
      </c>
      <c r="TG207" s="1">
        <v>-1</v>
      </c>
      <c r="TH207" s="1">
        <v>0</v>
      </c>
    </row>
    <row r="208" spans="2:528" x14ac:dyDescent="0.25">
      <c r="B208" s="1">
        <v>2858069096</v>
      </c>
      <c r="C208" s="1">
        <v>34</v>
      </c>
      <c r="D208" s="1">
        <v>6144959</v>
      </c>
      <c r="E208" s="1">
        <v>6144959</v>
      </c>
      <c r="F208" s="1">
        <v>5.8</v>
      </c>
      <c r="G208" s="1">
        <v>1</v>
      </c>
      <c r="H208" s="1">
        <v>0</v>
      </c>
      <c r="I208" s="1">
        <v>30</v>
      </c>
      <c r="J208" s="1">
        <v>60003760</v>
      </c>
      <c r="K208" s="1">
        <v>32767</v>
      </c>
      <c r="L208" s="1">
        <v>0</v>
      </c>
      <c r="N208" s="1">
        <v>2875445956</v>
      </c>
      <c r="O208" s="1">
        <v>35</v>
      </c>
      <c r="P208" s="1">
        <v>1598052</v>
      </c>
      <c r="Q208" s="1">
        <v>1598052</v>
      </c>
      <c r="R208" s="1">
        <v>15</v>
      </c>
      <c r="S208" s="1">
        <v>1</v>
      </c>
      <c r="T208" s="1">
        <v>0</v>
      </c>
      <c r="U208" s="1">
        <v>7</v>
      </c>
      <c r="V208" s="1">
        <v>60001882</v>
      </c>
      <c r="W208" s="1">
        <v>32767</v>
      </c>
      <c r="X208" s="1">
        <v>8</v>
      </c>
      <c r="Z208" s="1">
        <v>2750324314</v>
      </c>
      <c r="AA208" s="1">
        <v>36</v>
      </c>
      <c r="AB208" s="1">
        <v>46337569</v>
      </c>
      <c r="AC208" s="1">
        <v>46337569</v>
      </c>
      <c r="AD208" s="16">
        <v>60.47</v>
      </c>
      <c r="AE208" s="1">
        <v>1</v>
      </c>
      <c r="AF208" s="1">
        <v>0</v>
      </c>
      <c r="AG208" s="1">
        <v>90</v>
      </c>
      <c r="AH208" s="1">
        <v>60003760</v>
      </c>
      <c r="AI208" s="1">
        <v>32767</v>
      </c>
      <c r="AJ208" s="1">
        <v>11</v>
      </c>
      <c r="AL208" s="1">
        <v>2875862674</v>
      </c>
      <c r="AM208" s="1">
        <v>37</v>
      </c>
      <c r="AN208" s="1">
        <v>25000000</v>
      </c>
      <c r="AO208" s="1">
        <v>17007313</v>
      </c>
      <c r="AP208" s="16">
        <v>143.22999999999999</v>
      </c>
      <c r="AQ208" s="1">
        <v>1</v>
      </c>
      <c r="AR208" s="1">
        <v>1</v>
      </c>
      <c r="AS208" s="1">
        <v>90</v>
      </c>
      <c r="AT208" s="1">
        <v>60003760</v>
      </c>
      <c r="AU208" s="1">
        <v>-1</v>
      </c>
      <c r="AV208" s="1">
        <v>0</v>
      </c>
      <c r="AX208" s="1">
        <v>2838932109</v>
      </c>
      <c r="AY208" s="1">
        <v>38</v>
      </c>
      <c r="AZ208" s="1">
        <v>100000</v>
      </c>
      <c r="BA208" s="1">
        <v>100000</v>
      </c>
      <c r="BB208" s="1">
        <v>710.12</v>
      </c>
      <c r="BC208" s="1">
        <v>1</v>
      </c>
      <c r="BD208" s="1">
        <v>1</v>
      </c>
      <c r="BE208" s="1">
        <v>90</v>
      </c>
      <c r="BF208" s="1">
        <v>60002281</v>
      </c>
      <c r="BG208" s="1">
        <v>0</v>
      </c>
      <c r="BH208" s="1">
        <v>0</v>
      </c>
      <c r="BJ208"/>
      <c r="BK208"/>
      <c r="BL208"/>
      <c r="BM208"/>
      <c r="BN208"/>
      <c r="BO208"/>
      <c r="BP208"/>
      <c r="BQ208"/>
      <c r="BR208"/>
      <c r="BS208"/>
      <c r="BT208"/>
      <c r="BV208" s="1">
        <v>2381491229</v>
      </c>
      <c r="BW208" s="1">
        <v>40</v>
      </c>
      <c r="BX208" s="1">
        <v>350000</v>
      </c>
      <c r="BY208" s="1">
        <v>70023</v>
      </c>
      <c r="BZ208" s="1">
        <v>2450.0300000000002</v>
      </c>
      <c r="CA208" s="1">
        <v>1</v>
      </c>
      <c r="CB208" s="1">
        <v>1</v>
      </c>
      <c r="CC208" s="1">
        <v>14</v>
      </c>
      <c r="CD208" s="1">
        <v>60003337</v>
      </c>
      <c r="CE208" s="1">
        <v>10</v>
      </c>
      <c r="CF208" s="1">
        <v>0</v>
      </c>
      <c r="CH208" s="1">
        <v>2399282323</v>
      </c>
      <c r="CI208" s="1">
        <v>29668</v>
      </c>
      <c r="CJ208" s="1">
        <v>10</v>
      </c>
      <c r="CK208" s="1">
        <v>10</v>
      </c>
      <c r="CL208" s="1">
        <v>450000000</v>
      </c>
      <c r="CM208" s="1">
        <v>1</v>
      </c>
      <c r="CN208" s="1">
        <v>1</v>
      </c>
      <c r="CO208" s="1">
        <v>90</v>
      </c>
      <c r="CP208" s="1">
        <v>60003760</v>
      </c>
      <c r="CQ208" s="1">
        <v>10</v>
      </c>
      <c r="CR208" s="1">
        <v>0</v>
      </c>
      <c r="DR208" s="1">
        <v>2877917677</v>
      </c>
      <c r="DS208" s="1">
        <v>17888</v>
      </c>
      <c r="DT208" s="1">
        <v>16252</v>
      </c>
      <c r="DU208" s="1">
        <v>16252</v>
      </c>
      <c r="DV208" s="1">
        <v>336</v>
      </c>
      <c r="DW208" s="1">
        <v>1</v>
      </c>
      <c r="DX208" s="1">
        <v>0</v>
      </c>
      <c r="DY208" s="1">
        <v>90</v>
      </c>
      <c r="DZ208" s="1">
        <v>60004057</v>
      </c>
      <c r="EA208" s="1">
        <v>32767</v>
      </c>
      <c r="EB208" s="1">
        <v>11</v>
      </c>
      <c r="ED208" s="1">
        <v>2765144304</v>
      </c>
      <c r="EE208" s="1">
        <v>16273</v>
      </c>
      <c r="EF208" s="1">
        <v>50000</v>
      </c>
      <c r="EG208" s="1">
        <v>28653</v>
      </c>
      <c r="EH208" s="1">
        <v>301.02</v>
      </c>
      <c r="EI208" s="1">
        <v>1</v>
      </c>
      <c r="EJ208" s="1">
        <v>1</v>
      </c>
      <c r="EK208" s="1">
        <v>30</v>
      </c>
      <c r="EL208" s="1">
        <v>60012667</v>
      </c>
      <c r="EM208" s="1">
        <v>0</v>
      </c>
      <c r="EN208" s="1">
        <v>0</v>
      </c>
      <c r="JF208"/>
      <c r="JG208"/>
      <c r="JH208"/>
      <c r="JI208"/>
      <c r="JJ208"/>
      <c r="JK208"/>
      <c r="JL208"/>
      <c r="JM208"/>
      <c r="JN208"/>
      <c r="JO208"/>
      <c r="JP208"/>
      <c r="NV208"/>
      <c r="NW208"/>
      <c r="NX208"/>
      <c r="NY208"/>
      <c r="NZ208"/>
      <c r="OA208"/>
      <c r="OB208"/>
      <c r="OC208"/>
      <c r="OD208"/>
      <c r="OE208"/>
      <c r="OF208"/>
      <c r="OH208" s="1">
        <v>2871836386</v>
      </c>
      <c r="OI208" s="1">
        <v>25598</v>
      </c>
      <c r="OJ208" s="1">
        <v>10000</v>
      </c>
      <c r="OK208" s="1">
        <v>6832</v>
      </c>
      <c r="OL208" s="1">
        <v>125114</v>
      </c>
      <c r="OM208" s="1">
        <v>50</v>
      </c>
      <c r="ON208" s="1">
        <v>1</v>
      </c>
      <c r="OO208" s="1">
        <v>90</v>
      </c>
      <c r="OP208" s="1">
        <v>60003760</v>
      </c>
      <c r="OQ208" s="1">
        <v>32767</v>
      </c>
      <c r="OR208" s="1">
        <v>0</v>
      </c>
      <c r="SX208" s="1">
        <v>2878794493</v>
      </c>
      <c r="SY208" s="1">
        <v>25595</v>
      </c>
      <c r="SZ208" s="1">
        <v>4000</v>
      </c>
      <c r="TA208" s="1">
        <v>3525</v>
      </c>
      <c r="TB208" s="1">
        <v>62782.25</v>
      </c>
      <c r="TC208" s="1">
        <v>1</v>
      </c>
      <c r="TD208" s="1">
        <v>1</v>
      </c>
      <c r="TE208" s="1">
        <v>90</v>
      </c>
      <c r="TF208" s="1">
        <v>60003760</v>
      </c>
      <c r="TG208" s="1">
        <v>-1</v>
      </c>
      <c r="TH208" s="1">
        <v>0</v>
      </c>
    </row>
    <row r="209" spans="2:408" x14ac:dyDescent="0.25">
      <c r="B209" s="1">
        <v>2858139415</v>
      </c>
      <c r="C209" s="1">
        <v>34</v>
      </c>
      <c r="D209" s="1">
        <v>162500000</v>
      </c>
      <c r="E209" s="1">
        <v>162500000</v>
      </c>
      <c r="F209" s="1">
        <v>5.89</v>
      </c>
      <c r="G209" s="1">
        <v>1</v>
      </c>
      <c r="H209" s="1">
        <v>0</v>
      </c>
      <c r="I209" s="1">
        <v>14</v>
      </c>
      <c r="J209" s="1">
        <v>60003760</v>
      </c>
      <c r="K209" s="1">
        <v>32767</v>
      </c>
      <c r="L209" s="1">
        <v>0</v>
      </c>
      <c r="N209" s="1">
        <v>2877065112</v>
      </c>
      <c r="O209" s="1">
        <v>35</v>
      </c>
      <c r="P209" s="1">
        <v>1178199</v>
      </c>
      <c r="Q209" s="1">
        <v>1178199</v>
      </c>
      <c r="R209" s="1">
        <v>14.75</v>
      </c>
      <c r="S209" s="1">
        <v>1</v>
      </c>
      <c r="T209" s="1">
        <v>0</v>
      </c>
      <c r="U209" s="1">
        <v>90</v>
      </c>
      <c r="V209" s="1">
        <v>60001876</v>
      </c>
      <c r="W209" s="1">
        <v>32767</v>
      </c>
      <c r="X209" s="1">
        <v>9</v>
      </c>
      <c r="Z209" s="1">
        <v>2749986498</v>
      </c>
      <c r="AA209" s="1">
        <v>36</v>
      </c>
      <c r="AB209" s="1">
        <v>16548445</v>
      </c>
      <c r="AC209" s="1">
        <v>16548445</v>
      </c>
      <c r="AD209" s="16">
        <v>60.45</v>
      </c>
      <c r="AE209" s="1">
        <v>1</v>
      </c>
      <c r="AF209" s="1">
        <v>0</v>
      </c>
      <c r="AG209" s="1">
        <v>90</v>
      </c>
      <c r="AH209" s="1">
        <v>60003760</v>
      </c>
      <c r="AI209" s="1">
        <v>32767</v>
      </c>
      <c r="AJ209" s="1">
        <v>11</v>
      </c>
      <c r="AL209" s="1">
        <v>2876898272</v>
      </c>
      <c r="AM209" s="1">
        <v>37</v>
      </c>
      <c r="AN209" s="1">
        <v>20000000</v>
      </c>
      <c r="AO209" s="1">
        <v>20000000</v>
      </c>
      <c r="AP209" s="16">
        <v>141.02000000000001</v>
      </c>
      <c r="AQ209" s="1">
        <v>1</v>
      </c>
      <c r="AR209" s="1">
        <v>1</v>
      </c>
      <c r="AS209" s="1">
        <v>90</v>
      </c>
      <c r="AT209" s="1">
        <v>60003760</v>
      </c>
      <c r="AU209" s="1">
        <v>-1</v>
      </c>
      <c r="AV209" s="1">
        <v>0</v>
      </c>
      <c r="AX209" s="1">
        <v>2834760894</v>
      </c>
      <c r="AY209" s="1">
        <v>38</v>
      </c>
      <c r="AZ209" s="1">
        <v>200000</v>
      </c>
      <c r="BA209" s="1">
        <v>167807</v>
      </c>
      <c r="BB209" s="1">
        <v>713</v>
      </c>
      <c r="BC209" s="1">
        <v>1</v>
      </c>
      <c r="BD209" s="1">
        <v>1</v>
      </c>
      <c r="BE209" s="1">
        <v>30</v>
      </c>
      <c r="BF209" s="1">
        <v>60004060</v>
      </c>
      <c r="BG209" s="1">
        <v>1</v>
      </c>
      <c r="BH209" s="1">
        <v>0</v>
      </c>
      <c r="BJ209"/>
      <c r="BK209"/>
      <c r="BL209"/>
      <c r="BM209"/>
      <c r="BN209"/>
      <c r="BO209"/>
      <c r="BP209"/>
      <c r="BQ209"/>
      <c r="BR209"/>
      <c r="BS209"/>
      <c r="BT209"/>
      <c r="BV209" s="1">
        <v>2415488712</v>
      </c>
      <c r="BW209" s="1">
        <v>40</v>
      </c>
      <c r="BX209" s="1">
        <v>100000</v>
      </c>
      <c r="BY209" s="1">
        <v>99018</v>
      </c>
      <c r="BZ209" s="1">
        <v>2581.17</v>
      </c>
      <c r="CA209" s="1">
        <v>1</v>
      </c>
      <c r="CB209" s="1">
        <v>1</v>
      </c>
      <c r="CC209" s="1">
        <v>3</v>
      </c>
      <c r="CD209" s="1">
        <v>60003760</v>
      </c>
      <c r="CE209" s="1">
        <v>-1</v>
      </c>
      <c r="CF209" s="1">
        <v>0</v>
      </c>
      <c r="CH209" s="1">
        <v>2396217728</v>
      </c>
      <c r="CI209" s="1">
        <v>29668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90</v>
      </c>
      <c r="CP209" s="1">
        <v>60003760</v>
      </c>
      <c r="CQ209" s="1">
        <v>-1</v>
      </c>
      <c r="CR209" s="1">
        <v>0</v>
      </c>
      <c r="DR209" s="1">
        <v>2877917481</v>
      </c>
      <c r="DS209" s="1">
        <v>17888</v>
      </c>
      <c r="DT209" s="1">
        <v>11296</v>
      </c>
      <c r="DU209" s="1">
        <v>11296</v>
      </c>
      <c r="DV209" s="1">
        <v>336</v>
      </c>
      <c r="DW209" s="1">
        <v>1</v>
      </c>
      <c r="DX209" s="1">
        <v>0</v>
      </c>
      <c r="DY209" s="1">
        <v>90</v>
      </c>
      <c r="DZ209" s="1">
        <v>60012718</v>
      </c>
      <c r="EA209" s="1">
        <v>32767</v>
      </c>
      <c r="EB209" s="1">
        <v>11</v>
      </c>
      <c r="ED209" s="1">
        <v>2711577758</v>
      </c>
      <c r="EE209" s="1">
        <v>16273</v>
      </c>
      <c r="EF209" s="1">
        <v>150000</v>
      </c>
      <c r="EG209" s="1">
        <v>62522</v>
      </c>
      <c r="EH209" s="1">
        <v>281.02</v>
      </c>
      <c r="EI209" s="1">
        <v>1</v>
      </c>
      <c r="EJ209" s="1">
        <v>1</v>
      </c>
      <c r="EK209" s="1">
        <v>90</v>
      </c>
      <c r="EL209" s="1">
        <v>60012667</v>
      </c>
      <c r="EM209" s="1">
        <v>0</v>
      </c>
      <c r="EN209" s="1">
        <v>0</v>
      </c>
      <c r="JF209"/>
      <c r="JG209"/>
      <c r="JH209"/>
      <c r="JI209"/>
      <c r="JJ209"/>
      <c r="JK209"/>
      <c r="JL209"/>
      <c r="JM209"/>
      <c r="JN209"/>
      <c r="JO209"/>
      <c r="JP209"/>
      <c r="NV209"/>
      <c r="NW209"/>
      <c r="NX209"/>
      <c r="NY209"/>
      <c r="NZ209"/>
      <c r="OA209"/>
      <c r="OB209"/>
      <c r="OC209"/>
      <c r="OD209"/>
      <c r="OE209"/>
      <c r="OF209"/>
      <c r="OH209" s="1">
        <v>2874529420</v>
      </c>
      <c r="OI209" s="1">
        <v>25598</v>
      </c>
      <c r="OJ209" s="1">
        <v>6000</v>
      </c>
      <c r="OK209" s="1">
        <v>2051</v>
      </c>
      <c r="OL209" s="1">
        <v>133157.03</v>
      </c>
      <c r="OM209" s="1">
        <v>1</v>
      </c>
      <c r="ON209" s="1">
        <v>1</v>
      </c>
      <c r="OO209" s="1">
        <v>90</v>
      </c>
      <c r="OP209" s="1">
        <v>60003760</v>
      </c>
      <c r="OQ209" s="1">
        <v>-1</v>
      </c>
      <c r="OR209" s="1">
        <v>0</v>
      </c>
    </row>
    <row r="210" spans="2:408" x14ac:dyDescent="0.25">
      <c r="B210" s="1">
        <v>2856987394</v>
      </c>
      <c r="C210" s="1">
        <v>34</v>
      </c>
      <c r="D210" s="1">
        <v>200000000</v>
      </c>
      <c r="E210" s="1">
        <v>200000000</v>
      </c>
      <c r="F210" s="1">
        <v>5.92</v>
      </c>
      <c r="G210" s="1">
        <v>1</v>
      </c>
      <c r="H210" s="1">
        <v>0</v>
      </c>
      <c r="I210" s="1">
        <v>90</v>
      </c>
      <c r="J210" s="1">
        <v>60003760</v>
      </c>
      <c r="K210" s="1">
        <v>32767</v>
      </c>
      <c r="L210" s="1">
        <v>0</v>
      </c>
      <c r="N210" s="1">
        <v>2877064837</v>
      </c>
      <c r="O210" s="1">
        <v>35</v>
      </c>
      <c r="P210" s="1">
        <v>1384666</v>
      </c>
      <c r="Q210" s="1">
        <v>1384666</v>
      </c>
      <c r="R210" s="1">
        <v>14.75</v>
      </c>
      <c r="S210" s="1">
        <v>1</v>
      </c>
      <c r="T210" s="1">
        <v>0</v>
      </c>
      <c r="U210" s="1">
        <v>90</v>
      </c>
      <c r="V210" s="1">
        <v>60003208</v>
      </c>
      <c r="W210" s="1">
        <v>32767</v>
      </c>
      <c r="X210" s="1">
        <v>9</v>
      </c>
      <c r="Z210" s="1">
        <v>2750705557</v>
      </c>
      <c r="AA210" s="1">
        <v>36</v>
      </c>
      <c r="AB210" s="1">
        <v>17266157</v>
      </c>
      <c r="AC210" s="1">
        <v>7479460</v>
      </c>
      <c r="AD210" s="16">
        <v>59.88</v>
      </c>
      <c r="AE210" s="1">
        <v>1</v>
      </c>
      <c r="AF210" s="1">
        <v>0</v>
      </c>
      <c r="AG210" s="1">
        <v>90</v>
      </c>
      <c r="AH210" s="1">
        <v>60003760</v>
      </c>
      <c r="AI210" s="1">
        <v>32767</v>
      </c>
      <c r="AJ210" s="1">
        <v>11</v>
      </c>
      <c r="AL210" s="1">
        <v>2877185417</v>
      </c>
      <c r="AM210" s="1">
        <v>37</v>
      </c>
      <c r="AN210" s="1">
        <v>100000</v>
      </c>
      <c r="AO210" s="1">
        <v>91231</v>
      </c>
      <c r="AP210" s="16">
        <v>127.66</v>
      </c>
      <c r="AQ210" s="1">
        <v>1000</v>
      </c>
      <c r="AR210" s="1">
        <v>1</v>
      </c>
      <c r="AS210" s="1">
        <v>90</v>
      </c>
      <c r="AT210" s="1">
        <v>60003760</v>
      </c>
      <c r="AU210" s="1">
        <v>32767</v>
      </c>
      <c r="AV210" s="1">
        <v>0</v>
      </c>
      <c r="AX210" s="1">
        <v>2806741476</v>
      </c>
      <c r="AY210" s="1">
        <v>38</v>
      </c>
      <c r="AZ210" s="1">
        <v>100000</v>
      </c>
      <c r="BA210" s="1">
        <v>40426</v>
      </c>
      <c r="BB210" s="1">
        <v>790</v>
      </c>
      <c r="BC210" s="1">
        <v>1</v>
      </c>
      <c r="BD210" s="1">
        <v>1</v>
      </c>
      <c r="BE210" s="1">
        <v>90</v>
      </c>
      <c r="BF210" s="1">
        <v>60002269</v>
      </c>
      <c r="BG210" s="1">
        <v>-1</v>
      </c>
      <c r="BH210" s="1">
        <v>0</v>
      </c>
      <c r="BJ210"/>
      <c r="BK210"/>
      <c r="BL210"/>
      <c r="BM210"/>
      <c r="BN210"/>
      <c r="BO210"/>
      <c r="BP210"/>
      <c r="BQ210"/>
      <c r="BR210"/>
      <c r="BS210"/>
      <c r="BT210"/>
      <c r="BV210" s="1">
        <v>2415323223</v>
      </c>
      <c r="BW210" s="1">
        <v>40</v>
      </c>
      <c r="BX210" s="1">
        <v>1810</v>
      </c>
      <c r="BY210" s="1">
        <v>1810</v>
      </c>
      <c r="BZ210" s="1">
        <v>2583.02</v>
      </c>
      <c r="CA210" s="1">
        <v>1</v>
      </c>
      <c r="CB210" s="1">
        <v>1</v>
      </c>
      <c r="CC210" s="1">
        <v>14</v>
      </c>
      <c r="CD210" s="1">
        <v>60003760</v>
      </c>
      <c r="CE210" s="1">
        <v>-1</v>
      </c>
      <c r="CF210" s="1">
        <v>0</v>
      </c>
      <c r="CH210" s="1">
        <v>2396217935</v>
      </c>
      <c r="CI210" s="1">
        <v>29668</v>
      </c>
      <c r="CJ210" s="1">
        <v>1</v>
      </c>
      <c r="CK210" s="1">
        <v>1</v>
      </c>
      <c r="CL210" s="1">
        <v>1.26</v>
      </c>
      <c r="CM210" s="1">
        <v>1</v>
      </c>
      <c r="CN210" s="1">
        <v>1</v>
      </c>
      <c r="CO210" s="1">
        <v>90</v>
      </c>
      <c r="CP210" s="1">
        <v>60003760</v>
      </c>
      <c r="CQ210" s="1">
        <v>-1</v>
      </c>
      <c r="CR210" s="1">
        <v>0</v>
      </c>
      <c r="DR210" s="1">
        <v>2763544115</v>
      </c>
      <c r="DS210" s="1">
        <v>17888</v>
      </c>
      <c r="DT210" s="1">
        <v>2755</v>
      </c>
      <c r="DU210" s="1">
        <v>2755</v>
      </c>
      <c r="DV210" s="1">
        <v>434</v>
      </c>
      <c r="DW210" s="1">
        <v>1</v>
      </c>
      <c r="DX210" s="1">
        <v>0</v>
      </c>
      <c r="DY210" s="1">
        <v>90</v>
      </c>
      <c r="DZ210" s="1">
        <v>60012715</v>
      </c>
      <c r="EA210" s="1">
        <v>32767</v>
      </c>
      <c r="EB210" s="1">
        <v>11</v>
      </c>
      <c r="ED210" s="1">
        <v>2633435778</v>
      </c>
      <c r="EE210" s="1">
        <v>16273</v>
      </c>
      <c r="EF210" s="1">
        <v>190000</v>
      </c>
      <c r="EG210" s="1">
        <v>166710</v>
      </c>
      <c r="EH210" s="1">
        <v>30.09</v>
      </c>
      <c r="EI210" s="1">
        <v>1000</v>
      </c>
      <c r="EJ210" s="1">
        <v>1</v>
      </c>
      <c r="EK210" s="1">
        <v>90</v>
      </c>
      <c r="EL210" s="1">
        <v>60000535</v>
      </c>
      <c r="EM210" s="1">
        <v>32767</v>
      </c>
      <c r="EN210" s="1">
        <v>0</v>
      </c>
      <c r="JF210"/>
      <c r="JG210"/>
      <c r="JH210"/>
      <c r="JI210"/>
      <c r="JJ210"/>
      <c r="JK210"/>
      <c r="JL210"/>
      <c r="JM210"/>
      <c r="JN210"/>
      <c r="JO210"/>
      <c r="JP210"/>
      <c r="NV210"/>
      <c r="NW210"/>
      <c r="NX210"/>
      <c r="NY210"/>
      <c r="NZ210"/>
      <c r="OA210"/>
      <c r="OB210"/>
      <c r="OC210"/>
      <c r="OD210"/>
      <c r="OE210"/>
      <c r="OF210"/>
      <c r="OH210" s="1">
        <v>2875947945</v>
      </c>
      <c r="OI210" s="1">
        <v>25598</v>
      </c>
      <c r="OJ210" s="1">
        <v>3000</v>
      </c>
      <c r="OK210" s="1">
        <v>3000</v>
      </c>
      <c r="OL210" s="1">
        <v>133157.01999999999</v>
      </c>
      <c r="OM210" s="1">
        <v>1</v>
      </c>
      <c r="ON210" s="1">
        <v>1</v>
      </c>
      <c r="OO210" s="1">
        <v>90</v>
      </c>
      <c r="OP210" s="1">
        <v>60003760</v>
      </c>
      <c r="OQ210" s="1">
        <v>-1</v>
      </c>
      <c r="OR210" s="1">
        <v>0</v>
      </c>
    </row>
    <row r="211" spans="2:408" x14ac:dyDescent="0.25">
      <c r="B211" s="1">
        <v>2857228354</v>
      </c>
      <c r="C211" s="1">
        <v>34</v>
      </c>
      <c r="D211" s="1">
        <v>44440369</v>
      </c>
      <c r="E211" s="1">
        <v>44440369</v>
      </c>
      <c r="F211" s="1">
        <v>6</v>
      </c>
      <c r="G211" s="1">
        <v>1</v>
      </c>
      <c r="H211" s="1">
        <v>0</v>
      </c>
      <c r="I211" s="1">
        <v>90</v>
      </c>
      <c r="J211" s="1">
        <v>60003760</v>
      </c>
      <c r="K211" s="1">
        <v>32767</v>
      </c>
      <c r="L211" s="1">
        <v>0</v>
      </c>
      <c r="N211" s="1">
        <v>2843832245</v>
      </c>
      <c r="O211" s="1">
        <v>35</v>
      </c>
      <c r="P211" s="1">
        <v>232245</v>
      </c>
      <c r="Q211" s="1">
        <v>232245</v>
      </c>
      <c r="R211" s="1">
        <v>15.65</v>
      </c>
      <c r="S211" s="1">
        <v>1</v>
      </c>
      <c r="T211" s="1">
        <v>0</v>
      </c>
      <c r="U211" s="1">
        <v>30</v>
      </c>
      <c r="V211" s="1">
        <v>60003211</v>
      </c>
      <c r="W211" s="1">
        <v>32767</v>
      </c>
      <c r="X211" s="1">
        <v>8</v>
      </c>
      <c r="Z211" s="1">
        <v>2750760166</v>
      </c>
      <c r="AA211" s="1">
        <v>36</v>
      </c>
      <c r="AB211" s="1">
        <v>1640685</v>
      </c>
      <c r="AC211" s="1">
        <v>1640685</v>
      </c>
      <c r="AD211" s="16">
        <v>59.99</v>
      </c>
      <c r="AE211" s="1">
        <v>1</v>
      </c>
      <c r="AF211" s="1">
        <v>0</v>
      </c>
      <c r="AG211" s="1">
        <v>90</v>
      </c>
      <c r="AH211" s="1">
        <v>60003760</v>
      </c>
      <c r="AI211" s="1">
        <v>32767</v>
      </c>
      <c r="AJ211" s="1">
        <v>11</v>
      </c>
      <c r="AL211" s="1">
        <v>2826853222</v>
      </c>
      <c r="AM211" s="1">
        <v>37</v>
      </c>
      <c r="AN211" s="1">
        <v>2529168</v>
      </c>
      <c r="AO211" s="1">
        <v>2529168</v>
      </c>
      <c r="AP211" s="16">
        <v>118.62</v>
      </c>
      <c r="AQ211" s="1">
        <v>84305</v>
      </c>
      <c r="AR211" s="1">
        <v>1</v>
      </c>
      <c r="AS211" s="1">
        <v>90</v>
      </c>
      <c r="AT211" s="1">
        <v>60003754</v>
      </c>
      <c r="AU211" s="1">
        <v>32767</v>
      </c>
      <c r="AV211" s="1">
        <v>0</v>
      </c>
      <c r="AX211" s="1">
        <v>2848690804</v>
      </c>
      <c r="AY211" s="1">
        <v>38</v>
      </c>
      <c r="AZ211" s="1">
        <v>200000</v>
      </c>
      <c r="BA211" s="1">
        <v>182477</v>
      </c>
      <c r="BB211" s="1">
        <v>791</v>
      </c>
      <c r="BC211" s="1">
        <v>1</v>
      </c>
      <c r="BD211" s="1">
        <v>1</v>
      </c>
      <c r="BE211" s="1">
        <v>90</v>
      </c>
      <c r="BF211" s="1">
        <v>60002269</v>
      </c>
      <c r="BG211" s="1">
        <v>-1</v>
      </c>
      <c r="BH211" s="1">
        <v>0</v>
      </c>
      <c r="BJ211"/>
      <c r="BK211"/>
      <c r="BL211"/>
      <c r="BM211"/>
      <c r="BN211"/>
      <c r="BO211"/>
      <c r="BP211"/>
      <c r="BQ211"/>
      <c r="BR211"/>
      <c r="BS211"/>
      <c r="BT211"/>
      <c r="BV211" s="1">
        <v>2406091824</v>
      </c>
      <c r="BW211" s="1">
        <v>40</v>
      </c>
      <c r="BX211" s="1">
        <v>19795</v>
      </c>
      <c r="BY211" s="1">
        <v>15863</v>
      </c>
      <c r="BZ211" s="1">
        <v>2450.04</v>
      </c>
      <c r="CA211" s="1">
        <v>2</v>
      </c>
      <c r="CB211" s="1">
        <v>1</v>
      </c>
      <c r="CC211" s="1">
        <v>90</v>
      </c>
      <c r="CD211" s="1">
        <v>60002818</v>
      </c>
      <c r="CE211" s="1">
        <v>3</v>
      </c>
      <c r="CF211" s="1">
        <v>0</v>
      </c>
      <c r="CH211" s="1">
        <v>2396218327</v>
      </c>
      <c r="CI211" s="1">
        <v>29668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90</v>
      </c>
      <c r="CP211" s="1">
        <v>60003760</v>
      </c>
      <c r="CQ211" s="1">
        <v>-1</v>
      </c>
      <c r="CR211" s="1">
        <v>0</v>
      </c>
      <c r="DR211" s="1">
        <v>2766452613</v>
      </c>
      <c r="DS211" s="1">
        <v>17888</v>
      </c>
      <c r="DT211" s="1">
        <v>6854</v>
      </c>
      <c r="DU211" s="1">
        <v>6854</v>
      </c>
      <c r="DV211" s="1">
        <v>425</v>
      </c>
      <c r="DW211" s="1">
        <v>1</v>
      </c>
      <c r="DX211" s="1">
        <v>0</v>
      </c>
      <c r="DY211" s="1">
        <v>90</v>
      </c>
      <c r="DZ211" s="1">
        <v>60002851</v>
      </c>
      <c r="EA211" s="1">
        <v>32767</v>
      </c>
      <c r="EB211" s="1">
        <v>12</v>
      </c>
      <c r="ED211" s="1">
        <v>2850112135</v>
      </c>
      <c r="EE211" s="1">
        <v>16273</v>
      </c>
      <c r="EF211" s="1">
        <v>20000</v>
      </c>
      <c r="EG211" s="1">
        <v>2417</v>
      </c>
      <c r="EH211" s="1">
        <v>305</v>
      </c>
      <c r="EI211" s="1">
        <v>1</v>
      </c>
      <c r="EJ211" s="1">
        <v>1</v>
      </c>
      <c r="EK211" s="1">
        <v>90</v>
      </c>
      <c r="EL211" s="1">
        <v>60003193</v>
      </c>
      <c r="EM211" s="1">
        <v>1</v>
      </c>
      <c r="EN211" s="1">
        <v>0</v>
      </c>
      <c r="JF211"/>
      <c r="JG211"/>
      <c r="JH211"/>
      <c r="JI211"/>
      <c r="JJ211"/>
      <c r="JK211"/>
      <c r="JL211"/>
      <c r="JM211"/>
      <c r="JN211"/>
      <c r="JO211"/>
      <c r="JP211"/>
      <c r="NV211"/>
      <c r="NW211"/>
      <c r="NX211"/>
      <c r="NY211"/>
      <c r="NZ211"/>
      <c r="OA211"/>
      <c r="OB211"/>
      <c r="OC211"/>
      <c r="OD211"/>
      <c r="OE211"/>
      <c r="OF211"/>
      <c r="OH211" s="1">
        <v>2877551765</v>
      </c>
      <c r="OI211" s="1">
        <v>25598</v>
      </c>
      <c r="OJ211" s="1">
        <v>10000</v>
      </c>
      <c r="OK211" s="1">
        <v>9357</v>
      </c>
      <c r="OL211" s="1">
        <v>125200</v>
      </c>
      <c r="OM211" s="1">
        <v>1</v>
      </c>
      <c r="ON211" s="1">
        <v>1</v>
      </c>
      <c r="OO211" s="1">
        <v>90</v>
      </c>
      <c r="OP211" s="1">
        <v>60003760</v>
      </c>
      <c r="OQ211" s="1">
        <v>0</v>
      </c>
      <c r="OR211" s="1">
        <v>0</v>
      </c>
    </row>
    <row r="212" spans="2:408" x14ac:dyDescent="0.25">
      <c r="B212" s="1">
        <v>2857309641</v>
      </c>
      <c r="C212" s="1">
        <v>34</v>
      </c>
      <c r="D212" s="1">
        <v>38689</v>
      </c>
      <c r="E212" s="1">
        <v>38689</v>
      </c>
      <c r="F212" s="1">
        <v>10</v>
      </c>
      <c r="G212" s="1">
        <v>1</v>
      </c>
      <c r="H212" s="1">
        <v>0</v>
      </c>
      <c r="I212" s="1">
        <v>90</v>
      </c>
      <c r="J212" s="1">
        <v>60003466</v>
      </c>
      <c r="K212" s="1">
        <v>32767</v>
      </c>
      <c r="L212" s="1">
        <v>0</v>
      </c>
      <c r="N212" s="1">
        <v>2851937599</v>
      </c>
      <c r="O212" s="1">
        <v>35</v>
      </c>
      <c r="P212" s="1">
        <v>1967122</v>
      </c>
      <c r="Q212" s="1">
        <v>79</v>
      </c>
      <c r="R212" s="1">
        <v>15.25</v>
      </c>
      <c r="S212" s="1">
        <v>1</v>
      </c>
      <c r="T212" s="1">
        <v>0</v>
      </c>
      <c r="U212" s="1">
        <v>90</v>
      </c>
      <c r="V212" s="1">
        <v>60003346</v>
      </c>
      <c r="W212" s="1">
        <v>32767</v>
      </c>
      <c r="X212" s="1">
        <v>9</v>
      </c>
      <c r="Z212" s="1">
        <v>2751809944</v>
      </c>
      <c r="AA212" s="1">
        <v>36</v>
      </c>
      <c r="AB212" s="1">
        <v>1195313</v>
      </c>
      <c r="AC212" s="1">
        <v>1195313</v>
      </c>
      <c r="AD212" s="16">
        <v>59.27</v>
      </c>
      <c r="AE212" s="1">
        <v>1</v>
      </c>
      <c r="AF212" s="1">
        <v>0</v>
      </c>
      <c r="AG212" s="1">
        <v>90</v>
      </c>
      <c r="AH212" s="1">
        <v>60003760</v>
      </c>
      <c r="AI212" s="1">
        <v>32767</v>
      </c>
      <c r="AJ212" s="1">
        <v>11</v>
      </c>
      <c r="AL212" s="1">
        <v>2507268142</v>
      </c>
      <c r="AM212" s="1">
        <v>37</v>
      </c>
      <c r="AN212" s="1">
        <v>10000000</v>
      </c>
      <c r="AO212" s="1">
        <v>9852029</v>
      </c>
      <c r="AP212" s="16">
        <v>6.16</v>
      </c>
      <c r="AQ212" s="1">
        <v>1</v>
      </c>
      <c r="AR212" s="1">
        <v>1</v>
      </c>
      <c r="AS212" s="1">
        <v>90</v>
      </c>
      <c r="AT212" s="1">
        <v>60003724</v>
      </c>
      <c r="AU212" s="1">
        <v>10</v>
      </c>
      <c r="AV212" s="1">
        <v>0</v>
      </c>
      <c r="AX212" s="1">
        <v>2764666486</v>
      </c>
      <c r="AY212" s="1">
        <v>38</v>
      </c>
      <c r="AZ212" s="1">
        <v>200000</v>
      </c>
      <c r="BA212" s="1">
        <v>31929</v>
      </c>
      <c r="BB212" s="1">
        <v>771</v>
      </c>
      <c r="BC212" s="1">
        <v>1</v>
      </c>
      <c r="BD212" s="1">
        <v>1</v>
      </c>
      <c r="BE212" s="1">
        <v>90</v>
      </c>
      <c r="BF212" s="1">
        <v>60002851</v>
      </c>
      <c r="BG212" s="1">
        <v>-1</v>
      </c>
      <c r="BH212" s="1">
        <v>0</v>
      </c>
      <c r="BJ212"/>
      <c r="BK212"/>
      <c r="BL212"/>
      <c r="BM212"/>
      <c r="BN212"/>
      <c r="BO212"/>
      <c r="BP212"/>
      <c r="BQ212"/>
      <c r="BR212"/>
      <c r="BS212"/>
      <c r="BT212"/>
      <c r="BV212" s="1">
        <v>2415475426</v>
      </c>
      <c r="BW212" s="1">
        <v>40</v>
      </c>
      <c r="BX212" s="1">
        <v>1000000</v>
      </c>
      <c r="BY212" s="1">
        <v>998660</v>
      </c>
      <c r="BZ212" s="1">
        <v>2583.12</v>
      </c>
      <c r="CA212" s="1">
        <v>1</v>
      </c>
      <c r="CB212" s="1">
        <v>1</v>
      </c>
      <c r="CC212" s="1">
        <v>90</v>
      </c>
      <c r="CD212" s="1">
        <v>60003760</v>
      </c>
      <c r="CE212" s="1">
        <v>-1</v>
      </c>
      <c r="CF212" s="1">
        <v>0</v>
      </c>
      <c r="CH212" s="1">
        <v>2396219365</v>
      </c>
      <c r="CI212" s="1">
        <v>29668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90</v>
      </c>
      <c r="CP212" s="1">
        <v>60003760</v>
      </c>
      <c r="CQ212" s="1">
        <v>-1</v>
      </c>
      <c r="CR212" s="1">
        <v>0</v>
      </c>
      <c r="DR212" s="1">
        <v>2767317066</v>
      </c>
      <c r="DS212" s="1">
        <v>17888</v>
      </c>
      <c r="DT212" s="1">
        <v>4127</v>
      </c>
      <c r="DU212" s="1">
        <v>4127</v>
      </c>
      <c r="DV212" s="1">
        <v>421</v>
      </c>
      <c r="DW212" s="1">
        <v>1</v>
      </c>
      <c r="DX212" s="1">
        <v>0</v>
      </c>
      <c r="DY212" s="1">
        <v>90</v>
      </c>
      <c r="DZ212" s="1">
        <v>60002851</v>
      </c>
      <c r="EA212" s="1">
        <v>32767</v>
      </c>
      <c r="EB212" s="1">
        <v>12</v>
      </c>
      <c r="ED212" s="1">
        <v>2855999837</v>
      </c>
      <c r="EE212" s="1">
        <v>16273</v>
      </c>
      <c r="EF212" s="1">
        <v>400000</v>
      </c>
      <c r="EG212" s="1">
        <v>399083</v>
      </c>
      <c r="EH212" s="1">
        <v>302.02</v>
      </c>
      <c r="EI212" s="1">
        <v>1</v>
      </c>
      <c r="EJ212" s="1">
        <v>1</v>
      </c>
      <c r="EK212" s="1">
        <v>30</v>
      </c>
      <c r="EL212" s="1">
        <v>60013291</v>
      </c>
      <c r="EM212" s="1">
        <v>1</v>
      </c>
      <c r="EN212" s="1">
        <v>0</v>
      </c>
      <c r="JF212"/>
      <c r="JG212"/>
      <c r="JH212"/>
      <c r="JI212"/>
      <c r="JJ212"/>
      <c r="JK212"/>
      <c r="JL212"/>
      <c r="JM212"/>
      <c r="JN212"/>
      <c r="JO212"/>
      <c r="JP212"/>
      <c r="NV212"/>
      <c r="NW212"/>
      <c r="NX212"/>
      <c r="NY212"/>
      <c r="NZ212"/>
      <c r="OA212"/>
      <c r="OB212"/>
      <c r="OC212"/>
      <c r="OD212"/>
      <c r="OE212"/>
      <c r="OF212"/>
      <c r="OH212" s="1">
        <v>2859973986</v>
      </c>
      <c r="OI212" s="1">
        <v>25598</v>
      </c>
      <c r="OJ212" s="1">
        <v>1000</v>
      </c>
      <c r="OK212" s="1">
        <v>351</v>
      </c>
      <c r="OL212" s="1">
        <v>95303.01</v>
      </c>
      <c r="OM212" s="1">
        <v>1</v>
      </c>
      <c r="ON212" s="1">
        <v>1</v>
      </c>
      <c r="OO212" s="1">
        <v>90</v>
      </c>
      <c r="OP212" s="1">
        <v>60004054</v>
      </c>
      <c r="OQ212" s="1">
        <v>2</v>
      </c>
      <c r="OR212" s="1">
        <v>0</v>
      </c>
    </row>
    <row r="213" spans="2:408" x14ac:dyDescent="0.25">
      <c r="B213" s="1">
        <v>2855542452</v>
      </c>
      <c r="C213" s="1">
        <v>34</v>
      </c>
      <c r="D213" s="1">
        <v>12876958</v>
      </c>
      <c r="E213" s="1">
        <v>12876958</v>
      </c>
      <c r="F213" s="1">
        <v>6</v>
      </c>
      <c r="G213" s="1">
        <v>1</v>
      </c>
      <c r="H213" s="1">
        <v>0</v>
      </c>
      <c r="I213" s="1">
        <v>90</v>
      </c>
      <c r="J213" s="1">
        <v>60003760</v>
      </c>
      <c r="K213" s="1">
        <v>32767</v>
      </c>
      <c r="L213" s="1">
        <v>0</v>
      </c>
      <c r="N213" s="1">
        <v>2872287966</v>
      </c>
      <c r="O213" s="1">
        <v>35</v>
      </c>
      <c r="P213" s="1">
        <v>325874</v>
      </c>
      <c r="Q213" s="1">
        <v>325874</v>
      </c>
      <c r="R213" s="1">
        <v>14.75</v>
      </c>
      <c r="S213" s="1">
        <v>1</v>
      </c>
      <c r="T213" s="1">
        <v>0</v>
      </c>
      <c r="U213" s="1">
        <v>90</v>
      </c>
      <c r="V213" s="1">
        <v>60002290</v>
      </c>
      <c r="W213" s="1">
        <v>32767</v>
      </c>
      <c r="X213" s="1">
        <v>9</v>
      </c>
      <c r="Z213" s="1">
        <v>2746637765</v>
      </c>
      <c r="AA213" s="1">
        <v>36</v>
      </c>
      <c r="AB213" s="1">
        <v>898</v>
      </c>
      <c r="AC213" s="1">
        <v>898</v>
      </c>
      <c r="AD213" s="16">
        <v>65</v>
      </c>
      <c r="AE213" s="1">
        <v>1</v>
      </c>
      <c r="AF213" s="1">
        <v>0</v>
      </c>
      <c r="AG213" s="1">
        <v>90</v>
      </c>
      <c r="AH213" s="1">
        <v>60003466</v>
      </c>
      <c r="AI213" s="1">
        <v>32767</v>
      </c>
      <c r="AJ213" s="1">
        <v>11</v>
      </c>
      <c r="AL213" s="1">
        <v>2856950095</v>
      </c>
      <c r="AM213" s="1">
        <v>37</v>
      </c>
      <c r="AN213" s="1">
        <v>100000</v>
      </c>
      <c r="AO213" s="1">
        <v>68624</v>
      </c>
      <c r="AP213" s="16">
        <v>136</v>
      </c>
      <c r="AQ213" s="1">
        <v>1</v>
      </c>
      <c r="AR213" s="1">
        <v>1</v>
      </c>
      <c r="AS213" s="1">
        <v>90</v>
      </c>
      <c r="AT213" s="1">
        <v>60001642</v>
      </c>
      <c r="AU213" s="1">
        <v>1</v>
      </c>
      <c r="AV213" s="1">
        <v>0</v>
      </c>
      <c r="AX213" s="1">
        <v>2873019905</v>
      </c>
      <c r="AY213" s="1">
        <v>38</v>
      </c>
      <c r="AZ213" s="1">
        <v>30</v>
      </c>
      <c r="BA213" s="1">
        <v>30</v>
      </c>
      <c r="BB213" s="1">
        <v>770</v>
      </c>
      <c r="BC213" s="1">
        <v>1</v>
      </c>
      <c r="BD213" s="1">
        <v>1</v>
      </c>
      <c r="BE213" s="1">
        <v>30</v>
      </c>
      <c r="BF213" s="1">
        <v>60002275</v>
      </c>
      <c r="BG213" s="1">
        <v>-1</v>
      </c>
      <c r="BH213" s="1">
        <v>0</v>
      </c>
      <c r="BJ213"/>
      <c r="BK213"/>
      <c r="BL213"/>
      <c r="BM213"/>
      <c r="BN213"/>
      <c r="BO213"/>
      <c r="BP213"/>
      <c r="BQ213"/>
      <c r="BR213"/>
      <c r="BS213"/>
      <c r="BT213"/>
      <c r="BV213" s="1">
        <v>2413585675</v>
      </c>
      <c r="BW213" s="1">
        <v>40</v>
      </c>
      <c r="BX213" s="1">
        <v>22000</v>
      </c>
      <c r="BY213" s="1">
        <v>21797</v>
      </c>
      <c r="BZ213" s="1">
        <v>2586.9699999999998</v>
      </c>
      <c r="CA213" s="1">
        <v>1</v>
      </c>
      <c r="CB213" s="1">
        <v>1</v>
      </c>
      <c r="CC213" s="1">
        <v>90</v>
      </c>
      <c r="CD213" s="1">
        <v>60003760</v>
      </c>
      <c r="CE213" s="1">
        <v>-1</v>
      </c>
      <c r="CF213" s="1">
        <v>0</v>
      </c>
      <c r="CH213" s="1">
        <v>2396339294</v>
      </c>
      <c r="CI213" s="1">
        <v>29668</v>
      </c>
      <c r="CJ213" s="1">
        <v>1</v>
      </c>
      <c r="CK213" s="1">
        <v>1</v>
      </c>
      <c r="CL213" s="1">
        <v>443333333</v>
      </c>
      <c r="CM213" s="1">
        <v>1</v>
      </c>
      <c r="CN213" s="1">
        <v>1</v>
      </c>
      <c r="CO213" s="1">
        <v>90</v>
      </c>
      <c r="CP213" s="1">
        <v>60003760</v>
      </c>
      <c r="CQ213" s="1">
        <v>40</v>
      </c>
      <c r="CR213" s="1">
        <v>0</v>
      </c>
      <c r="DR213" s="1">
        <v>2858691242</v>
      </c>
      <c r="DS213" s="1">
        <v>17888</v>
      </c>
      <c r="DT213" s="1">
        <v>3152</v>
      </c>
      <c r="DU213" s="1">
        <v>3152</v>
      </c>
      <c r="DV213" s="1">
        <v>344</v>
      </c>
      <c r="DW213" s="1">
        <v>1</v>
      </c>
      <c r="DX213" s="1">
        <v>0</v>
      </c>
      <c r="DY213" s="1">
        <v>90</v>
      </c>
      <c r="DZ213" s="1">
        <v>60002275</v>
      </c>
      <c r="EA213" s="1">
        <v>32767</v>
      </c>
      <c r="EB213" s="1">
        <v>12</v>
      </c>
      <c r="ED213" s="1">
        <v>2867954412</v>
      </c>
      <c r="EE213" s="1">
        <v>16273</v>
      </c>
      <c r="EF213" s="1">
        <v>30000</v>
      </c>
      <c r="EG213" s="1">
        <v>21814</v>
      </c>
      <c r="EH213" s="1">
        <v>365</v>
      </c>
      <c r="EI213" s="1">
        <v>1</v>
      </c>
      <c r="EJ213" s="1">
        <v>1</v>
      </c>
      <c r="EK213" s="1">
        <v>90</v>
      </c>
      <c r="EL213" s="1">
        <v>60001591</v>
      </c>
      <c r="EM213" s="1">
        <v>-1</v>
      </c>
      <c r="EN213" s="1">
        <v>0</v>
      </c>
      <c r="JF213"/>
      <c r="JG213"/>
      <c r="JH213"/>
      <c r="JI213"/>
      <c r="JJ213"/>
      <c r="JK213"/>
      <c r="JL213"/>
      <c r="JM213"/>
      <c r="JN213"/>
      <c r="JO213"/>
      <c r="JP213"/>
      <c r="NV213"/>
      <c r="NW213"/>
      <c r="NX213"/>
      <c r="NY213"/>
      <c r="NZ213"/>
      <c r="OA213"/>
      <c r="OB213"/>
      <c r="OC213"/>
      <c r="OD213"/>
      <c r="OE213"/>
      <c r="OF213"/>
      <c r="OH213" s="1">
        <v>2861496210</v>
      </c>
      <c r="OI213" s="1">
        <v>25598</v>
      </c>
      <c r="OJ213" s="1">
        <v>100</v>
      </c>
      <c r="OK213" s="1">
        <v>99</v>
      </c>
      <c r="OL213" s="1">
        <v>125014.01</v>
      </c>
      <c r="OM213" s="1">
        <v>1</v>
      </c>
      <c r="ON213" s="1">
        <v>1</v>
      </c>
      <c r="OO213" s="1">
        <v>30</v>
      </c>
      <c r="OP213" s="1">
        <v>60002434</v>
      </c>
      <c r="OQ213" s="1">
        <v>0</v>
      </c>
      <c r="OR213" s="1">
        <v>0</v>
      </c>
    </row>
    <row r="214" spans="2:408" x14ac:dyDescent="0.25">
      <c r="B214" s="1">
        <v>2855277590</v>
      </c>
      <c r="C214" s="1">
        <v>34</v>
      </c>
      <c r="D214" s="1">
        <v>57945747</v>
      </c>
      <c r="E214" s="1">
        <v>57945747</v>
      </c>
      <c r="F214" s="1">
        <v>5.99</v>
      </c>
      <c r="G214" s="1">
        <v>1</v>
      </c>
      <c r="H214" s="1">
        <v>0</v>
      </c>
      <c r="I214" s="1">
        <v>90</v>
      </c>
      <c r="J214" s="1">
        <v>60003760</v>
      </c>
      <c r="K214" s="1">
        <v>32767</v>
      </c>
      <c r="L214" s="1">
        <v>0</v>
      </c>
      <c r="N214" s="1">
        <v>2876964355</v>
      </c>
      <c r="O214" s="1">
        <v>35</v>
      </c>
      <c r="P214" s="1">
        <v>2492229</v>
      </c>
      <c r="Q214" s="1">
        <v>2492229</v>
      </c>
      <c r="R214" s="1">
        <v>14.8</v>
      </c>
      <c r="S214" s="1">
        <v>1</v>
      </c>
      <c r="T214" s="1">
        <v>0</v>
      </c>
      <c r="U214" s="1">
        <v>90</v>
      </c>
      <c r="V214" s="1">
        <v>60003346</v>
      </c>
      <c r="W214" s="1">
        <v>32767</v>
      </c>
      <c r="X214" s="1">
        <v>9</v>
      </c>
      <c r="Z214" s="1">
        <v>2747567846</v>
      </c>
      <c r="AA214" s="1">
        <v>36</v>
      </c>
      <c r="AB214" s="1">
        <v>2781315</v>
      </c>
      <c r="AC214" s="1">
        <v>2781315</v>
      </c>
      <c r="AD214" s="16">
        <v>61.46</v>
      </c>
      <c r="AE214" s="1">
        <v>1</v>
      </c>
      <c r="AF214" s="1">
        <v>0</v>
      </c>
      <c r="AG214" s="1">
        <v>90</v>
      </c>
      <c r="AH214" s="1">
        <v>60003760</v>
      </c>
      <c r="AI214" s="1">
        <v>32767</v>
      </c>
      <c r="AJ214" s="1">
        <v>11</v>
      </c>
      <c r="AL214" s="1">
        <v>2859130879</v>
      </c>
      <c r="AM214" s="1">
        <v>37</v>
      </c>
      <c r="AN214" s="1">
        <v>100000</v>
      </c>
      <c r="AO214" s="1">
        <v>100000</v>
      </c>
      <c r="AP214" s="16">
        <v>120</v>
      </c>
      <c r="AQ214" s="1">
        <v>1</v>
      </c>
      <c r="AR214" s="1">
        <v>1</v>
      </c>
      <c r="AS214" s="1">
        <v>30</v>
      </c>
      <c r="AT214" s="1">
        <v>60000655</v>
      </c>
      <c r="AU214" s="1">
        <v>-1</v>
      </c>
      <c r="AV214" s="1">
        <v>0</v>
      </c>
      <c r="AX214" s="1">
        <v>2873027221</v>
      </c>
      <c r="AY214" s="1">
        <v>38</v>
      </c>
      <c r="AZ214" s="1">
        <v>100</v>
      </c>
      <c r="BA214" s="1">
        <v>100</v>
      </c>
      <c r="BB214" s="1">
        <v>760</v>
      </c>
      <c r="BC214" s="1">
        <v>1</v>
      </c>
      <c r="BD214" s="1">
        <v>1</v>
      </c>
      <c r="BE214" s="1">
        <v>30</v>
      </c>
      <c r="BF214" s="1">
        <v>60002275</v>
      </c>
      <c r="BG214" s="1">
        <v>-1</v>
      </c>
      <c r="BH214" s="1">
        <v>0</v>
      </c>
      <c r="BJ214"/>
      <c r="BK214"/>
      <c r="BL214"/>
      <c r="BM214"/>
      <c r="BN214"/>
      <c r="BO214"/>
      <c r="BP214"/>
      <c r="BQ214"/>
      <c r="BR214"/>
      <c r="BS214"/>
      <c r="BT214"/>
      <c r="BV214" s="1">
        <v>2412950117</v>
      </c>
      <c r="BW214" s="1">
        <v>40</v>
      </c>
      <c r="BX214" s="1">
        <v>100000</v>
      </c>
      <c r="BY214" s="1">
        <v>99965</v>
      </c>
      <c r="BZ214" s="1">
        <v>2587.17</v>
      </c>
      <c r="CA214" s="1">
        <v>1</v>
      </c>
      <c r="CB214" s="1">
        <v>1</v>
      </c>
      <c r="CC214" s="1">
        <v>90</v>
      </c>
      <c r="CD214" s="1">
        <v>60003760</v>
      </c>
      <c r="CE214" s="1">
        <v>-1</v>
      </c>
      <c r="CF214" s="1">
        <v>0</v>
      </c>
      <c r="CH214" s="1">
        <v>2396357178</v>
      </c>
      <c r="CI214" s="1">
        <v>29668</v>
      </c>
      <c r="CJ214" s="1">
        <v>1</v>
      </c>
      <c r="CK214" s="1">
        <v>1</v>
      </c>
      <c r="CL214" s="1">
        <v>460000</v>
      </c>
      <c r="CM214" s="1">
        <v>1</v>
      </c>
      <c r="CN214" s="1">
        <v>1</v>
      </c>
      <c r="CO214" s="1">
        <v>90</v>
      </c>
      <c r="CP214" s="1">
        <v>60003760</v>
      </c>
      <c r="CQ214" s="1">
        <v>0</v>
      </c>
      <c r="CR214" s="1">
        <v>0</v>
      </c>
      <c r="DR214" s="1">
        <v>2858692119</v>
      </c>
      <c r="DS214" s="1">
        <v>17888</v>
      </c>
      <c r="DT214" s="1">
        <v>1536</v>
      </c>
      <c r="DU214" s="1">
        <v>1536</v>
      </c>
      <c r="DV214" s="1">
        <v>344</v>
      </c>
      <c r="DW214" s="1">
        <v>1</v>
      </c>
      <c r="DX214" s="1">
        <v>0</v>
      </c>
      <c r="DY214" s="1">
        <v>90</v>
      </c>
      <c r="DZ214" s="1">
        <v>60002851</v>
      </c>
      <c r="EA214" s="1">
        <v>32767</v>
      </c>
      <c r="EB214" s="1">
        <v>12</v>
      </c>
      <c r="ED214" s="1">
        <v>2779576074</v>
      </c>
      <c r="EE214" s="1">
        <v>16273</v>
      </c>
      <c r="EF214" s="1">
        <v>70000</v>
      </c>
      <c r="EG214" s="1">
        <v>13551</v>
      </c>
      <c r="EH214" s="1">
        <v>350</v>
      </c>
      <c r="EI214" s="1">
        <v>1</v>
      </c>
      <c r="EJ214" s="1">
        <v>1</v>
      </c>
      <c r="EK214" s="1">
        <v>90</v>
      </c>
      <c r="EL214" s="1">
        <v>60013147</v>
      </c>
      <c r="EM214" s="1">
        <v>-1</v>
      </c>
      <c r="EN214" s="1">
        <v>0</v>
      </c>
      <c r="JF214"/>
      <c r="JG214"/>
      <c r="JH214"/>
      <c r="JI214"/>
      <c r="JJ214"/>
      <c r="JK214"/>
      <c r="JL214"/>
      <c r="JM214"/>
      <c r="JN214"/>
      <c r="JO214"/>
      <c r="JP214"/>
      <c r="NV214"/>
      <c r="NW214"/>
      <c r="NX214"/>
      <c r="NY214"/>
      <c r="NZ214"/>
      <c r="OA214"/>
      <c r="OB214"/>
      <c r="OC214"/>
      <c r="OD214"/>
      <c r="OE214"/>
      <c r="OF214"/>
      <c r="OH214" s="1">
        <v>2737241394</v>
      </c>
      <c r="OI214" s="1">
        <v>25598</v>
      </c>
      <c r="OJ214" s="1">
        <v>10000</v>
      </c>
      <c r="OK214" s="1">
        <v>9692</v>
      </c>
      <c r="OL214" s="1">
        <v>120016.02</v>
      </c>
      <c r="OM214" s="1">
        <v>1</v>
      </c>
      <c r="ON214" s="1">
        <v>1</v>
      </c>
      <c r="OO214" s="1">
        <v>90</v>
      </c>
      <c r="OP214" s="1">
        <v>60004210</v>
      </c>
      <c r="OQ214" s="1">
        <v>3</v>
      </c>
      <c r="OR214" s="1">
        <v>0</v>
      </c>
    </row>
    <row r="215" spans="2:408" x14ac:dyDescent="0.25">
      <c r="B215" s="1">
        <v>2853254374</v>
      </c>
      <c r="C215" s="1">
        <v>34</v>
      </c>
      <c r="D215" s="1">
        <v>1085921</v>
      </c>
      <c r="E215" s="1">
        <v>1085921</v>
      </c>
      <c r="F215" s="1">
        <v>6</v>
      </c>
      <c r="G215" s="1">
        <v>1</v>
      </c>
      <c r="H215" s="1">
        <v>0</v>
      </c>
      <c r="I215" s="1">
        <v>90</v>
      </c>
      <c r="J215" s="1">
        <v>60003760</v>
      </c>
      <c r="K215" s="1">
        <v>32767</v>
      </c>
      <c r="L215" s="1">
        <v>0</v>
      </c>
      <c r="N215" s="1">
        <v>2836984737</v>
      </c>
      <c r="O215" s="1">
        <v>35</v>
      </c>
      <c r="P215" s="1">
        <v>956697</v>
      </c>
      <c r="Q215" s="1">
        <v>956697</v>
      </c>
      <c r="R215" s="1">
        <v>15.9</v>
      </c>
      <c r="S215" s="1">
        <v>1</v>
      </c>
      <c r="T215" s="1">
        <v>0</v>
      </c>
      <c r="U215" s="1">
        <v>90</v>
      </c>
      <c r="V215" s="1">
        <v>60004063</v>
      </c>
      <c r="W215" s="1">
        <v>32767</v>
      </c>
      <c r="X215" s="1">
        <v>9</v>
      </c>
      <c r="Z215" s="1">
        <v>2747859781</v>
      </c>
      <c r="AA215" s="1">
        <v>36</v>
      </c>
      <c r="AB215" s="1">
        <v>4019731</v>
      </c>
      <c r="AC215" s="1">
        <v>4019731</v>
      </c>
      <c r="AD215" s="16">
        <v>61.24</v>
      </c>
      <c r="AE215" s="1">
        <v>1</v>
      </c>
      <c r="AF215" s="1">
        <v>0</v>
      </c>
      <c r="AG215" s="1">
        <v>90</v>
      </c>
      <c r="AH215" s="1">
        <v>60003760</v>
      </c>
      <c r="AI215" s="1">
        <v>32767</v>
      </c>
      <c r="AJ215" s="1">
        <v>11</v>
      </c>
      <c r="AL215" s="1">
        <v>2865403216</v>
      </c>
      <c r="AM215" s="1">
        <v>37</v>
      </c>
      <c r="AN215" s="1">
        <v>1500000</v>
      </c>
      <c r="AO215" s="1">
        <v>1497375</v>
      </c>
      <c r="AP215" s="16">
        <v>136.52000000000001</v>
      </c>
      <c r="AQ215" s="1">
        <v>1</v>
      </c>
      <c r="AR215" s="1">
        <v>1</v>
      </c>
      <c r="AS215" s="1">
        <v>90</v>
      </c>
      <c r="AT215" s="1">
        <v>60003937</v>
      </c>
      <c r="AU215" s="1">
        <v>-1</v>
      </c>
      <c r="AV215" s="1">
        <v>0</v>
      </c>
      <c r="AX215" s="1">
        <v>2801441010</v>
      </c>
      <c r="AY215" s="1">
        <v>38</v>
      </c>
      <c r="AZ215" s="1">
        <v>1000000</v>
      </c>
      <c r="BA215" s="1">
        <v>394788</v>
      </c>
      <c r="BB215" s="1">
        <v>744.5</v>
      </c>
      <c r="BC215" s="1">
        <v>1</v>
      </c>
      <c r="BD215" s="1">
        <v>1</v>
      </c>
      <c r="BE215" s="1">
        <v>90</v>
      </c>
      <c r="BF215" s="1">
        <v>60002359</v>
      </c>
      <c r="BG215" s="1">
        <v>0</v>
      </c>
      <c r="BH215" s="1">
        <v>0</v>
      </c>
      <c r="BJ215"/>
      <c r="BK215"/>
      <c r="BL215"/>
      <c r="BM215"/>
      <c r="BN215"/>
      <c r="BO215"/>
      <c r="BP215"/>
      <c r="BQ215"/>
      <c r="BR215"/>
      <c r="BS215"/>
      <c r="BT215"/>
      <c r="BV215" s="1">
        <v>2415632807</v>
      </c>
      <c r="BW215" s="1">
        <v>40</v>
      </c>
      <c r="BX215" s="1">
        <v>10000</v>
      </c>
      <c r="BY215" s="1">
        <v>10000</v>
      </c>
      <c r="BZ215" s="1">
        <v>2587.2800000000002</v>
      </c>
      <c r="CA215" s="1">
        <v>1</v>
      </c>
      <c r="CB215" s="1">
        <v>1</v>
      </c>
      <c r="CC215" s="1">
        <v>7</v>
      </c>
      <c r="CD215" s="1">
        <v>60003760</v>
      </c>
      <c r="CE215" s="1">
        <v>-1</v>
      </c>
      <c r="CF215" s="1">
        <v>0</v>
      </c>
      <c r="CH215" s="1">
        <v>2396225132</v>
      </c>
      <c r="CI215" s="1">
        <v>29668</v>
      </c>
      <c r="CJ215" s="1">
        <v>1</v>
      </c>
      <c r="CK215" s="1">
        <v>1</v>
      </c>
      <c r="CL215" s="1">
        <v>2</v>
      </c>
      <c r="CM215" s="1">
        <v>1</v>
      </c>
      <c r="CN215" s="1">
        <v>1</v>
      </c>
      <c r="CO215" s="1">
        <v>90</v>
      </c>
      <c r="CP215" s="1">
        <v>60003760</v>
      </c>
      <c r="CQ215" s="1">
        <v>-1</v>
      </c>
      <c r="CR215" s="1">
        <v>0</v>
      </c>
      <c r="DR215" s="1">
        <v>2871016912</v>
      </c>
      <c r="DS215" s="1">
        <v>17888</v>
      </c>
      <c r="DT215" s="1">
        <v>23648</v>
      </c>
      <c r="DU215" s="1">
        <v>23648</v>
      </c>
      <c r="DV215" s="1">
        <v>345</v>
      </c>
      <c r="DW215" s="1">
        <v>1</v>
      </c>
      <c r="DX215" s="1">
        <v>0</v>
      </c>
      <c r="DY215" s="1">
        <v>14</v>
      </c>
      <c r="DZ215" s="1">
        <v>60002851</v>
      </c>
      <c r="EA215" s="1">
        <v>32767</v>
      </c>
      <c r="EB215" s="1">
        <v>12</v>
      </c>
      <c r="ED215" s="1">
        <v>2878563521</v>
      </c>
      <c r="EE215" s="1">
        <v>16273</v>
      </c>
      <c r="EF215" s="1">
        <v>100000</v>
      </c>
      <c r="EG215" s="1">
        <v>100000</v>
      </c>
      <c r="EH215" s="1">
        <v>340.58</v>
      </c>
      <c r="EI215" s="1">
        <v>1</v>
      </c>
      <c r="EJ215" s="1">
        <v>1</v>
      </c>
      <c r="EK215" s="1">
        <v>90</v>
      </c>
      <c r="EL215" s="1">
        <v>60003760</v>
      </c>
      <c r="EM215" s="1">
        <v>-1</v>
      </c>
      <c r="EN215" s="1">
        <v>0</v>
      </c>
      <c r="JF215"/>
      <c r="JG215"/>
      <c r="JH215"/>
      <c r="JI215"/>
      <c r="JJ215"/>
      <c r="JK215"/>
      <c r="JL215"/>
      <c r="JM215"/>
      <c r="JN215"/>
      <c r="JO215"/>
      <c r="JP215"/>
      <c r="NV215"/>
      <c r="NW215"/>
      <c r="NX215"/>
      <c r="NY215"/>
      <c r="NZ215"/>
      <c r="OA215"/>
      <c r="OB215"/>
      <c r="OC215"/>
      <c r="OD215"/>
      <c r="OE215"/>
      <c r="OF215"/>
      <c r="OH215" s="1">
        <v>2872807506</v>
      </c>
      <c r="OI215" s="1">
        <v>25598</v>
      </c>
      <c r="OJ215" s="1">
        <v>300</v>
      </c>
      <c r="OK215" s="1">
        <v>26</v>
      </c>
      <c r="OL215" s="1">
        <v>125115</v>
      </c>
      <c r="OM215" s="1">
        <v>1</v>
      </c>
      <c r="ON215" s="1">
        <v>1</v>
      </c>
      <c r="OO215" s="1">
        <v>90</v>
      </c>
      <c r="OP215" s="1">
        <v>60010195</v>
      </c>
      <c r="OQ215" s="1">
        <v>1</v>
      </c>
      <c r="OR215" s="1">
        <v>0</v>
      </c>
    </row>
    <row r="216" spans="2:408" x14ac:dyDescent="0.25">
      <c r="B216" s="1">
        <v>2853350519</v>
      </c>
      <c r="C216" s="1">
        <v>34</v>
      </c>
      <c r="D216" s="1">
        <v>152740879</v>
      </c>
      <c r="E216" s="1">
        <v>152740879</v>
      </c>
      <c r="F216" s="1">
        <v>6</v>
      </c>
      <c r="G216" s="1">
        <v>1</v>
      </c>
      <c r="H216" s="1">
        <v>0</v>
      </c>
      <c r="I216" s="1">
        <v>90</v>
      </c>
      <c r="J216" s="1">
        <v>60003760</v>
      </c>
      <c r="K216" s="1">
        <v>32767</v>
      </c>
      <c r="L216" s="1">
        <v>0</v>
      </c>
      <c r="N216" s="1">
        <v>2836992113</v>
      </c>
      <c r="O216" s="1">
        <v>35</v>
      </c>
      <c r="P216" s="1">
        <v>5403729</v>
      </c>
      <c r="Q216" s="1">
        <v>5403729</v>
      </c>
      <c r="R216" s="1">
        <v>15.97</v>
      </c>
      <c r="S216" s="1">
        <v>1</v>
      </c>
      <c r="T216" s="1">
        <v>0</v>
      </c>
      <c r="U216" s="1">
        <v>90</v>
      </c>
      <c r="V216" s="1">
        <v>60004057</v>
      </c>
      <c r="W216" s="1">
        <v>32767</v>
      </c>
      <c r="X216" s="1">
        <v>9</v>
      </c>
      <c r="Z216" s="1">
        <v>2748339467</v>
      </c>
      <c r="AA216" s="1">
        <v>36</v>
      </c>
      <c r="AB216" s="1">
        <v>66000000</v>
      </c>
      <c r="AC216" s="1">
        <v>66000000</v>
      </c>
      <c r="AD216" s="16">
        <v>61.23</v>
      </c>
      <c r="AE216" s="1">
        <v>1</v>
      </c>
      <c r="AF216" s="1">
        <v>0</v>
      </c>
      <c r="AG216" s="1">
        <v>90</v>
      </c>
      <c r="AH216" s="1">
        <v>60003760</v>
      </c>
      <c r="AI216" s="1">
        <v>32767</v>
      </c>
      <c r="AJ216" s="1">
        <v>11</v>
      </c>
      <c r="AL216" s="1">
        <v>2865402521</v>
      </c>
      <c r="AM216" s="1">
        <v>37</v>
      </c>
      <c r="AN216" s="1">
        <v>2000000</v>
      </c>
      <c r="AO216" s="1">
        <v>1759190</v>
      </c>
      <c r="AP216" s="16">
        <v>137.37</v>
      </c>
      <c r="AQ216" s="1">
        <v>1</v>
      </c>
      <c r="AR216" s="1">
        <v>1</v>
      </c>
      <c r="AS216" s="1">
        <v>90</v>
      </c>
      <c r="AT216" s="1">
        <v>60003934</v>
      </c>
      <c r="AU216" s="1">
        <v>-1</v>
      </c>
      <c r="AV216" s="1">
        <v>0</v>
      </c>
      <c r="AX216" s="1">
        <v>2820328335</v>
      </c>
      <c r="AY216" s="1">
        <v>38</v>
      </c>
      <c r="AZ216" s="1">
        <v>200000</v>
      </c>
      <c r="BA216" s="1">
        <v>90758</v>
      </c>
      <c r="BB216" s="1">
        <v>744.51</v>
      </c>
      <c r="BC216" s="1">
        <v>1</v>
      </c>
      <c r="BD216" s="1">
        <v>1</v>
      </c>
      <c r="BE216" s="1">
        <v>90</v>
      </c>
      <c r="BF216" s="1">
        <v>60012667</v>
      </c>
      <c r="BG216" s="1">
        <v>-1</v>
      </c>
      <c r="BH216" s="1">
        <v>0</v>
      </c>
      <c r="BJ216"/>
      <c r="BK216"/>
      <c r="BL216"/>
      <c r="BM216"/>
      <c r="BN216"/>
      <c r="BO216"/>
      <c r="BP216"/>
      <c r="BQ216"/>
      <c r="BR216"/>
      <c r="BS216"/>
      <c r="BT216"/>
      <c r="BV216" s="1">
        <v>2415184202</v>
      </c>
      <c r="BW216" s="1">
        <v>40</v>
      </c>
      <c r="BX216" s="1">
        <v>1000000</v>
      </c>
      <c r="BY216" s="1">
        <v>991265</v>
      </c>
      <c r="BZ216" s="1">
        <v>2587.36</v>
      </c>
      <c r="CA216" s="1">
        <v>1</v>
      </c>
      <c r="CB216" s="1">
        <v>1</v>
      </c>
      <c r="CC216" s="1">
        <v>30</v>
      </c>
      <c r="CD216" s="1">
        <v>60003760</v>
      </c>
      <c r="CE216" s="1">
        <v>-1</v>
      </c>
      <c r="CF216" s="1">
        <v>0</v>
      </c>
      <c r="CH216" s="1">
        <v>2396225485</v>
      </c>
      <c r="CI216" s="1">
        <v>29668</v>
      </c>
      <c r="CJ216" s="1">
        <v>1</v>
      </c>
      <c r="CK216" s="1">
        <v>1</v>
      </c>
      <c r="CL216" s="1">
        <v>2</v>
      </c>
      <c r="CM216" s="1">
        <v>1</v>
      </c>
      <c r="CN216" s="1">
        <v>1</v>
      </c>
      <c r="CO216" s="1">
        <v>90</v>
      </c>
      <c r="CP216" s="1">
        <v>60003760</v>
      </c>
      <c r="CQ216" s="1">
        <v>-1</v>
      </c>
      <c r="CR216" s="1">
        <v>0</v>
      </c>
      <c r="DR216" s="1">
        <v>2866460411</v>
      </c>
      <c r="DS216" s="1">
        <v>17888</v>
      </c>
      <c r="DT216" s="1">
        <v>5983</v>
      </c>
      <c r="DU216" s="1">
        <v>5983</v>
      </c>
      <c r="DV216" s="1">
        <v>340</v>
      </c>
      <c r="DW216" s="1">
        <v>1</v>
      </c>
      <c r="DX216" s="1">
        <v>0</v>
      </c>
      <c r="DY216" s="1">
        <v>90</v>
      </c>
      <c r="DZ216" s="1">
        <v>60002851</v>
      </c>
      <c r="EA216" s="1">
        <v>32767</v>
      </c>
      <c r="EB216" s="1">
        <v>12</v>
      </c>
      <c r="ED216" s="1">
        <v>2878638004</v>
      </c>
      <c r="EE216" s="1">
        <v>16273</v>
      </c>
      <c r="EF216" s="1">
        <v>264600</v>
      </c>
      <c r="EG216" s="1">
        <v>264600</v>
      </c>
      <c r="EH216" s="1">
        <v>341.02</v>
      </c>
      <c r="EI216" s="1">
        <v>1</v>
      </c>
      <c r="EJ216" s="1">
        <v>1</v>
      </c>
      <c r="EK216" s="1">
        <v>14</v>
      </c>
      <c r="EL216" s="1">
        <v>60003760</v>
      </c>
      <c r="EM216" s="1">
        <v>-1</v>
      </c>
      <c r="EN216" s="1">
        <v>0</v>
      </c>
      <c r="JF216"/>
      <c r="JG216"/>
      <c r="JH216"/>
      <c r="JI216"/>
      <c r="JJ216"/>
      <c r="JK216"/>
      <c r="JL216"/>
      <c r="JM216"/>
      <c r="JN216"/>
      <c r="JO216"/>
      <c r="JP216"/>
      <c r="NV216"/>
      <c r="NW216"/>
      <c r="NX216"/>
      <c r="NY216"/>
      <c r="NZ216"/>
      <c r="OA216"/>
      <c r="OB216"/>
      <c r="OC216"/>
      <c r="OD216"/>
      <c r="OE216"/>
      <c r="OF216"/>
      <c r="OH216" s="1">
        <v>2870054694</v>
      </c>
      <c r="OI216" s="1">
        <v>25598</v>
      </c>
      <c r="OJ216" s="1">
        <v>500</v>
      </c>
      <c r="OK216" s="1">
        <v>234</v>
      </c>
      <c r="OL216" s="1">
        <v>95400.01</v>
      </c>
      <c r="OM216" s="1">
        <v>1</v>
      </c>
      <c r="ON216" s="1">
        <v>1</v>
      </c>
      <c r="OO216" s="1">
        <v>30</v>
      </c>
      <c r="OP216" s="1">
        <v>60004063</v>
      </c>
      <c r="OQ216" s="1">
        <v>4</v>
      </c>
      <c r="OR216" s="1">
        <v>0</v>
      </c>
    </row>
    <row r="217" spans="2:408" x14ac:dyDescent="0.25">
      <c r="B217" s="1">
        <v>2863441850</v>
      </c>
      <c r="C217" s="1">
        <v>34</v>
      </c>
      <c r="D217" s="1">
        <v>1753916</v>
      </c>
      <c r="E217" s="1">
        <v>1753916</v>
      </c>
      <c r="F217" s="1">
        <v>5.92</v>
      </c>
      <c r="G217" s="1">
        <v>1</v>
      </c>
      <c r="H217" s="1">
        <v>0</v>
      </c>
      <c r="I217" s="1">
        <v>90</v>
      </c>
      <c r="J217" s="1">
        <v>60003760</v>
      </c>
      <c r="K217" s="1">
        <v>32767</v>
      </c>
      <c r="L217" s="1">
        <v>0</v>
      </c>
      <c r="N217" s="1">
        <v>2875441344</v>
      </c>
      <c r="O217" s="1">
        <v>35</v>
      </c>
      <c r="P217" s="1">
        <v>218532</v>
      </c>
      <c r="Q217" s="1">
        <v>218532</v>
      </c>
      <c r="R217" s="1">
        <v>14.83</v>
      </c>
      <c r="S217" s="1">
        <v>1</v>
      </c>
      <c r="T217" s="1">
        <v>0</v>
      </c>
      <c r="U217" s="1">
        <v>3</v>
      </c>
      <c r="V217" s="1">
        <v>60004057</v>
      </c>
      <c r="W217" s="1">
        <v>32767</v>
      </c>
      <c r="X217" s="1">
        <v>9</v>
      </c>
      <c r="Z217" s="1">
        <v>2748340276</v>
      </c>
      <c r="AA217" s="1">
        <v>36</v>
      </c>
      <c r="AB217" s="1">
        <v>70248597</v>
      </c>
      <c r="AC217" s="1">
        <v>50484279</v>
      </c>
      <c r="AD217" s="16">
        <v>60.95</v>
      </c>
      <c r="AE217" s="1">
        <v>1</v>
      </c>
      <c r="AF217" s="1">
        <v>0</v>
      </c>
      <c r="AG217" s="1">
        <v>90</v>
      </c>
      <c r="AH217" s="1">
        <v>60003760</v>
      </c>
      <c r="AI217" s="1">
        <v>32767</v>
      </c>
      <c r="AJ217" s="1">
        <v>11</v>
      </c>
      <c r="AL217" s="1">
        <v>2856549318</v>
      </c>
      <c r="AM217" s="1">
        <v>37</v>
      </c>
      <c r="AN217" s="1">
        <v>10000000</v>
      </c>
      <c r="AO217" s="1">
        <v>9994316</v>
      </c>
      <c r="AP217" s="16">
        <v>126.01</v>
      </c>
      <c r="AQ217" s="1">
        <v>1</v>
      </c>
      <c r="AR217" s="1">
        <v>1</v>
      </c>
      <c r="AS217" s="1">
        <v>90</v>
      </c>
      <c r="AT217" s="1">
        <v>60002431</v>
      </c>
      <c r="AU217" s="1">
        <v>5</v>
      </c>
      <c r="AV217" s="1">
        <v>0</v>
      </c>
      <c r="AX217" s="1">
        <v>2842816938</v>
      </c>
      <c r="AY217" s="1">
        <v>38</v>
      </c>
      <c r="AZ217" s="1">
        <v>30000</v>
      </c>
      <c r="BA217" s="1">
        <v>28256</v>
      </c>
      <c r="BB217" s="1">
        <v>745</v>
      </c>
      <c r="BC217" s="1">
        <v>1</v>
      </c>
      <c r="BD217" s="1">
        <v>1</v>
      </c>
      <c r="BE217" s="1">
        <v>30</v>
      </c>
      <c r="BF217" s="1">
        <v>60004459</v>
      </c>
      <c r="BG217" s="1">
        <v>0</v>
      </c>
      <c r="BH217" s="1">
        <v>0</v>
      </c>
      <c r="BJ217"/>
      <c r="BK217"/>
      <c r="BL217"/>
      <c r="BM217"/>
      <c r="BN217"/>
      <c r="BO217"/>
      <c r="BP217"/>
      <c r="BQ217"/>
      <c r="BR217"/>
      <c r="BS217"/>
      <c r="BT217"/>
      <c r="BV217" s="1">
        <v>2415473351</v>
      </c>
      <c r="BW217" s="1">
        <v>40</v>
      </c>
      <c r="BX217" s="1">
        <v>116242</v>
      </c>
      <c r="BY217" s="1">
        <v>115886</v>
      </c>
      <c r="BZ217" s="1">
        <v>2497.6999999999998</v>
      </c>
      <c r="CA217" s="1">
        <v>1</v>
      </c>
      <c r="CB217" s="1">
        <v>1</v>
      </c>
      <c r="CC217" s="1">
        <v>90</v>
      </c>
      <c r="CD217" s="1">
        <v>60003760</v>
      </c>
      <c r="CE217" s="1">
        <v>-1</v>
      </c>
      <c r="CF217" s="1">
        <v>0</v>
      </c>
      <c r="CH217" s="1">
        <v>2396225746</v>
      </c>
      <c r="CI217" s="1">
        <v>29668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90</v>
      </c>
      <c r="CP217" s="1">
        <v>60003760</v>
      </c>
      <c r="CQ217" s="1">
        <v>-1</v>
      </c>
      <c r="CR217" s="1">
        <v>0</v>
      </c>
      <c r="DR217" s="1">
        <v>2793170595</v>
      </c>
      <c r="DS217" s="1">
        <v>17888</v>
      </c>
      <c r="DT217" s="1">
        <v>1719600</v>
      </c>
      <c r="DU217" s="1">
        <v>1353902</v>
      </c>
      <c r="DV217" s="1">
        <v>340</v>
      </c>
      <c r="DW217" s="1">
        <v>1</v>
      </c>
      <c r="DX217" s="1">
        <v>0</v>
      </c>
      <c r="DY217" s="1">
        <v>90</v>
      </c>
      <c r="DZ217" s="1">
        <v>60012667</v>
      </c>
      <c r="EA217" s="1">
        <v>32767</v>
      </c>
      <c r="EB217" s="1">
        <v>2</v>
      </c>
      <c r="ED217" s="1">
        <v>2878681653</v>
      </c>
      <c r="EE217" s="1">
        <v>16273</v>
      </c>
      <c r="EF217" s="1">
        <v>1000000</v>
      </c>
      <c r="EG217" s="1">
        <v>1000000</v>
      </c>
      <c r="EH217" s="1">
        <v>340</v>
      </c>
      <c r="EI217" s="1">
        <v>1</v>
      </c>
      <c r="EJ217" s="1">
        <v>1</v>
      </c>
      <c r="EK217" s="1">
        <v>90</v>
      </c>
      <c r="EL217" s="1">
        <v>60003760</v>
      </c>
      <c r="EM217" s="1">
        <v>-1</v>
      </c>
      <c r="EN217" s="1">
        <v>0</v>
      </c>
      <c r="JF217"/>
      <c r="JG217"/>
      <c r="JH217"/>
      <c r="JI217"/>
      <c r="JJ217"/>
      <c r="JK217"/>
      <c r="JL217"/>
      <c r="JM217"/>
      <c r="JN217"/>
      <c r="JO217"/>
      <c r="JP217"/>
      <c r="NV217"/>
      <c r="NW217"/>
      <c r="NX217"/>
      <c r="NY217"/>
      <c r="NZ217"/>
      <c r="OA217"/>
      <c r="OB217"/>
      <c r="OC217"/>
      <c r="OD217"/>
      <c r="OE217"/>
      <c r="OF217"/>
      <c r="OH217" s="1">
        <v>2876163747</v>
      </c>
      <c r="OI217" s="1">
        <v>25598</v>
      </c>
      <c r="OJ217" s="1">
        <v>110</v>
      </c>
      <c r="OK217" s="1">
        <v>110</v>
      </c>
      <c r="OL217" s="1">
        <v>110000</v>
      </c>
      <c r="OM217" s="1">
        <v>1</v>
      </c>
      <c r="ON217" s="1">
        <v>1</v>
      </c>
      <c r="OO217" s="1">
        <v>14</v>
      </c>
      <c r="OP217" s="1">
        <v>60004063</v>
      </c>
      <c r="OQ217" s="1">
        <v>0</v>
      </c>
      <c r="OR217" s="1">
        <v>0</v>
      </c>
    </row>
    <row r="218" spans="2:408" x14ac:dyDescent="0.25">
      <c r="B218" s="1">
        <v>2863242574</v>
      </c>
      <c r="C218" s="1">
        <v>34</v>
      </c>
      <c r="D218" s="1">
        <v>45152660</v>
      </c>
      <c r="E218" s="1">
        <v>45152660</v>
      </c>
      <c r="F218" s="1">
        <v>5.94</v>
      </c>
      <c r="G218" s="1">
        <v>1</v>
      </c>
      <c r="H218" s="1">
        <v>0</v>
      </c>
      <c r="I218" s="1">
        <v>90</v>
      </c>
      <c r="J218" s="1">
        <v>60003760</v>
      </c>
      <c r="K218" s="1">
        <v>32767</v>
      </c>
      <c r="L218" s="1">
        <v>0</v>
      </c>
      <c r="N218" s="1">
        <v>2876964518</v>
      </c>
      <c r="O218" s="1">
        <v>35</v>
      </c>
      <c r="P218" s="1">
        <v>11218956</v>
      </c>
      <c r="Q218" s="1">
        <v>11218956</v>
      </c>
      <c r="R218" s="1">
        <v>14.8</v>
      </c>
      <c r="S218" s="1">
        <v>1</v>
      </c>
      <c r="T218" s="1">
        <v>0</v>
      </c>
      <c r="U218" s="1">
        <v>90</v>
      </c>
      <c r="V218" s="1">
        <v>60004057</v>
      </c>
      <c r="W218" s="1">
        <v>32767</v>
      </c>
      <c r="X218" s="1">
        <v>9</v>
      </c>
      <c r="Z218" s="1">
        <v>2748739627</v>
      </c>
      <c r="AA218" s="1">
        <v>36</v>
      </c>
      <c r="AB218" s="1">
        <v>24890766</v>
      </c>
      <c r="AC218" s="1">
        <v>24890766</v>
      </c>
      <c r="AD218" s="16">
        <v>60.78</v>
      </c>
      <c r="AE218" s="1">
        <v>1</v>
      </c>
      <c r="AF218" s="1">
        <v>0</v>
      </c>
      <c r="AG218" s="1">
        <v>90</v>
      </c>
      <c r="AH218" s="1">
        <v>60003760</v>
      </c>
      <c r="AI218" s="1">
        <v>32767</v>
      </c>
      <c r="AJ218" s="1">
        <v>11</v>
      </c>
      <c r="AL218" s="1">
        <v>2862421298</v>
      </c>
      <c r="AM218" s="1">
        <v>37</v>
      </c>
      <c r="AN218" s="1">
        <v>1000000</v>
      </c>
      <c r="AO218" s="1">
        <v>1000000</v>
      </c>
      <c r="AP218" s="16">
        <v>100</v>
      </c>
      <c r="AQ218" s="1">
        <v>1</v>
      </c>
      <c r="AR218" s="1">
        <v>1</v>
      </c>
      <c r="AS218" s="1">
        <v>90</v>
      </c>
      <c r="AT218" s="1">
        <v>60003037</v>
      </c>
      <c r="AU218" s="1">
        <v>3</v>
      </c>
      <c r="AV218" s="1">
        <v>0</v>
      </c>
      <c r="AX218" s="1">
        <v>2831234104</v>
      </c>
      <c r="AY218" s="1">
        <v>38</v>
      </c>
      <c r="AZ218" s="1">
        <v>500000</v>
      </c>
      <c r="BA218" s="1">
        <v>411609</v>
      </c>
      <c r="BB218" s="1">
        <v>770.35</v>
      </c>
      <c r="BC218" s="1">
        <v>1</v>
      </c>
      <c r="BD218" s="1">
        <v>1</v>
      </c>
      <c r="BE218" s="1">
        <v>90</v>
      </c>
      <c r="BF218" s="1">
        <v>60012667</v>
      </c>
      <c r="BG218" s="1">
        <v>0</v>
      </c>
      <c r="BH218" s="1">
        <v>0</v>
      </c>
      <c r="BJ218"/>
      <c r="BK218"/>
      <c r="BL218"/>
      <c r="BM218"/>
      <c r="BN218"/>
      <c r="BO218"/>
      <c r="BP218"/>
      <c r="BQ218"/>
      <c r="BR218"/>
      <c r="BS218"/>
      <c r="BT218"/>
      <c r="BV218" s="1">
        <v>2415529769</v>
      </c>
      <c r="BW218" s="1">
        <v>40</v>
      </c>
      <c r="BX218" s="1">
        <v>39830</v>
      </c>
      <c r="BY218" s="1">
        <v>22900</v>
      </c>
      <c r="BZ218" s="1">
        <v>2587.4</v>
      </c>
      <c r="CA218" s="1">
        <v>1</v>
      </c>
      <c r="CB218" s="1">
        <v>1</v>
      </c>
      <c r="CC218" s="1">
        <v>90</v>
      </c>
      <c r="CD218" s="1">
        <v>60003760</v>
      </c>
      <c r="CE218" s="1">
        <v>-1</v>
      </c>
      <c r="CF218" s="1">
        <v>0</v>
      </c>
      <c r="CH218" s="1">
        <v>2396226118</v>
      </c>
      <c r="CI218" s="1">
        <v>29668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90</v>
      </c>
      <c r="CP218" s="1">
        <v>60003760</v>
      </c>
      <c r="CQ218" s="1">
        <v>-1</v>
      </c>
      <c r="CR218" s="1">
        <v>0</v>
      </c>
      <c r="DR218" s="1">
        <v>2790902589</v>
      </c>
      <c r="DS218" s="1">
        <v>17888</v>
      </c>
      <c r="DT218" s="1">
        <v>79238</v>
      </c>
      <c r="DU218" s="1">
        <v>79238</v>
      </c>
      <c r="DV218" s="1">
        <v>410</v>
      </c>
      <c r="DW218" s="1">
        <v>1</v>
      </c>
      <c r="DX218" s="1">
        <v>0</v>
      </c>
      <c r="DY218" s="1">
        <v>90</v>
      </c>
      <c r="DZ218" s="1">
        <v>60000535</v>
      </c>
      <c r="EA218" s="1">
        <v>32767</v>
      </c>
      <c r="EB218" s="1">
        <v>2</v>
      </c>
      <c r="ED218" s="1">
        <v>2878620353</v>
      </c>
      <c r="EE218" s="1">
        <v>16273</v>
      </c>
      <c r="EF218" s="1">
        <v>500000</v>
      </c>
      <c r="EG218" s="1">
        <v>500000</v>
      </c>
      <c r="EH218" s="1">
        <v>341.31</v>
      </c>
      <c r="EI218" s="1">
        <v>1</v>
      </c>
      <c r="EJ218" s="1">
        <v>1</v>
      </c>
      <c r="EK218" s="1">
        <v>7</v>
      </c>
      <c r="EL218" s="1">
        <v>60003760</v>
      </c>
      <c r="EM218" s="1">
        <v>-1</v>
      </c>
      <c r="EN218" s="1">
        <v>0</v>
      </c>
      <c r="JF218"/>
      <c r="JG218"/>
      <c r="JH218"/>
      <c r="JI218"/>
      <c r="JJ218"/>
      <c r="JK218"/>
      <c r="JL218"/>
      <c r="JM218"/>
      <c r="JN218"/>
      <c r="JO218"/>
      <c r="JP218"/>
      <c r="NV218"/>
      <c r="NW218"/>
      <c r="NX218"/>
      <c r="NY218"/>
      <c r="NZ218"/>
      <c r="OA218"/>
      <c r="OB218"/>
      <c r="OC218"/>
      <c r="OD218"/>
      <c r="OE218"/>
      <c r="OF218"/>
      <c r="OH218" s="1">
        <v>2873003079</v>
      </c>
      <c r="OI218" s="1">
        <v>25598</v>
      </c>
      <c r="OJ218" s="1">
        <v>240</v>
      </c>
      <c r="OK218" s="1">
        <v>240</v>
      </c>
      <c r="OL218" s="1">
        <v>125000</v>
      </c>
      <c r="OM218" s="1">
        <v>1</v>
      </c>
      <c r="ON218" s="1">
        <v>1</v>
      </c>
      <c r="OO218" s="1">
        <v>30</v>
      </c>
      <c r="OP218" s="1">
        <v>60002275</v>
      </c>
      <c r="OQ218" s="1">
        <v>-1</v>
      </c>
      <c r="OR218" s="1">
        <v>0</v>
      </c>
    </row>
    <row r="219" spans="2:408" x14ac:dyDescent="0.25">
      <c r="B219" s="1">
        <v>2861991733</v>
      </c>
      <c r="C219" s="1">
        <v>34</v>
      </c>
      <c r="D219" s="1">
        <v>2137175</v>
      </c>
      <c r="E219" s="1">
        <v>2137175</v>
      </c>
      <c r="F219" s="1">
        <v>6</v>
      </c>
      <c r="G219" s="1">
        <v>1</v>
      </c>
      <c r="H219" s="1">
        <v>0</v>
      </c>
      <c r="I219" s="1">
        <v>90</v>
      </c>
      <c r="J219" s="1">
        <v>60003760</v>
      </c>
      <c r="K219" s="1">
        <v>32767</v>
      </c>
      <c r="L219" s="1">
        <v>0</v>
      </c>
      <c r="N219" s="1">
        <v>2876017389</v>
      </c>
      <c r="O219" s="1">
        <v>35</v>
      </c>
      <c r="P219" s="1">
        <v>15000020</v>
      </c>
      <c r="Q219" s="1">
        <v>15000020</v>
      </c>
      <c r="R219" s="1">
        <v>15.19</v>
      </c>
      <c r="S219" s="1">
        <v>1</v>
      </c>
      <c r="T219" s="1">
        <v>0</v>
      </c>
      <c r="U219" s="1">
        <v>90</v>
      </c>
      <c r="V219" s="1">
        <v>60004057</v>
      </c>
      <c r="W219" s="1">
        <v>32767</v>
      </c>
      <c r="X219" s="1">
        <v>9</v>
      </c>
      <c r="Z219" s="1">
        <v>2748681419</v>
      </c>
      <c r="AA219" s="1">
        <v>36</v>
      </c>
      <c r="AB219" s="1">
        <v>1181762</v>
      </c>
      <c r="AC219" s="1">
        <v>1181762</v>
      </c>
      <c r="AD219" s="16">
        <v>60.03</v>
      </c>
      <c r="AE219" s="1">
        <v>1</v>
      </c>
      <c r="AF219" s="1">
        <v>0</v>
      </c>
      <c r="AG219" s="1">
        <v>90</v>
      </c>
      <c r="AH219" s="1">
        <v>60003760</v>
      </c>
      <c r="AI219" s="1">
        <v>32767</v>
      </c>
      <c r="AJ219" s="1">
        <v>11</v>
      </c>
      <c r="AL219" s="1">
        <v>2860590041</v>
      </c>
      <c r="AM219" s="1">
        <v>37</v>
      </c>
      <c r="AN219" s="1">
        <v>100000</v>
      </c>
      <c r="AO219" s="1">
        <v>52710</v>
      </c>
      <c r="AP219" s="16">
        <v>136.93</v>
      </c>
      <c r="AQ219" s="1">
        <v>1</v>
      </c>
      <c r="AR219" s="1">
        <v>1</v>
      </c>
      <c r="AS219" s="1">
        <v>30</v>
      </c>
      <c r="AT219" s="1">
        <v>60002434</v>
      </c>
      <c r="AU219" s="1">
        <v>0</v>
      </c>
      <c r="AV219" s="1">
        <v>0</v>
      </c>
      <c r="AX219" s="1">
        <v>2877556035</v>
      </c>
      <c r="AY219" s="1">
        <v>38</v>
      </c>
      <c r="AZ219" s="1">
        <v>1500000</v>
      </c>
      <c r="BA219" s="1">
        <v>1423826</v>
      </c>
      <c r="BB219" s="1">
        <v>744.57</v>
      </c>
      <c r="BC219" s="1">
        <v>1</v>
      </c>
      <c r="BD219" s="1">
        <v>1</v>
      </c>
      <c r="BE219" s="1">
        <v>90</v>
      </c>
      <c r="BF219" s="1">
        <v>60002359</v>
      </c>
      <c r="BG219" s="1">
        <v>3</v>
      </c>
      <c r="BH219" s="1">
        <v>0</v>
      </c>
      <c r="BJ219"/>
      <c r="BK219"/>
      <c r="BL219"/>
      <c r="BM219"/>
      <c r="BN219"/>
      <c r="BO219"/>
      <c r="BP219"/>
      <c r="BQ219"/>
      <c r="BR219"/>
      <c r="BS219"/>
      <c r="BT219"/>
      <c r="BV219" s="1">
        <v>2414644235</v>
      </c>
      <c r="BW219" s="1">
        <v>40</v>
      </c>
      <c r="BX219" s="1">
        <v>100000</v>
      </c>
      <c r="BY219" s="1">
        <v>98484</v>
      </c>
      <c r="BZ219" s="1">
        <v>2508.16</v>
      </c>
      <c r="CA219" s="1">
        <v>500</v>
      </c>
      <c r="CB219" s="1">
        <v>1</v>
      </c>
      <c r="CC219" s="1">
        <v>90</v>
      </c>
      <c r="CD219" s="1">
        <v>60004048</v>
      </c>
      <c r="CE219" s="1">
        <v>4</v>
      </c>
      <c r="CF219" s="1">
        <v>0</v>
      </c>
      <c r="CH219" s="1">
        <v>2396226323</v>
      </c>
      <c r="CI219" s="1">
        <v>29668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90</v>
      </c>
      <c r="CP219" s="1">
        <v>60003760</v>
      </c>
      <c r="CQ219" s="1">
        <v>-1</v>
      </c>
      <c r="CR219" s="1">
        <v>0</v>
      </c>
      <c r="DR219" s="1">
        <v>2779484299</v>
      </c>
      <c r="DS219" s="1">
        <v>17888</v>
      </c>
      <c r="DT219" s="1">
        <v>33458</v>
      </c>
      <c r="DU219" s="1">
        <v>33458</v>
      </c>
      <c r="DV219" s="1">
        <v>410</v>
      </c>
      <c r="DW219" s="1">
        <v>1</v>
      </c>
      <c r="DX219" s="1">
        <v>0</v>
      </c>
      <c r="DY219" s="1">
        <v>90</v>
      </c>
      <c r="DZ219" s="1">
        <v>60012667</v>
      </c>
      <c r="EA219" s="1">
        <v>32767</v>
      </c>
      <c r="EB219" s="1">
        <v>2</v>
      </c>
      <c r="ED219" s="1">
        <v>2878789472</v>
      </c>
      <c r="EE219" s="1">
        <v>16273</v>
      </c>
      <c r="EF219" s="1">
        <v>250000</v>
      </c>
      <c r="EG219" s="1">
        <v>250000</v>
      </c>
      <c r="EH219" s="1">
        <v>341.81</v>
      </c>
      <c r="EI219" s="1">
        <v>1</v>
      </c>
      <c r="EJ219" s="1">
        <v>1</v>
      </c>
      <c r="EK219" s="1">
        <v>90</v>
      </c>
      <c r="EL219" s="1">
        <v>60003760</v>
      </c>
      <c r="EM219" s="1">
        <v>-1</v>
      </c>
      <c r="EN219" s="1">
        <v>0</v>
      </c>
      <c r="JF219"/>
      <c r="JG219"/>
      <c r="JH219"/>
      <c r="JI219"/>
      <c r="JJ219"/>
      <c r="JK219"/>
      <c r="JL219"/>
      <c r="JM219"/>
      <c r="JN219"/>
      <c r="JO219"/>
      <c r="JP219"/>
      <c r="NV219"/>
      <c r="NW219"/>
      <c r="NX219"/>
      <c r="NY219"/>
      <c r="NZ219"/>
      <c r="OA219"/>
      <c r="OB219"/>
      <c r="OC219"/>
      <c r="OD219"/>
      <c r="OE219"/>
      <c r="OF219"/>
      <c r="OH219" s="1">
        <v>2753365709</v>
      </c>
      <c r="OI219" s="1">
        <v>25598</v>
      </c>
      <c r="OJ219" s="1">
        <v>2000</v>
      </c>
      <c r="OK219" s="1">
        <v>2000</v>
      </c>
      <c r="OL219" s="1">
        <v>94000</v>
      </c>
      <c r="OM219" s="1">
        <v>1</v>
      </c>
      <c r="ON219" s="1">
        <v>1</v>
      </c>
      <c r="OO219" s="1">
        <v>90</v>
      </c>
      <c r="OP219" s="1">
        <v>60012667</v>
      </c>
      <c r="OQ219" s="1">
        <v>5</v>
      </c>
      <c r="OR219" s="1">
        <v>0</v>
      </c>
    </row>
    <row r="220" spans="2:408" x14ac:dyDescent="0.25">
      <c r="B220" s="1">
        <v>2862022425</v>
      </c>
      <c r="C220" s="1">
        <v>34</v>
      </c>
      <c r="D220" s="1">
        <v>82395476</v>
      </c>
      <c r="E220" s="1">
        <v>82395476</v>
      </c>
      <c r="F220" s="1">
        <v>5.85</v>
      </c>
      <c r="G220" s="1">
        <v>1</v>
      </c>
      <c r="H220" s="1">
        <v>0</v>
      </c>
      <c r="I220" s="1">
        <v>90</v>
      </c>
      <c r="J220" s="1">
        <v>60003760</v>
      </c>
      <c r="K220" s="1">
        <v>32767</v>
      </c>
      <c r="L220" s="1">
        <v>0</v>
      </c>
      <c r="N220" s="1">
        <v>2876016204</v>
      </c>
      <c r="O220" s="1">
        <v>35</v>
      </c>
      <c r="P220" s="1">
        <v>10000000</v>
      </c>
      <c r="Q220" s="1">
        <v>10000000</v>
      </c>
      <c r="R220" s="1">
        <v>15.19</v>
      </c>
      <c r="S220" s="1">
        <v>1</v>
      </c>
      <c r="T220" s="1">
        <v>0</v>
      </c>
      <c r="U220" s="1">
        <v>90</v>
      </c>
      <c r="V220" s="1">
        <v>60004063</v>
      </c>
      <c r="W220" s="1">
        <v>32767</v>
      </c>
      <c r="X220" s="1">
        <v>9</v>
      </c>
      <c r="Z220" s="1">
        <v>2748990429</v>
      </c>
      <c r="AA220" s="1">
        <v>36</v>
      </c>
      <c r="AB220" s="1">
        <v>1590228</v>
      </c>
      <c r="AC220" s="1">
        <v>419633</v>
      </c>
      <c r="AD220" s="16">
        <v>58.9</v>
      </c>
      <c r="AE220" s="1">
        <v>1</v>
      </c>
      <c r="AF220" s="1">
        <v>0</v>
      </c>
      <c r="AG220" s="1">
        <v>90</v>
      </c>
      <c r="AH220" s="1">
        <v>60003760</v>
      </c>
      <c r="AI220" s="1">
        <v>32767</v>
      </c>
      <c r="AJ220" s="1">
        <v>11</v>
      </c>
      <c r="AL220" s="1">
        <v>2867307014</v>
      </c>
      <c r="AM220" s="1">
        <v>37</v>
      </c>
      <c r="AN220" s="1">
        <v>5000</v>
      </c>
      <c r="AO220" s="1">
        <v>5000</v>
      </c>
      <c r="AP220" s="16">
        <v>110</v>
      </c>
      <c r="AQ220" s="1">
        <v>1</v>
      </c>
      <c r="AR220" s="1">
        <v>1</v>
      </c>
      <c r="AS220" s="1">
        <v>14</v>
      </c>
      <c r="AT220" s="1">
        <v>60003037</v>
      </c>
      <c r="AU220" s="1">
        <v>-1</v>
      </c>
      <c r="AV220" s="1">
        <v>0</v>
      </c>
      <c r="AX220" s="1">
        <v>2686416663</v>
      </c>
      <c r="AY220" s="1">
        <v>38</v>
      </c>
      <c r="AZ220" s="1">
        <v>500000</v>
      </c>
      <c r="BA220" s="1">
        <v>55468</v>
      </c>
      <c r="BB220" s="1">
        <v>746</v>
      </c>
      <c r="BC220" s="1">
        <v>1</v>
      </c>
      <c r="BD220" s="1">
        <v>1</v>
      </c>
      <c r="BE220" s="1">
        <v>90</v>
      </c>
      <c r="BF220" s="1">
        <v>60012670</v>
      </c>
      <c r="BG220" s="1">
        <v>0</v>
      </c>
      <c r="BH220" s="1">
        <v>0</v>
      </c>
      <c r="BJ220"/>
      <c r="BK220"/>
      <c r="BL220"/>
      <c r="BM220"/>
      <c r="BN220"/>
      <c r="BO220"/>
      <c r="BP220"/>
      <c r="BQ220"/>
      <c r="BR220"/>
      <c r="BS220"/>
      <c r="BT220"/>
      <c r="BV220" s="1">
        <v>2415707548</v>
      </c>
      <c r="BW220" s="1">
        <v>40</v>
      </c>
      <c r="BX220" s="1">
        <v>40000</v>
      </c>
      <c r="BY220" s="1">
        <v>40000</v>
      </c>
      <c r="BZ220" s="1">
        <v>2590</v>
      </c>
      <c r="CA220" s="1">
        <v>1</v>
      </c>
      <c r="CB220" s="1">
        <v>1</v>
      </c>
      <c r="CC220" s="1">
        <v>90</v>
      </c>
      <c r="CD220" s="1">
        <v>60004474</v>
      </c>
      <c r="CE220" s="1">
        <v>-1</v>
      </c>
      <c r="CF220" s="1">
        <v>0</v>
      </c>
      <c r="CH220" s="1">
        <v>2396226603</v>
      </c>
      <c r="CI220" s="1">
        <v>29668</v>
      </c>
      <c r="CJ220" s="1">
        <v>1</v>
      </c>
      <c r="CK220" s="1">
        <v>1</v>
      </c>
      <c r="CL220" s="1">
        <v>1.26</v>
      </c>
      <c r="CM220" s="1">
        <v>1</v>
      </c>
      <c r="CN220" s="1">
        <v>1</v>
      </c>
      <c r="CO220" s="1">
        <v>90</v>
      </c>
      <c r="CP220" s="1">
        <v>60003760</v>
      </c>
      <c r="CQ220" s="1">
        <v>-1</v>
      </c>
      <c r="CR220" s="1">
        <v>0</v>
      </c>
      <c r="DR220" s="1">
        <v>2777067663</v>
      </c>
      <c r="DS220" s="1">
        <v>17888</v>
      </c>
      <c r="DT220" s="1">
        <v>61193</v>
      </c>
      <c r="DU220" s="1">
        <v>61193</v>
      </c>
      <c r="DV220" s="1">
        <v>410</v>
      </c>
      <c r="DW220" s="1">
        <v>1</v>
      </c>
      <c r="DX220" s="1">
        <v>0</v>
      </c>
      <c r="DY220" s="1">
        <v>90</v>
      </c>
      <c r="DZ220" s="1">
        <v>60012667</v>
      </c>
      <c r="EA220" s="1">
        <v>32767</v>
      </c>
      <c r="EB220" s="1">
        <v>2</v>
      </c>
      <c r="ED220" s="1">
        <v>2878751205</v>
      </c>
      <c r="EE220" s="1">
        <v>16273</v>
      </c>
      <c r="EF220" s="1">
        <v>500000</v>
      </c>
      <c r="EG220" s="1">
        <v>499872</v>
      </c>
      <c r="EH220" s="1">
        <v>341.91</v>
      </c>
      <c r="EI220" s="1">
        <v>1</v>
      </c>
      <c r="EJ220" s="1">
        <v>1</v>
      </c>
      <c r="EK220" s="1">
        <v>90</v>
      </c>
      <c r="EL220" s="1">
        <v>60003760</v>
      </c>
      <c r="EM220" s="1">
        <v>-1</v>
      </c>
      <c r="EN220" s="1">
        <v>0</v>
      </c>
      <c r="JF220"/>
      <c r="JG220"/>
      <c r="JH220"/>
      <c r="JI220"/>
      <c r="JJ220"/>
      <c r="JK220"/>
      <c r="JL220"/>
      <c r="JM220"/>
      <c r="JN220"/>
      <c r="JO220"/>
      <c r="JP220"/>
      <c r="NV220"/>
      <c r="NW220"/>
      <c r="NX220"/>
      <c r="NY220"/>
      <c r="NZ220"/>
      <c r="OA220"/>
      <c r="OB220"/>
      <c r="OC220"/>
      <c r="OD220"/>
      <c r="OE220"/>
      <c r="OF220"/>
      <c r="OH220" s="1">
        <v>2877773186</v>
      </c>
      <c r="OI220" s="1">
        <v>25598</v>
      </c>
      <c r="OJ220" s="1">
        <v>1000</v>
      </c>
      <c r="OK220" s="1">
        <v>990</v>
      </c>
      <c r="OL220" s="1">
        <v>130000</v>
      </c>
      <c r="OM220" s="1">
        <v>1</v>
      </c>
      <c r="ON220" s="1">
        <v>1</v>
      </c>
      <c r="OO220" s="1">
        <v>90</v>
      </c>
      <c r="OP220" s="1">
        <v>60012667</v>
      </c>
      <c r="OQ220" s="1">
        <v>-1</v>
      </c>
      <c r="OR220" s="1">
        <v>0</v>
      </c>
    </row>
    <row r="221" spans="2:408" x14ac:dyDescent="0.25">
      <c r="B221" s="1">
        <v>2861699323</v>
      </c>
      <c r="C221" s="1">
        <v>34</v>
      </c>
      <c r="D221" s="1">
        <v>24407619</v>
      </c>
      <c r="E221" s="1">
        <v>24407619</v>
      </c>
      <c r="F221" s="1">
        <v>6</v>
      </c>
      <c r="G221" s="1">
        <v>1</v>
      </c>
      <c r="H221" s="1">
        <v>0</v>
      </c>
      <c r="I221" s="1">
        <v>90</v>
      </c>
      <c r="J221" s="1">
        <v>60003760</v>
      </c>
      <c r="K221" s="1">
        <v>32767</v>
      </c>
      <c r="L221" s="1">
        <v>0</v>
      </c>
      <c r="N221" s="1">
        <v>2836970914</v>
      </c>
      <c r="O221" s="1">
        <v>35</v>
      </c>
      <c r="P221" s="1">
        <v>8270803</v>
      </c>
      <c r="Q221" s="1">
        <v>8270803</v>
      </c>
      <c r="R221" s="1">
        <v>15.9</v>
      </c>
      <c r="S221" s="1">
        <v>1</v>
      </c>
      <c r="T221" s="1">
        <v>0</v>
      </c>
      <c r="U221" s="1">
        <v>90</v>
      </c>
      <c r="V221" s="1">
        <v>60004060</v>
      </c>
      <c r="W221" s="1">
        <v>32767</v>
      </c>
      <c r="X221" s="1">
        <v>10</v>
      </c>
      <c r="Z221" s="1">
        <v>2749271425</v>
      </c>
      <c r="AA221" s="1">
        <v>36</v>
      </c>
      <c r="AB221" s="1">
        <v>67584</v>
      </c>
      <c r="AC221" s="1">
        <v>67584</v>
      </c>
      <c r="AD221" s="16">
        <v>61</v>
      </c>
      <c r="AE221" s="1">
        <v>1</v>
      </c>
      <c r="AF221" s="1">
        <v>0</v>
      </c>
      <c r="AG221" s="1">
        <v>90</v>
      </c>
      <c r="AH221" s="1">
        <v>60003760</v>
      </c>
      <c r="AI221" s="1">
        <v>32767</v>
      </c>
      <c r="AJ221" s="1">
        <v>11</v>
      </c>
      <c r="AL221" s="1">
        <v>2878295017</v>
      </c>
      <c r="AM221" s="1">
        <v>37</v>
      </c>
      <c r="AN221" s="1">
        <v>1000000</v>
      </c>
      <c r="AO221" s="1">
        <v>1000000</v>
      </c>
      <c r="AP221" s="16">
        <v>140.5</v>
      </c>
      <c r="AQ221" s="1">
        <v>1</v>
      </c>
      <c r="AR221" s="1">
        <v>1</v>
      </c>
      <c r="AS221" s="1">
        <v>90</v>
      </c>
      <c r="AT221" s="1">
        <v>60003037</v>
      </c>
      <c r="AU221" s="1">
        <v>-1</v>
      </c>
      <c r="AV221" s="1">
        <v>0</v>
      </c>
      <c r="AX221" s="1">
        <v>2764030926</v>
      </c>
      <c r="AY221" s="1">
        <v>38</v>
      </c>
      <c r="AZ221" s="1">
        <v>1000000</v>
      </c>
      <c r="BA221" s="1">
        <v>463068</v>
      </c>
      <c r="BB221" s="1">
        <v>666.8</v>
      </c>
      <c r="BC221" s="1">
        <v>20000</v>
      </c>
      <c r="BD221" s="1">
        <v>1</v>
      </c>
      <c r="BE221" s="1">
        <v>90</v>
      </c>
      <c r="BF221" s="1">
        <v>60002236</v>
      </c>
      <c r="BG221" s="1">
        <v>32767</v>
      </c>
      <c r="BH221" s="1">
        <v>0</v>
      </c>
      <c r="BJ221"/>
      <c r="BK221"/>
      <c r="BL221"/>
      <c r="BM221"/>
      <c r="BN221"/>
      <c r="BO221"/>
      <c r="BP221"/>
      <c r="BQ221"/>
      <c r="BR221"/>
      <c r="BS221"/>
      <c r="BT221"/>
      <c r="BV221" s="1">
        <v>2415728413</v>
      </c>
      <c r="BW221" s="1">
        <v>40</v>
      </c>
      <c r="BX221" s="1">
        <v>6000</v>
      </c>
      <c r="BY221" s="1">
        <v>5998</v>
      </c>
      <c r="BZ221" s="1">
        <v>2510</v>
      </c>
      <c r="CA221" s="1">
        <v>1</v>
      </c>
      <c r="CB221" s="1">
        <v>1</v>
      </c>
      <c r="CC221" s="1">
        <v>90</v>
      </c>
      <c r="CD221" s="1">
        <v>60001645</v>
      </c>
      <c r="CE221" s="1">
        <v>3</v>
      </c>
      <c r="CF221" s="1">
        <v>0</v>
      </c>
      <c r="CH221" s="1">
        <v>2396226889</v>
      </c>
      <c r="CI221" s="1">
        <v>29668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90</v>
      </c>
      <c r="CP221" s="1">
        <v>60003760</v>
      </c>
      <c r="CQ221" s="1">
        <v>-1</v>
      </c>
      <c r="CR221" s="1">
        <v>0</v>
      </c>
      <c r="DR221" s="1">
        <v>2776887708</v>
      </c>
      <c r="DS221" s="1">
        <v>17888</v>
      </c>
      <c r="DT221" s="1">
        <v>91024</v>
      </c>
      <c r="DU221" s="1">
        <v>91024</v>
      </c>
      <c r="DV221" s="1">
        <v>410</v>
      </c>
      <c r="DW221" s="1">
        <v>1</v>
      </c>
      <c r="DX221" s="1">
        <v>0</v>
      </c>
      <c r="DY221" s="1">
        <v>90</v>
      </c>
      <c r="DZ221" s="1">
        <v>60000535</v>
      </c>
      <c r="EA221" s="1">
        <v>32767</v>
      </c>
      <c r="EB221" s="1">
        <v>2</v>
      </c>
      <c r="ED221" s="1">
        <v>2878815571</v>
      </c>
      <c r="EE221" s="1">
        <v>16273</v>
      </c>
      <c r="EF221" s="1">
        <v>250000</v>
      </c>
      <c r="EG221" s="1">
        <v>250000</v>
      </c>
      <c r="EH221" s="1">
        <v>341.75</v>
      </c>
      <c r="EI221" s="1">
        <v>1</v>
      </c>
      <c r="EJ221" s="1">
        <v>1</v>
      </c>
      <c r="EK221" s="1">
        <v>1</v>
      </c>
      <c r="EL221" s="1">
        <v>60003760</v>
      </c>
      <c r="EM221" s="1">
        <v>-1</v>
      </c>
      <c r="EN221" s="1">
        <v>0</v>
      </c>
      <c r="JF221"/>
      <c r="JG221"/>
      <c r="JH221"/>
      <c r="JI221"/>
      <c r="JJ221"/>
      <c r="JK221"/>
      <c r="JL221"/>
      <c r="JM221"/>
      <c r="JN221"/>
      <c r="JO221"/>
      <c r="JP221"/>
      <c r="NV221"/>
      <c r="NW221"/>
      <c r="NX221"/>
      <c r="NY221"/>
      <c r="NZ221"/>
      <c r="OA221"/>
      <c r="OB221"/>
      <c r="OC221"/>
      <c r="OD221"/>
      <c r="OE221"/>
      <c r="OF221"/>
      <c r="OH221" s="1">
        <v>2874228497</v>
      </c>
      <c r="OI221" s="1">
        <v>25598</v>
      </c>
      <c r="OJ221" s="1">
        <v>2500</v>
      </c>
      <c r="OK221" s="1">
        <v>2189</v>
      </c>
      <c r="OL221" s="1">
        <v>125023.01</v>
      </c>
      <c r="OM221" s="1">
        <v>1</v>
      </c>
      <c r="ON221" s="1">
        <v>1</v>
      </c>
      <c r="OO221" s="1">
        <v>90</v>
      </c>
      <c r="OP221" s="1">
        <v>60013291</v>
      </c>
      <c r="OQ221" s="1">
        <v>1</v>
      </c>
      <c r="OR221" s="1">
        <v>0</v>
      </c>
    </row>
    <row r="222" spans="2:408" x14ac:dyDescent="0.25">
      <c r="B222" s="1">
        <v>2861625037</v>
      </c>
      <c r="C222" s="1">
        <v>34</v>
      </c>
      <c r="D222" s="1">
        <v>9364562</v>
      </c>
      <c r="E222" s="1">
        <v>9364562</v>
      </c>
      <c r="F222" s="1">
        <v>6.09</v>
      </c>
      <c r="G222" s="1">
        <v>1</v>
      </c>
      <c r="H222" s="1">
        <v>0</v>
      </c>
      <c r="I222" s="1">
        <v>90</v>
      </c>
      <c r="J222" s="1">
        <v>60003760</v>
      </c>
      <c r="K222" s="1">
        <v>32767</v>
      </c>
      <c r="L222" s="1">
        <v>0</v>
      </c>
      <c r="N222" s="1">
        <v>2871856940</v>
      </c>
      <c r="O222" s="1">
        <v>35</v>
      </c>
      <c r="P222" s="1">
        <v>2267033</v>
      </c>
      <c r="Q222" s="1">
        <v>2267033</v>
      </c>
      <c r="R222" s="1">
        <v>15</v>
      </c>
      <c r="S222" s="1">
        <v>1</v>
      </c>
      <c r="T222" s="1">
        <v>0</v>
      </c>
      <c r="U222" s="1">
        <v>90</v>
      </c>
      <c r="V222" s="1">
        <v>60004060</v>
      </c>
      <c r="W222" s="1">
        <v>32767</v>
      </c>
      <c r="X222" s="1">
        <v>10</v>
      </c>
      <c r="Z222" s="1">
        <v>2741903052</v>
      </c>
      <c r="AA222" s="1">
        <v>36</v>
      </c>
      <c r="AB222" s="1">
        <v>23658895</v>
      </c>
      <c r="AC222" s="1">
        <v>16068371</v>
      </c>
      <c r="AD222" s="16">
        <v>61.96</v>
      </c>
      <c r="AE222" s="1">
        <v>1</v>
      </c>
      <c r="AF222" s="1">
        <v>0</v>
      </c>
      <c r="AG222" s="1">
        <v>90</v>
      </c>
      <c r="AH222" s="1">
        <v>60003760</v>
      </c>
      <c r="AI222" s="1">
        <v>32767</v>
      </c>
      <c r="AJ222" s="1">
        <v>11</v>
      </c>
      <c r="AL222" s="1">
        <v>2836392271</v>
      </c>
      <c r="AM222" s="1">
        <v>37</v>
      </c>
      <c r="AN222" s="1">
        <v>2800000</v>
      </c>
      <c r="AO222" s="1">
        <v>641090</v>
      </c>
      <c r="AP222" s="16">
        <v>135.05000000000001</v>
      </c>
      <c r="AQ222" s="1">
        <v>1</v>
      </c>
      <c r="AR222" s="1">
        <v>1</v>
      </c>
      <c r="AS222" s="1">
        <v>30</v>
      </c>
      <c r="AT222" s="1">
        <v>60010195</v>
      </c>
      <c r="AU222" s="1">
        <v>1</v>
      </c>
      <c r="AV222" s="1">
        <v>0</v>
      </c>
      <c r="AX222" s="1">
        <v>2803126115</v>
      </c>
      <c r="AY222" s="1">
        <v>38</v>
      </c>
      <c r="AZ222" s="1">
        <v>500000</v>
      </c>
      <c r="BA222" s="1">
        <v>275277</v>
      </c>
      <c r="BB222" s="1">
        <v>779</v>
      </c>
      <c r="BC222" s="1">
        <v>1</v>
      </c>
      <c r="BD222" s="1">
        <v>1</v>
      </c>
      <c r="BE222" s="1">
        <v>90</v>
      </c>
      <c r="BF222" s="1">
        <v>60001591</v>
      </c>
      <c r="BG222" s="1">
        <v>-1</v>
      </c>
      <c r="BH222" s="1">
        <v>0</v>
      </c>
      <c r="BJ222"/>
      <c r="BK222"/>
      <c r="BL222"/>
      <c r="BM222"/>
      <c r="BN222"/>
      <c r="BO222"/>
      <c r="BP222"/>
      <c r="BQ222"/>
      <c r="BR222"/>
      <c r="BS222"/>
      <c r="BT222"/>
      <c r="BV222" s="1">
        <v>2415518943</v>
      </c>
      <c r="BW222" s="1">
        <v>40</v>
      </c>
      <c r="BX222" s="1">
        <v>50000</v>
      </c>
      <c r="BY222" s="1">
        <v>40376</v>
      </c>
      <c r="BZ222" s="1">
        <v>2588.34</v>
      </c>
      <c r="CA222" s="1">
        <v>1</v>
      </c>
      <c r="CB222" s="1">
        <v>1</v>
      </c>
      <c r="CC222" s="1">
        <v>30</v>
      </c>
      <c r="CD222" s="1">
        <v>60003760</v>
      </c>
      <c r="CE222" s="1">
        <v>-1</v>
      </c>
      <c r="CF222" s="1">
        <v>0</v>
      </c>
      <c r="CH222" s="1">
        <v>2397266849</v>
      </c>
      <c r="CI222" s="1">
        <v>29668</v>
      </c>
      <c r="CJ222" s="1">
        <v>1</v>
      </c>
      <c r="CK222" s="1">
        <v>1</v>
      </c>
      <c r="CL222" s="1">
        <v>5000000</v>
      </c>
      <c r="CM222" s="1">
        <v>1</v>
      </c>
      <c r="CN222" s="1">
        <v>1</v>
      </c>
      <c r="CO222" s="1">
        <v>90</v>
      </c>
      <c r="CP222" s="1">
        <v>60003760</v>
      </c>
      <c r="CQ222" s="1">
        <v>32767</v>
      </c>
      <c r="CR222" s="1">
        <v>0</v>
      </c>
      <c r="DR222" s="1">
        <v>2776062544</v>
      </c>
      <c r="DS222" s="1">
        <v>17888</v>
      </c>
      <c r="DT222" s="1">
        <v>26387</v>
      </c>
      <c r="DU222" s="1">
        <v>19737</v>
      </c>
      <c r="DV222" s="1">
        <v>410</v>
      </c>
      <c r="DW222" s="1">
        <v>1</v>
      </c>
      <c r="DX222" s="1">
        <v>0</v>
      </c>
      <c r="DY222" s="1">
        <v>90</v>
      </c>
      <c r="DZ222" s="1">
        <v>60012667</v>
      </c>
      <c r="EA222" s="1">
        <v>32767</v>
      </c>
      <c r="EB222" s="1">
        <v>2</v>
      </c>
      <c r="ED222" s="1">
        <v>2836366993</v>
      </c>
      <c r="EE222" s="1">
        <v>16273</v>
      </c>
      <c r="EF222" s="1">
        <v>500000</v>
      </c>
      <c r="EG222" s="1">
        <v>400784</v>
      </c>
      <c r="EH222" s="1">
        <v>310.20999999999998</v>
      </c>
      <c r="EI222" s="1">
        <v>1</v>
      </c>
      <c r="EJ222" s="1">
        <v>1</v>
      </c>
      <c r="EK222" s="1">
        <v>90</v>
      </c>
      <c r="EL222" s="1">
        <v>60004459</v>
      </c>
      <c r="EM222" s="1">
        <v>0</v>
      </c>
      <c r="EN222" s="1">
        <v>0</v>
      </c>
      <c r="JF222"/>
      <c r="JG222"/>
      <c r="JH222"/>
      <c r="JI222"/>
      <c r="JJ222"/>
      <c r="JK222"/>
      <c r="JL222"/>
      <c r="JM222"/>
      <c r="JN222"/>
      <c r="JO222"/>
      <c r="JP222"/>
      <c r="NV222"/>
      <c r="NW222"/>
      <c r="NX222"/>
      <c r="NY222"/>
      <c r="NZ222"/>
      <c r="OA222"/>
      <c r="OB222"/>
      <c r="OC222"/>
      <c r="OD222"/>
      <c r="OE222"/>
      <c r="OF222"/>
      <c r="OH222" s="1">
        <v>1985549832</v>
      </c>
      <c r="OI222" s="1">
        <v>25598</v>
      </c>
      <c r="OJ222" s="1">
        <v>2000</v>
      </c>
      <c r="OK222" s="1">
        <v>409</v>
      </c>
      <c r="OL222" s="1">
        <v>96015.29</v>
      </c>
      <c r="OM222" s="1">
        <v>1</v>
      </c>
      <c r="ON222" s="1">
        <v>1</v>
      </c>
      <c r="OO222" s="1">
        <v>30</v>
      </c>
      <c r="OP222" s="1">
        <v>60001795</v>
      </c>
      <c r="OQ222" s="1">
        <v>-1</v>
      </c>
      <c r="OR222" s="1">
        <v>0</v>
      </c>
    </row>
    <row r="223" spans="2:408" x14ac:dyDescent="0.25">
      <c r="B223" s="1">
        <v>2862828516</v>
      </c>
      <c r="C223" s="1">
        <v>34</v>
      </c>
      <c r="D223" s="1">
        <v>50000000</v>
      </c>
      <c r="E223" s="1">
        <v>50000000</v>
      </c>
      <c r="F223" s="1">
        <v>5.85</v>
      </c>
      <c r="G223" s="1">
        <v>1</v>
      </c>
      <c r="H223" s="1">
        <v>0</v>
      </c>
      <c r="I223" s="1">
        <v>90</v>
      </c>
      <c r="J223" s="1">
        <v>60003760</v>
      </c>
      <c r="K223" s="1">
        <v>32767</v>
      </c>
      <c r="L223" s="1">
        <v>0</v>
      </c>
      <c r="N223" s="1">
        <v>2871857067</v>
      </c>
      <c r="O223" s="1">
        <v>35</v>
      </c>
      <c r="P223" s="1">
        <v>1123723</v>
      </c>
      <c r="Q223" s="1">
        <v>1123723</v>
      </c>
      <c r="R223" s="1">
        <v>15</v>
      </c>
      <c r="S223" s="1">
        <v>1</v>
      </c>
      <c r="T223" s="1">
        <v>0</v>
      </c>
      <c r="U223" s="1">
        <v>90</v>
      </c>
      <c r="V223" s="1">
        <v>60000913</v>
      </c>
      <c r="W223" s="1">
        <v>32767</v>
      </c>
      <c r="X223" s="1">
        <v>10</v>
      </c>
      <c r="Z223" s="1">
        <v>2742052125</v>
      </c>
      <c r="AA223" s="1">
        <v>36</v>
      </c>
      <c r="AB223" s="1">
        <v>3811973</v>
      </c>
      <c r="AC223" s="1">
        <v>3811973</v>
      </c>
      <c r="AD223" s="16">
        <v>58.78</v>
      </c>
      <c r="AE223" s="1">
        <v>1</v>
      </c>
      <c r="AF223" s="1">
        <v>0</v>
      </c>
      <c r="AG223" s="1">
        <v>90</v>
      </c>
      <c r="AH223" s="1">
        <v>60003760</v>
      </c>
      <c r="AI223" s="1">
        <v>32767</v>
      </c>
      <c r="AJ223" s="1">
        <v>11</v>
      </c>
      <c r="AL223" s="1">
        <v>2876479783</v>
      </c>
      <c r="AM223" s="1">
        <v>37</v>
      </c>
      <c r="AN223" s="1">
        <v>2000000</v>
      </c>
      <c r="AO223" s="1">
        <v>1999991</v>
      </c>
      <c r="AP223" s="16">
        <v>140.04</v>
      </c>
      <c r="AQ223" s="1">
        <v>1</v>
      </c>
      <c r="AR223" s="1">
        <v>1</v>
      </c>
      <c r="AS223" s="1">
        <v>90</v>
      </c>
      <c r="AT223" s="1">
        <v>60002422</v>
      </c>
      <c r="AU223" s="1">
        <v>2</v>
      </c>
      <c r="AV223" s="1">
        <v>0</v>
      </c>
      <c r="AX223" s="1">
        <v>2872026051</v>
      </c>
      <c r="AY223" s="1">
        <v>38</v>
      </c>
      <c r="AZ223" s="1">
        <v>1000000</v>
      </c>
      <c r="BA223" s="1">
        <v>402909</v>
      </c>
      <c r="BB223" s="1">
        <v>801.01</v>
      </c>
      <c r="BC223" s="1">
        <v>1</v>
      </c>
      <c r="BD223" s="1">
        <v>1</v>
      </c>
      <c r="BE223" s="1">
        <v>90</v>
      </c>
      <c r="BF223" s="1">
        <v>60004474</v>
      </c>
      <c r="BG223" s="1">
        <v>0</v>
      </c>
      <c r="BH223" s="1">
        <v>0</v>
      </c>
      <c r="BJ223"/>
      <c r="BK223"/>
      <c r="BL223"/>
      <c r="BM223"/>
      <c r="BN223"/>
      <c r="BO223"/>
      <c r="BP223"/>
      <c r="BQ223"/>
      <c r="BR223"/>
      <c r="BS223"/>
      <c r="BT223"/>
      <c r="BV223" s="1">
        <v>2415742453</v>
      </c>
      <c r="BW223" s="1">
        <v>40</v>
      </c>
      <c r="BX223" s="1">
        <v>6550</v>
      </c>
      <c r="BY223" s="1">
        <v>6545</v>
      </c>
      <c r="BZ223" s="1">
        <v>2589.44</v>
      </c>
      <c r="CA223" s="1">
        <v>1</v>
      </c>
      <c r="CB223" s="1">
        <v>1</v>
      </c>
      <c r="CC223" s="1">
        <v>90</v>
      </c>
      <c r="CD223" s="1">
        <v>60003760</v>
      </c>
      <c r="CE223" s="1">
        <v>0</v>
      </c>
      <c r="CF223" s="1">
        <v>0</v>
      </c>
      <c r="CH223" s="1">
        <v>2398179922</v>
      </c>
      <c r="CI223" s="1">
        <v>29668</v>
      </c>
      <c r="CJ223" s="1">
        <v>1000</v>
      </c>
      <c r="CK223" s="1">
        <v>1000</v>
      </c>
      <c r="CL223" s="1">
        <v>1</v>
      </c>
      <c r="CM223" s="1">
        <v>1</v>
      </c>
      <c r="CN223" s="1">
        <v>1</v>
      </c>
      <c r="CO223" s="1">
        <v>90</v>
      </c>
      <c r="CP223" s="1">
        <v>60003760</v>
      </c>
      <c r="CQ223" s="1">
        <v>40</v>
      </c>
      <c r="CR223" s="1">
        <v>0</v>
      </c>
      <c r="DR223" s="1">
        <v>2766450955</v>
      </c>
      <c r="DS223" s="1">
        <v>17888</v>
      </c>
      <c r="DT223" s="1">
        <v>14130</v>
      </c>
      <c r="DU223" s="1">
        <v>14130</v>
      </c>
      <c r="DV223" s="1">
        <v>425</v>
      </c>
      <c r="DW223" s="1">
        <v>1</v>
      </c>
      <c r="DX223" s="1">
        <v>0</v>
      </c>
      <c r="DY223" s="1">
        <v>90</v>
      </c>
      <c r="DZ223" s="1">
        <v>60012667</v>
      </c>
      <c r="EA223" s="1">
        <v>32767</v>
      </c>
      <c r="EB223" s="1">
        <v>2</v>
      </c>
      <c r="ED223" s="1">
        <v>2878885119</v>
      </c>
      <c r="EE223" s="1">
        <v>16273</v>
      </c>
      <c r="EF223" s="1">
        <v>500000</v>
      </c>
      <c r="EG223" s="1">
        <v>500000</v>
      </c>
      <c r="EH223" s="1">
        <v>342.41</v>
      </c>
      <c r="EI223" s="1">
        <v>1</v>
      </c>
      <c r="EJ223" s="1">
        <v>1</v>
      </c>
      <c r="EK223" s="1">
        <v>90</v>
      </c>
      <c r="EL223" s="1">
        <v>60003760</v>
      </c>
      <c r="EM223" s="1">
        <v>-1</v>
      </c>
      <c r="EN223" s="1">
        <v>0</v>
      </c>
      <c r="JF223"/>
      <c r="JG223"/>
      <c r="JH223"/>
      <c r="JI223"/>
      <c r="JJ223"/>
      <c r="JK223"/>
      <c r="JL223"/>
      <c r="JM223"/>
      <c r="JN223"/>
      <c r="JO223"/>
      <c r="JP223"/>
      <c r="NV223"/>
      <c r="NW223"/>
      <c r="NX223"/>
      <c r="NY223"/>
      <c r="NZ223"/>
      <c r="OA223"/>
      <c r="OB223"/>
      <c r="OC223"/>
      <c r="OD223"/>
      <c r="OE223"/>
      <c r="OF223"/>
      <c r="OH223" s="1">
        <v>2877608758</v>
      </c>
      <c r="OI223" s="1">
        <v>25598</v>
      </c>
      <c r="OJ223" s="1">
        <v>1000</v>
      </c>
      <c r="OK223" s="1">
        <v>143</v>
      </c>
      <c r="OL223" s="1">
        <v>126002</v>
      </c>
      <c r="OM223" s="1">
        <v>1</v>
      </c>
      <c r="ON223" s="1">
        <v>1</v>
      </c>
      <c r="OO223" s="1">
        <v>90</v>
      </c>
      <c r="OP223" s="1">
        <v>60015027</v>
      </c>
      <c r="OQ223" s="1">
        <v>3</v>
      </c>
      <c r="OR223" s="1">
        <v>0</v>
      </c>
    </row>
    <row r="224" spans="2:408" x14ac:dyDescent="0.25">
      <c r="B224" s="1">
        <v>2862831026</v>
      </c>
      <c r="C224" s="1">
        <v>34</v>
      </c>
      <c r="D224" s="1">
        <v>1920234</v>
      </c>
      <c r="E224" s="1">
        <v>1920234</v>
      </c>
      <c r="F224" s="1">
        <v>5.95</v>
      </c>
      <c r="G224" s="1">
        <v>1</v>
      </c>
      <c r="H224" s="1">
        <v>0</v>
      </c>
      <c r="I224" s="1">
        <v>14</v>
      </c>
      <c r="J224" s="1">
        <v>60003760</v>
      </c>
      <c r="K224" s="1">
        <v>32767</v>
      </c>
      <c r="L224" s="1">
        <v>0</v>
      </c>
      <c r="N224" s="1">
        <v>2873429732</v>
      </c>
      <c r="O224" s="1">
        <v>35</v>
      </c>
      <c r="P224" s="1">
        <v>17090482</v>
      </c>
      <c r="Q224" s="1">
        <v>700</v>
      </c>
      <c r="R224" s="1">
        <v>14.6</v>
      </c>
      <c r="S224" s="1">
        <v>1</v>
      </c>
      <c r="T224" s="1">
        <v>0</v>
      </c>
      <c r="U224" s="1">
        <v>7</v>
      </c>
      <c r="V224" s="1">
        <v>60004060</v>
      </c>
      <c r="W224" s="1">
        <v>32767</v>
      </c>
      <c r="X224" s="1">
        <v>10</v>
      </c>
      <c r="Z224" s="1">
        <v>2745011834</v>
      </c>
      <c r="AA224" s="1">
        <v>36</v>
      </c>
      <c r="AB224" s="1">
        <v>28509536</v>
      </c>
      <c r="AC224" s="1">
        <v>28509536</v>
      </c>
      <c r="AD224" s="16">
        <v>61.46</v>
      </c>
      <c r="AE224" s="1">
        <v>1</v>
      </c>
      <c r="AF224" s="1">
        <v>0</v>
      </c>
      <c r="AG224" s="1">
        <v>90</v>
      </c>
      <c r="AH224" s="1">
        <v>60003760</v>
      </c>
      <c r="AI224" s="1">
        <v>32767</v>
      </c>
      <c r="AJ224" s="1">
        <v>11</v>
      </c>
      <c r="AL224" s="1">
        <v>2808920322</v>
      </c>
      <c r="AM224" s="1">
        <v>37</v>
      </c>
      <c r="AN224" s="1">
        <v>2000000</v>
      </c>
      <c r="AO224" s="1">
        <v>1961428</v>
      </c>
      <c r="AP224" s="16">
        <v>137.78</v>
      </c>
      <c r="AQ224" s="1">
        <v>1</v>
      </c>
      <c r="AR224" s="1">
        <v>1</v>
      </c>
      <c r="AS224" s="1">
        <v>90</v>
      </c>
      <c r="AT224" s="1">
        <v>60001882</v>
      </c>
      <c r="AU224" s="1">
        <v>0</v>
      </c>
      <c r="AV224" s="1">
        <v>0</v>
      </c>
      <c r="AX224" s="1">
        <v>2869260326</v>
      </c>
      <c r="AY224" s="1">
        <v>38</v>
      </c>
      <c r="AZ224" s="1">
        <v>200000</v>
      </c>
      <c r="BA224" s="1">
        <v>200000</v>
      </c>
      <c r="BB224" s="1">
        <v>782.01</v>
      </c>
      <c r="BC224" s="1">
        <v>1</v>
      </c>
      <c r="BD224" s="1">
        <v>1</v>
      </c>
      <c r="BE224" s="1">
        <v>30</v>
      </c>
      <c r="BF224" s="1">
        <v>60010822</v>
      </c>
      <c r="BG224" s="1">
        <v>-1</v>
      </c>
      <c r="BH224" s="1">
        <v>0</v>
      </c>
      <c r="BJ224"/>
      <c r="BK224"/>
      <c r="BL224"/>
      <c r="BM224"/>
      <c r="BN224"/>
      <c r="BO224"/>
      <c r="BP224"/>
      <c r="BQ224"/>
      <c r="BR224"/>
      <c r="BS224"/>
      <c r="BT224"/>
      <c r="BV224" s="1">
        <v>2415692477</v>
      </c>
      <c r="BW224" s="1">
        <v>40</v>
      </c>
      <c r="BX224" s="1">
        <v>13836</v>
      </c>
      <c r="BY224" s="1">
        <v>13836</v>
      </c>
      <c r="BZ224" s="1">
        <v>2587.41</v>
      </c>
      <c r="CA224" s="1">
        <v>1</v>
      </c>
      <c r="CB224" s="1">
        <v>1</v>
      </c>
      <c r="CC224" s="1">
        <v>90</v>
      </c>
      <c r="CD224" s="1">
        <v>60003760</v>
      </c>
      <c r="CE224" s="1">
        <v>-1</v>
      </c>
      <c r="CF224" s="1">
        <v>0</v>
      </c>
      <c r="CH224" s="1">
        <v>2398044239</v>
      </c>
      <c r="CI224" s="1">
        <v>29668</v>
      </c>
      <c r="CJ224" s="1">
        <v>1</v>
      </c>
      <c r="CK224" s="1">
        <v>1</v>
      </c>
      <c r="CL224" s="1">
        <v>4658999.9800000004</v>
      </c>
      <c r="CM224" s="1">
        <v>1</v>
      </c>
      <c r="CN224" s="1">
        <v>1</v>
      </c>
      <c r="CO224" s="1">
        <v>30</v>
      </c>
      <c r="CP224" s="1">
        <v>60003760</v>
      </c>
      <c r="CQ224" s="1">
        <v>-1</v>
      </c>
      <c r="CR224" s="1">
        <v>0</v>
      </c>
      <c r="DR224" s="1">
        <v>2764765585</v>
      </c>
      <c r="DS224" s="1">
        <v>17888</v>
      </c>
      <c r="DT224" s="1">
        <v>3838</v>
      </c>
      <c r="DU224" s="1">
        <v>3838</v>
      </c>
      <c r="DV224" s="1">
        <v>426</v>
      </c>
      <c r="DW224" s="1">
        <v>1</v>
      </c>
      <c r="DX224" s="1">
        <v>0</v>
      </c>
      <c r="DY224" s="1">
        <v>90</v>
      </c>
      <c r="DZ224" s="1">
        <v>60000535</v>
      </c>
      <c r="EA224" s="1">
        <v>32767</v>
      </c>
      <c r="EB224" s="1">
        <v>2</v>
      </c>
      <c r="ED224" s="1">
        <v>2872756162</v>
      </c>
      <c r="EE224" s="1">
        <v>16273</v>
      </c>
      <c r="EF224" s="1">
        <v>1000000</v>
      </c>
      <c r="EG224" s="1">
        <v>902533</v>
      </c>
      <c r="EH224" s="1">
        <v>310.25</v>
      </c>
      <c r="EI224" s="1">
        <v>1</v>
      </c>
      <c r="EJ224" s="1">
        <v>1</v>
      </c>
      <c r="EK224" s="1">
        <v>90</v>
      </c>
      <c r="EL224" s="1">
        <v>60004459</v>
      </c>
      <c r="EM224" s="1">
        <v>1</v>
      </c>
      <c r="EN224" s="1">
        <v>0</v>
      </c>
      <c r="JF224"/>
      <c r="JG224"/>
      <c r="JH224"/>
      <c r="JI224"/>
      <c r="JJ224"/>
      <c r="JK224"/>
      <c r="JL224"/>
      <c r="JM224"/>
      <c r="JN224"/>
      <c r="JO224"/>
      <c r="JP224"/>
      <c r="NV224"/>
      <c r="NW224"/>
      <c r="NX224"/>
      <c r="NY224"/>
      <c r="NZ224"/>
      <c r="OA224"/>
      <c r="OB224"/>
      <c r="OC224"/>
      <c r="OD224"/>
      <c r="OE224"/>
      <c r="OF224"/>
      <c r="OH224" s="1">
        <v>2878382035</v>
      </c>
      <c r="OI224" s="1">
        <v>25598</v>
      </c>
      <c r="OJ224" s="1">
        <v>100</v>
      </c>
      <c r="OK224" s="1">
        <v>100</v>
      </c>
      <c r="OL224" s="1">
        <v>99000</v>
      </c>
      <c r="OM224" s="1">
        <v>1</v>
      </c>
      <c r="ON224" s="1">
        <v>1</v>
      </c>
      <c r="OO224" s="1">
        <v>30</v>
      </c>
      <c r="OP224" s="1">
        <v>60004366</v>
      </c>
      <c r="OQ224" s="1">
        <v>0</v>
      </c>
      <c r="OR224" s="1">
        <v>0</v>
      </c>
    </row>
    <row r="225" spans="2:408" x14ac:dyDescent="0.25">
      <c r="B225" s="1">
        <v>2859198372</v>
      </c>
      <c r="C225" s="1">
        <v>34</v>
      </c>
      <c r="D225" s="1">
        <v>49900784</v>
      </c>
      <c r="E225" s="1">
        <v>49900784</v>
      </c>
      <c r="F225" s="1">
        <v>5.87</v>
      </c>
      <c r="G225" s="1">
        <v>1</v>
      </c>
      <c r="H225" s="1">
        <v>0</v>
      </c>
      <c r="I225" s="1">
        <v>30</v>
      </c>
      <c r="J225" s="1">
        <v>60003760</v>
      </c>
      <c r="K225" s="1">
        <v>32767</v>
      </c>
      <c r="L225" s="1">
        <v>0</v>
      </c>
      <c r="N225" s="1">
        <v>2870736385</v>
      </c>
      <c r="O225" s="1">
        <v>35</v>
      </c>
      <c r="P225" s="1">
        <v>61607</v>
      </c>
      <c r="Q225" s="1">
        <v>61607</v>
      </c>
      <c r="R225" s="1">
        <v>14.8</v>
      </c>
      <c r="S225" s="1">
        <v>1</v>
      </c>
      <c r="T225" s="1">
        <v>0</v>
      </c>
      <c r="U225" s="1">
        <v>90</v>
      </c>
      <c r="V225" s="1">
        <v>60000910</v>
      </c>
      <c r="W225" s="1">
        <v>32767</v>
      </c>
      <c r="X225" s="1">
        <v>12</v>
      </c>
      <c r="Z225" s="1">
        <v>2867572511</v>
      </c>
      <c r="AA225" s="1">
        <v>36</v>
      </c>
      <c r="AB225" s="1">
        <v>985369</v>
      </c>
      <c r="AC225" s="1">
        <v>985369</v>
      </c>
      <c r="AD225" s="16">
        <v>99</v>
      </c>
      <c r="AE225" s="1">
        <v>1</v>
      </c>
      <c r="AF225" s="1">
        <v>0</v>
      </c>
      <c r="AG225" s="1">
        <v>90</v>
      </c>
      <c r="AH225" s="1">
        <v>60004423</v>
      </c>
      <c r="AI225" s="1">
        <v>32767</v>
      </c>
      <c r="AJ225" s="1">
        <v>11</v>
      </c>
      <c r="AL225" s="1">
        <v>2851428009</v>
      </c>
      <c r="AM225" s="1">
        <v>37</v>
      </c>
      <c r="AN225" s="1">
        <v>750000</v>
      </c>
      <c r="AO225" s="1">
        <v>229455</v>
      </c>
      <c r="AP225" s="16">
        <v>138</v>
      </c>
      <c r="AQ225" s="1">
        <v>1</v>
      </c>
      <c r="AR225" s="1">
        <v>1</v>
      </c>
      <c r="AS225" s="1">
        <v>90</v>
      </c>
      <c r="AT225" s="1">
        <v>60003346</v>
      </c>
      <c r="AU225" s="1">
        <v>-1</v>
      </c>
      <c r="AV225" s="1">
        <v>0</v>
      </c>
      <c r="AX225" s="1">
        <v>2868976768</v>
      </c>
      <c r="AY225" s="1">
        <v>38</v>
      </c>
      <c r="AZ225" s="1">
        <v>50000</v>
      </c>
      <c r="BA225" s="1">
        <v>24892</v>
      </c>
      <c r="BB225" s="1">
        <v>756.03</v>
      </c>
      <c r="BC225" s="1">
        <v>1</v>
      </c>
      <c r="BD225" s="1">
        <v>1</v>
      </c>
      <c r="BE225" s="1">
        <v>90</v>
      </c>
      <c r="BF225" s="1">
        <v>60013150</v>
      </c>
      <c r="BG225" s="1">
        <v>0</v>
      </c>
      <c r="BH225" s="1">
        <v>0</v>
      </c>
      <c r="BJ225"/>
      <c r="BK225"/>
      <c r="BL225"/>
      <c r="BM225"/>
      <c r="BN225"/>
      <c r="BO225"/>
      <c r="BP225"/>
      <c r="BQ225"/>
      <c r="BR225"/>
      <c r="BS225"/>
      <c r="BT225"/>
      <c r="BV225" s="1">
        <v>2415787271</v>
      </c>
      <c r="BW225" s="1">
        <v>40</v>
      </c>
      <c r="BX225" s="1">
        <v>5000</v>
      </c>
      <c r="BY225" s="1">
        <v>4249</v>
      </c>
      <c r="BZ225" s="1">
        <v>2590.15</v>
      </c>
      <c r="CA225" s="1">
        <v>1</v>
      </c>
      <c r="CB225" s="1">
        <v>1</v>
      </c>
      <c r="CC225" s="1">
        <v>7</v>
      </c>
      <c r="CD225" s="1">
        <v>60003760</v>
      </c>
      <c r="CE225" s="1">
        <v>-1</v>
      </c>
      <c r="CF225" s="1">
        <v>0</v>
      </c>
      <c r="CH225" s="1">
        <v>2397474057</v>
      </c>
      <c r="CI225" s="1">
        <v>29668</v>
      </c>
      <c r="CJ225" s="1">
        <v>8</v>
      </c>
      <c r="CK225" s="1">
        <v>8</v>
      </c>
      <c r="CL225" s="1">
        <v>440000000</v>
      </c>
      <c r="CM225" s="1">
        <v>1</v>
      </c>
      <c r="CN225" s="1">
        <v>1</v>
      </c>
      <c r="CO225" s="1">
        <v>90</v>
      </c>
      <c r="CP225" s="1">
        <v>60003760</v>
      </c>
      <c r="CQ225" s="1">
        <v>-1</v>
      </c>
      <c r="CR225" s="1">
        <v>0</v>
      </c>
      <c r="DR225" s="1">
        <v>2752313488</v>
      </c>
      <c r="DS225" s="1">
        <v>17888</v>
      </c>
      <c r="DT225" s="1">
        <v>1548</v>
      </c>
      <c r="DU225" s="1">
        <v>1548</v>
      </c>
      <c r="DV225" s="1">
        <v>451.3</v>
      </c>
      <c r="DW225" s="1">
        <v>1</v>
      </c>
      <c r="DX225" s="1">
        <v>0</v>
      </c>
      <c r="DY225" s="1">
        <v>90</v>
      </c>
      <c r="DZ225" s="1">
        <v>60012667</v>
      </c>
      <c r="EA225" s="1">
        <v>32767</v>
      </c>
      <c r="EB225" s="1">
        <v>2</v>
      </c>
      <c r="ED225" s="1">
        <v>2878922914</v>
      </c>
      <c r="EE225" s="1">
        <v>16273</v>
      </c>
      <c r="EF225" s="1">
        <v>2010000</v>
      </c>
      <c r="EG225" s="1">
        <v>2010000</v>
      </c>
      <c r="EH225" s="1">
        <v>342.64</v>
      </c>
      <c r="EI225" s="1">
        <v>1</v>
      </c>
      <c r="EJ225" s="1">
        <v>1</v>
      </c>
      <c r="EK225" s="1">
        <v>7</v>
      </c>
      <c r="EL225" s="1">
        <v>60003760</v>
      </c>
      <c r="EM225" s="1">
        <v>-1</v>
      </c>
      <c r="EN225" s="1">
        <v>0</v>
      </c>
      <c r="JF225"/>
      <c r="JG225"/>
      <c r="JH225"/>
      <c r="JI225"/>
      <c r="JJ225"/>
      <c r="JK225"/>
      <c r="JL225"/>
      <c r="JM225"/>
      <c r="JN225"/>
      <c r="JO225"/>
      <c r="JP225"/>
      <c r="NV225"/>
      <c r="NW225"/>
      <c r="NX225"/>
      <c r="NY225"/>
      <c r="NZ225"/>
      <c r="OA225"/>
      <c r="OB225"/>
      <c r="OC225"/>
      <c r="OD225"/>
      <c r="OE225"/>
      <c r="OF225"/>
      <c r="OH225" s="1">
        <v>2878738429</v>
      </c>
      <c r="OI225" s="1">
        <v>25598</v>
      </c>
      <c r="OJ225" s="1">
        <v>20000</v>
      </c>
      <c r="OK225" s="1">
        <v>13862</v>
      </c>
      <c r="OL225" s="1">
        <v>133314.38</v>
      </c>
      <c r="OM225" s="1">
        <v>1</v>
      </c>
      <c r="ON225" s="1">
        <v>1</v>
      </c>
      <c r="OO225" s="1">
        <v>30</v>
      </c>
      <c r="OP225" s="1">
        <v>60003760</v>
      </c>
      <c r="OQ225" s="1">
        <v>-1</v>
      </c>
      <c r="OR225" s="1">
        <v>0</v>
      </c>
    </row>
    <row r="226" spans="2:408" x14ac:dyDescent="0.25">
      <c r="B226" s="1">
        <v>2858494417</v>
      </c>
      <c r="C226" s="1">
        <v>34</v>
      </c>
      <c r="D226" s="1">
        <v>1328132</v>
      </c>
      <c r="E226" s="1">
        <v>1328132</v>
      </c>
      <c r="F226" s="1">
        <v>5.8</v>
      </c>
      <c r="G226" s="1">
        <v>1</v>
      </c>
      <c r="H226" s="1">
        <v>0</v>
      </c>
      <c r="I226" s="1">
        <v>30</v>
      </c>
      <c r="J226" s="1">
        <v>60003760</v>
      </c>
      <c r="K226" s="1">
        <v>32767</v>
      </c>
      <c r="L226" s="1">
        <v>0</v>
      </c>
      <c r="N226" s="1">
        <v>2870736480</v>
      </c>
      <c r="O226" s="1">
        <v>35</v>
      </c>
      <c r="P226" s="1">
        <v>4276025</v>
      </c>
      <c r="Q226" s="1">
        <v>4276025</v>
      </c>
      <c r="R226" s="1">
        <v>14.8</v>
      </c>
      <c r="S226" s="1">
        <v>1</v>
      </c>
      <c r="T226" s="1">
        <v>0</v>
      </c>
      <c r="U226" s="1">
        <v>90</v>
      </c>
      <c r="V226" s="1">
        <v>60002842</v>
      </c>
      <c r="W226" s="1">
        <v>32767</v>
      </c>
      <c r="X226" s="1">
        <v>12</v>
      </c>
      <c r="Z226" s="1">
        <v>2865072729</v>
      </c>
      <c r="AA226" s="1">
        <v>36</v>
      </c>
      <c r="AB226" s="1">
        <v>73947</v>
      </c>
      <c r="AC226" s="1">
        <v>73947</v>
      </c>
      <c r="AD226" s="16">
        <v>51.8</v>
      </c>
      <c r="AE226" s="1">
        <v>1</v>
      </c>
      <c r="AF226" s="1">
        <v>0</v>
      </c>
      <c r="AG226" s="1">
        <v>90</v>
      </c>
      <c r="AH226" s="1">
        <v>60003760</v>
      </c>
      <c r="AI226" s="1">
        <v>32767</v>
      </c>
      <c r="AJ226" s="1">
        <v>11</v>
      </c>
      <c r="AL226" s="1">
        <v>2873009138</v>
      </c>
      <c r="AM226" s="1">
        <v>37</v>
      </c>
      <c r="AN226" s="1">
        <v>120</v>
      </c>
      <c r="AO226" s="1">
        <v>120</v>
      </c>
      <c r="AP226" s="16">
        <v>130</v>
      </c>
      <c r="AQ226" s="1">
        <v>1</v>
      </c>
      <c r="AR226" s="1">
        <v>1</v>
      </c>
      <c r="AS226" s="1">
        <v>30</v>
      </c>
      <c r="AT226" s="1">
        <v>60002275</v>
      </c>
      <c r="AU226" s="1">
        <v>-1</v>
      </c>
      <c r="AV226" s="1">
        <v>0</v>
      </c>
      <c r="AX226" s="1">
        <v>2750385507</v>
      </c>
      <c r="AY226" s="1">
        <v>38</v>
      </c>
      <c r="AZ226" s="1">
        <v>100000</v>
      </c>
      <c r="BA226" s="1">
        <v>53189</v>
      </c>
      <c r="BB226" s="1">
        <v>706.02</v>
      </c>
      <c r="BC226" s="1">
        <v>1</v>
      </c>
      <c r="BD226" s="1">
        <v>1</v>
      </c>
      <c r="BE226" s="1">
        <v>90</v>
      </c>
      <c r="BF226" s="1">
        <v>60010816</v>
      </c>
      <c r="BG226" s="1">
        <v>0</v>
      </c>
      <c r="BH226" s="1">
        <v>0</v>
      </c>
      <c r="BJ226"/>
      <c r="BK226"/>
      <c r="BL226"/>
      <c r="BM226"/>
      <c r="BN226"/>
      <c r="BO226"/>
      <c r="BP226"/>
      <c r="BQ226"/>
      <c r="BR226"/>
      <c r="BS226"/>
      <c r="BT226"/>
      <c r="BV226" s="1">
        <v>2415647225</v>
      </c>
      <c r="BW226" s="1">
        <v>40</v>
      </c>
      <c r="BX226" s="1">
        <v>50000</v>
      </c>
      <c r="BY226" s="1">
        <v>43835</v>
      </c>
      <c r="BZ226" s="1">
        <v>2590.1799999999998</v>
      </c>
      <c r="CA226" s="1">
        <v>1</v>
      </c>
      <c r="CB226" s="1">
        <v>1</v>
      </c>
      <c r="CC226" s="1">
        <v>90</v>
      </c>
      <c r="CD226" s="1">
        <v>60003760</v>
      </c>
      <c r="CE226" s="1">
        <v>-1</v>
      </c>
      <c r="CF226" s="1">
        <v>0</v>
      </c>
      <c r="CH226" s="1">
        <v>2377119053</v>
      </c>
      <c r="CI226" s="1">
        <v>29668</v>
      </c>
      <c r="CJ226" s="1">
        <v>1</v>
      </c>
      <c r="CK226" s="1">
        <v>1</v>
      </c>
      <c r="CL226" s="1">
        <v>430010000</v>
      </c>
      <c r="CM226" s="1">
        <v>1</v>
      </c>
      <c r="CN226" s="1">
        <v>1</v>
      </c>
      <c r="CO226" s="1">
        <v>90</v>
      </c>
      <c r="CP226" s="1">
        <v>60003760</v>
      </c>
      <c r="CQ226" s="1">
        <v>-1</v>
      </c>
      <c r="CR226" s="1">
        <v>0</v>
      </c>
      <c r="DR226" s="1">
        <v>2819546597</v>
      </c>
      <c r="DS226" s="1">
        <v>17888</v>
      </c>
      <c r="DT226" s="1">
        <v>75223</v>
      </c>
      <c r="DU226" s="1">
        <v>6038</v>
      </c>
      <c r="DV226" s="1">
        <v>395</v>
      </c>
      <c r="DW226" s="1">
        <v>1</v>
      </c>
      <c r="DX226" s="1">
        <v>0</v>
      </c>
      <c r="DY226" s="1">
        <v>90</v>
      </c>
      <c r="DZ226" s="1">
        <v>60003073</v>
      </c>
      <c r="EA226" s="1">
        <v>32767</v>
      </c>
      <c r="EB226" s="1">
        <v>2</v>
      </c>
      <c r="ED226" s="1">
        <v>2878579224</v>
      </c>
      <c r="EE226" s="1">
        <v>16273</v>
      </c>
      <c r="EF226" s="1">
        <v>100000</v>
      </c>
      <c r="EG226" s="1">
        <v>100000</v>
      </c>
      <c r="EH226" s="1">
        <v>342.77</v>
      </c>
      <c r="EI226" s="1">
        <v>1</v>
      </c>
      <c r="EJ226" s="1">
        <v>1</v>
      </c>
      <c r="EK226" s="1">
        <v>90</v>
      </c>
      <c r="EL226" s="1">
        <v>60003760</v>
      </c>
      <c r="EM226" s="1">
        <v>-1</v>
      </c>
      <c r="EN226" s="1">
        <v>0</v>
      </c>
      <c r="JF226"/>
      <c r="JG226"/>
      <c r="JH226"/>
      <c r="JI226"/>
      <c r="JJ226"/>
      <c r="JK226"/>
      <c r="JL226"/>
      <c r="JM226"/>
      <c r="JN226"/>
      <c r="JO226"/>
      <c r="JP226"/>
      <c r="NV226"/>
      <c r="NW226"/>
      <c r="NX226"/>
      <c r="NY226"/>
      <c r="NZ226"/>
      <c r="OA226"/>
      <c r="OB226"/>
      <c r="OC226"/>
      <c r="OD226"/>
      <c r="OE226"/>
      <c r="OF226"/>
      <c r="OH226" s="1">
        <v>2878822419</v>
      </c>
      <c r="OI226" s="1">
        <v>25598</v>
      </c>
      <c r="OJ226" s="1">
        <v>26000</v>
      </c>
      <c r="OK226" s="1">
        <v>26000</v>
      </c>
      <c r="OL226" s="1">
        <v>133200</v>
      </c>
      <c r="OM226" s="1">
        <v>1</v>
      </c>
      <c r="ON226" s="1">
        <v>1</v>
      </c>
      <c r="OO226" s="1">
        <v>90</v>
      </c>
      <c r="OP226" s="1">
        <v>60003760</v>
      </c>
      <c r="OQ226" s="1">
        <v>-1</v>
      </c>
      <c r="OR226" s="1">
        <v>0</v>
      </c>
    </row>
    <row r="227" spans="2:408" x14ac:dyDescent="0.25">
      <c r="B227" s="1">
        <v>2859126661</v>
      </c>
      <c r="C227" s="1">
        <v>34</v>
      </c>
      <c r="D227" s="1">
        <v>1</v>
      </c>
      <c r="E227" s="1">
        <v>1</v>
      </c>
      <c r="F227" s="1">
        <v>25.7</v>
      </c>
      <c r="G227" s="1">
        <v>1</v>
      </c>
      <c r="H227" s="1">
        <v>0</v>
      </c>
      <c r="I227" s="1">
        <v>90</v>
      </c>
      <c r="J227" s="1">
        <v>60003760</v>
      </c>
      <c r="K227" s="1">
        <v>32767</v>
      </c>
      <c r="L227" s="1">
        <v>0</v>
      </c>
      <c r="N227" s="1">
        <v>2872288375</v>
      </c>
      <c r="O227" s="1">
        <v>35</v>
      </c>
      <c r="P227" s="1">
        <v>623054</v>
      </c>
      <c r="Q227" s="1">
        <v>623054</v>
      </c>
      <c r="R227" s="1">
        <v>14.75</v>
      </c>
      <c r="S227" s="1">
        <v>1</v>
      </c>
      <c r="T227" s="1">
        <v>0</v>
      </c>
      <c r="U227" s="1">
        <v>90</v>
      </c>
      <c r="V227" s="1">
        <v>60002848</v>
      </c>
      <c r="W227" s="1">
        <v>32767</v>
      </c>
      <c r="X227" s="1">
        <v>12</v>
      </c>
      <c r="Z227" s="1">
        <v>2865401352</v>
      </c>
      <c r="AA227" s="1">
        <v>36</v>
      </c>
      <c r="AB227" s="1">
        <v>33333333</v>
      </c>
      <c r="AC227" s="1">
        <v>33333333</v>
      </c>
      <c r="AD227" s="16">
        <v>50.98</v>
      </c>
      <c r="AE227" s="1">
        <v>1</v>
      </c>
      <c r="AF227" s="1">
        <v>0</v>
      </c>
      <c r="AG227" s="1">
        <v>90</v>
      </c>
      <c r="AH227" s="1">
        <v>60003760</v>
      </c>
      <c r="AI227" s="1">
        <v>32767</v>
      </c>
      <c r="AJ227" s="1">
        <v>11</v>
      </c>
      <c r="AL227" s="1">
        <v>2852920425</v>
      </c>
      <c r="AM227" s="1">
        <v>37</v>
      </c>
      <c r="AN227" s="1">
        <v>3000000</v>
      </c>
      <c r="AO227" s="1">
        <v>2871797</v>
      </c>
      <c r="AP227" s="16">
        <v>138.05000000000001</v>
      </c>
      <c r="AQ227" s="1">
        <v>1</v>
      </c>
      <c r="AR227" s="1">
        <v>1</v>
      </c>
      <c r="AS227" s="1">
        <v>90</v>
      </c>
      <c r="AT227" s="1">
        <v>60004459</v>
      </c>
      <c r="AU227" s="1">
        <v>0</v>
      </c>
      <c r="AV227" s="1">
        <v>0</v>
      </c>
      <c r="AX227" s="1">
        <v>2873304326</v>
      </c>
      <c r="AY227" s="1">
        <v>38</v>
      </c>
      <c r="AZ227" s="1">
        <v>100000</v>
      </c>
      <c r="BA227" s="1">
        <v>72837</v>
      </c>
      <c r="BB227" s="1">
        <v>800</v>
      </c>
      <c r="BC227" s="1">
        <v>1</v>
      </c>
      <c r="BD227" s="1">
        <v>1</v>
      </c>
      <c r="BE227" s="1">
        <v>90</v>
      </c>
      <c r="BF227" s="1">
        <v>60010816</v>
      </c>
      <c r="BG227" s="1">
        <v>0</v>
      </c>
      <c r="BH227" s="1">
        <v>0</v>
      </c>
      <c r="BJ227"/>
      <c r="BK227"/>
      <c r="BL227"/>
      <c r="BM227"/>
      <c r="BN227"/>
      <c r="BO227"/>
      <c r="BP227"/>
      <c r="BQ227"/>
      <c r="BR227"/>
      <c r="BS227"/>
      <c r="BT227"/>
      <c r="BV227" s="1">
        <v>2415527428</v>
      </c>
      <c r="BW227" s="1">
        <v>40</v>
      </c>
      <c r="BX227" s="1">
        <v>5000</v>
      </c>
      <c r="BY227" s="1">
        <v>3689</v>
      </c>
      <c r="BZ227" s="1">
        <v>2593.0100000000002</v>
      </c>
      <c r="CA227" s="1">
        <v>1</v>
      </c>
      <c r="CB227" s="1">
        <v>1</v>
      </c>
      <c r="CC227" s="1">
        <v>90</v>
      </c>
      <c r="CD227" s="1">
        <v>60003760</v>
      </c>
      <c r="CE227" s="1">
        <v>-1</v>
      </c>
      <c r="CF227" s="1">
        <v>0</v>
      </c>
      <c r="CH227" s="1">
        <v>2375858105</v>
      </c>
      <c r="CI227" s="1">
        <v>29668</v>
      </c>
      <c r="CJ227" s="1">
        <v>1</v>
      </c>
      <c r="CK227" s="1">
        <v>1</v>
      </c>
      <c r="CL227" s="1">
        <v>10000000</v>
      </c>
      <c r="CM227" s="1">
        <v>1</v>
      </c>
      <c r="CN227" s="1">
        <v>1</v>
      </c>
      <c r="CO227" s="1">
        <v>90</v>
      </c>
      <c r="CP227" s="1">
        <v>60003760</v>
      </c>
      <c r="CQ227" s="1">
        <v>5</v>
      </c>
      <c r="CR227" s="1">
        <v>0</v>
      </c>
      <c r="DR227" s="1">
        <v>2820686888</v>
      </c>
      <c r="DS227" s="1">
        <v>17888</v>
      </c>
      <c r="DT227" s="1">
        <v>4928</v>
      </c>
      <c r="DU227" s="1">
        <v>4928</v>
      </c>
      <c r="DV227" s="1">
        <v>400</v>
      </c>
      <c r="DW227" s="1">
        <v>1</v>
      </c>
      <c r="DX227" s="1">
        <v>0</v>
      </c>
      <c r="DY227" s="1">
        <v>90</v>
      </c>
      <c r="DZ227" s="1">
        <v>60012667</v>
      </c>
      <c r="EA227" s="1">
        <v>32767</v>
      </c>
      <c r="EB227" s="1">
        <v>2</v>
      </c>
      <c r="ED227" s="1">
        <v>2878928314</v>
      </c>
      <c r="EE227" s="1">
        <v>16273</v>
      </c>
      <c r="EF227" s="1">
        <v>10000</v>
      </c>
      <c r="EG227" s="1">
        <v>5552</v>
      </c>
      <c r="EH227" s="1">
        <v>342.86</v>
      </c>
      <c r="EI227" s="1">
        <v>1</v>
      </c>
      <c r="EJ227" s="1">
        <v>1</v>
      </c>
      <c r="EK227" s="1">
        <v>14</v>
      </c>
      <c r="EL227" s="1">
        <v>60003760</v>
      </c>
      <c r="EM227" s="1">
        <v>-1</v>
      </c>
      <c r="EN227" s="1">
        <v>0</v>
      </c>
      <c r="JF227"/>
      <c r="JG227"/>
      <c r="JH227"/>
      <c r="JI227"/>
      <c r="JJ227"/>
      <c r="JK227"/>
      <c r="JL227"/>
      <c r="JM227"/>
      <c r="JN227"/>
      <c r="JO227"/>
      <c r="JP227"/>
      <c r="NV227"/>
      <c r="NW227"/>
      <c r="NX227"/>
      <c r="NY227"/>
      <c r="NZ227"/>
      <c r="OA227"/>
      <c r="OB227"/>
      <c r="OC227"/>
      <c r="OD227"/>
      <c r="OE227"/>
      <c r="OF227"/>
      <c r="OH227" s="1">
        <v>2878829829</v>
      </c>
      <c r="OI227" s="1">
        <v>25598</v>
      </c>
      <c r="OJ227" s="1">
        <v>20</v>
      </c>
      <c r="OK227" s="1">
        <v>20</v>
      </c>
      <c r="OL227" s="1">
        <v>127500.5</v>
      </c>
      <c r="OM227" s="1">
        <v>1</v>
      </c>
      <c r="ON227" s="1">
        <v>1</v>
      </c>
      <c r="OO227" s="1">
        <v>14</v>
      </c>
      <c r="OP227" s="1">
        <v>60003073</v>
      </c>
      <c r="OQ227" s="1">
        <v>0</v>
      </c>
      <c r="OR227" s="1">
        <v>0</v>
      </c>
    </row>
    <row r="228" spans="2:408" x14ac:dyDescent="0.25">
      <c r="B228" s="1">
        <v>2858877858</v>
      </c>
      <c r="C228" s="1">
        <v>34</v>
      </c>
      <c r="D228" s="1">
        <v>90675540</v>
      </c>
      <c r="E228" s="1">
        <v>90675540</v>
      </c>
      <c r="F228" s="1">
        <v>5.87</v>
      </c>
      <c r="G228" s="1">
        <v>1</v>
      </c>
      <c r="H228" s="1">
        <v>0</v>
      </c>
      <c r="I228" s="1">
        <v>90</v>
      </c>
      <c r="J228" s="1">
        <v>60003760</v>
      </c>
      <c r="K228" s="1">
        <v>32767</v>
      </c>
      <c r="L228" s="1">
        <v>0</v>
      </c>
      <c r="N228" s="1">
        <v>2877002993</v>
      </c>
      <c r="O228" s="1">
        <v>35</v>
      </c>
      <c r="P228" s="1">
        <v>1027890</v>
      </c>
      <c r="Q228" s="1">
        <v>1027890</v>
      </c>
      <c r="R228" s="1">
        <v>14.6</v>
      </c>
      <c r="S228" s="1">
        <v>1</v>
      </c>
      <c r="T228" s="1">
        <v>0</v>
      </c>
      <c r="U228" s="1">
        <v>1</v>
      </c>
      <c r="V228" s="1">
        <v>60002842</v>
      </c>
      <c r="W228" s="1">
        <v>32767</v>
      </c>
      <c r="X228" s="1">
        <v>12</v>
      </c>
      <c r="Z228" s="1">
        <v>2871177633</v>
      </c>
      <c r="AA228" s="1">
        <v>36</v>
      </c>
      <c r="AB228" s="1">
        <v>310696</v>
      </c>
      <c r="AC228" s="1">
        <v>310696</v>
      </c>
      <c r="AD228" s="16">
        <v>51</v>
      </c>
      <c r="AE228" s="1">
        <v>1</v>
      </c>
      <c r="AF228" s="1">
        <v>0</v>
      </c>
      <c r="AG228" s="1">
        <v>14</v>
      </c>
      <c r="AH228" s="1">
        <v>60003760</v>
      </c>
      <c r="AI228" s="1">
        <v>32767</v>
      </c>
      <c r="AJ228" s="1">
        <v>11</v>
      </c>
      <c r="AL228" s="1">
        <v>2845328186</v>
      </c>
      <c r="AM228" s="1">
        <v>37</v>
      </c>
      <c r="AN228" s="1">
        <v>3000000</v>
      </c>
      <c r="AO228" s="1">
        <v>1182480</v>
      </c>
      <c r="AP228" s="16">
        <v>140.05000000000001</v>
      </c>
      <c r="AQ228" s="1">
        <v>1</v>
      </c>
      <c r="AR228" s="1">
        <v>1</v>
      </c>
      <c r="AS228" s="1">
        <v>90</v>
      </c>
      <c r="AT228" s="1">
        <v>60004459</v>
      </c>
      <c r="AU228" s="1">
        <v>0</v>
      </c>
      <c r="AV228" s="1">
        <v>0</v>
      </c>
      <c r="AX228" s="1">
        <v>2705535817</v>
      </c>
      <c r="AY228" s="1">
        <v>38</v>
      </c>
      <c r="AZ228" s="1">
        <v>500000</v>
      </c>
      <c r="BA228" s="1">
        <v>130266</v>
      </c>
      <c r="BB228" s="1">
        <v>705.35</v>
      </c>
      <c r="BC228" s="1">
        <v>1</v>
      </c>
      <c r="BD228" s="1">
        <v>1</v>
      </c>
      <c r="BE228" s="1">
        <v>90</v>
      </c>
      <c r="BF228" s="1">
        <v>60012322</v>
      </c>
      <c r="BG228" s="1">
        <v>0</v>
      </c>
      <c r="BH228" s="1">
        <v>0</v>
      </c>
      <c r="BJ228"/>
      <c r="BK228"/>
      <c r="BL228"/>
      <c r="BM228"/>
      <c r="BN228"/>
      <c r="BO228"/>
      <c r="BP228"/>
      <c r="BQ228"/>
      <c r="BR228"/>
      <c r="BS228"/>
      <c r="BT228"/>
      <c r="BV228" s="1">
        <v>2415524512</v>
      </c>
      <c r="BW228" s="1">
        <v>40</v>
      </c>
      <c r="BX228" s="1">
        <v>40000</v>
      </c>
      <c r="BY228" s="1">
        <v>31486</v>
      </c>
      <c r="BZ228" s="1">
        <v>2593.91</v>
      </c>
      <c r="CA228" s="1">
        <v>1</v>
      </c>
      <c r="CB228" s="1">
        <v>1</v>
      </c>
      <c r="CC228" s="1">
        <v>90</v>
      </c>
      <c r="CD228" s="1">
        <v>60003760</v>
      </c>
      <c r="CE228" s="1">
        <v>-1</v>
      </c>
      <c r="CF228" s="1">
        <v>0</v>
      </c>
      <c r="CH228" s="1">
        <v>2375857756</v>
      </c>
      <c r="CI228" s="1">
        <v>29668</v>
      </c>
      <c r="CJ228" s="1">
        <v>1</v>
      </c>
      <c r="CK228" s="1">
        <v>1</v>
      </c>
      <c r="CL228" s="1">
        <v>5555555</v>
      </c>
      <c r="CM228" s="1">
        <v>1</v>
      </c>
      <c r="CN228" s="1">
        <v>1</v>
      </c>
      <c r="CO228" s="1">
        <v>90</v>
      </c>
      <c r="CP228" s="1">
        <v>60003760</v>
      </c>
      <c r="CQ228" s="1">
        <v>10</v>
      </c>
      <c r="CR228" s="1">
        <v>0</v>
      </c>
      <c r="DR228" s="1">
        <v>2863397131</v>
      </c>
      <c r="DS228" s="1">
        <v>17888</v>
      </c>
      <c r="DT228" s="1">
        <v>18672</v>
      </c>
      <c r="DU228" s="1">
        <v>18672</v>
      </c>
      <c r="DV228" s="1">
        <v>342</v>
      </c>
      <c r="DW228" s="1">
        <v>1</v>
      </c>
      <c r="DX228" s="1">
        <v>0</v>
      </c>
      <c r="DY228" s="1">
        <v>90</v>
      </c>
      <c r="DZ228" s="1">
        <v>60004459</v>
      </c>
      <c r="EA228" s="1">
        <v>32767</v>
      </c>
      <c r="EB228" s="1">
        <v>2</v>
      </c>
      <c r="ED228" s="1">
        <v>2878779432</v>
      </c>
      <c r="EE228" s="1">
        <v>16273</v>
      </c>
      <c r="EF228" s="1">
        <v>500000</v>
      </c>
      <c r="EG228" s="1">
        <v>252218</v>
      </c>
      <c r="EH228" s="1">
        <v>342.89</v>
      </c>
      <c r="EI228" s="1">
        <v>1</v>
      </c>
      <c r="EJ228" s="1">
        <v>1</v>
      </c>
      <c r="EK228" s="1">
        <v>90</v>
      </c>
      <c r="EL228" s="1">
        <v>60003760</v>
      </c>
      <c r="EM228" s="1">
        <v>-1</v>
      </c>
      <c r="EN228" s="1">
        <v>0</v>
      </c>
      <c r="JF228"/>
      <c r="JG228"/>
      <c r="JH228"/>
      <c r="JI228"/>
      <c r="JJ228"/>
      <c r="JK228"/>
      <c r="JL228"/>
      <c r="JM228"/>
      <c r="JN228"/>
      <c r="JO228"/>
      <c r="JP228"/>
      <c r="NV228"/>
      <c r="NW228"/>
      <c r="NX228"/>
      <c r="NY228"/>
      <c r="NZ228"/>
      <c r="OA228"/>
      <c r="OB228"/>
      <c r="OC228"/>
      <c r="OD228"/>
      <c r="OE228"/>
      <c r="OF228"/>
      <c r="OH228" s="1">
        <v>2879004060</v>
      </c>
      <c r="OI228" s="1">
        <v>25598</v>
      </c>
      <c r="OJ228" s="1">
        <v>10000</v>
      </c>
      <c r="OK228" s="1">
        <v>9917</v>
      </c>
      <c r="OL228" s="1">
        <v>125116.02</v>
      </c>
      <c r="OM228" s="1">
        <v>1</v>
      </c>
      <c r="ON228" s="1">
        <v>1</v>
      </c>
      <c r="OO228" s="1">
        <v>90</v>
      </c>
      <c r="OP228" s="1">
        <v>60003760</v>
      </c>
      <c r="OQ228" s="1">
        <v>32767</v>
      </c>
      <c r="OR228" s="1">
        <v>0</v>
      </c>
    </row>
    <row r="229" spans="2:408" x14ac:dyDescent="0.25">
      <c r="B229" s="1">
        <v>2860379928</v>
      </c>
      <c r="C229" s="1">
        <v>34</v>
      </c>
      <c r="D229" s="1">
        <v>3428053</v>
      </c>
      <c r="E229" s="1">
        <v>3428053</v>
      </c>
      <c r="F229" s="1">
        <v>5.9</v>
      </c>
      <c r="G229" s="1">
        <v>1</v>
      </c>
      <c r="H229" s="1">
        <v>0</v>
      </c>
      <c r="I229" s="1">
        <v>14</v>
      </c>
      <c r="J229" s="1">
        <v>60003760</v>
      </c>
      <c r="K229" s="1">
        <v>32767</v>
      </c>
      <c r="L229" s="1">
        <v>0</v>
      </c>
      <c r="N229" s="1">
        <v>2852306323</v>
      </c>
      <c r="O229" s="1">
        <v>35</v>
      </c>
      <c r="P229" s="1">
        <v>115436</v>
      </c>
      <c r="Q229" s="1">
        <v>115436</v>
      </c>
      <c r="R229" s="1">
        <v>15.5</v>
      </c>
      <c r="S229" s="1">
        <v>1</v>
      </c>
      <c r="T229" s="1">
        <v>0</v>
      </c>
      <c r="U229" s="1">
        <v>90</v>
      </c>
      <c r="V229" s="1">
        <v>60002851</v>
      </c>
      <c r="W229" s="1">
        <v>32767</v>
      </c>
      <c r="X229" s="1">
        <v>11</v>
      </c>
      <c r="Z229" s="1">
        <v>2871443110</v>
      </c>
      <c r="AA229" s="1">
        <v>36</v>
      </c>
      <c r="AB229" s="1">
        <v>4337601</v>
      </c>
      <c r="AC229" s="1">
        <v>4337601</v>
      </c>
      <c r="AD229" s="16">
        <v>59.99</v>
      </c>
      <c r="AE229" s="1">
        <v>1</v>
      </c>
      <c r="AF229" s="1">
        <v>0</v>
      </c>
      <c r="AG229" s="1">
        <v>7</v>
      </c>
      <c r="AH229" s="1">
        <v>60003760</v>
      </c>
      <c r="AI229" s="1">
        <v>32767</v>
      </c>
      <c r="AJ229" s="1">
        <v>11</v>
      </c>
      <c r="AL229" s="1">
        <v>2860769353</v>
      </c>
      <c r="AM229" s="1">
        <v>37</v>
      </c>
      <c r="AN229" s="1">
        <v>100000</v>
      </c>
      <c r="AO229" s="1">
        <v>64445</v>
      </c>
      <c r="AP229" s="16">
        <v>140</v>
      </c>
      <c r="AQ229" s="1">
        <v>1</v>
      </c>
      <c r="AR229" s="1">
        <v>1</v>
      </c>
      <c r="AS229" s="1">
        <v>30</v>
      </c>
      <c r="AT229" s="1">
        <v>60013291</v>
      </c>
      <c r="AU229" s="1">
        <v>1</v>
      </c>
      <c r="AV229" s="1">
        <v>0</v>
      </c>
      <c r="AX229" s="1">
        <v>2807712605</v>
      </c>
      <c r="AY229" s="1">
        <v>38</v>
      </c>
      <c r="AZ229" s="1">
        <v>111111</v>
      </c>
      <c r="BA229" s="1">
        <v>2605</v>
      </c>
      <c r="BB229" s="1">
        <v>735.2</v>
      </c>
      <c r="BC229" s="1">
        <v>1</v>
      </c>
      <c r="BD229" s="1">
        <v>1</v>
      </c>
      <c r="BE229" s="1">
        <v>90</v>
      </c>
      <c r="BF229" s="1">
        <v>60015027</v>
      </c>
      <c r="BG229" s="1">
        <v>1</v>
      </c>
      <c r="BH229" s="1">
        <v>0</v>
      </c>
      <c r="BJ229"/>
      <c r="BK229"/>
      <c r="BL229"/>
      <c r="BM229"/>
      <c r="BN229"/>
      <c r="BO229"/>
      <c r="BP229"/>
      <c r="BQ229"/>
      <c r="BR229"/>
      <c r="BS229"/>
      <c r="BT229"/>
      <c r="BV229" s="1">
        <v>2415299901</v>
      </c>
      <c r="BW229" s="1">
        <v>40</v>
      </c>
      <c r="BX229" s="1">
        <v>129900</v>
      </c>
      <c r="BY229" s="1">
        <v>73958</v>
      </c>
      <c r="BZ229" s="1">
        <v>2594.9</v>
      </c>
      <c r="CA229" s="1">
        <v>1</v>
      </c>
      <c r="CB229" s="1">
        <v>1</v>
      </c>
      <c r="CC229" s="1">
        <v>7</v>
      </c>
      <c r="CD229" s="1">
        <v>60003760</v>
      </c>
      <c r="CE229" s="1">
        <v>-1</v>
      </c>
      <c r="CF229" s="1">
        <v>0</v>
      </c>
      <c r="CH229" s="1">
        <v>2375857311</v>
      </c>
      <c r="CI229" s="1">
        <v>29668</v>
      </c>
      <c r="CJ229" s="1">
        <v>1</v>
      </c>
      <c r="CK229" s="1">
        <v>1</v>
      </c>
      <c r="CL229" s="1">
        <v>3300000</v>
      </c>
      <c r="CM229" s="1">
        <v>1</v>
      </c>
      <c r="CN229" s="1">
        <v>1</v>
      </c>
      <c r="CO229" s="1">
        <v>90</v>
      </c>
      <c r="CP229" s="1">
        <v>60003760</v>
      </c>
      <c r="CQ229" s="1">
        <v>5</v>
      </c>
      <c r="CR229" s="1">
        <v>0</v>
      </c>
      <c r="DR229" s="1">
        <v>2863397288</v>
      </c>
      <c r="DS229" s="1">
        <v>17888</v>
      </c>
      <c r="DT229" s="1">
        <v>21383</v>
      </c>
      <c r="DU229" s="1">
        <v>21383</v>
      </c>
      <c r="DV229" s="1">
        <v>342</v>
      </c>
      <c r="DW229" s="1">
        <v>1</v>
      </c>
      <c r="DX229" s="1">
        <v>0</v>
      </c>
      <c r="DY229" s="1">
        <v>90</v>
      </c>
      <c r="DZ229" s="1">
        <v>60002359</v>
      </c>
      <c r="EA229" s="1">
        <v>32767</v>
      </c>
      <c r="EB229" s="1">
        <v>2</v>
      </c>
      <c r="ED229" s="1">
        <v>2878765027</v>
      </c>
      <c r="EE229" s="1">
        <v>16273</v>
      </c>
      <c r="EF229" s="1">
        <v>1000000</v>
      </c>
      <c r="EG229" s="1">
        <v>427844</v>
      </c>
      <c r="EH229" s="1">
        <v>342.94</v>
      </c>
      <c r="EI229" s="1">
        <v>1</v>
      </c>
      <c r="EJ229" s="1">
        <v>1</v>
      </c>
      <c r="EK229" s="1">
        <v>90</v>
      </c>
      <c r="EL229" s="1">
        <v>60003760</v>
      </c>
      <c r="EM229" s="1">
        <v>-1</v>
      </c>
      <c r="EN229" s="1">
        <v>0</v>
      </c>
      <c r="JF229"/>
      <c r="JG229"/>
      <c r="JH229"/>
      <c r="JI229"/>
      <c r="JJ229"/>
      <c r="JK229"/>
      <c r="JL229"/>
      <c r="JM229"/>
      <c r="JN229"/>
      <c r="JO229"/>
      <c r="JP229"/>
      <c r="NV229"/>
      <c r="NW229"/>
      <c r="NX229"/>
      <c r="NY229"/>
      <c r="NZ229"/>
      <c r="OA229"/>
      <c r="OB229"/>
      <c r="OC229"/>
      <c r="OD229"/>
      <c r="OE229"/>
      <c r="OF229"/>
      <c r="OH229" s="1">
        <v>2878854072</v>
      </c>
      <c r="OI229" s="1">
        <v>25598</v>
      </c>
      <c r="OJ229" s="1">
        <v>5000</v>
      </c>
      <c r="OK229" s="1">
        <v>1625</v>
      </c>
      <c r="OL229" s="1">
        <v>133316.99</v>
      </c>
      <c r="OM229" s="1">
        <v>1</v>
      </c>
      <c r="ON229" s="1">
        <v>1</v>
      </c>
      <c r="OO229" s="1">
        <v>90</v>
      </c>
      <c r="OP229" s="1">
        <v>60003760</v>
      </c>
      <c r="OQ229" s="1">
        <v>-1</v>
      </c>
      <c r="OR229" s="1">
        <v>0</v>
      </c>
    </row>
    <row r="230" spans="2:408" x14ac:dyDescent="0.25">
      <c r="B230" s="1">
        <v>2860473435</v>
      </c>
      <c r="C230" s="1">
        <v>34</v>
      </c>
      <c r="D230" s="1">
        <v>2147483647</v>
      </c>
      <c r="E230" s="1">
        <v>1493742633</v>
      </c>
      <c r="F230" s="1">
        <v>5.85</v>
      </c>
      <c r="G230" s="1">
        <v>1</v>
      </c>
      <c r="H230" s="1">
        <v>0</v>
      </c>
      <c r="I230" s="1">
        <v>90</v>
      </c>
      <c r="J230" s="1">
        <v>60003760</v>
      </c>
      <c r="K230" s="1">
        <v>32767</v>
      </c>
      <c r="L230" s="1">
        <v>0</v>
      </c>
      <c r="N230" s="1">
        <v>2873247152</v>
      </c>
      <c r="O230" s="1">
        <v>35</v>
      </c>
      <c r="P230" s="1">
        <v>388182</v>
      </c>
      <c r="Q230" s="1">
        <v>388168</v>
      </c>
      <c r="R230" s="1">
        <v>15.48</v>
      </c>
      <c r="S230" s="1">
        <v>1</v>
      </c>
      <c r="T230" s="1">
        <v>0</v>
      </c>
      <c r="U230" s="1">
        <v>14</v>
      </c>
      <c r="V230" s="1">
        <v>60002851</v>
      </c>
      <c r="W230" s="1">
        <v>32767</v>
      </c>
      <c r="X230" s="1">
        <v>11</v>
      </c>
      <c r="Z230" s="1">
        <v>2872082304</v>
      </c>
      <c r="AA230" s="1">
        <v>36</v>
      </c>
      <c r="AB230" s="1">
        <v>626458</v>
      </c>
      <c r="AC230" s="1">
        <v>626458</v>
      </c>
      <c r="AD230" s="16">
        <v>59.99</v>
      </c>
      <c r="AE230" s="1">
        <v>1</v>
      </c>
      <c r="AF230" s="1">
        <v>0</v>
      </c>
      <c r="AG230" s="1">
        <v>7</v>
      </c>
      <c r="AH230" s="1">
        <v>60003760</v>
      </c>
      <c r="AI230" s="1">
        <v>32767</v>
      </c>
      <c r="AJ230" s="1">
        <v>11</v>
      </c>
      <c r="AL230" s="1">
        <v>2877013283</v>
      </c>
      <c r="AM230" s="1">
        <v>37</v>
      </c>
      <c r="AN230" s="1">
        <v>500000</v>
      </c>
      <c r="AO230" s="1">
        <v>291410</v>
      </c>
      <c r="AP230" s="16">
        <v>142</v>
      </c>
      <c r="AQ230" s="1">
        <v>10</v>
      </c>
      <c r="AR230" s="1">
        <v>1</v>
      </c>
      <c r="AS230" s="1">
        <v>90</v>
      </c>
      <c r="AT230" s="1">
        <v>60003193</v>
      </c>
      <c r="AU230" s="1">
        <v>2</v>
      </c>
      <c r="AV230" s="1">
        <v>0</v>
      </c>
      <c r="AX230" s="1">
        <v>2848169373</v>
      </c>
      <c r="AY230" s="1">
        <v>38</v>
      </c>
      <c r="AZ230" s="1">
        <v>1000</v>
      </c>
      <c r="BA230" s="1">
        <v>1000</v>
      </c>
      <c r="BB230" s="1">
        <v>727.05</v>
      </c>
      <c r="BC230" s="1">
        <v>1</v>
      </c>
      <c r="BD230" s="1">
        <v>1</v>
      </c>
      <c r="BE230" s="1">
        <v>90</v>
      </c>
      <c r="BF230" s="1">
        <v>60015027</v>
      </c>
      <c r="BG230" s="1">
        <v>-1</v>
      </c>
      <c r="BH230" s="1">
        <v>0</v>
      </c>
      <c r="BJ230"/>
      <c r="BK230"/>
      <c r="BL230"/>
      <c r="BM230"/>
      <c r="BN230"/>
      <c r="BO230"/>
      <c r="BP230"/>
      <c r="BQ230"/>
      <c r="BR230"/>
      <c r="BS230"/>
      <c r="BT230"/>
      <c r="BV230" s="1">
        <v>2399459540</v>
      </c>
      <c r="BW230" s="1">
        <v>40</v>
      </c>
      <c r="BX230" s="1">
        <v>20000</v>
      </c>
      <c r="BY230" s="1">
        <v>19519</v>
      </c>
      <c r="BZ230" s="1">
        <v>2302.02</v>
      </c>
      <c r="CA230" s="1">
        <v>1</v>
      </c>
      <c r="CB230" s="1">
        <v>1</v>
      </c>
      <c r="CC230" s="1">
        <v>90</v>
      </c>
      <c r="CD230" s="1">
        <v>60001798</v>
      </c>
      <c r="CE230" s="1">
        <v>2</v>
      </c>
      <c r="CF230" s="1">
        <v>0</v>
      </c>
      <c r="CH230" s="1">
        <v>2375857007</v>
      </c>
      <c r="CI230" s="1">
        <v>29668</v>
      </c>
      <c r="CJ230" s="1">
        <v>1</v>
      </c>
      <c r="CK230" s="1">
        <v>1</v>
      </c>
      <c r="CL230" s="1">
        <v>2200000</v>
      </c>
      <c r="CM230" s="1">
        <v>1</v>
      </c>
      <c r="CN230" s="1">
        <v>1</v>
      </c>
      <c r="CO230" s="1">
        <v>90</v>
      </c>
      <c r="CP230" s="1">
        <v>60003760</v>
      </c>
      <c r="CQ230" s="1">
        <v>3</v>
      </c>
      <c r="CR230" s="1">
        <v>0</v>
      </c>
      <c r="DR230" s="1">
        <v>2863396723</v>
      </c>
      <c r="DS230" s="1">
        <v>17888</v>
      </c>
      <c r="DT230" s="1">
        <v>504437</v>
      </c>
      <c r="DU230" s="1">
        <v>504437</v>
      </c>
      <c r="DV230" s="1">
        <v>342</v>
      </c>
      <c r="DW230" s="1">
        <v>1</v>
      </c>
      <c r="DX230" s="1">
        <v>0</v>
      </c>
      <c r="DY230" s="1">
        <v>90</v>
      </c>
      <c r="DZ230" s="1">
        <v>60012667</v>
      </c>
      <c r="EA230" s="1">
        <v>32767</v>
      </c>
      <c r="EB230" s="1">
        <v>2</v>
      </c>
      <c r="ED230" s="1">
        <v>2878683435</v>
      </c>
      <c r="EE230" s="1">
        <v>16273</v>
      </c>
      <c r="EF230" s="1">
        <v>1944000</v>
      </c>
      <c r="EG230" s="1">
        <v>1866705</v>
      </c>
      <c r="EH230" s="1">
        <v>343.13</v>
      </c>
      <c r="EI230" s="1">
        <v>1</v>
      </c>
      <c r="EJ230" s="1">
        <v>1</v>
      </c>
      <c r="EK230" s="1">
        <v>90</v>
      </c>
      <c r="EL230" s="1">
        <v>60003760</v>
      </c>
      <c r="EM230" s="1">
        <v>-1</v>
      </c>
      <c r="EN230" s="1">
        <v>0</v>
      </c>
      <c r="JF230"/>
      <c r="JG230"/>
      <c r="JH230"/>
      <c r="JI230"/>
      <c r="JJ230"/>
      <c r="JK230"/>
      <c r="JL230"/>
      <c r="JM230"/>
      <c r="JN230"/>
      <c r="JO230"/>
      <c r="JP230"/>
      <c r="NV230"/>
      <c r="NW230"/>
      <c r="NX230"/>
      <c r="NY230"/>
      <c r="NZ230"/>
      <c r="OA230"/>
      <c r="OB230"/>
      <c r="OC230"/>
      <c r="OD230"/>
      <c r="OE230"/>
      <c r="OF230"/>
      <c r="OH230" s="1">
        <v>2878671244</v>
      </c>
      <c r="OI230" s="1">
        <v>25598</v>
      </c>
      <c r="OJ230" s="1">
        <v>5000</v>
      </c>
      <c r="OK230" s="1">
        <v>862</v>
      </c>
      <c r="OL230" s="1">
        <v>133316.99</v>
      </c>
      <c r="OM230" s="1">
        <v>1</v>
      </c>
      <c r="ON230" s="1">
        <v>1</v>
      </c>
      <c r="OO230" s="1">
        <v>90</v>
      </c>
      <c r="OP230" s="1">
        <v>60003760</v>
      </c>
      <c r="OQ230" s="1">
        <v>-1</v>
      </c>
      <c r="OR230" s="1">
        <v>0</v>
      </c>
    </row>
    <row r="231" spans="2:408" x14ac:dyDescent="0.25">
      <c r="B231" s="1">
        <v>2860715033</v>
      </c>
      <c r="C231" s="1">
        <v>34</v>
      </c>
      <c r="D231" s="1">
        <v>9000000</v>
      </c>
      <c r="E231" s="1">
        <v>9000000</v>
      </c>
      <c r="F231" s="1">
        <v>5.92</v>
      </c>
      <c r="G231" s="1">
        <v>1</v>
      </c>
      <c r="H231" s="1">
        <v>0</v>
      </c>
      <c r="I231" s="1">
        <v>90</v>
      </c>
      <c r="J231" s="1">
        <v>60003760</v>
      </c>
      <c r="K231" s="1">
        <v>32767</v>
      </c>
      <c r="L231" s="1">
        <v>0</v>
      </c>
      <c r="N231" s="1">
        <v>2875756304</v>
      </c>
      <c r="O231" s="1">
        <v>35</v>
      </c>
      <c r="P231" s="1">
        <v>3429896</v>
      </c>
      <c r="Q231" s="1">
        <v>3429896</v>
      </c>
      <c r="R231" s="1">
        <v>14.9</v>
      </c>
      <c r="S231" s="1">
        <v>1</v>
      </c>
      <c r="T231" s="1">
        <v>0</v>
      </c>
      <c r="U231" s="1">
        <v>7</v>
      </c>
      <c r="V231" s="1">
        <v>60000535</v>
      </c>
      <c r="W231" s="1">
        <v>32767</v>
      </c>
      <c r="X231" s="1">
        <v>6</v>
      </c>
      <c r="Z231" s="1">
        <v>2872461681</v>
      </c>
      <c r="AA231" s="1">
        <v>36</v>
      </c>
      <c r="AB231" s="1">
        <v>1785321</v>
      </c>
      <c r="AC231" s="1">
        <v>1785321</v>
      </c>
      <c r="AD231" s="16">
        <v>59</v>
      </c>
      <c r="AE231" s="1">
        <v>1</v>
      </c>
      <c r="AF231" s="1">
        <v>0</v>
      </c>
      <c r="AG231" s="1">
        <v>90</v>
      </c>
      <c r="AH231" s="1">
        <v>60003760</v>
      </c>
      <c r="AI231" s="1">
        <v>32767</v>
      </c>
      <c r="AJ231" s="1">
        <v>11</v>
      </c>
      <c r="AL231" s="1">
        <v>2819048594</v>
      </c>
      <c r="AM231" s="1">
        <v>37</v>
      </c>
      <c r="AN231" s="1">
        <v>10000000</v>
      </c>
      <c r="AO231" s="1">
        <v>9979943</v>
      </c>
      <c r="AP231" s="16">
        <v>121.11</v>
      </c>
      <c r="AQ231" s="1">
        <v>1</v>
      </c>
      <c r="AR231" s="1">
        <v>1</v>
      </c>
      <c r="AS231" s="1">
        <v>90</v>
      </c>
      <c r="AT231" s="1">
        <v>60012670</v>
      </c>
      <c r="AU231" s="1">
        <v>1</v>
      </c>
      <c r="AV231" s="1">
        <v>0</v>
      </c>
      <c r="AX231" s="1">
        <v>2846851798</v>
      </c>
      <c r="AY231" s="1">
        <v>38</v>
      </c>
      <c r="AZ231" s="1">
        <v>350000</v>
      </c>
      <c r="BA231" s="1">
        <v>328153</v>
      </c>
      <c r="BB231" s="1">
        <v>728.07</v>
      </c>
      <c r="BC231" s="1">
        <v>1</v>
      </c>
      <c r="BD231" s="1">
        <v>1</v>
      </c>
      <c r="BE231" s="1">
        <v>30</v>
      </c>
      <c r="BF231" s="1">
        <v>60015027</v>
      </c>
      <c r="BG231" s="1">
        <v>0</v>
      </c>
      <c r="BH231" s="1">
        <v>0</v>
      </c>
      <c r="BJ231"/>
      <c r="BK231"/>
      <c r="BL231"/>
      <c r="BM231"/>
      <c r="BN231"/>
      <c r="BO231"/>
      <c r="BP231"/>
      <c r="BQ231"/>
      <c r="BR231"/>
      <c r="BS231"/>
      <c r="BT231"/>
      <c r="BV231" s="1">
        <v>2415736035</v>
      </c>
      <c r="BW231" s="1">
        <v>40</v>
      </c>
      <c r="BX231" s="1">
        <v>60000</v>
      </c>
      <c r="BY231" s="1">
        <v>55074</v>
      </c>
      <c r="BZ231" s="1">
        <v>2594.3000000000002</v>
      </c>
      <c r="CA231" s="1">
        <v>1</v>
      </c>
      <c r="CB231" s="1">
        <v>1</v>
      </c>
      <c r="CC231" s="1">
        <v>1</v>
      </c>
      <c r="CD231" s="1">
        <v>60003760</v>
      </c>
      <c r="CE231" s="1">
        <v>-1</v>
      </c>
      <c r="CF231" s="1">
        <v>0</v>
      </c>
      <c r="CH231" s="1">
        <v>2376494316</v>
      </c>
      <c r="CI231" s="1">
        <v>29668</v>
      </c>
      <c r="CJ231" s="1">
        <v>1</v>
      </c>
      <c r="CK231" s="1">
        <v>1</v>
      </c>
      <c r="CL231" s="1">
        <v>444444</v>
      </c>
      <c r="CM231" s="1">
        <v>1</v>
      </c>
      <c r="CN231" s="1">
        <v>1</v>
      </c>
      <c r="CO231" s="1">
        <v>90</v>
      </c>
      <c r="CP231" s="1">
        <v>60003760</v>
      </c>
      <c r="CQ231" s="1">
        <v>-1</v>
      </c>
      <c r="CR231" s="1">
        <v>0</v>
      </c>
      <c r="DR231" s="1">
        <v>2858688711</v>
      </c>
      <c r="DS231" s="1">
        <v>17888</v>
      </c>
      <c r="DT231" s="1">
        <v>3242</v>
      </c>
      <c r="DU231" s="1">
        <v>3242</v>
      </c>
      <c r="DV231" s="1">
        <v>344</v>
      </c>
      <c r="DW231" s="1">
        <v>1</v>
      </c>
      <c r="DX231" s="1">
        <v>0</v>
      </c>
      <c r="DY231" s="1">
        <v>90</v>
      </c>
      <c r="DZ231" s="1">
        <v>60004459</v>
      </c>
      <c r="EA231" s="1">
        <v>32767</v>
      </c>
      <c r="EB231" s="1">
        <v>2</v>
      </c>
      <c r="ED231" s="1">
        <v>2878634072</v>
      </c>
      <c r="EE231" s="1">
        <v>16273</v>
      </c>
      <c r="EF231" s="1">
        <v>1350000</v>
      </c>
      <c r="EG231" s="1">
        <v>1346625</v>
      </c>
      <c r="EH231" s="1">
        <v>343.5</v>
      </c>
      <c r="EI231" s="1">
        <v>1</v>
      </c>
      <c r="EJ231" s="1">
        <v>1</v>
      </c>
      <c r="EK231" s="1">
        <v>90</v>
      </c>
      <c r="EL231" s="1">
        <v>60003760</v>
      </c>
      <c r="EM231" s="1">
        <v>-1</v>
      </c>
      <c r="EN231" s="1">
        <v>0</v>
      </c>
      <c r="JF231"/>
      <c r="JG231"/>
      <c r="JH231"/>
      <c r="JI231"/>
      <c r="JJ231"/>
      <c r="JK231"/>
      <c r="JL231"/>
      <c r="JM231"/>
      <c r="JN231"/>
      <c r="JO231"/>
      <c r="JP231"/>
      <c r="NV231"/>
      <c r="NW231"/>
      <c r="NX231"/>
      <c r="NY231"/>
      <c r="NZ231"/>
      <c r="OA231"/>
      <c r="OB231"/>
      <c r="OC231"/>
      <c r="OD231"/>
      <c r="OE231"/>
      <c r="OF231"/>
      <c r="OH231" s="1">
        <v>2879081473</v>
      </c>
      <c r="OI231" s="1">
        <v>25598</v>
      </c>
      <c r="OJ231" s="1">
        <v>4000</v>
      </c>
      <c r="OK231" s="1">
        <v>3931</v>
      </c>
      <c r="OL231" s="1">
        <v>126003</v>
      </c>
      <c r="OM231" s="1">
        <v>50</v>
      </c>
      <c r="ON231" s="1">
        <v>1</v>
      </c>
      <c r="OO231" s="1">
        <v>90</v>
      </c>
      <c r="OP231" s="1">
        <v>60003760</v>
      </c>
      <c r="OQ231" s="1">
        <v>5</v>
      </c>
      <c r="OR231" s="1">
        <v>0</v>
      </c>
    </row>
    <row r="232" spans="2:408" x14ac:dyDescent="0.25">
      <c r="B232" s="1">
        <v>2387920474</v>
      </c>
      <c r="C232" s="1">
        <v>34</v>
      </c>
      <c r="D232" s="1">
        <v>2147483647</v>
      </c>
      <c r="E232" s="1">
        <v>2147483647</v>
      </c>
      <c r="F232" s="1">
        <v>9.98</v>
      </c>
      <c r="G232" s="1">
        <v>1</v>
      </c>
      <c r="H232" s="1">
        <v>0</v>
      </c>
      <c r="I232" s="1">
        <v>90</v>
      </c>
      <c r="J232" s="1">
        <v>60003760</v>
      </c>
      <c r="K232" s="1">
        <v>32767</v>
      </c>
      <c r="L232" s="1">
        <v>0</v>
      </c>
      <c r="N232" s="1">
        <v>2874206492</v>
      </c>
      <c r="O232" s="1">
        <v>35</v>
      </c>
      <c r="P232" s="1">
        <v>687781</v>
      </c>
      <c r="Q232" s="1">
        <v>687781</v>
      </c>
      <c r="R232" s="1">
        <v>15</v>
      </c>
      <c r="S232" s="1">
        <v>1</v>
      </c>
      <c r="T232" s="1">
        <v>0</v>
      </c>
      <c r="U232" s="1">
        <v>30</v>
      </c>
      <c r="V232" s="1">
        <v>60000535</v>
      </c>
      <c r="W232" s="1">
        <v>32767</v>
      </c>
      <c r="X232" s="1">
        <v>6</v>
      </c>
      <c r="Z232" s="1">
        <v>2874575149</v>
      </c>
      <c r="AA232" s="1">
        <v>36</v>
      </c>
      <c r="AB232" s="1">
        <v>2073806</v>
      </c>
      <c r="AC232" s="1">
        <v>2073806</v>
      </c>
      <c r="AD232" s="16">
        <v>62.5</v>
      </c>
      <c r="AE232" s="1">
        <v>1</v>
      </c>
      <c r="AF232" s="1">
        <v>0</v>
      </c>
      <c r="AG232" s="1">
        <v>90</v>
      </c>
      <c r="AH232" s="1">
        <v>60003760</v>
      </c>
      <c r="AI232" s="1">
        <v>32767</v>
      </c>
      <c r="AJ232" s="1">
        <v>11</v>
      </c>
      <c r="AL232" s="1">
        <v>2808848584</v>
      </c>
      <c r="AM232" s="1">
        <v>37</v>
      </c>
      <c r="AN232" s="1">
        <v>1000000</v>
      </c>
      <c r="AO232" s="1">
        <v>951098</v>
      </c>
      <c r="AP232" s="16">
        <v>129.02000000000001</v>
      </c>
      <c r="AQ232" s="1">
        <v>1</v>
      </c>
      <c r="AR232" s="1">
        <v>1</v>
      </c>
      <c r="AS232" s="1">
        <v>90</v>
      </c>
      <c r="AT232" s="1">
        <v>60001591</v>
      </c>
      <c r="AU232" s="1">
        <v>0</v>
      </c>
      <c r="AV232" s="1">
        <v>0</v>
      </c>
      <c r="AX232" s="1">
        <v>2876571640</v>
      </c>
      <c r="AY232" s="1">
        <v>38</v>
      </c>
      <c r="AZ232" s="1">
        <v>150000</v>
      </c>
      <c r="BA232" s="1">
        <v>148766</v>
      </c>
      <c r="BB232" s="1">
        <v>735.21</v>
      </c>
      <c r="BC232" s="1">
        <v>1</v>
      </c>
      <c r="BD232" s="1">
        <v>1</v>
      </c>
      <c r="BE232" s="1">
        <v>90</v>
      </c>
      <c r="BF232" s="1">
        <v>60015027</v>
      </c>
      <c r="BG232" s="1">
        <v>-1</v>
      </c>
      <c r="BH232" s="1">
        <v>0</v>
      </c>
      <c r="BJ232"/>
      <c r="BK232"/>
      <c r="BL232"/>
      <c r="BM232"/>
      <c r="BN232"/>
      <c r="BO232"/>
      <c r="BP232"/>
      <c r="BQ232"/>
      <c r="BR232"/>
      <c r="BS232"/>
      <c r="BT232"/>
      <c r="BV232" s="1">
        <v>2415540781</v>
      </c>
      <c r="BW232" s="1">
        <v>40</v>
      </c>
      <c r="BX232" s="1">
        <v>200000</v>
      </c>
      <c r="BY232" s="1">
        <v>188878</v>
      </c>
      <c r="BZ232" s="1">
        <v>2595</v>
      </c>
      <c r="CA232" s="1">
        <v>1</v>
      </c>
      <c r="CB232" s="1">
        <v>1</v>
      </c>
      <c r="CC232" s="1">
        <v>90</v>
      </c>
      <c r="CD232" s="1">
        <v>60003760</v>
      </c>
      <c r="CE232" s="1">
        <v>-1</v>
      </c>
      <c r="CF232" s="1">
        <v>0</v>
      </c>
      <c r="CH232" s="1">
        <v>2373943915</v>
      </c>
      <c r="CI232" s="1">
        <v>29668</v>
      </c>
      <c r="CJ232" s="1">
        <v>1</v>
      </c>
      <c r="CK232" s="1">
        <v>1</v>
      </c>
      <c r="CL232" s="1">
        <v>0.01</v>
      </c>
      <c r="CM232" s="1">
        <v>1</v>
      </c>
      <c r="CN232" s="1">
        <v>1</v>
      </c>
      <c r="CO232" s="1">
        <v>90</v>
      </c>
      <c r="CP232" s="1">
        <v>60003760</v>
      </c>
      <c r="CQ232" s="1">
        <v>-1</v>
      </c>
      <c r="CR232" s="1">
        <v>0</v>
      </c>
      <c r="DR232" s="1">
        <v>2858688982</v>
      </c>
      <c r="DS232" s="1">
        <v>17888</v>
      </c>
      <c r="DT232" s="1">
        <v>188579</v>
      </c>
      <c r="DU232" s="1">
        <v>104734</v>
      </c>
      <c r="DV232" s="1">
        <v>344</v>
      </c>
      <c r="DW232" s="1">
        <v>1</v>
      </c>
      <c r="DX232" s="1">
        <v>0</v>
      </c>
      <c r="DY232" s="1">
        <v>90</v>
      </c>
      <c r="DZ232" s="1">
        <v>60003073</v>
      </c>
      <c r="EA232" s="1">
        <v>32767</v>
      </c>
      <c r="EB232" s="1">
        <v>2</v>
      </c>
      <c r="ED232" s="1">
        <v>2878633830</v>
      </c>
      <c r="EE232" s="1">
        <v>16273</v>
      </c>
      <c r="EF232" s="1">
        <v>1350000</v>
      </c>
      <c r="EG232" s="1">
        <v>1350000</v>
      </c>
      <c r="EH232" s="1">
        <v>343.5</v>
      </c>
      <c r="EI232" s="1">
        <v>1</v>
      </c>
      <c r="EJ232" s="1">
        <v>1</v>
      </c>
      <c r="EK232" s="1">
        <v>90</v>
      </c>
      <c r="EL232" s="1">
        <v>60003760</v>
      </c>
      <c r="EM232" s="1">
        <v>-1</v>
      </c>
      <c r="EN232" s="1">
        <v>0</v>
      </c>
      <c r="JF232"/>
      <c r="JG232"/>
      <c r="JH232"/>
      <c r="JI232"/>
      <c r="JJ232"/>
      <c r="JK232"/>
      <c r="JL232"/>
      <c r="JM232"/>
      <c r="JN232"/>
      <c r="JO232"/>
      <c r="JP232"/>
      <c r="NV232"/>
      <c r="NW232"/>
      <c r="NX232"/>
      <c r="NY232"/>
      <c r="NZ232"/>
      <c r="OA232"/>
      <c r="OB232"/>
      <c r="OC232"/>
      <c r="OD232"/>
      <c r="OE232"/>
      <c r="OF232"/>
      <c r="OH232" s="1">
        <v>2877937775</v>
      </c>
      <c r="OI232" s="1">
        <v>25598</v>
      </c>
      <c r="OJ232" s="1">
        <v>1000</v>
      </c>
      <c r="OK232" s="1">
        <v>600</v>
      </c>
      <c r="OL232" s="1">
        <v>128000</v>
      </c>
      <c r="OM232" s="1">
        <v>1</v>
      </c>
      <c r="ON232" s="1">
        <v>1</v>
      </c>
      <c r="OO232" s="1">
        <v>90</v>
      </c>
      <c r="OP232" s="1">
        <v>60012667</v>
      </c>
      <c r="OQ232" s="1">
        <v>-1</v>
      </c>
      <c r="OR232" s="1">
        <v>0</v>
      </c>
    </row>
    <row r="233" spans="2:408" x14ac:dyDescent="0.25">
      <c r="B233" s="1">
        <v>2465938421</v>
      </c>
      <c r="C233" s="1">
        <v>34</v>
      </c>
      <c r="D233" s="1">
        <v>2000000000</v>
      </c>
      <c r="E233" s="1">
        <v>2000000000</v>
      </c>
      <c r="F233" s="1">
        <v>8.98</v>
      </c>
      <c r="G233" s="1">
        <v>1</v>
      </c>
      <c r="H233" s="1">
        <v>0</v>
      </c>
      <c r="I233" s="1">
        <v>90</v>
      </c>
      <c r="J233" s="1">
        <v>60003760</v>
      </c>
      <c r="K233" s="1">
        <v>32767</v>
      </c>
      <c r="L233" s="1">
        <v>0</v>
      </c>
      <c r="N233" s="1">
        <v>2873971764</v>
      </c>
      <c r="O233" s="1">
        <v>35</v>
      </c>
      <c r="P233" s="1">
        <v>527789</v>
      </c>
      <c r="Q233" s="1">
        <v>524789</v>
      </c>
      <c r="R233" s="1">
        <v>14.9</v>
      </c>
      <c r="S233" s="1">
        <v>1</v>
      </c>
      <c r="T233" s="1">
        <v>0</v>
      </c>
      <c r="U233" s="1">
        <v>7</v>
      </c>
      <c r="V233" s="1">
        <v>60002353</v>
      </c>
      <c r="W233" s="1">
        <v>32767</v>
      </c>
      <c r="X233" s="1">
        <v>7</v>
      </c>
      <c r="Z233" s="1">
        <v>2878274606</v>
      </c>
      <c r="AA233" s="1">
        <v>36</v>
      </c>
      <c r="AB233" s="1">
        <v>49721219</v>
      </c>
      <c r="AC233" s="1">
        <v>25333293</v>
      </c>
      <c r="AD233" s="16">
        <v>48.79</v>
      </c>
      <c r="AE233" s="1">
        <v>1</v>
      </c>
      <c r="AF233" s="1">
        <v>0</v>
      </c>
      <c r="AG233" s="1">
        <v>90</v>
      </c>
      <c r="AH233" s="1">
        <v>60003760</v>
      </c>
      <c r="AI233" s="1">
        <v>32767</v>
      </c>
      <c r="AJ233" s="1">
        <v>11</v>
      </c>
      <c r="AL233" s="1">
        <v>2855428289</v>
      </c>
      <c r="AM233" s="1">
        <v>37</v>
      </c>
      <c r="AN233" s="1">
        <v>500000</v>
      </c>
      <c r="AO233" s="1">
        <v>397085</v>
      </c>
      <c r="AP233" s="16">
        <v>121.11</v>
      </c>
      <c r="AQ233" s="1">
        <v>1</v>
      </c>
      <c r="AR233" s="1">
        <v>1</v>
      </c>
      <c r="AS233" s="1">
        <v>90</v>
      </c>
      <c r="AT233" s="1">
        <v>60004474</v>
      </c>
      <c r="AU233" s="1">
        <v>32767</v>
      </c>
      <c r="AV233" s="1">
        <v>0</v>
      </c>
      <c r="AX233" s="1">
        <v>2845331672</v>
      </c>
      <c r="AY233" s="1">
        <v>38</v>
      </c>
      <c r="AZ233" s="1">
        <v>500000</v>
      </c>
      <c r="BA233" s="1">
        <v>5078</v>
      </c>
      <c r="BB233" s="1">
        <v>770.36</v>
      </c>
      <c r="BC233" s="1">
        <v>1</v>
      </c>
      <c r="BD233" s="1">
        <v>1</v>
      </c>
      <c r="BE233" s="1">
        <v>90</v>
      </c>
      <c r="BF233" s="1">
        <v>60004459</v>
      </c>
      <c r="BG233" s="1">
        <v>0</v>
      </c>
      <c r="BH233" s="1">
        <v>0</v>
      </c>
      <c r="BJ233"/>
      <c r="BK233"/>
      <c r="BL233"/>
      <c r="BM233"/>
      <c r="BN233"/>
      <c r="BO233"/>
      <c r="BP233"/>
      <c r="BQ233"/>
      <c r="BR233"/>
      <c r="BS233"/>
      <c r="BT233"/>
      <c r="BV233"/>
      <c r="BW233"/>
      <c r="BX233"/>
      <c r="BY233"/>
      <c r="BZ233"/>
      <c r="CA233"/>
      <c r="CB233"/>
      <c r="CC233"/>
      <c r="CD233"/>
      <c r="CE233"/>
      <c r="CF233"/>
      <c r="CH233" s="1">
        <v>2374580554</v>
      </c>
      <c r="CI233" s="1">
        <v>29668</v>
      </c>
      <c r="CJ233" s="1">
        <v>1</v>
      </c>
      <c r="CK233" s="1">
        <v>1</v>
      </c>
      <c r="CL233" s="1">
        <v>431000000</v>
      </c>
      <c r="CM233" s="1">
        <v>1</v>
      </c>
      <c r="CN233" s="1">
        <v>1</v>
      </c>
      <c r="CO233" s="1">
        <v>90</v>
      </c>
      <c r="CP233" s="1">
        <v>60003760</v>
      </c>
      <c r="CQ233" s="1">
        <v>-1</v>
      </c>
      <c r="CR233" s="1">
        <v>0</v>
      </c>
      <c r="DR233" s="1">
        <v>2847569840</v>
      </c>
      <c r="DS233" s="1">
        <v>17888</v>
      </c>
      <c r="DT233" s="1">
        <v>170145</v>
      </c>
      <c r="DU233" s="1">
        <v>170145</v>
      </c>
      <c r="DV233" s="1">
        <v>354</v>
      </c>
      <c r="DW233" s="1">
        <v>1</v>
      </c>
      <c r="DX233" s="1">
        <v>0</v>
      </c>
      <c r="DY233" s="1">
        <v>90</v>
      </c>
      <c r="DZ233" s="1">
        <v>60000535</v>
      </c>
      <c r="EA233" s="1">
        <v>32767</v>
      </c>
      <c r="EB233" s="1">
        <v>2</v>
      </c>
      <c r="ED233" s="1">
        <v>2879053453</v>
      </c>
      <c r="EE233" s="1">
        <v>16273</v>
      </c>
      <c r="EF233" s="1">
        <v>750000</v>
      </c>
      <c r="EG233" s="1">
        <v>750000</v>
      </c>
      <c r="EH233" s="1">
        <v>343.75</v>
      </c>
      <c r="EI233" s="1">
        <v>1</v>
      </c>
      <c r="EJ233" s="1">
        <v>1</v>
      </c>
      <c r="EK233" s="1">
        <v>90</v>
      </c>
      <c r="EL233" s="1">
        <v>60003760</v>
      </c>
      <c r="EM233" s="1">
        <v>-1</v>
      </c>
      <c r="EN233" s="1">
        <v>0</v>
      </c>
      <c r="JF233"/>
      <c r="JG233"/>
      <c r="JH233"/>
      <c r="JI233"/>
      <c r="JJ233"/>
      <c r="JK233"/>
      <c r="JL233"/>
      <c r="JM233"/>
      <c r="JN233"/>
      <c r="JO233"/>
      <c r="JP233"/>
      <c r="NV233"/>
      <c r="NW233"/>
      <c r="NX233"/>
      <c r="NY233"/>
      <c r="NZ233"/>
      <c r="OA233"/>
      <c r="OB233"/>
      <c r="OC233"/>
      <c r="OD233"/>
      <c r="OE233"/>
      <c r="OF233"/>
      <c r="OH233" s="1">
        <v>2879082746</v>
      </c>
      <c r="OI233" s="1">
        <v>25598</v>
      </c>
      <c r="OJ233" s="1">
        <v>2000</v>
      </c>
      <c r="OK233" s="1">
        <v>1975</v>
      </c>
      <c r="OL233" s="1">
        <v>126004</v>
      </c>
      <c r="OM233" s="1">
        <v>1</v>
      </c>
      <c r="ON233" s="1">
        <v>1</v>
      </c>
      <c r="OO233" s="1">
        <v>90</v>
      </c>
      <c r="OP233" s="1">
        <v>60004210</v>
      </c>
      <c r="OQ233" s="1">
        <v>3</v>
      </c>
      <c r="OR233" s="1">
        <v>0</v>
      </c>
    </row>
    <row r="234" spans="2:408" x14ac:dyDescent="0.25">
      <c r="B234" s="1">
        <v>2493678973</v>
      </c>
      <c r="C234" s="1">
        <v>34</v>
      </c>
      <c r="D234" s="1">
        <v>2147483647</v>
      </c>
      <c r="E234" s="1">
        <v>2147483647</v>
      </c>
      <c r="F234" s="1">
        <v>9.98</v>
      </c>
      <c r="G234" s="1">
        <v>1</v>
      </c>
      <c r="H234" s="1">
        <v>0</v>
      </c>
      <c r="I234" s="1">
        <v>90</v>
      </c>
      <c r="J234" s="1">
        <v>60003760</v>
      </c>
      <c r="K234" s="1">
        <v>32767</v>
      </c>
      <c r="L234" s="1">
        <v>0</v>
      </c>
      <c r="N234" s="1">
        <v>2873937038</v>
      </c>
      <c r="O234" s="1">
        <v>35</v>
      </c>
      <c r="P234" s="1">
        <v>124295</v>
      </c>
      <c r="Q234" s="1">
        <v>124295</v>
      </c>
      <c r="R234" s="1">
        <v>14.9</v>
      </c>
      <c r="S234" s="1">
        <v>1</v>
      </c>
      <c r="T234" s="1">
        <v>0</v>
      </c>
      <c r="U234" s="1">
        <v>90</v>
      </c>
      <c r="V234" s="1">
        <v>60003070</v>
      </c>
      <c r="W234" s="1">
        <v>32767</v>
      </c>
      <c r="X234" s="1">
        <v>7</v>
      </c>
      <c r="Z234" s="1">
        <v>2877823169</v>
      </c>
      <c r="AA234" s="1">
        <v>36</v>
      </c>
      <c r="AB234" s="1">
        <v>9999999</v>
      </c>
      <c r="AC234" s="1">
        <v>9999999</v>
      </c>
      <c r="AD234" s="16">
        <v>49.87</v>
      </c>
      <c r="AE234" s="1">
        <v>1</v>
      </c>
      <c r="AF234" s="1">
        <v>0</v>
      </c>
      <c r="AG234" s="1">
        <v>90</v>
      </c>
      <c r="AH234" s="1">
        <v>60003760</v>
      </c>
      <c r="AI234" s="1">
        <v>32767</v>
      </c>
      <c r="AJ234" s="1">
        <v>11</v>
      </c>
      <c r="AL234" s="1">
        <v>2876685959</v>
      </c>
      <c r="AM234" s="1">
        <v>37</v>
      </c>
      <c r="AN234" s="1">
        <v>500000</v>
      </c>
      <c r="AO234" s="1">
        <v>78497</v>
      </c>
      <c r="AP234" s="16">
        <v>142.02000000000001</v>
      </c>
      <c r="AQ234" s="1">
        <v>1</v>
      </c>
      <c r="AR234" s="1">
        <v>1</v>
      </c>
      <c r="AS234" s="1">
        <v>90</v>
      </c>
      <c r="AT234" s="1">
        <v>60004474</v>
      </c>
      <c r="AU234" s="1">
        <v>0</v>
      </c>
      <c r="AV234" s="1">
        <v>0</v>
      </c>
      <c r="AX234" s="1">
        <v>2878454440</v>
      </c>
      <c r="AY234" s="1">
        <v>38</v>
      </c>
      <c r="AZ234" s="1">
        <v>5000</v>
      </c>
      <c r="BA234" s="1">
        <v>4172</v>
      </c>
      <c r="BB234" s="1">
        <v>800</v>
      </c>
      <c r="BC234" s="1">
        <v>1</v>
      </c>
      <c r="BD234" s="1">
        <v>1</v>
      </c>
      <c r="BE234" s="1">
        <v>7</v>
      </c>
      <c r="BF234" s="1">
        <v>60001645</v>
      </c>
      <c r="BG234" s="1">
        <v>1</v>
      </c>
      <c r="BH234" s="1">
        <v>0</v>
      </c>
      <c r="BJ234"/>
      <c r="BK234"/>
      <c r="BL234"/>
      <c r="BM234"/>
      <c r="BN234"/>
      <c r="BO234"/>
      <c r="BP234"/>
      <c r="BQ234"/>
      <c r="BR234"/>
      <c r="BS234"/>
      <c r="BT234"/>
      <c r="BV234"/>
      <c r="BW234"/>
      <c r="BX234"/>
      <c r="BY234"/>
      <c r="BZ234"/>
      <c r="CA234"/>
      <c r="CB234"/>
      <c r="CC234"/>
      <c r="CD234"/>
      <c r="CE234"/>
      <c r="CF234"/>
      <c r="CH234" s="1">
        <v>2375051715</v>
      </c>
      <c r="CI234" s="1">
        <v>29668</v>
      </c>
      <c r="CJ234" s="1">
        <v>2</v>
      </c>
      <c r="CK234" s="1">
        <v>2</v>
      </c>
      <c r="CL234" s="1">
        <v>1000</v>
      </c>
      <c r="CM234" s="1">
        <v>1</v>
      </c>
      <c r="CN234" s="1">
        <v>1</v>
      </c>
      <c r="CO234" s="1">
        <v>90</v>
      </c>
      <c r="CP234" s="1">
        <v>60003760</v>
      </c>
      <c r="CQ234" s="1">
        <v>32767</v>
      </c>
      <c r="CR234" s="1">
        <v>0</v>
      </c>
      <c r="DR234" s="1">
        <v>2854217171</v>
      </c>
      <c r="DS234" s="1">
        <v>17888</v>
      </c>
      <c r="DT234" s="1">
        <v>1836782</v>
      </c>
      <c r="DU234" s="1">
        <v>1836782</v>
      </c>
      <c r="DV234" s="1">
        <v>400</v>
      </c>
      <c r="DW234" s="1">
        <v>1</v>
      </c>
      <c r="DX234" s="1">
        <v>0</v>
      </c>
      <c r="DY234" s="1">
        <v>90</v>
      </c>
      <c r="DZ234" s="1">
        <v>60012667</v>
      </c>
      <c r="EA234" s="1">
        <v>32767</v>
      </c>
      <c r="EB234" s="1">
        <v>2</v>
      </c>
      <c r="ED234" s="1">
        <v>2879125723</v>
      </c>
      <c r="EE234" s="1">
        <v>16273</v>
      </c>
      <c r="EF234" s="1">
        <v>100000</v>
      </c>
      <c r="EG234" s="1">
        <v>100000</v>
      </c>
      <c r="EH234" s="1">
        <v>343.76</v>
      </c>
      <c r="EI234" s="1">
        <v>1</v>
      </c>
      <c r="EJ234" s="1">
        <v>1</v>
      </c>
      <c r="EK234" s="1">
        <v>90</v>
      </c>
      <c r="EL234" s="1">
        <v>60003760</v>
      </c>
      <c r="EM234" s="1">
        <v>-1</v>
      </c>
      <c r="EN234" s="1">
        <v>0</v>
      </c>
      <c r="JF234"/>
      <c r="JG234"/>
      <c r="JH234"/>
      <c r="JI234"/>
      <c r="JJ234"/>
      <c r="JK234"/>
      <c r="JL234"/>
      <c r="JM234"/>
      <c r="JN234"/>
      <c r="JO234"/>
      <c r="JP234"/>
      <c r="NV234"/>
      <c r="NW234"/>
      <c r="NX234"/>
      <c r="NY234"/>
      <c r="NZ234"/>
      <c r="OA234"/>
      <c r="OB234"/>
      <c r="OC234"/>
      <c r="OD234"/>
      <c r="OE234"/>
      <c r="OF234"/>
      <c r="OH234" s="1">
        <v>2877258916</v>
      </c>
      <c r="OI234" s="1">
        <v>25598</v>
      </c>
      <c r="OJ234" s="1">
        <v>15000</v>
      </c>
      <c r="OK234" s="1">
        <v>1222</v>
      </c>
      <c r="OL234" s="1">
        <v>133319.16</v>
      </c>
      <c r="OM234" s="1">
        <v>1</v>
      </c>
      <c r="ON234" s="1">
        <v>1</v>
      </c>
      <c r="OO234" s="1">
        <v>30</v>
      </c>
      <c r="OP234" s="1">
        <v>60003760</v>
      </c>
      <c r="OQ234" s="1">
        <v>-1</v>
      </c>
      <c r="OR234" s="1">
        <v>0</v>
      </c>
    </row>
    <row r="235" spans="2:408" x14ac:dyDescent="0.25">
      <c r="B235" s="1">
        <v>2523749392</v>
      </c>
      <c r="C235" s="1">
        <v>34</v>
      </c>
      <c r="D235" s="1">
        <v>452619593</v>
      </c>
      <c r="E235" s="1">
        <v>452619593</v>
      </c>
      <c r="F235" s="1">
        <v>8.4600000000000009</v>
      </c>
      <c r="G235" s="1">
        <v>1</v>
      </c>
      <c r="H235" s="1">
        <v>0</v>
      </c>
      <c r="I235" s="1">
        <v>90</v>
      </c>
      <c r="J235" s="1">
        <v>60003760</v>
      </c>
      <c r="K235" s="1">
        <v>32767</v>
      </c>
      <c r="L235" s="1">
        <v>0</v>
      </c>
      <c r="N235" s="1">
        <v>2871855813</v>
      </c>
      <c r="O235" s="1">
        <v>35</v>
      </c>
      <c r="P235" s="1">
        <v>6347678</v>
      </c>
      <c r="Q235" s="1">
        <v>6347678</v>
      </c>
      <c r="R235" s="1">
        <v>15</v>
      </c>
      <c r="S235" s="1">
        <v>1</v>
      </c>
      <c r="T235" s="1">
        <v>0</v>
      </c>
      <c r="U235" s="1">
        <v>90</v>
      </c>
      <c r="V235" s="1">
        <v>60004444</v>
      </c>
      <c r="W235" s="1">
        <v>32767</v>
      </c>
      <c r="X235" s="1">
        <v>7</v>
      </c>
      <c r="Z235" s="1">
        <v>2877826020</v>
      </c>
      <c r="AA235" s="1">
        <v>36</v>
      </c>
      <c r="AB235" s="1">
        <v>3304757</v>
      </c>
      <c r="AC235" s="1">
        <v>1576002</v>
      </c>
      <c r="AD235" s="16">
        <v>49.96</v>
      </c>
      <c r="AE235" s="1">
        <v>1</v>
      </c>
      <c r="AF235" s="1">
        <v>0</v>
      </c>
      <c r="AG235" s="1">
        <v>90</v>
      </c>
      <c r="AH235" s="1">
        <v>60003760</v>
      </c>
      <c r="AI235" s="1">
        <v>32767</v>
      </c>
      <c r="AJ235" s="1">
        <v>11</v>
      </c>
      <c r="AL235" s="1">
        <v>2873299760</v>
      </c>
      <c r="AM235" s="1">
        <v>37</v>
      </c>
      <c r="AN235" s="1">
        <v>100000</v>
      </c>
      <c r="AO235" s="1">
        <v>98085</v>
      </c>
      <c r="AP235" s="16">
        <v>142</v>
      </c>
      <c r="AQ235" s="1">
        <v>1</v>
      </c>
      <c r="AR235" s="1">
        <v>1</v>
      </c>
      <c r="AS235" s="1">
        <v>90</v>
      </c>
      <c r="AT235" s="1">
        <v>60010816</v>
      </c>
      <c r="AU235" s="1">
        <v>0</v>
      </c>
      <c r="AV235" s="1">
        <v>0</v>
      </c>
      <c r="AX235" s="1">
        <v>2863241915</v>
      </c>
      <c r="AY235" s="1">
        <v>38</v>
      </c>
      <c r="AZ235" s="1">
        <v>410000</v>
      </c>
      <c r="BA235" s="1">
        <v>270682</v>
      </c>
      <c r="BB235" s="1">
        <v>770.37</v>
      </c>
      <c r="BC235" s="1">
        <v>1</v>
      </c>
      <c r="BD235" s="1">
        <v>1</v>
      </c>
      <c r="BE235" s="1">
        <v>90</v>
      </c>
      <c r="BF235" s="1">
        <v>60012667</v>
      </c>
      <c r="BG235" s="1">
        <v>0</v>
      </c>
      <c r="BH235" s="1">
        <v>0</v>
      </c>
      <c r="BJ235"/>
      <c r="BK235"/>
      <c r="BL235"/>
      <c r="BM235"/>
      <c r="BN235"/>
      <c r="BO235"/>
      <c r="BP235"/>
      <c r="BQ235"/>
      <c r="BR235"/>
      <c r="BS235"/>
      <c r="BT235"/>
      <c r="BV235"/>
      <c r="BW235"/>
      <c r="BX235"/>
      <c r="BY235"/>
      <c r="BZ235"/>
      <c r="CA235"/>
      <c r="CB235"/>
      <c r="CC235"/>
      <c r="CD235"/>
      <c r="CE235"/>
      <c r="CF235"/>
      <c r="CH235" s="1">
        <v>2375060360</v>
      </c>
      <c r="CI235" s="1">
        <v>29668</v>
      </c>
      <c r="CJ235" s="1">
        <v>1</v>
      </c>
      <c r="CK235" s="1">
        <v>1</v>
      </c>
      <c r="CL235" s="1">
        <v>412105119</v>
      </c>
      <c r="CM235" s="1">
        <v>1</v>
      </c>
      <c r="CN235" s="1">
        <v>1</v>
      </c>
      <c r="CO235" s="1">
        <v>90</v>
      </c>
      <c r="CP235" s="1">
        <v>60003760</v>
      </c>
      <c r="CQ235" s="1">
        <v>32767</v>
      </c>
      <c r="CR235" s="1">
        <v>0</v>
      </c>
      <c r="DR235" s="1">
        <v>2865126318</v>
      </c>
      <c r="DS235" s="1">
        <v>17888</v>
      </c>
      <c r="DT235" s="1">
        <v>52950</v>
      </c>
      <c r="DU235" s="1">
        <v>52950</v>
      </c>
      <c r="DV235" s="1">
        <v>340</v>
      </c>
      <c r="DW235" s="1">
        <v>1</v>
      </c>
      <c r="DX235" s="1">
        <v>0</v>
      </c>
      <c r="DY235" s="1">
        <v>90</v>
      </c>
      <c r="DZ235" s="1">
        <v>60003073</v>
      </c>
      <c r="EA235" s="1">
        <v>32767</v>
      </c>
      <c r="EB235" s="1">
        <v>2</v>
      </c>
      <c r="ED235" s="1">
        <v>2879106669</v>
      </c>
      <c r="EE235" s="1">
        <v>16273</v>
      </c>
      <c r="EF235" s="1">
        <v>155123</v>
      </c>
      <c r="EG235" s="1">
        <v>155123</v>
      </c>
      <c r="EH235" s="1">
        <v>343.8</v>
      </c>
      <c r="EI235" s="1">
        <v>1</v>
      </c>
      <c r="EJ235" s="1">
        <v>1</v>
      </c>
      <c r="EK235" s="1">
        <v>7</v>
      </c>
      <c r="EL235" s="1">
        <v>60003760</v>
      </c>
      <c r="EM235" s="1">
        <v>-1</v>
      </c>
      <c r="EN235" s="1">
        <v>0</v>
      </c>
      <c r="JF235"/>
      <c r="JG235"/>
      <c r="JH235"/>
      <c r="JI235"/>
      <c r="JJ235"/>
      <c r="JK235"/>
      <c r="JL235"/>
      <c r="JM235"/>
      <c r="JN235"/>
      <c r="JO235"/>
      <c r="JP235"/>
      <c r="NV235"/>
      <c r="NW235"/>
      <c r="NX235"/>
      <c r="NY235"/>
      <c r="NZ235"/>
      <c r="OA235"/>
      <c r="OB235"/>
      <c r="OC235"/>
      <c r="OD235"/>
      <c r="OE235"/>
      <c r="OF235"/>
      <c r="OH235" s="1">
        <v>2879087829</v>
      </c>
      <c r="OI235" s="1">
        <v>25598</v>
      </c>
      <c r="OJ235" s="1">
        <v>8000</v>
      </c>
      <c r="OK235" s="1">
        <v>8000</v>
      </c>
      <c r="OL235" s="1">
        <v>133319.16</v>
      </c>
      <c r="OM235" s="1">
        <v>1</v>
      </c>
      <c r="ON235" s="1">
        <v>1</v>
      </c>
      <c r="OO235" s="1">
        <v>30</v>
      </c>
      <c r="OP235" s="1">
        <v>60003760</v>
      </c>
      <c r="OQ235" s="1">
        <v>-1</v>
      </c>
      <c r="OR235" s="1">
        <v>0</v>
      </c>
    </row>
    <row r="236" spans="2:408" x14ac:dyDescent="0.25">
      <c r="B236" s="1">
        <v>2621284040</v>
      </c>
      <c r="C236" s="1">
        <v>34</v>
      </c>
      <c r="D236" s="1">
        <v>66245134</v>
      </c>
      <c r="E236" s="1">
        <v>66245134</v>
      </c>
      <c r="F236" s="1">
        <v>7.47</v>
      </c>
      <c r="G236" s="1">
        <v>1</v>
      </c>
      <c r="H236" s="1">
        <v>0</v>
      </c>
      <c r="I236" s="1">
        <v>90</v>
      </c>
      <c r="J236" s="1">
        <v>60003760</v>
      </c>
      <c r="K236" s="1">
        <v>32767</v>
      </c>
      <c r="L236" s="1">
        <v>0</v>
      </c>
      <c r="N236" s="1">
        <v>2869892016</v>
      </c>
      <c r="O236" s="1">
        <v>35</v>
      </c>
      <c r="P236" s="1">
        <v>813112</v>
      </c>
      <c r="Q236" s="1">
        <v>813112</v>
      </c>
      <c r="R236" s="1">
        <v>15</v>
      </c>
      <c r="S236" s="1">
        <v>1</v>
      </c>
      <c r="T236" s="1">
        <v>0</v>
      </c>
      <c r="U236" s="1">
        <v>7</v>
      </c>
      <c r="V236" s="1">
        <v>60000520</v>
      </c>
      <c r="W236" s="1">
        <v>32767</v>
      </c>
      <c r="X236" s="1">
        <v>8</v>
      </c>
      <c r="Z236" s="1">
        <v>2877826845</v>
      </c>
      <c r="AA236" s="1">
        <v>36</v>
      </c>
      <c r="AB236" s="1">
        <v>3634025</v>
      </c>
      <c r="AC236" s="1">
        <v>3634025</v>
      </c>
      <c r="AD236" s="16">
        <v>50.33</v>
      </c>
      <c r="AE236" s="1">
        <v>1</v>
      </c>
      <c r="AF236" s="1">
        <v>0</v>
      </c>
      <c r="AG236" s="1">
        <v>90</v>
      </c>
      <c r="AH236" s="1">
        <v>60003760</v>
      </c>
      <c r="AI236" s="1">
        <v>32767</v>
      </c>
      <c r="AJ236" s="1">
        <v>11</v>
      </c>
      <c r="AL236" s="1">
        <v>2868236002</v>
      </c>
      <c r="AM236" s="1">
        <v>37</v>
      </c>
      <c r="AN236" s="1">
        <v>200000</v>
      </c>
      <c r="AO236" s="1">
        <v>9820</v>
      </c>
      <c r="AP236" s="16">
        <v>137.01</v>
      </c>
      <c r="AQ236" s="1">
        <v>1</v>
      </c>
      <c r="AR236" s="1">
        <v>1</v>
      </c>
      <c r="AS236" s="1">
        <v>90</v>
      </c>
      <c r="AT236" s="1">
        <v>60015027</v>
      </c>
      <c r="AU236" s="1">
        <v>-1</v>
      </c>
      <c r="AV236" s="1">
        <v>0</v>
      </c>
      <c r="AX236" s="1">
        <v>2878531189</v>
      </c>
      <c r="AY236" s="1">
        <v>38</v>
      </c>
      <c r="AZ236" s="1">
        <v>1000000</v>
      </c>
      <c r="BA236" s="1">
        <v>1000000</v>
      </c>
      <c r="BB236" s="1">
        <v>744.59</v>
      </c>
      <c r="BC236" s="1">
        <v>1</v>
      </c>
      <c r="BD236" s="1">
        <v>1</v>
      </c>
      <c r="BE236" s="1">
        <v>90</v>
      </c>
      <c r="BF236" s="1">
        <v>60002806</v>
      </c>
      <c r="BG236" s="1">
        <v>0</v>
      </c>
      <c r="BH236" s="1">
        <v>0</v>
      </c>
      <c r="BJ236"/>
      <c r="BK236"/>
      <c r="BL236"/>
      <c r="BM236"/>
      <c r="BN236"/>
      <c r="BO236"/>
      <c r="BP236"/>
      <c r="BQ236"/>
      <c r="BR236"/>
      <c r="BS236"/>
      <c r="BT236"/>
      <c r="BV236"/>
      <c r="BW236"/>
      <c r="BX236"/>
      <c r="BY236"/>
      <c r="BZ236"/>
      <c r="CA236"/>
      <c r="CB236"/>
      <c r="CC236"/>
      <c r="CD236"/>
      <c r="CE236"/>
      <c r="CF236"/>
      <c r="CH236" s="1">
        <v>2373545186</v>
      </c>
      <c r="CI236" s="1">
        <v>29668</v>
      </c>
      <c r="CJ236" s="1">
        <v>5</v>
      </c>
      <c r="CK236" s="1">
        <v>5</v>
      </c>
      <c r="CL236" s="1">
        <v>10000</v>
      </c>
      <c r="CM236" s="1">
        <v>1</v>
      </c>
      <c r="CN236" s="1">
        <v>1</v>
      </c>
      <c r="CO236" s="1">
        <v>90</v>
      </c>
      <c r="CP236" s="1">
        <v>60003760</v>
      </c>
      <c r="CQ236" s="1">
        <v>32767</v>
      </c>
      <c r="CR236" s="1">
        <v>0</v>
      </c>
      <c r="DR236" s="1">
        <v>2873332496</v>
      </c>
      <c r="DS236" s="1">
        <v>17888</v>
      </c>
      <c r="DT236" s="1">
        <v>149055</v>
      </c>
      <c r="DU236" s="1">
        <v>149055</v>
      </c>
      <c r="DV236" s="1">
        <v>340</v>
      </c>
      <c r="DW236" s="1">
        <v>1</v>
      </c>
      <c r="DX236" s="1">
        <v>0</v>
      </c>
      <c r="DY236" s="1">
        <v>7</v>
      </c>
      <c r="DZ236" s="1">
        <v>60012667</v>
      </c>
      <c r="EA236" s="1">
        <v>32767</v>
      </c>
      <c r="EB236" s="1">
        <v>2</v>
      </c>
      <c r="ED236" s="1">
        <v>2878553449</v>
      </c>
      <c r="EE236" s="1">
        <v>16273</v>
      </c>
      <c r="EF236" s="1">
        <v>3000000</v>
      </c>
      <c r="EG236" s="1">
        <v>325500</v>
      </c>
      <c r="EH236" s="1">
        <v>343.81</v>
      </c>
      <c r="EI236" s="1">
        <v>1</v>
      </c>
      <c r="EJ236" s="1">
        <v>1</v>
      </c>
      <c r="EK236" s="1">
        <v>7</v>
      </c>
      <c r="EL236" s="1">
        <v>60003760</v>
      </c>
      <c r="EM236" s="1">
        <v>-1</v>
      </c>
      <c r="EN236" s="1">
        <v>0</v>
      </c>
      <c r="JF236"/>
      <c r="JG236"/>
      <c r="JH236"/>
      <c r="JI236"/>
      <c r="JJ236"/>
      <c r="JK236"/>
      <c r="JL236"/>
      <c r="JM236"/>
      <c r="JN236"/>
      <c r="JO236"/>
      <c r="JP236"/>
      <c r="NV236"/>
      <c r="NW236"/>
      <c r="NX236"/>
      <c r="NY236"/>
      <c r="NZ236"/>
      <c r="OA236"/>
      <c r="OB236"/>
      <c r="OC236"/>
      <c r="OD236"/>
      <c r="OE236"/>
      <c r="OF236"/>
      <c r="OH236" s="1">
        <v>2879086122</v>
      </c>
      <c r="OI236" s="1">
        <v>25598</v>
      </c>
      <c r="OJ236" s="1">
        <v>4000</v>
      </c>
      <c r="OK236" s="1">
        <v>3261</v>
      </c>
      <c r="OL236" s="1">
        <v>133319.29999999999</v>
      </c>
      <c r="OM236" s="1">
        <v>1</v>
      </c>
      <c r="ON236" s="1">
        <v>1</v>
      </c>
      <c r="OO236" s="1">
        <v>90</v>
      </c>
      <c r="OP236" s="1">
        <v>60003760</v>
      </c>
      <c r="OQ236" s="1">
        <v>-1</v>
      </c>
      <c r="OR236" s="1">
        <v>0</v>
      </c>
    </row>
    <row r="237" spans="2:408" x14ac:dyDescent="0.25">
      <c r="B237" s="1">
        <v>2622809915</v>
      </c>
      <c r="C237" s="1">
        <v>34</v>
      </c>
      <c r="D237" s="1">
        <v>154553255</v>
      </c>
      <c r="E237" s="1">
        <v>89277480</v>
      </c>
      <c r="F237" s="1">
        <v>7.17</v>
      </c>
      <c r="G237" s="1">
        <v>1</v>
      </c>
      <c r="H237" s="1">
        <v>0</v>
      </c>
      <c r="I237" s="1">
        <v>90</v>
      </c>
      <c r="J237" s="1">
        <v>60003760</v>
      </c>
      <c r="K237" s="1">
        <v>32767</v>
      </c>
      <c r="L237" s="1">
        <v>0</v>
      </c>
      <c r="N237" s="1">
        <v>2857632696</v>
      </c>
      <c r="O237" s="1">
        <v>35</v>
      </c>
      <c r="P237" s="1">
        <v>5144</v>
      </c>
      <c r="Q237" s="1">
        <v>5144</v>
      </c>
      <c r="R237" s="1">
        <v>15.24</v>
      </c>
      <c r="S237" s="1">
        <v>1</v>
      </c>
      <c r="T237" s="1">
        <v>0</v>
      </c>
      <c r="U237" s="1">
        <v>30</v>
      </c>
      <c r="V237" s="1">
        <v>60012673</v>
      </c>
      <c r="W237" s="1">
        <v>32767</v>
      </c>
      <c r="X237" s="1">
        <v>8</v>
      </c>
      <c r="Z237" s="1">
        <v>2877803125</v>
      </c>
      <c r="AA237" s="1">
        <v>36</v>
      </c>
      <c r="AB237" s="1">
        <v>1578996</v>
      </c>
      <c r="AC237" s="1">
        <v>1578996</v>
      </c>
      <c r="AD237" s="16">
        <v>50.1</v>
      </c>
      <c r="AE237" s="1">
        <v>1</v>
      </c>
      <c r="AF237" s="1">
        <v>0</v>
      </c>
      <c r="AG237" s="1">
        <v>14</v>
      </c>
      <c r="AH237" s="1">
        <v>60003760</v>
      </c>
      <c r="AI237" s="1">
        <v>32767</v>
      </c>
      <c r="AJ237" s="1">
        <v>11</v>
      </c>
      <c r="AL237" s="1">
        <v>2877158606</v>
      </c>
      <c r="AM237" s="1">
        <v>37</v>
      </c>
      <c r="AN237" s="1">
        <v>10000</v>
      </c>
      <c r="AO237" s="1">
        <v>636</v>
      </c>
      <c r="AP237" s="16">
        <v>136</v>
      </c>
      <c r="AQ237" s="1">
        <v>1</v>
      </c>
      <c r="AR237" s="1">
        <v>1</v>
      </c>
      <c r="AS237" s="1">
        <v>90</v>
      </c>
      <c r="AT237" s="1">
        <v>60015027</v>
      </c>
      <c r="AU237" s="1">
        <v>-1</v>
      </c>
      <c r="AV237" s="1">
        <v>0</v>
      </c>
      <c r="AX237" s="1">
        <v>2877351043</v>
      </c>
      <c r="AY237" s="1">
        <v>38</v>
      </c>
      <c r="AZ237" s="1">
        <v>37000</v>
      </c>
      <c r="BA237" s="1">
        <v>28093</v>
      </c>
      <c r="BB237" s="1">
        <v>750</v>
      </c>
      <c r="BC237" s="1">
        <v>1</v>
      </c>
      <c r="BD237" s="1">
        <v>1</v>
      </c>
      <c r="BE237" s="1">
        <v>90</v>
      </c>
      <c r="BF237" s="1">
        <v>60004369</v>
      </c>
      <c r="BG237" s="1">
        <v>0</v>
      </c>
      <c r="BH237" s="1">
        <v>0</v>
      </c>
      <c r="BJ237"/>
      <c r="BK237"/>
      <c r="BL237"/>
      <c r="BM237"/>
      <c r="BN237"/>
      <c r="BO237"/>
      <c r="BP237"/>
      <c r="BQ237"/>
      <c r="BR237"/>
      <c r="BS237"/>
      <c r="BT237"/>
      <c r="BV237"/>
      <c r="BW237"/>
      <c r="BX237"/>
      <c r="BY237"/>
      <c r="BZ237"/>
      <c r="CA237"/>
      <c r="CB237"/>
      <c r="CC237"/>
      <c r="CD237"/>
      <c r="CE237"/>
      <c r="CF237"/>
      <c r="CH237" s="1">
        <v>2373174794</v>
      </c>
      <c r="CI237" s="1">
        <v>29668</v>
      </c>
      <c r="CJ237" s="1">
        <v>1</v>
      </c>
      <c r="CK237" s="1">
        <v>1</v>
      </c>
      <c r="CL237" s="1">
        <v>430011000</v>
      </c>
      <c r="CM237" s="1">
        <v>1</v>
      </c>
      <c r="CN237" s="1">
        <v>1</v>
      </c>
      <c r="CO237" s="1">
        <v>90</v>
      </c>
      <c r="CP237" s="1">
        <v>60003760</v>
      </c>
      <c r="CQ237" s="1">
        <v>-1</v>
      </c>
      <c r="CR237" s="1">
        <v>0</v>
      </c>
      <c r="DR237" s="1">
        <v>2877017979</v>
      </c>
      <c r="DS237" s="1">
        <v>17888</v>
      </c>
      <c r="DT237" s="1">
        <v>310971</v>
      </c>
      <c r="DU237" s="1">
        <v>7287</v>
      </c>
      <c r="DV237" s="1">
        <v>335</v>
      </c>
      <c r="DW237" s="1">
        <v>1</v>
      </c>
      <c r="DX237" s="1">
        <v>0</v>
      </c>
      <c r="DY237" s="1">
        <v>7</v>
      </c>
      <c r="DZ237" s="1">
        <v>60000535</v>
      </c>
      <c r="EA237" s="1">
        <v>32767</v>
      </c>
      <c r="EB237" s="1">
        <v>2</v>
      </c>
      <c r="ED237" s="1">
        <v>2879142681</v>
      </c>
      <c r="EE237" s="1">
        <v>16273</v>
      </c>
      <c r="EF237" s="1">
        <v>3000000</v>
      </c>
      <c r="EG237" s="1">
        <v>3000000</v>
      </c>
      <c r="EH237" s="1">
        <v>330.05</v>
      </c>
      <c r="EI237" s="1">
        <v>1</v>
      </c>
      <c r="EJ237" s="1">
        <v>1</v>
      </c>
      <c r="EK237" s="1">
        <v>7</v>
      </c>
      <c r="EL237" s="1">
        <v>60003760</v>
      </c>
      <c r="EM237" s="1">
        <v>-1</v>
      </c>
      <c r="EN237" s="1">
        <v>0</v>
      </c>
      <c r="JF237"/>
      <c r="JG237"/>
      <c r="JH237"/>
      <c r="JI237"/>
      <c r="JJ237"/>
      <c r="JK237"/>
      <c r="JL237"/>
      <c r="JM237"/>
      <c r="JN237"/>
      <c r="JO237"/>
      <c r="JP237"/>
      <c r="NV237"/>
      <c r="NW237"/>
      <c r="NX237"/>
      <c r="NY237"/>
      <c r="NZ237"/>
      <c r="OA237"/>
      <c r="OB237"/>
      <c r="OC237"/>
      <c r="OD237"/>
      <c r="OE237"/>
      <c r="OF237"/>
      <c r="OH237" s="1">
        <v>2879111401</v>
      </c>
      <c r="OI237" s="1">
        <v>25598</v>
      </c>
      <c r="OJ237" s="1">
        <v>3000</v>
      </c>
      <c r="OK237" s="1">
        <v>2755</v>
      </c>
      <c r="OL237" s="1">
        <v>133319.31</v>
      </c>
      <c r="OM237" s="1">
        <v>1</v>
      </c>
      <c r="ON237" s="1">
        <v>1</v>
      </c>
      <c r="OO237" s="1">
        <v>30</v>
      </c>
      <c r="OP237" s="1">
        <v>60003760</v>
      </c>
      <c r="OQ237" s="1">
        <v>-1</v>
      </c>
      <c r="OR237" s="1">
        <v>0</v>
      </c>
    </row>
    <row r="238" spans="2:408" x14ac:dyDescent="0.25">
      <c r="B238" s="1">
        <v>2651482394</v>
      </c>
      <c r="C238" s="1">
        <v>34</v>
      </c>
      <c r="D238" s="1">
        <v>1025545665</v>
      </c>
      <c r="E238" s="1">
        <v>402435713</v>
      </c>
      <c r="F238" s="1">
        <v>6.78</v>
      </c>
      <c r="G238" s="1">
        <v>1</v>
      </c>
      <c r="H238" s="1">
        <v>0</v>
      </c>
      <c r="I238" s="1">
        <v>90</v>
      </c>
      <c r="J238" s="1">
        <v>60003760</v>
      </c>
      <c r="K238" s="1">
        <v>32767</v>
      </c>
      <c r="L238" s="1">
        <v>0</v>
      </c>
      <c r="N238" s="1">
        <v>2873928549</v>
      </c>
      <c r="O238" s="1">
        <v>35</v>
      </c>
      <c r="P238" s="1">
        <v>11700873</v>
      </c>
      <c r="Q238" s="1">
        <v>719636</v>
      </c>
      <c r="R238" s="1">
        <v>14.54</v>
      </c>
      <c r="S238" s="1">
        <v>1</v>
      </c>
      <c r="T238" s="1">
        <v>0</v>
      </c>
      <c r="U238" s="1">
        <v>90</v>
      </c>
      <c r="V238" s="1">
        <v>60012670</v>
      </c>
      <c r="W238" s="1">
        <v>32767</v>
      </c>
      <c r="X238" s="1">
        <v>8</v>
      </c>
      <c r="Z238" s="1">
        <v>2877805595</v>
      </c>
      <c r="AA238" s="1">
        <v>36</v>
      </c>
      <c r="AB238" s="1">
        <v>25000000</v>
      </c>
      <c r="AC238" s="1">
        <v>24236740</v>
      </c>
      <c r="AD238" s="16">
        <v>50.08</v>
      </c>
      <c r="AE238" s="1">
        <v>1</v>
      </c>
      <c r="AF238" s="1">
        <v>0</v>
      </c>
      <c r="AG238" s="1">
        <v>90</v>
      </c>
      <c r="AH238" s="1">
        <v>60003760</v>
      </c>
      <c r="AI238" s="1">
        <v>32767</v>
      </c>
      <c r="AJ238" s="1">
        <v>11</v>
      </c>
      <c r="AL238" s="1">
        <v>2878079068</v>
      </c>
      <c r="AM238" s="1">
        <v>37</v>
      </c>
      <c r="AN238" s="1">
        <v>1000000</v>
      </c>
      <c r="AO238" s="1">
        <v>999994</v>
      </c>
      <c r="AP238" s="16">
        <v>144</v>
      </c>
      <c r="AQ238" s="1">
        <v>1</v>
      </c>
      <c r="AR238" s="1">
        <v>1</v>
      </c>
      <c r="AS238" s="1">
        <v>14</v>
      </c>
      <c r="AT238" s="1">
        <v>60004474</v>
      </c>
      <c r="AU238" s="1">
        <v>0</v>
      </c>
      <c r="AV238" s="1">
        <v>0</v>
      </c>
      <c r="AX238" s="1">
        <v>2869933450</v>
      </c>
      <c r="AY238" s="1">
        <v>38</v>
      </c>
      <c r="AZ238" s="1">
        <v>100000</v>
      </c>
      <c r="BA238" s="1">
        <v>12838</v>
      </c>
      <c r="BB238" s="1">
        <v>744.58</v>
      </c>
      <c r="BC238" s="1">
        <v>1</v>
      </c>
      <c r="BD238" s="1">
        <v>1</v>
      </c>
      <c r="BE238" s="1">
        <v>90</v>
      </c>
      <c r="BF238" s="1">
        <v>60015026</v>
      </c>
      <c r="BG238" s="1">
        <v>3</v>
      </c>
      <c r="BH238" s="1">
        <v>0</v>
      </c>
      <c r="BJ238"/>
      <c r="BK238"/>
      <c r="BL238"/>
      <c r="BM238"/>
      <c r="BN238"/>
      <c r="BO238"/>
      <c r="BP238"/>
      <c r="BQ238"/>
      <c r="BR238"/>
      <c r="BS238"/>
      <c r="BT238"/>
      <c r="BV238"/>
      <c r="BW238"/>
      <c r="BX238"/>
      <c r="BY238"/>
      <c r="BZ238"/>
      <c r="CA238"/>
      <c r="CB238"/>
      <c r="CC238"/>
      <c r="CD238"/>
      <c r="CE238"/>
      <c r="CF238"/>
      <c r="CH238" s="1">
        <v>2372680143</v>
      </c>
      <c r="CI238" s="1">
        <v>29668</v>
      </c>
      <c r="CJ238" s="1">
        <v>1</v>
      </c>
      <c r="CK238" s="1">
        <v>1</v>
      </c>
      <c r="CL238" s="1">
        <v>411111111</v>
      </c>
      <c r="CM238" s="1">
        <v>1</v>
      </c>
      <c r="CN238" s="1">
        <v>1</v>
      </c>
      <c r="CO238" s="1">
        <v>90</v>
      </c>
      <c r="CP238" s="1">
        <v>60003760</v>
      </c>
      <c r="CQ238" s="1">
        <v>32767</v>
      </c>
      <c r="CR238" s="1">
        <v>0</v>
      </c>
      <c r="DR238" s="1">
        <v>2877529269</v>
      </c>
      <c r="DS238" s="1">
        <v>17888</v>
      </c>
      <c r="DT238" s="1">
        <v>99465</v>
      </c>
      <c r="DU238" s="1">
        <v>99465</v>
      </c>
      <c r="DV238" s="1">
        <v>400</v>
      </c>
      <c r="DW238" s="1">
        <v>1</v>
      </c>
      <c r="DX238" s="1">
        <v>0</v>
      </c>
      <c r="DY238" s="1">
        <v>7</v>
      </c>
      <c r="DZ238" s="1">
        <v>60012667</v>
      </c>
      <c r="EA238" s="1">
        <v>32767</v>
      </c>
      <c r="EB238" s="1">
        <v>2</v>
      </c>
      <c r="ED238" s="1">
        <v>2879111980</v>
      </c>
      <c r="EE238" s="1">
        <v>16273</v>
      </c>
      <c r="EF238" s="1">
        <v>350000</v>
      </c>
      <c r="EG238" s="1">
        <v>350000</v>
      </c>
      <c r="EH238" s="1">
        <v>343.82</v>
      </c>
      <c r="EI238" s="1">
        <v>1</v>
      </c>
      <c r="EJ238" s="1">
        <v>1</v>
      </c>
      <c r="EK238" s="1">
        <v>14</v>
      </c>
      <c r="EL238" s="1">
        <v>60003760</v>
      </c>
      <c r="EM238" s="1">
        <v>-1</v>
      </c>
      <c r="EN238" s="1">
        <v>0</v>
      </c>
      <c r="JF238"/>
      <c r="JG238"/>
      <c r="JH238"/>
      <c r="JI238"/>
      <c r="JJ238"/>
      <c r="JK238"/>
      <c r="JL238"/>
      <c r="JM238"/>
      <c r="JN238"/>
      <c r="JO238"/>
      <c r="JP238"/>
      <c r="NV238"/>
      <c r="NW238"/>
      <c r="NX238"/>
      <c r="NY238"/>
      <c r="NZ238"/>
      <c r="OA238"/>
      <c r="OB238"/>
      <c r="OC238"/>
      <c r="OD238"/>
      <c r="OE238"/>
      <c r="OF238"/>
      <c r="OH238" s="1">
        <v>2878684390</v>
      </c>
      <c r="OI238" s="1">
        <v>25598</v>
      </c>
      <c r="OJ238" s="1">
        <v>16250</v>
      </c>
      <c r="OK238" s="1">
        <v>4771</v>
      </c>
      <c r="OL238" s="1">
        <v>133319.34</v>
      </c>
      <c r="OM238" s="1">
        <v>1</v>
      </c>
      <c r="ON238" s="1">
        <v>1</v>
      </c>
      <c r="OO238" s="1">
        <v>90</v>
      </c>
      <c r="OP238" s="1">
        <v>60003760</v>
      </c>
      <c r="OQ238" s="1">
        <v>-1</v>
      </c>
      <c r="OR238" s="1">
        <v>0</v>
      </c>
    </row>
    <row r="239" spans="2:408" x14ac:dyDescent="0.25">
      <c r="B239" s="1">
        <v>2624412327</v>
      </c>
      <c r="C239" s="1">
        <v>34</v>
      </c>
      <c r="D239" s="1">
        <v>94200000</v>
      </c>
      <c r="E239" s="1">
        <v>94200000</v>
      </c>
      <c r="F239" s="1">
        <v>7.16</v>
      </c>
      <c r="G239" s="1">
        <v>1</v>
      </c>
      <c r="H239" s="1">
        <v>0</v>
      </c>
      <c r="I239" s="1">
        <v>90</v>
      </c>
      <c r="J239" s="1">
        <v>60003760</v>
      </c>
      <c r="K239" s="1">
        <v>32767</v>
      </c>
      <c r="L239" s="1">
        <v>0</v>
      </c>
      <c r="N239" s="1">
        <v>2871854207</v>
      </c>
      <c r="O239" s="1">
        <v>35</v>
      </c>
      <c r="P239" s="1">
        <v>1644257</v>
      </c>
      <c r="Q239" s="1">
        <v>1644005</v>
      </c>
      <c r="R239" s="1">
        <v>15</v>
      </c>
      <c r="S239" s="1">
        <v>1</v>
      </c>
      <c r="T239" s="1">
        <v>0</v>
      </c>
      <c r="U239" s="1">
        <v>90</v>
      </c>
      <c r="V239" s="1">
        <v>60012673</v>
      </c>
      <c r="W239" s="1">
        <v>32767</v>
      </c>
      <c r="X239" s="1">
        <v>8</v>
      </c>
      <c r="Z239" s="1">
        <v>2877795891</v>
      </c>
      <c r="AA239" s="1">
        <v>36</v>
      </c>
      <c r="AB239" s="1">
        <v>1362927</v>
      </c>
      <c r="AC239" s="1">
        <v>1324790</v>
      </c>
      <c r="AD239" s="16">
        <v>50.13</v>
      </c>
      <c r="AE239" s="1">
        <v>1</v>
      </c>
      <c r="AF239" s="1">
        <v>0</v>
      </c>
      <c r="AG239" s="1">
        <v>90</v>
      </c>
      <c r="AH239" s="1">
        <v>60003760</v>
      </c>
      <c r="AI239" s="1">
        <v>32767</v>
      </c>
      <c r="AJ239" s="1">
        <v>11</v>
      </c>
      <c r="AL239" s="1">
        <v>2876095939</v>
      </c>
      <c r="AM239" s="1">
        <v>37</v>
      </c>
      <c r="AN239" s="1">
        <v>700000</v>
      </c>
      <c r="AO239" s="1">
        <v>591439</v>
      </c>
      <c r="AP239" s="16">
        <v>142.01</v>
      </c>
      <c r="AQ239" s="1">
        <v>1</v>
      </c>
      <c r="AR239" s="1">
        <v>1</v>
      </c>
      <c r="AS239" s="1">
        <v>90</v>
      </c>
      <c r="AT239" s="1">
        <v>60012667</v>
      </c>
      <c r="AU239" s="1">
        <v>2</v>
      </c>
      <c r="AV239" s="1">
        <v>0</v>
      </c>
      <c r="AX239" s="1">
        <v>2876279857</v>
      </c>
      <c r="AY239" s="1">
        <v>38</v>
      </c>
      <c r="AZ239" s="1">
        <v>9000</v>
      </c>
      <c r="BA239" s="1">
        <v>1672</v>
      </c>
      <c r="BB239" s="1">
        <v>745</v>
      </c>
      <c r="BC239" s="1">
        <v>1</v>
      </c>
      <c r="BD239" s="1">
        <v>1</v>
      </c>
      <c r="BE239" s="1">
        <v>7</v>
      </c>
      <c r="BF239" s="1">
        <v>60015027</v>
      </c>
      <c r="BG239" s="1">
        <v>-1</v>
      </c>
      <c r="BH239" s="1">
        <v>0</v>
      </c>
      <c r="BJ239"/>
      <c r="BK239"/>
      <c r="BL239"/>
      <c r="BM239"/>
      <c r="BN239"/>
      <c r="BO239"/>
      <c r="BP239"/>
      <c r="BQ239"/>
      <c r="BR239"/>
      <c r="BS239"/>
      <c r="BT239"/>
      <c r="BV239"/>
      <c r="BW239"/>
      <c r="BX239"/>
      <c r="BY239"/>
      <c r="BZ239"/>
      <c r="CA239"/>
      <c r="CB239"/>
      <c r="CC239"/>
      <c r="CD239"/>
      <c r="CE239"/>
      <c r="CF239"/>
      <c r="CH239" s="1">
        <v>2372616877</v>
      </c>
      <c r="CI239" s="1">
        <v>29668</v>
      </c>
      <c r="CJ239" s="1">
        <v>10</v>
      </c>
      <c r="CK239" s="1">
        <v>10</v>
      </c>
      <c r="CL239" s="1">
        <v>426666666</v>
      </c>
      <c r="CM239" s="1">
        <v>1</v>
      </c>
      <c r="CN239" s="1">
        <v>1</v>
      </c>
      <c r="CO239" s="1">
        <v>90</v>
      </c>
      <c r="CP239" s="1">
        <v>60003760</v>
      </c>
      <c r="CQ239" s="1">
        <v>-1</v>
      </c>
      <c r="CR239" s="1">
        <v>0</v>
      </c>
      <c r="DR239" s="1">
        <v>2877602881</v>
      </c>
      <c r="DS239" s="1">
        <v>17888</v>
      </c>
      <c r="DT239" s="1">
        <v>200000</v>
      </c>
      <c r="DU239" s="1">
        <v>200000</v>
      </c>
      <c r="DV239" s="1">
        <v>336</v>
      </c>
      <c r="DW239" s="1">
        <v>1</v>
      </c>
      <c r="DX239" s="1">
        <v>0</v>
      </c>
      <c r="DY239" s="1">
        <v>1</v>
      </c>
      <c r="DZ239" s="1">
        <v>60012667</v>
      </c>
      <c r="EA239" s="1">
        <v>32767</v>
      </c>
      <c r="EB239" s="1">
        <v>2</v>
      </c>
      <c r="ED239" s="1">
        <v>2878577271</v>
      </c>
      <c r="EE239" s="1">
        <v>16273</v>
      </c>
      <c r="EF239" s="1">
        <v>100000</v>
      </c>
      <c r="EG239" s="1">
        <v>93293</v>
      </c>
      <c r="EH239" s="1">
        <v>343.82</v>
      </c>
      <c r="EI239" s="1">
        <v>1</v>
      </c>
      <c r="EJ239" s="1">
        <v>1</v>
      </c>
      <c r="EK239" s="1">
        <v>30</v>
      </c>
      <c r="EL239" s="1">
        <v>60003760</v>
      </c>
      <c r="EM239" s="1">
        <v>-1</v>
      </c>
      <c r="EN239" s="1">
        <v>0</v>
      </c>
      <c r="JF239"/>
      <c r="JG239"/>
      <c r="JH239"/>
      <c r="JI239"/>
      <c r="JJ239"/>
      <c r="JK239"/>
      <c r="JL239"/>
      <c r="JM239"/>
      <c r="JN239"/>
      <c r="JO239"/>
      <c r="JP239"/>
      <c r="NV239"/>
      <c r="NW239"/>
      <c r="NX239"/>
      <c r="NY239"/>
      <c r="NZ239"/>
      <c r="OA239"/>
      <c r="OB239"/>
      <c r="OC239"/>
      <c r="OD239"/>
      <c r="OE239"/>
      <c r="OF239"/>
    </row>
    <row r="240" spans="2:408" x14ac:dyDescent="0.25">
      <c r="B240" s="1">
        <v>2635496320</v>
      </c>
      <c r="C240" s="1">
        <v>34</v>
      </c>
      <c r="D240" s="1">
        <v>432992064</v>
      </c>
      <c r="E240" s="1">
        <v>432992064</v>
      </c>
      <c r="F240" s="1">
        <v>6.85</v>
      </c>
      <c r="G240" s="1">
        <v>1</v>
      </c>
      <c r="H240" s="1">
        <v>0</v>
      </c>
      <c r="I240" s="1">
        <v>90</v>
      </c>
      <c r="J240" s="1">
        <v>60003760</v>
      </c>
      <c r="K240" s="1">
        <v>32767</v>
      </c>
      <c r="L240" s="1">
        <v>0</v>
      </c>
      <c r="N240" s="1">
        <v>2871853911</v>
      </c>
      <c r="O240" s="1">
        <v>35</v>
      </c>
      <c r="P240" s="1">
        <v>1571732</v>
      </c>
      <c r="Q240" s="1">
        <v>1571732</v>
      </c>
      <c r="R240" s="1">
        <v>15</v>
      </c>
      <c r="S240" s="1">
        <v>1</v>
      </c>
      <c r="T240" s="1">
        <v>0</v>
      </c>
      <c r="U240" s="1">
        <v>90</v>
      </c>
      <c r="V240" s="1">
        <v>60012670</v>
      </c>
      <c r="W240" s="1">
        <v>32767</v>
      </c>
      <c r="X240" s="1">
        <v>8</v>
      </c>
      <c r="Z240" s="1">
        <v>2877811593</v>
      </c>
      <c r="AA240" s="1">
        <v>36</v>
      </c>
      <c r="AB240" s="1">
        <v>502148</v>
      </c>
      <c r="AC240" s="1">
        <v>502148</v>
      </c>
      <c r="AD240" s="16">
        <v>50.06</v>
      </c>
      <c r="AE240" s="1">
        <v>1</v>
      </c>
      <c r="AF240" s="1">
        <v>0</v>
      </c>
      <c r="AG240" s="1">
        <v>14</v>
      </c>
      <c r="AH240" s="1">
        <v>60003760</v>
      </c>
      <c r="AI240" s="1">
        <v>32767</v>
      </c>
      <c r="AJ240" s="1">
        <v>11</v>
      </c>
      <c r="AL240" s="1">
        <v>2866739366</v>
      </c>
      <c r="AM240" s="1">
        <v>37</v>
      </c>
      <c r="AN240" s="1">
        <v>500000</v>
      </c>
      <c r="AO240" s="1">
        <v>471848</v>
      </c>
      <c r="AP240" s="16">
        <v>129.03</v>
      </c>
      <c r="AQ240" s="1">
        <v>1</v>
      </c>
      <c r="AR240" s="1">
        <v>1</v>
      </c>
      <c r="AS240" s="1">
        <v>30</v>
      </c>
      <c r="AT240" s="1">
        <v>60004063</v>
      </c>
      <c r="AU240" s="1">
        <v>3</v>
      </c>
      <c r="AV240" s="1">
        <v>0</v>
      </c>
      <c r="AX240" s="1">
        <v>2877158003</v>
      </c>
      <c r="AY240" s="1">
        <v>38</v>
      </c>
      <c r="AZ240" s="1">
        <v>10000</v>
      </c>
      <c r="BA240" s="1">
        <v>8071</v>
      </c>
      <c r="BB240" s="1">
        <v>745.01</v>
      </c>
      <c r="BC240" s="1">
        <v>1</v>
      </c>
      <c r="BD240" s="1">
        <v>1</v>
      </c>
      <c r="BE240" s="1">
        <v>30</v>
      </c>
      <c r="BF240" s="1">
        <v>60015027</v>
      </c>
      <c r="BG240" s="1">
        <v>-1</v>
      </c>
      <c r="BH240" s="1">
        <v>0</v>
      </c>
      <c r="BJ240"/>
      <c r="BK240"/>
      <c r="BL240"/>
      <c r="BM240"/>
      <c r="BN240"/>
      <c r="BO240"/>
      <c r="BP240"/>
      <c r="BQ240"/>
      <c r="BR240"/>
      <c r="BS240"/>
      <c r="BT240"/>
      <c r="BV240"/>
      <c r="BW240"/>
      <c r="BX240"/>
      <c r="BY240"/>
      <c r="BZ240"/>
      <c r="CA240"/>
      <c r="CB240"/>
      <c r="CC240"/>
      <c r="CD240"/>
      <c r="CE240"/>
      <c r="CF240"/>
      <c r="CH240" s="1">
        <v>2372588379</v>
      </c>
      <c r="CI240" s="1">
        <v>29668</v>
      </c>
      <c r="CJ240" s="1">
        <v>44</v>
      </c>
      <c r="CK240" s="1">
        <v>44</v>
      </c>
      <c r="CL240" s="1">
        <v>425000000</v>
      </c>
      <c r="CM240" s="1">
        <v>1</v>
      </c>
      <c r="CN240" s="1">
        <v>1</v>
      </c>
      <c r="CO240" s="1">
        <v>90</v>
      </c>
      <c r="CP240" s="1">
        <v>60003760</v>
      </c>
      <c r="CQ240" s="1">
        <v>-1</v>
      </c>
      <c r="CR240" s="1">
        <v>0</v>
      </c>
      <c r="DR240" s="1">
        <v>2776887846</v>
      </c>
      <c r="DS240" s="1">
        <v>17888</v>
      </c>
      <c r="DT240" s="1">
        <v>3838</v>
      </c>
      <c r="DU240" s="1">
        <v>3838</v>
      </c>
      <c r="DV240" s="1">
        <v>410</v>
      </c>
      <c r="DW240" s="1">
        <v>1</v>
      </c>
      <c r="DX240" s="1">
        <v>0</v>
      </c>
      <c r="DY240" s="1">
        <v>90</v>
      </c>
      <c r="DZ240" s="1">
        <v>60003190</v>
      </c>
      <c r="EA240" s="1">
        <v>32767</v>
      </c>
      <c r="EB240" s="1">
        <v>3</v>
      </c>
      <c r="ED240" s="1">
        <v>2878817292</v>
      </c>
      <c r="EE240" s="1">
        <v>16273</v>
      </c>
      <c r="EF240" s="1">
        <v>260000</v>
      </c>
      <c r="EG240" s="1">
        <v>114290</v>
      </c>
      <c r="EH240" s="1">
        <v>343.83</v>
      </c>
      <c r="EI240" s="1">
        <v>1</v>
      </c>
      <c r="EJ240" s="1">
        <v>1</v>
      </c>
      <c r="EK240" s="1">
        <v>30</v>
      </c>
      <c r="EL240" s="1">
        <v>60003760</v>
      </c>
      <c r="EM240" s="1">
        <v>-1</v>
      </c>
      <c r="EN240" s="1">
        <v>0</v>
      </c>
      <c r="JF240"/>
      <c r="JG240"/>
      <c r="JH240"/>
      <c r="JI240"/>
      <c r="JJ240"/>
      <c r="JK240"/>
      <c r="JL240"/>
      <c r="JM240"/>
      <c r="JN240"/>
      <c r="JO240"/>
      <c r="JP240"/>
      <c r="NV240"/>
      <c r="NW240"/>
      <c r="NX240"/>
      <c r="NY240"/>
      <c r="NZ240"/>
      <c r="OA240"/>
      <c r="OB240"/>
      <c r="OC240"/>
      <c r="OD240"/>
      <c r="OE240"/>
      <c r="OF240"/>
    </row>
    <row r="241" spans="2:396" x14ac:dyDescent="0.25">
      <c r="B241" s="1">
        <v>2751054239</v>
      </c>
      <c r="C241" s="1">
        <v>34</v>
      </c>
      <c r="D241" s="1">
        <v>2000000000</v>
      </c>
      <c r="E241" s="1">
        <v>2000000000</v>
      </c>
      <c r="F241" s="1">
        <v>5.85</v>
      </c>
      <c r="G241" s="1">
        <v>1</v>
      </c>
      <c r="H241" s="1">
        <v>0</v>
      </c>
      <c r="I241" s="1">
        <v>90</v>
      </c>
      <c r="J241" s="1">
        <v>60003760</v>
      </c>
      <c r="K241" s="1">
        <v>32767</v>
      </c>
      <c r="L241" s="1">
        <v>0</v>
      </c>
      <c r="N241" s="1">
        <v>2874888467</v>
      </c>
      <c r="O241" s="1">
        <v>35</v>
      </c>
      <c r="P241" s="1">
        <v>308861</v>
      </c>
      <c r="Q241" s="1">
        <v>308861</v>
      </c>
      <c r="R241" s="1">
        <v>14.99</v>
      </c>
      <c r="S241" s="1">
        <v>1</v>
      </c>
      <c r="T241" s="1">
        <v>0</v>
      </c>
      <c r="U241" s="1">
        <v>14</v>
      </c>
      <c r="V241" s="1">
        <v>60000529</v>
      </c>
      <c r="W241" s="1">
        <v>32767</v>
      </c>
      <c r="X241" s="1">
        <v>8</v>
      </c>
      <c r="Z241" s="1">
        <v>2877807933</v>
      </c>
      <c r="AA241" s="1">
        <v>36</v>
      </c>
      <c r="AB241" s="1">
        <v>6889985</v>
      </c>
      <c r="AC241" s="1">
        <v>6889985</v>
      </c>
      <c r="AD241" s="16">
        <v>50.08</v>
      </c>
      <c r="AE241" s="1">
        <v>1</v>
      </c>
      <c r="AF241" s="1">
        <v>0</v>
      </c>
      <c r="AG241" s="1">
        <v>90</v>
      </c>
      <c r="AH241" s="1">
        <v>60003760</v>
      </c>
      <c r="AI241" s="1">
        <v>32767</v>
      </c>
      <c r="AJ241" s="1">
        <v>11</v>
      </c>
      <c r="AL241" s="1">
        <v>2850783389</v>
      </c>
      <c r="AM241" s="1">
        <v>37</v>
      </c>
      <c r="AN241" s="1">
        <v>2000000</v>
      </c>
      <c r="AO241" s="1">
        <v>1449732</v>
      </c>
      <c r="AP241" s="16">
        <v>129.03</v>
      </c>
      <c r="AQ241" s="1">
        <v>1</v>
      </c>
      <c r="AR241" s="1">
        <v>1</v>
      </c>
      <c r="AS241" s="1">
        <v>30</v>
      </c>
      <c r="AT241" s="1">
        <v>60004063</v>
      </c>
      <c r="AU241" s="1">
        <v>2</v>
      </c>
      <c r="AV241" s="1">
        <v>0</v>
      </c>
      <c r="AX241" s="1">
        <v>2879130486</v>
      </c>
      <c r="AY241" s="1">
        <v>38</v>
      </c>
      <c r="AZ241" s="1">
        <v>164000</v>
      </c>
      <c r="BA241" s="1">
        <v>158438</v>
      </c>
      <c r="BB241" s="1">
        <v>794.45</v>
      </c>
      <c r="BC241" s="1">
        <v>1</v>
      </c>
      <c r="BD241" s="1">
        <v>1</v>
      </c>
      <c r="BE241" s="1">
        <v>30</v>
      </c>
      <c r="BF241" s="1">
        <v>60003760</v>
      </c>
      <c r="BG241" s="1">
        <v>-1</v>
      </c>
      <c r="BH241" s="1">
        <v>0</v>
      </c>
      <c r="BJ241"/>
      <c r="BK241"/>
      <c r="BL241"/>
      <c r="BM241"/>
      <c r="BN241"/>
      <c r="BO241"/>
      <c r="BP241"/>
      <c r="BQ241"/>
      <c r="BR241"/>
      <c r="BS241"/>
      <c r="BT241"/>
      <c r="BV241"/>
      <c r="BW241"/>
      <c r="BX241"/>
      <c r="BY241"/>
      <c r="BZ241"/>
      <c r="CA241"/>
      <c r="CB241"/>
      <c r="CC241"/>
      <c r="CD241"/>
      <c r="CE241"/>
      <c r="CF241"/>
      <c r="CH241" s="1">
        <v>2380574659</v>
      </c>
      <c r="CI241" s="1">
        <v>29668</v>
      </c>
      <c r="CJ241" s="1">
        <v>18</v>
      </c>
      <c r="CK241" s="1">
        <v>18</v>
      </c>
      <c r="CL241" s="1">
        <v>441000000</v>
      </c>
      <c r="CM241" s="1">
        <v>1</v>
      </c>
      <c r="CN241" s="1">
        <v>1</v>
      </c>
      <c r="CO241" s="1">
        <v>90</v>
      </c>
      <c r="CP241" s="1">
        <v>60003760</v>
      </c>
      <c r="CQ241" s="1">
        <v>-1</v>
      </c>
      <c r="CR241" s="1">
        <v>0</v>
      </c>
      <c r="DR241" s="1">
        <v>2766529942</v>
      </c>
      <c r="DS241" s="1">
        <v>17888</v>
      </c>
      <c r="DT241" s="1">
        <v>4771</v>
      </c>
      <c r="DU241" s="1">
        <v>4771</v>
      </c>
      <c r="DV241" s="1">
        <v>425</v>
      </c>
      <c r="DW241" s="1">
        <v>1</v>
      </c>
      <c r="DX241" s="1">
        <v>0</v>
      </c>
      <c r="DY241" s="1">
        <v>90</v>
      </c>
      <c r="DZ241" s="1">
        <v>60013291</v>
      </c>
      <c r="EA241" s="1">
        <v>32767</v>
      </c>
      <c r="EB241" s="1">
        <v>1</v>
      </c>
      <c r="JF241"/>
      <c r="JG241"/>
      <c r="JH241"/>
      <c r="JI241"/>
      <c r="JJ241"/>
      <c r="JK241"/>
      <c r="JL241"/>
      <c r="JM241"/>
      <c r="JN241"/>
      <c r="JO241"/>
      <c r="JP241"/>
      <c r="NV241"/>
      <c r="NW241"/>
      <c r="NX241"/>
      <c r="NY241"/>
      <c r="NZ241"/>
      <c r="OA241"/>
      <c r="OB241"/>
      <c r="OC241"/>
      <c r="OD241"/>
      <c r="OE241"/>
      <c r="OF241"/>
    </row>
    <row r="242" spans="2:396" hidden="1" x14ac:dyDescent="0.25">
      <c r="B242" s="1">
        <v>2750121361</v>
      </c>
      <c r="C242" s="1">
        <v>34</v>
      </c>
      <c r="D242" s="1">
        <v>332151</v>
      </c>
      <c r="E242" s="1">
        <v>332151</v>
      </c>
      <c r="F242" s="1">
        <v>6.2</v>
      </c>
      <c r="G242" s="1">
        <v>1</v>
      </c>
      <c r="H242" s="1">
        <v>0</v>
      </c>
      <c r="I242" s="1">
        <v>90</v>
      </c>
      <c r="J242" s="1">
        <v>60003760</v>
      </c>
      <c r="K242" s="1">
        <v>32767</v>
      </c>
      <c r="L242" s="1">
        <v>0</v>
      </c>
      <c r="N242" s="1">
        <v>2816522748</v>
      </c>
      <c r="O242" s="1">
        <v>35</v>
      </c>
      <c r="P242" s="1">
        <v>34090</v>
      </c>
      <c r="Q242" s="1">
        <v>34090</v>
      </c>
      <c r="R242" s="1">
        <v>16</v>
      </c>
      <c r="S242" s="1">
        <v>1</v>
      </c>
      <c r="T242" s="1">
        <v>0</v>
      </c>
      <c r="U242" s="1">
        <v>90</v>
      </c>
      <c r="V242" s="1">
        <v>60004474</v>
      </c>
      <c r="W242" s="1">
        <v>32767</v>
      </c>
      <c r="X242" s="1">
        <v>11</v>
      </c>
      <c r="Z242" s="1">
        <v>2877783339</v>
      </c>
      <c r="AA242" s="1">
        <v>36</v>
      </c>
      <c r="AB242" s="1">
        <v>101067</v>
      </c>
      <c r="AC242" s="1">
        <v>101067</v>
      </c>
      <c r="AD242" s="16">
        <v>49.88</v>
      </c>
      <c r="AE242" s="1">
        <v>1</v>
      </c>
      <c r="AF242" s="1">
        <v>0</v>
      </c>
      <c r="AG242" s="1">
        <v>90</v>
      </c>
      <c r="AH242" s="1">
        <v>60003760</v>
      </c>
      <c r="AI242" s="1">
        <v>32767</v>
      </c>
      <c r="AJ242" s="1">
        <v>11</v>
      </c>
      <c r="AL242" s="1">
        <v>2875914690</v>
      </c>
      <c r="AM242" s="1">
        <v>37</v>
      </c>
      <c r="AN242" s="1">
        <v>500000</v>
      </c>
      <c r="AO242" s="1">
        <v>357067</v>
      </c>
      <c r="AP242" s="16">
        <v>144.02000000000001</v>
      </c>
      <c r="AQ242" s="1">
        <v>1</v>
      </c>
      <c r="AR242" s="1">
        <v>1</v>
      </c>
      <c r="AS242" s="1">
        <v>90</v>
      </c>
      <c r="AT242" s="1">
        <v>60003934</v>
      </c>
      <c r="AU242" s="1">
        <v>0</v>
      </c>
      <c r="AV242" s="1">
        <v>0</v>
      </c>
      <c r="AX242"/>
      <c r="AY242"/>
      <c r="AZ242"/>
      <c r="BA242"/>
      <c r="BB242"/>
      <c r="BC242"/>
      <c r="BD242"/>
      <c r="BE242"/>
      <c r="BF242"/>
      <c r="BG242"/>
      <c r="BH242"/>
      <c r="BJ242"/>
      <c r="BK242"/>
      <c r="BL242"/>
      <c r="BM242"/>
      <c r="BN242"/>
      <c r="BO242"/>
      <c r="BP242"/>
      <c r="BQ242"/>
      <c r="BR242"/>
      <c r="BS242"/>
      <c r="BT242"/>
      <c r="BV242"/>
      <c r="BW242"/>
      <c r="BX242"/>
      <c r="BY242"/>
      <c r="BZ242"/>
      <c r="CA242"/>
      <c r="CB242"/>
      <c r="CC242"/>
      <c r="CD242"/>
      <c r="CE242"/>
      <c r="CF242"/>
      <c r="CH242" s="1">
        <v>2380800927</v>
      </c>
      <c r="CI242" s="1">
        <v>29668</v>
      </c>
      <c r="CJ242" s="1">
        <v>1</v>
      </c>
      <c r="CK242" s="1">
        <v>1</v>
      </c>
      <c r="CL242" s="1">
        <v>356000000</v>
      </c>
      <c r="CM242" s="1">
        <v>1</v>
      </c>
      <c r="CN242" s="1">
        <v>1</v>
      </c>
      <c r="CO242" s="1">
        <v>90</v>
      </c>
      <c r="CP242" s="1">
        <v>60003760</v>
      </c>
      <c r="CQ242" s="1">
        <v>-1</v>
      </c>
      <c r="CR242" s="1">
        <v>0</v>
      </c>
      <c r="DR242" s="1">
        <v>2763543229</v>
      </c>
      <c r="DS242" s="1">
        <v>17888</v>
      </c>
      <c r="DT242" s="1">
        <v>16254</v>
      </c>
      <c r="DU242" s="1">
        <v>16254</v>
      </c>
      <c r="DV242" s="1">
        <v>434</v>
      </c>
      <c r="DW242" s="1">
        <v>1</v>
      </c>
      <c r="DX242" s="1">
        <v>0</v>
      </c>
      <c r="DY242" s="1">
        <v>90</v>
      </c>
      <c r="DZ242" s="1">
        <v>60003193</v>
      </c>
      <c r="EA242" s="1">
        <v>32767</v>
      </c>
      <c r="EB242" s="1">
        <v>1</v>
      </c>
      <c r="JF242"/>
      <c r="JG242"/>
      <c r="JH242"/>
      <c r="JI242"/>
      <c r="JJ242"/>
      <c r="JK242"/>
      <c r="JL242"/>
      <c r="JM242"/>
      <c r="JN242"/>
      <c r="JO242"/>
      <c r="JP242"/>
      <c r="NV242"/>
      <c r="NW242"/>
      <c r="NX242"/>
      <c r="NY242"/>
      <c r="NZ242"/>
      <c r="OA242"/>
      <c r="OB242"/>
      <c r="OC242"/>
      <c r="OD242"/>
      <c r="OE242"/>
      <c r="OF242"/>
    </row>
    <row r="243" spans="2:396" x14ac:dyDescent="0.25">
      <c r="B243" s="1">
        <v>2750829019</v>
      </c>
      <c r="C243" s="1">
        <v>34</v>
      </c>
      <c r="D243" s="1">
        <v>17171</v>
      </c>
      <c r="E243" s="1">
        <v>17171</v>
      </c>
      <c r="F243" s="1">
        <v>7</v>
      </c>
      <c r="G243" s="1">
        <v>1</v>
      </c>
      <c r="H243" s="1">
        <v>0</v>
      </c>
      <c r="I243" s="1">
        <v>90</v>
      </c>
      <c r="J243" s="1">
        <v>60003760</v>
      </c>
      <c r="K243" s="1">
        <v>32767</v>
      </c>
      <c r="L243" s="1">
        <v>0</v>
      </c>
      <c r="N243" s="1">
        <v>2817604056</v>
      </c>
      <c r="O243" s="1">
        <v>35</v>
      </c>
      <c r="P243" s="1">
        <v>12398721</v>
      </c>
      <c r="Q243" s="1">
        <v>12398721</v>
      </c>
      <c r="R243" s="1">
        <v>27.89</v>
      </c>
      <c r="S243" s="1">
        <v>1</v>
      </c>
      <c r="T243" s="1">
        <v>0</v>
      </c>
      <c r="U243" s="1">
        <v>90</v>
      </c>
      <c r="V243" s="1">
        <v>60004474</v>
      </c>
      <c r="W243" s="1">
        <v>32767</v>
      </c>
      <c r="X243" s="1">
        <v>11</v>
      </c>
      <c r="Z243" s="1">
        <v>2877864573</v>
      </c>
      <c r="AA243" s="1">
        <v>36</v>
      </c>
      <c r="AB243" s="1">
        <v>28935</v>
      </c>
      <c r="AC243" s="1">
        <v>28935</v>
      </c>
      <c r="AD243" s="16">
        <v>49.88</v>
      </c>
      <c r="AE243" s="1">
        <v>1</v>
      </c>
      <c r="AF243" s="1">
        <v>0</v>
      </c>
      <c r="AG243" s="1">
        <v>90</v>
      </c>
      <c r="AH243" s="1">
        <v>60003760</v>
      </c>
      <c r="AI243" s="1">
        <v>32767</v>
      </c>
      <c r="AJ243" s="1">
        <v>11</v>
      </c>
      <c r="AL243" s="1">
        <v>2878737976</v>
      </c>
      <c r="AM243" s="1">
        <v>37</v>
      </c>
      <c r="AN243" s="1">
        <v>100000</v>
      </c>
      <c r="AO243" s="1">
        <v>100000</v>
      </c>
      <c r="AP243" s="16">
        <v>130</v>
      </c>
      <c r="AQ243" s="1">
        <v>1</v>
      </c>
      <c r="AR243" s="1">
        <v>1</v>
      </c>
      <c r="AS243" s="1">
        <v>90</v>
      </c>
      <c r="AT243" s="1">
        <v>60003760</v>
      </c>
      <c r="AU243" s="1">
        <v>-1</v>
      </c>
      <c r="AV243" s="1">
        <v>0</v>
      </c>
      <c r="AX243"/>
      <c r="AY243"/>
      <c r="AZ243"/>
      <c r="BA243"/>
      <c r="BB243"/>
      <c r="BC243"/>
      <c r="BD243"/>
      <c r="BE243"/>
      <c r="BF243"/>
      <c r="BG243"/>
      <c r="BH243"/>
      <c r="BJ243"/>
      <c r="BK243"/>
      <c r="BL243"/>
      <c r="BM243"/>
      <c r="BN243"/>
      <c r="BO243"/>
      <c r="BP243"/>
      <c r="BQ243"/>
      <c r="BR243"/>
      <c r="BS243"/>
      <c r="BT243"/>
      <c r="BV243"/>
      <c r="BW243"/>
      <c r="BX243"/>
      <c r="BY243"/>
      <c r="BZ243"/>
      <c r="CA243"/>
      <c r="CB243"/>
      <c r="CC243"/>
      <c r="CD243"/>
      <c r="CE243"/>
      <c r="CF243"/>
      <c r="CH243" s="1">
        <v>2379832432</v>
      </c>
      <c r="CI243" s="1">
        <v>29668</v>
      </c>
      <c r="CJ243" s="1">
        <v>1</v>
      </c>
      <c r="CK243" s="1">
        <v>1</v>
      </c>
      <c r="CL243" s="1">
        <v>447798</v>
      </c>
      <c r="CM243" s="1">
        <v>1</v>
      </c>
      <c r="CN243" s="1">
        <v>1</v>
      </c>
      <c r="CO243" s="1">
        <v>90</v>
      </c>
      <c r="CP243" s="1">
        <v>60003760</v>
      </c>
      <c r="CQ243" s="1">
        <v>-1</v>
      </c>
      <c r="CR243" s="1">
        <v>0</v>
      </c>
      <c r="DR243" s="1">
        <v>2814604109</v>
      </c>
      <c r="DS243" s="1">
        <v>17888</v>
      </c>
      <c r="DT243" s="1">
        <v>311598</v>
      </c>
      <c r="DU243" s="1">
        <v>231598</v>
      </c>
      <c r="DV243" s="1">
        <v>383</v>
      </c>
      <c r="DW243" s="1">
        <v>1</v>
      </c>
      <c r="DX243" s="1">
        <v>0</v>
      </c>
      <c r="DY243" s="1">
        <v>90</v>
      </c>
      <c r="DZ243" s="1">
        <v>60003193</v>
      </c>
      <c r="EA243" s="1">
        <v>32767</v>
      </c>
      <c r="EB243" s="1">
        <v>1</v>
      </c>
      <c r="JF243"/>
      <c r="JG243"/>
      <c r="JH243"/>
      <c r="JI243"/>
      <c r="JJ243"/>
      <c r="JK243"/>
      <c r="JL243"/>
      <c r="JM243"/>
      <c r="JN243"/>
      <c r="JO243"/>
      <c r="JP243"/>
      <c r="NV243"/>
      <c r="NW243"/>
      <c r="NX243"/>
      <c r="NY243"/>
      <c r="NZ243"/>
      <c r="OA243"/>
      <c r="OB243"/>
      <c r="OC243"/>
      <c r="OD243"/>
      <c r="OE243"/>
      <c r="OF243"/>
    </row>
    <row r="244" spans="2:396" hidden="1" x14ac:dyDescent="0.25">
      <c r="B244" s="1">
        <v>2746214248</v>
      </c>
      <c r="C244" s="1">
        <v>34</v>
      </c>
      <c r="D244" s="1">
        <v>1887591</v>
      </c>
      <c r="E244" s="1">
        <v>1887591</v>
      </c>
      <c r="F244" s="1">
        <v>6.28</v>
      </c>
      <c r="G244" s="1">
        <v>1</v>
      </c>
      <c r="H244" s="1">
        <v>0</v>
      </c>
      <c r="I244" s="1">
        <v>90</v>
      </c>
      <c r="J244" s="1">
        <v>60003760</v>
      </c>
      <c r="K244" s="1">
        <v>32767</v>
      </c>
      <c r="L244" s="1">
        <v>0</v>
      </c>
      <c r="N244" s="1">
        <v>2845451302</v>
      </c>
      <c r="O244" s="1">
        <v>35</v>
      </c>
      <c r="P244" s="1">
        <v>2255906</v>
      </c>
      <c r="Q244" s="1">
        <v>1855906</v>
      </c>
      <c r="R244" s="1">
        <v>15.5</v>
      </c>
      <c r="S244" s="1">
        <v>1</v>
      </c>
      <c r="T244" s="1">
        <v>0</v>
      </c>
      <c r="U244" s="1">
        <v>30</v>
      </c>
      <c r="V244" s="1">
        <v>60004474</v>
      </c>
      <c r="W244" s="1">
        <v>32767</v>
      </c>
      <c r="X244" s="1">
        <v>11</v>
      </c>
      <c r="Z244" s="1">
        <v>2877878653</v>
      </c>
      <c r="AA244" s="1">
        <v>36</v>
      </c>
      <c r="AB244" s="1">
        <v>25135157</v>
      </c>
      <c r="AC244" s="1">
        <v>6933122</v>
      </c>
      <c r="AD244" s="16">
        <v>48.99</v>
      </c>
      <c r="AE244" s="1">
        <v>1</v>
      </c>
      <c r="AF244" s="1">
        <v>0</v>
      </c>
      <c r="AG244" s="1">
        <v>3</v>
      </c>
      <c r="AH244" s="1">
        <v>60003760</v>
      </c>
      <c r="AI244" s="1">
        <v>32767</v>
      </c>
      <c r="AJ244" s="1">
        <v>11</v>
      </c>
      <c r="AL244" s="1">
        <v>2878743200</v>
      </c>
      <c r="AM244" s="1">
        <v>37</v>
      </c>
      <c r="AN244" s="1">
        <v>10000</v>
      </c>
      <c r="AO244" s="1">
        <v>9926</v>
      </c>
      <c r="AP244" s="16">
        <v>131.08000000000001</v>
      </c>
      <c r="AQ244" s="1">
        <v>1</v>
      </c>
      <c r="AR244" s="1">
        <v>1</v>
      </c>
      <c r="AS244" s="1">
        <v>30</v>
      </c>
      <c r="AT244" s="1">
        <v>60004228</v>
      </c>
      <c r="AU244" s="1">
        <v>0</v>
      </c>
      <c r="AV244" s="1">
        <v>0</v>
      </c>
      <c r="AX244"/>
      <c r="AY244"/>
      <c r="AZ244"/>
      <c r="BA244"/>
      <c r="BB244"/>
      <c r="BC244"/>
      <c r="BD244"/>
      <c r="BE244"/>
      <c r="BF244"/>
      <c r="BG244"/>
      <c r="BH244"/>
      <c r="BJ244"/>
      <c r="BK244"/>
      <c r="BL244"/>
      <c r="BM244"/>
      <c r="BN244"/>
      <c r="BO244"/>
      <c r="BP244"/>
      <c r="BQ244"/>
      <c r="BR244"/>
      <c r="BS244"/>
      <c r="BT244"/>
      <c r="BV244"/>
      <c r="BW244"/>
      <c r="BX244"/>
      <c r="BY244"/>
      <c r="BZ244"/>
      <c r="CA244"/>
      <c r="CB244"/>
      <c r="CC244"/>
      <c r="CD244"/>
      <c r="CE244"/>
      <c r="CF244"/>
      <c r="CH244" s="1">
        <v>2382567259</v>
      </c>
      <c r="CI244" s="1">
        <v>29668</v>
      </c>
      <c r="CJ244" s="1">
        <v>1</v>
      </c>
      <c r="CK244" s="1">
        <v>1</v>
      </c>
      <c r="CL244" s="1">
        <v>0.01</v>
      </c>
      <c r="CM244" s="1">
        <v>1</v>
      </c>
      <c r="CN244" s="1">
        <v>1</v>
      </c>
      <c r="CO244" s="1">
        <v>90</v>
      </c>
      <c r="CP244" s="1">
        <v>60003760</v>
      </c>
      <c r="CQ244" s="1">
        <v>40</v>
      </c>
      <c r="CR244" s="1">
        <v>0</v>
      </c>
      <c r="DR244" s="1">
        <v>2797578124</v>
      </c>
      <c r="DS244" s="1">
        <v>17888</v>
      </c>
      <c r="DT244" s="1">
        <v>5376</v>
      </c>
      <c r="DU244" s="1">
        <v>3376</v>
      </c>
      <c r="DV244" s="1">
        <v>489.69</v>
      </c>
      <c r="DW244" s="1">
        <v>1</v>
      </c>
      <c r="DX244" s="1">
        <v>0</v>
      </c>
      <c r="DY244" s="1">
        <v>90</v>
      </c>
      <c r="DZ244" s="1">
        <v>60003076</v>
      </c>
      <c r="EA244" s="1">
        <v>32767</v>
      </c>
      <c r="EB244" s="1">
        <v>4</v>
      </c>
      <c r="JF244"/>
      <c r="JG244"/>
      <c r="JH244"/>
      <c r="JI244"/>
      <c r="JJ244"/>
      <c r="JK244"/>
      <c r="JL244"/>
      <c r="JM244"/>
      <c r="JN244"/>
      <c r="JO244"/>
      <c r="JP244"/>
      <c r="NV244"/>
      <c r="NW244"/>
      <c r="NX244"/>
      <c r="NY244"/>
      <c r="NZ244"/>
      <c r="OA244"/>
      <c r="OB244"/>
      <c r="OC244"/>
      <c r="OD244"/>
      <c r="OE244"/>
      <c r="OF244"/>
    </row>
    <row r="245" spans="2:396" hidden="1" x14ac:dyDescent="0.25">
      <c r="B245" s="1">
        <v>2746925648</v>
      </c>
      <c r="C245" s="1">
        <v>34</v>
      </c>
      <c r="D245" s="1">
        <v>81906351</v>
      </c>
      <c r="E245" s="1">
        <v>81906351</v>
      </c>
      <c r="F245" s="1">
        <v>6.25</v>
      </c>
      <c r="G245" s="1">
        <v>1</v>
      </c>
      <c r="H245" s="1">
        <v>0</v>
      </c>
      <c r="I245" s="1">
        <v>90</v>
      </c>
      <c r="J245" s="1">
        <v>60003760</v>
      </c>
      <c r="K245" s="1">
        <v>32767</v>
      </c>
      <c r="L245" s="1">
        <v>0</v>
      </c>
      <c r="N245" s="1">
        <v>2858090549</v>
      </c>
      <c r="O245" s="1">
        <v>35</v>
      </c>
      <c r="P245" s="1">
        <v>7097040</v>
      </c>
      <c r="Q245" s="1">
        <v>7097040</v>
      </c>
      <c r="R245" s="1">
        <v>15.19</v>
      </c>
      <c r="S245" s="1">
        <v>1</v>
      </c>
      <c r="T245" s="1">
        <v>0</v>
      </c>
      <c r="U245" s="1">
        <v>30</v>
      </c>
      <c r="V245" s="1">
        <v>60001594</v>
      </c>
      <c r="W245" s="1">
        <v>32767</v>
      </c>
      <c r="X245" s="1">
        <v>11</v>
      </c>
      <c r="Z245" s="1">
        <v>2877956193</v>
      </c>
      <c r="AA245" s="1">
        <v>36</v>
      </c>
      <c r="AB245" s="1">
        <v>2940699</v>
      </c>
      <c r="AC245" s="1">
        <v>2940699</v>
      </c>
      <c r="AD245" s="16">
        <v>48.99</v>
      </c>
      <c r="AE245" s="1">
        <v>1</v>
      </c>
      <c r="AF245" s="1">
        <v>0</v>
      </c>
      <c r="AG245" s="1">
        <v>3</v>
      </c>
      <c r="AH245" s="1">
        <v>60003760</v>
      </c>
      <c r="AI245" s="1">
        <v>32767</v>
      </c>
      <c r="AJ245" s="1">
        <v>11</v>
      </c>
      <c r="AL245" s="1">
        <v>2878028374</v>
      </c>
      <c r="AM245" s="1">
        <v>37</v>
      </c>
      <c r="AN245" s="1">
        <v>751380</v>
      </c>
      <c r="AO245" s="1">
        <v>373304</v>
      </c>
      <c r="AP245" s="16">
        <v>144.1</v>
      </c>
      <c r="AQ245" s="1">
        <v>1</v>
      </c>
      <c r="AR245" s="1">
        <v>1</v>
      </c>
      <c r="AS245" s="1">
        <v>30</v>
      </c>
      <c r="AT245" s="1">
        <v>60002809</v>
      </c>
      <c r="AU245" s="1">
        <v>-1</v>
      </c>
      <c r="AV245" s="1">
        <v>0</v>
      </c>
      <c r="AX245"/>
      <c r="AY245"/>
      <c r="AZ245"/>
      <c r="BA245"/>
      <c r="BB245"/>
      <c r="BC245"/>
      <c r="BD245"/>
      <c r="BE245"/>
      <c r="BF245"/>
      <c r="BG245"/>
      <c r="BH245"/>
      <c r="BJ245"/>
      <c r="BK245"/>
      <c r="BL245"/>
      <c r="BM245"/>
      <c r="BN245"/>
      <c r="BO245"/>
      <c r="BP245"/>
      <c r="BQ245"/>
      <c r="BR245"/>
      <c r="BS245"/>
      <c r="BT245"/>
      <c r="BV245"/>
      <c r="BW245"/>
      <c r="BX245"/>
      <c r="BY245"/>
      <c r="BZ245"/>
      <c r="CA245"/>
      <c r="CB245"/>
      <c r="CC245"/>
      <c r="CD245"/>
      <c r="CE245"/>
      <c r="CF245"/>
      <c r="CH245" s="1">
        <v>2381043967</v>
      </c>
      <c r="CI245" s="1">
        <v>29668</v>
      </c>
      <c r="CJ245" s="1">
        <v>2</v>
      </c>
      <c r="CK245" s="1">
        <v>2</v>
      </c>
      <c r="CL245" s="1">
        <v>399499000</v>
      </c>
      <c r="CM245" s="1">
        <v>1</v>
      </c>
      <c r="CN245" s="1">
        <v>1</v>
      </c>
      <c r="CO245" s="1">
        <v>90</v>
      </c>
      <c r="CP245" s="1">
        <v>60003760</v>
      </c>
      <c r="CQ245" s="1">
        <v>-1</v>
      </c>
      <c r="CR245" s="1">
        <v>0</v>
      </c>
      <c r="DR245" s="1">
        <v>2774748185</v>
      </c>
      <c r="DS245" s="1">
        <v>17888</v>
      </c>
      <c r="DT245" s="1">
        <v>7777</v>
      </c>
      <c r="DU245" s="1">
        <v>2777</v>
      </c>
      <c r="DV245" s="1">
        <v>410</v>
      </c>
      <c r="DW245" s="1">
        <v>1</v>
      </c>
      <c r="DX245" s="1">
        <v>0</v>
      </c>
      <c r="DY245" s="1">
        <v>90</v>
      </c>
      <c r="DZ245" s="1">
        <v>60001786</v>
      </c>
      <c r="EA245" s="1">
        <v>32767</v>
      </c>
      <c r="EB245" s="1">
        <v>0</v>
      </c>
      <c r="JF245"/>
      <c r="JG245"/>
      <c r="JH245"/>
      <c r="JI245"/>
      <c r="JJ245"/>
      <c r="JK245"/>
      <c r="JL245"/>
      <c r="JM245"/>
      <c r="JN245"/>
      <c r="JO245"/>
      <c r="JP245"/>
      <c r="NV245"/>
      <c r="NW245"/>
      <c r="NX245"/>
      <c r="NY245"/>
      <c r="NZ245"/>
      <c r="OA245"/>
      <c r="OB245"/>
      <c r="OC245"/>
      <c r="OD245"/>
      <c r="OE245"/>
      <c r="OF245"/>
    </row>
    <row r="246" spans="2:396" hidden="1" x14ac:dyDescent="0.25">
      <c r="B246" s="1">
        <v>2747566567</v>
      </c>
      <c r="C246" s="1">
        <v>34</v>
      </c>
      <c r="D246" s="1">
        <v>76585032</v>
      </c>
      <c r="E246" s="1">
        <v>76585032</v>
      </c>
      <c r="F246" s="1">
        <v>6.22</v>
      </c>
      <c r="G246" s="1">
        <v>1</v>
      </c>
      <c r="H246" s="1">
        <v>0</v>
      </c>
      <c r="I246" s="1">
        <v>90</v>
      </c>
      <c r="J246" s="1">
        <v>60003760</v>
      </c>
      <c r="K246" s="1">
        <v>32767</v>
      </c>
      <c r="L246" s="1">
        <v>0</v>
      </c>
      <c r="N246" s="1">
        <v>2861010931</v>
      </c>
      <c r="O246" s="1">
        <v>35</v>
      </c>
      <c r="P246" s="1">
        <v>3068140</v>
      </c>
      <c r="Q246" s="1">
        <v>3068140</v>
      </c>
      <c r="R246" s="1">
        <v>15.16</v>
      </c>
      <c r="S246" s="1">
        <v>1</v>
      </c>
      <c r="T246" s="1">
        <v>0</v>
      </c>
      <c r="U246" s="1">
        <v>14</v>
      </c>
      <c r="V246" s="1">
        <v>60004474</v>
      </c>
      <c r="W246" s="1">
        <v>32767</v>
      </c>
      <c r="X246" s="1">
        <v>11</v>
      </c>
      <c r="Z246" s="1">
        <v>2877754981</v>
      </c>
      <c r="AA246" s="1">
        <v>36</v>
      </c>
      <c r="AB246" s="1">
        <v>3056768</v>
      </c>
      <c r="AC246" s="1">
        <v>3056768</v>
      </c>
      <c r="AD246" s="16">
        <v>50.33</v>
      </c>
      <c r="AE246" s="1">
        <v>1</v>
      </c>
      <c r="AF246" s="1">
        <v>0</v>
      </c>
      <c r="AG246" s="1">
        <v>90</v>
      </c>
      <c r="AH246" s="1">
        <v>60003760</v>
      </c>
      <c r="AI246" s="1">
        <v>32767</v>
      </c>
      <c r="AJ246" s="1">
        <v>11</v>
      </c>
      <c r="AL246" s="1">
        <v>2878126437</v>
      </c>
      <c r="AM246" s="1">
        <v>37</v>
      </c>
      <c r="AN246" s="1">
        <v>500000</v>
      </c>
      <c r="AO246" s="1">
        <v>499999</v>
      </c>
      <c r="AP246" s="16">
        <v>144.03</v>
      </c>
      <c r="AQ246" s="1">
        <v>1</v>
      </c>
      <c r="AR246" s="1">
        <v>1</v>
      </c>
      <c r="AS246" s="1">
        <v>90</v>
      </c>
      <c r="AT246" s="1">
        <v>60001591</v>
      </c>
      <c r="AU246" s="1">
        <v>-1</v>
      </c>
      <c r="AV246" s="1">
        <v>0</v>
      </c>
      <c r="AX246"/>
      <c r="AY246"/>
      <c r="AZ246"/>
      <c r="BA246"/>
      <c r="BB246"/>
      <c r="BC246"/>
      <c r="BD246"/>
      <c r="BE246"/>
      <c r="BF246"/>
      <c r="BG246"/>
      <c r="BH246"/>
      <c r="BJ246"/>
      <c r="BK246"/>
      <c r="BL246"/>
      <c r="BM246"/>
      <c r="BN246"/>
      <c r="BO246"/>
      <c r="BP246"/>
      <c r="BQ246"/>
      <c r="BR246"/>
      <c r="BS246"/>
      <c r="BT246"/>
      <c r="BV246"/>
      <c r="BW246"/>
      <c r="BX246"/>
      <c r="BY246"/>
      <c r="BZ246"/>
      <c r="CA246"/>
      <c r="CB246"/>
      <c r="CC246"/>
      <c r="CD246"/>
      <c r="CE246"/>
      <c r="CF246"/>
      <c r="CH246" s="1">
        <v>2362696744</v>
      </c>
      <c r="CI246" s="1">
        <v>29668</v>
      </c>
      <c r="CJ246" s="1">
        <v>3</v>
      </c>
      <c r="CK246" s="1">
        <v>3</v>
      </c>
      <c r="CL246" s="1">
        <v>420000000</v>
      </c>
      <c r="CM246" s="1">
        <v>1</v>
      </c>
      <c r="CN246" s="1">
        <v>1</v>
      </c>
      <c r="CO246" s="1">
        <v>90</v>
      </c>
      <c r="CP246" s="1">
        <v>60003760</v>
      </c>
      <c r="CQ246" s="1">
        <v>32767</v>
      </c>
      <c r="CR246" s="1">
        <v>0</v>
      </c>
      <c r="DR246" s="1">
        <v>2761097894</v>
      </c>
      <c r="DS246" s="1">
        <v>17888</v>
      </c>
      <c r="DT246" s="1">
        <v>625783</v>
      </c>
      <c r="DU246" s="1">
        <v>31783</v>
      </c>
      <c r="DV246" s="1">
        <v>415</v>
      </c>
      <c r="DW246" s="1">
        <v>1</v>
      </c>
      <c r="DX246" s="1">
        <v>0</v>
      </c>
      <c r="DY246" s="1">
        <v>90</v>
      </c>
      <c r="DZ246" s="1">
        <v>60001786</v>
      </c>
      <c r="EA246" s="1">
        <v>32767</v>
      </c>
      <c r="EB246" s="1">
        <v>0</v>
      </c>
      <c r="JF246"/>
      <c r="JG246"/>
      <c r="JH246"/>
      <c r="JI246"/>
      <c r="JJ246"/>
      <c r="JK246"/>
      <c r="JL246"/>
      <c r="JM246"/>
      <c r="JN246"/>
      <c r="JO246"/>
      <c r="JP246"/>
      <c r="NV246"/>
      <c r="NW246"/>
      <c r="NX246"/>
      <c r="NY246"/>
      <c r="NZ246"/>
      <c r="OA246"/>
      <c r="OB246"/>
      <c r="OC246"/>
      <c r="OD246"/>
      <c r="OE246"/>
      <c r="OF246"/>
    </row>
    <row r="247" spans="2:396" hidden="1" x14ac:dyDescent="0.25">
      <c r="B247" s="1">
        <v>2747911902</v>
      </c>
      <c r="C247" s="1">
        <v>34</v>
      </c>
      <c r="D247" s="1">
        <v>68853938</v>
      </c>
      <c r="E247" s="1">
        <v>68853938</v>
      </c>
      <c r="F247" s="1">
        <v>6.21</v>
      </c>
      <c r="G247" s="1">
        <v>1</v>
      </c>
      <c r="H247" s="1">
        <v>0</v>
      </c>
      <c r="I247" s="1">
        <v>90</v>
      </c>
      <c r="J247" s="1">
        <v>60003760</v>
      </c>
      <c r="K247" s="1">
        <v>32767</v>
      </c>
      <c r="L247" s="1">
        <v>0</v>
      </c>
      <c r="N247" s="1">
        <v>2851184172</v>
      </c>
      <c r="O247" s="1">
        <v>35</v>
      </c>
      <c r="P247" s="1">
        <v>10859</v>
      </c>
      <c r="Q247" s="1">
        <v>10858</v>
      </c>
      <c r="R247" s="1">
        <v>25</v>
      </c>
      <c r="S247" s="1">
        <v>1</v>
      </c>
      <c r="T247" s="1">
        <v>0</v>
      </c>
      <c r="U247" s="1">
        <v>90</v>
      </c>
      <c r="V247" s="1">
        <v>60013147</v>
      </c>
      <c r="W247" s="1">
        <v>32767</v>
      </c>
      <c r="X247" s="1">
        <v>11</v>
      </c>
      <c r="Z247" s="1">
        <v>2877755558</v>
      </c>
      <c r="AA247" s="1">
        <v>36</v>
      </c>
      <c r="AB247" s="1">
        <v>2933203</v>
      </c>
      <c r="AC247" s="1">
        <v>1275046</v>
      </c>
      <c r="AD247" s="16">
        <v>50.16</v>
      </c>
      <c r="AE247" s="1">
        <v>1</v>
      </c>
      <c r="AF247" s="1">
        <v>0</v>
      </c>
      <c r="AG247" s="1">
        <v>90</v>
      </c>
      <c r="AH247" s="1">
        <v>60003760</v>
      </c>
      <c r="AI247" s="1">
        <v>32767</v>
      </c>
      <c r="AJ247" s="1">
        <v>11</v>
      </c>
      <c r="AL247" s="1">
        <v>2878281339</v>
      </c>
      <c r="AM247" s="1">
        <v>37</v>
      </c>
      <c r="AN247" s="1">
        <v>1000000</v>
      </c>
      <c r="AO247" s="1">
        <v>962068</v>
      </c>
      <c r="AP247" s="16">
        <v>144.01</v>
      </c>
      <c r="AQ247" s="1">
        <v>1</v>
      </c>
      <c r="AR247" s="1">
        <v>1</v>
      </c>
      <c r="AS247" s="1">
        <v>90</v>
      </c>
      <c r="AT247" s="1">
        <v>60004057</v>
      </c>
      <c r="AU247" s="1">
        <v>3</v>
      </c>
      <c r="AV247" s="1">
        <v>0</v>
      </c>
      <c r="AX247"/>
      <c r="AY247"/>
      <c r="AZ247"/>
      <c r="BA247"/>
      <c r="BB247"/>
      <c r="BC247"/>
      <c r="BD247"/>
      <c r="BE247"/>
      <c r="BF247"/>
      <c r="BG247"/>
      <c r="BH247"/>
      <c r="BJ247"/>
      <c r="BK247"/>
      <c r="BL247"/>
      <c r="BM247"/>
      <c r="BN247"/>
      <c r="BO247"/>
      <c r="BP247"/>
      <c r="BQ247"/>
      <c r="BR247"/>
      <c r="BS247"/>
      <c r="BT247"/>
      <c r="BV247"/>
      <c r="BW247"/>
      <c r="BX247"/>
      <c r="BY247"/>
      <c r="BZ247"/>
      <c r="CA247"/>
      <c r="CB247"/>
      <c r="CC247"/>
      <c r="CD247"/>
      <c r="CE247"/>
      <c r="CF247"/>
      <c r="CH247" s="1">
        <v>2362696991</v>
      </c>
      <c r="CI247" s="1">
        <v>29668</v>
      </c>
      <c r="CJ247" s="1">
        <v>3</v>
      </c>
      <c r="CK247" s="1">
        <v>3</v>
      </c>
      <c r="CL247" s="1">
        <v>459000000</v>
      </c>
      <c r="CM247" s="1">
        <v>1</v>
      </c>
      <c r="CN247" s="1">
        <v>1</v>
      </c>
      <c r="CO247" s="1">
        <v>90</v>
      </c>
      <c r="CP247" s="1">
        <v>60003760</v>
      </c>
      <c r="CQ247" s="1">
        <v>32767</v>
      </c>
      <c r="CR247" s="1">
        <v>0</v>
      </c>
      <c r="DR247" s="1">
        <v>2764765939</v>
      </c>
      <c r="DS247" s="1">
        <v>17888</v>
      </c>
      <c r="DT247" s="1">
        <v>38292</v>
      </c>
      <c r="DU247" s="1">
        <v>38292</v>
      </c>
      <c r="DV247" s="1">
        <v>415</v>
      </c>
      <c r="DW247" s="1">
        <v>1</v>
      </c>
      <c r="DX247" s="1">
        <v>0</v>
      </c>
      <c r="DY247" s="1">
        <v>90</v>
      </c>
      <c r="DZ247" s="1">
        <v>60001786</v>
      </c>
      <c r="EA247" s="1">
        <v>32767</v>
      </c>
      <c r="EB247" s="1">
        <v>0</v>
      </c>
      <c r="JF247"/>
      <c r="JG247"/>
      <c r="JH247"/>
      <c r="JI247"/>
      <c r="JJ247"/>
      <c r="JK247"/>
      <c r="JL247"/>
      <c r="JM247"/>
      <c r="JN247"/>
      <c r="JO247"/>
      <c r="JP247"/>
      <c r="NV247"/>
      <c r="NW247"/>
      <c r="NX247"/>
      <c r="NY247"/>
      <c r="NZ247"/>
      <c r="OA247"/>
      <c r="OB247"/>
      <c r="OC247"/>
      <c r="OD247"/>
      <c r="OE247"/>
      <c r="OF247"/>
    </row>
    <row r="248" spans="2:396" hidden="1" x14ac:dyDescent="0.25">
      <c r="B248" s="1">
        <v>2748737378</v>
      </c>
      <c r="C248" s="1">
        <v>34</v>
      </c>
      <c r="D248" s="1">
        <v>612935296</v>
      </c>
      <c r="E248" s="1">
        <v>612935296</v>
      </c>
      <c r="F248" s="1">
        <v>6.17</v>
      </c>
      <c r="G248" s="1">
        <v>1</v>
      </c>
      <c r="H248" s="1">
        <v>0</v>
      </c>
      <c r="I248" s="1">
        <v>90</v>
      </c>
      <c r="J248" s="1">
        <v>60003760</v>
      </c>
      <c r="K248" s="1">
        <v>32767</v>
      </c>
      <c r="L248" s="1">
        <v>0</v>
      </c>
      <c r="N248" s="1">
        <v>2823151299</v>
      </c>
      <c r="O248" s="1">
        <v>35</v>
      </c>
      <c r="P248" s="1">
        <v>2715403</v>
      </c>
      <c r="Q248" s="1">
        <v>2714353</v>
      </c>
      <c r="R248" s="1">
        <v>15.95</v>
      </c>
      <c r="S248" s="1">
        <v>1</v>
      </c>
      <c r="T248" s="1">
        <v>0</v>
      </c>
      <c r="U248" s="1">
        <v>90</v>
      </c>
      <c r="V248" s="1">
        <v>60000787</v>
      </c>
      <c r="W248" s="1">
        <v>32767</v>
      </c>
      <c r="X248" s="1">
        <v>11</v>
      </c>
      <c r="Z248" s="1">
        <v>2877737146</v>
      </c>
      <c r="AA248" s="1">
        <v>36</v>
      </c>
      <c r="AB248" s="1">
        <v>73261</v>
      </c>
      <c r="AC248" s="1">
        <v>73261</v>
      </c>
      <c r="AD248" s="16">
        <v>50.2</v>
      </c>
      <c r="AE248" s="1">
        <v>1</v>
      </c>
      <c r="AF248" s="1">
        <v>0</v>
      </c>
      <c r="AG248" s="1">
        <v>30</v>
      </c>
      <c r="AH248" s="1">
        <v>60003760</v>
      </c>
      <c r="AI248" s="1">
        <v>32767</v>
      </c>
      <c r="AJ248" s="1">
        <v>11</v>
      </c>
      <c r="AL248" s="1">
        <v>2876274678</v>
      </c>
      <c r="AM248" s="1">
        <v>37</v>
      </c>
      <c r="AN248" s="1">
        <v>50000</v>
      </c>
      <c r="AO248" s="1">
        <v>36649</v>
      </c>
      <c r="AP248" s="16">
        <v>138</v>
      </c>
      <c r="AQ248" s="1">
        <v>1</v>
      </c>
      <c r="AR248" s="1">
        <v>1</v>
      </c>
      <c r="AS248" s="1">
        <v>7</v>
      </c>
      <c r="AT248" s="1">
        <v>60015027</v>
      </c>
      <c r="AU248" s="1">
        <v>-1</v>
      </c>
      <c r="AV248" s="1">
        <v>0</v>
      </c>
      <c r="AX248"/>
      <c r="AY248"/>
      <c r="AZ248"/>
      <c r="BA248"/>
      <c r="BB248"/>
      <c r="BC248"/>
      <c r="BD248"/>
      <c r="BE248"/>
      <c r="BF248"/>
      <c r="BG248"/>
      <c r="BH248"/>
      <c r="BJ248"/>
      <c r="BK248"/>
      <c r="BL248"/>
      <c r="BM248"/>
      <c r="BN248"/>
      <c r="BO248"/>
      <c r="BP248"/>
      <c r="BQ248"/>
      <c r="BR248"/>
      <c r="BS248"/>
      <c r="BT248"/>
      <c r="BV248"/>
      <c r="BW248"/>
      <c r="BX248"/>
      <c r="BY248"/>
      <c r="BZ248"/>
      <c r="CA248"/>
      <c r="CB248"/>
      <c r="CC248"/>
      <c r="CD248"/>
      <c r="CE248"/>
      <c r="CF248"/>
      <c r="CH248" s="1">
        <v>2362011986</v>
      </c>
      <c r="CI248" s="1">
        <v>29668</v>
      </c>
      <c r="CJ248" s="1">
        <v>1</v>
      </c>
      <c r="CK248" s="1">
        <v>1</v>
      </c>
      <c r="CL248" s="1">
        <v>376000000</v>
      </c>
      <c r="CM248" s="1">
        <v>1</v>
      </c>
      <c r="CN248" s="1">
        <v>1</v>
      </c>
      <c r="CO248" s="1">
        <v>90</v>
      </c>
      <c r="CP248" s="1">
        <v>60003760</v>
      </c>
      <c r="CQ248" s="1">
        <v>-1</v>
      </c>
      <c r="CR248" s="1">
        <v>0</v>
      </c>
      <c r="DR248" s="1">
        <v>2877917847</v>
      </c>
      <c r="DS248" s="1">
        <v>17888</v>
      </c>
      <c r="DT248" s="1">
        <v>645</v>
      </c>
      <c r="DU248" s="1">
        <v>645</v>
      </c>
      <c r="DV248" s="1">
        <v>336</v>
      </c>
      <c r="DW248" s="1">
        <v>1</v>
      </c>
      <c r="DX248" s="1">
        <v>0</v>
      </c>
      <c r="DY248" s="1">
        <v>90</v>
      </c>
      <c r="DZ248" s="1">
        <v>60000526</v>
      </c>
      <c r="EA248" s="1">
        <v>32767</v>
      </c>
      <c r="EB248" s="1">
        <v>0</v>
      </c>
      <c r="JF248"/>
      <c r="JG248"/>
      <c r="JH248"/>
      <c r="JI248"/>
      <c r="JJ248"/>
      <c r="JK248"/>
      <c r="JL248"/>
      <c r="JM248"/>
      <c r="JN248"/>
      <c r="JO248"/>
      <c r="JP248"/>
      <c r="NV248"/>
      <c r="NW248"/>
      <c r="NX248"/>
      <c r="NY248"/>
      <c r="NZ248"/>
      <c r="OA248"/>
      <c r="OB248"/>
      <c r="OC248"/>
      <c r="OD248"/>
      <c r="OE248"/>
      <c r="OF248"/>
    </row>
    <row r="249" spans="2:396" hidden="1" x14ac:dyDescent="0.25">
      <c r="B249" s="1">
        <v>2749271951</v>
      </c>
      <c r="C249" s="1">
        <v>34</v>
      </c>
      <c r="D249" s="1">
        <v>2205563</v>
      </c>
      <c r="E249" s="1">
        <v>2205563</v>
      </c>
      <c r="F249" s="1">
        <v>6.2</v>
      </c>
      <c r="G249" s="1">
        <v>1</v>
      </c>
      <c r="H249" s="1">
        <v>0</v>
      </c>
      <c r="I249" s="1">
        <v>90</v>
      </c>
      <c r="J249" s="1">
        <v>60003760</v>
      </c>
      <c r="K249" s="1">
        <v>32767</v>
      </c>
      <c r="L249" s="1">
        <v>0</v>
      </c>
      <c r="N249" s="1">
        <v>2843109300</v>
      </c>
      <c r="O249" s="1">
        <v>35</v>
      </c>
      <c r="P249" s="1">
        <v>3029892</v>
      </c>
      <c r="Q249" s="1">
        <v>2829892</v>
      </c>
      <c r="R249" s="1">
        <v>15.1</v>
      </c>
      <c r="S249" s="1">
        <v>1</v>
      </c>
      <c r="T249" s="1">
        <v>0</v>
      </c>
      <c r="U249" s="1">
        <v>90</v>
      </c>
      <c r="V249" s="1">
        <v>60000787</v>
      </c>
      <c r="W249" s="1">
        <v>32767</v>
      </c>
      <c r="X249" s="1">
        <v>11</v>
      </c>
      <c r="Z249" s="1">
        <v>2878033318</v>
      </c>
      <c r="AA249" s="1">
        <v>36</v>
      </c>
      <c r="AB249" s="1">
        <v>10735068</v>
      </c>
      <c r="AC249" s="1">
        <v>10735068</v>
      </c>
      <c r="AD249" s="16">
        <v>48.98</v>
      </c>
      <c r="AE249" s="1">
        <v>1</v>
      </c>
      <c r="AF249" s="1">
        <v>0</v>
      </c>
      <c r="AG249" s="1">
        <v>90</v>
      </c>
      <c r="AH249" s="1">
        <v>60003760</v>
      </c>
      <c r="AI249" s="1">
        <v>32767</v>
      </c>
      <c r="AJ249" s="1">
        <v>11</v>
      </c>
      <c r="AL249" s="1">
        <v>2877155784</v>
      </c>
      <c r="AM249" s="1">
        <v>37</v>
      </c>
      <c r="AN249" s="1">
        <v>10000</v>
      </c>
      <c r="AO249" s="1">
        <v>8519</v>
      </c>
      <c r="AP249" s="16">
        <v>138.01</v>
      </c>
      <c r="AQ249" s="1">
        <v>1</v>
      </c>
      <c r="AR249" s="1">
        <v>1</v>
      </c>
      <c r="AS249" s="1">
        <v>30</v>
      </c>
      <c r="AT249" s="1">
        <v>60015027</v>
      </c>
      <c r="AU249" s="1">
        <v>-1</v>
      </c>
      <c r="AV249" s="1">
        <v>0</v>
      </c>
      <c r="AX249"/>
      <c r="AY249"/>
      <c r="AZ249"/>
      <c r="BA249"/>
      <c r="BB249"/>
      <c r="BC249"/>
      <c r="BD249"/>
      <c r="BE249"/>
      <c r="BF249"/>
      <c r="BG249"/>
      <c r="BH249"/>
      <c r="BJ249"/>
      <c r="BK249"/>
      <c r="BL249"/>
      <c r="BM249"/>
      <c r="BN249"/>
      <c r="BO249"/>
      <c r="BP249"/>
      <c r="BQ249"/>
      <c r="BR249"/>
      <c r="BS249"/>
      <c r="BT249"/>
      <c r="BV249"/>
      <c r="BW249"/>
      <c r="BX249"/>
      <c r="BY249"/>
      <c r="BZ249"/>
      <c r="CA249"/>
      <c r="CB249"/>
      <c r="CC249"/>
      <c r="CD249"/>
      <c r="CE249"/>
      <c r="CF249"/>
      <c r="CH249" s="1">
        <v>2361913701</v>
      </c>
      <c r="CI249" s="1">
        <v>29668</v>
      </c>
      <c r="CJ249" s="1">
        <v>5</v>
      </c>
      <c r="CK249" s="1">
        <v>5</v>
      </c>
      <c r="CL249" s="1">
        <v>5900000</v>
      </c>
      <c r="CM249" s="1">
        <v>1</v>
      </c>
      <c r="CN249" s="1">
        <v>1</v>
      </c>
      <c r="CO249" s="1">
        <v>90</v>
      </c>
      <c r="CP249" s="1">
        <v>60003760</v>
      </c>
      <c r="CQ249" s="1">
        <v>32767</v>
      </c>
      <c r="CR249" s="1">
        <v>0</v>
      </c>
      <c r="DR249" s="1">
        <v>2877319674</v>
      </c>
      <c r="DS249" s="1">
        <v>17888</v>
      </c>
      <c r="DT249" s="1">
        <v>2803500</v>
      </c>
      <c r="DU249" s="1">
        <v>1905084</v>
      </c>
      <c r="DV249" s="1">
        <v>336.5</v>
      </c>
      <c r="DW249" s="1">
        <v>1</v>
      </c>
      <c r="DX249" s="1">
        <v>0</v>
      </c>
      <c r="DY249" s="1">
        <v>7</v>
      </c>
      <c r="DZ249" s="1">
        <v>60001786</v>
      </c>
      <c r="EA249" s="1">
        <v>32767</v>
      </c>
      <c r="EB249" s="1">
        <v>0</v>
      </c>
      <c r="JF249"/>
      <c r="JG249"/>
      <c r="JH249"/>
      <c r="JI249"/>
      <c r="JJ249"/>
      <c r="JK249"/>
      <c r="JL249"/>
      <c r="JM249"/>
      <c r="JN249"/>
      <c r="JO249"/>
      <c r="JP249"/>
      <c r="NV249"/>
      <c r="NW249"/>
      <c r="NX249"/>
      <c r="NY249"/>
      <c r="NZ249"/>
      <c r="OA249"/>
      <c r="OB249"/>
      <c r="OC249"/>
      <c r="OD249"/>
      <c r="OE249"/>
      <c r="OF249"/>
    </row>
    <row r="250" spans="2:396" x14ac:dyDescent="0.25">
      <c r="B250" s="1">
        <v>2744343345</v>
      </c>
      <c r="C250" s="1">
        <v>34</v>
      </c>
      <c r="D250" s="1">
        <v>2033614</v>
      </c>
      <c r="E250" s="1">
        <v>2033614</v>
      </c>
      <c r="F250" s="1">
        <v>6</v>
      </c>
      <c r="G250" s="1">
        <v>1</v>
      </c>
      <c r="H250" s="1">
        <v>0</v>
      </c>
      <c r="I250" s="1">
        <v>90</v>
      </c>
      <c r="J250" s="1">
        <v>60003760</v>
      </c>
      <c r="K250" s="1">
        <v>32767</v>
      </c>
      <c r="L250" s="1">
        <v>0</v>
      </c>
      <c r="N250" s="1">
        <v>2870736145</v>
      </c>
      <c r="O250" s="1">
        <v>35</v>
      </c>
      <c r="P250" s="1">
        <v>202357</v>
      </c>
      <c r="Q250" s="1">
        <v>202357</v>
      </c>
      <c r="R250" s="1">
        <v>14.8</v>
      </c>
      <c r="S250" s="1">
        <v>1</v>
      </c>
      <c r="T250" s="1">
        <v>0</v>
      </c>
      <c r="U250" s="1">
        <v>90</v>
      </c>
      <c r="V250" s="1">
        <v>60007594</v>
      </c>
      <c r="W250" s="1">
        <v>32767</v>
      </c>
      <c r="X250" s="1">
        <v>11</v>
      </c>
      <c r="Z250" s="1">
        <v>2878108851</v>
      </c>
      <c r="AA250" s="1">
        <v>36</v>
      </c>
      <c r="AB250" s="1">
        <v>1105959</v>
      </c>
      <c r="AC250" s="1">
        <v>902783</v>
      </c>
      <c r="AD250" s="16">
        <v>48.89</v>
      </c>
      <c r="AE250" s="1">
        <v>1</v>
      </c>
      <c r="AF250" s="1">
        <v>0</v>
      </c>
      <c r="AG250" s="1">
        <v>90</v>
      </c>
      <c r="AH250" s="1">
        <v>60003760</v>
      </c>
      <c r="AI250" s="1">
        <v>32767</v>
      </c>
      <c r="AJ250" s="1">
        <v>11</v>
      </c>
      <c r="AL250" s="1">
        <v>2879111860</v>
      </c>
      <c r="AM250" s="1">
        <v>37</v>
      </c>
      <c r="AN250" s="1">
        <v>521707</v>
      </c>
      <c r="AO250" s="1">
        <v>324348</v>
      </c>
      <c r="AP250" s="16">
        <v>143.24</v>
      </c>
      <c r="AQ250" s="1">
        <v>1</v>
      </c>
      <c r="AR250" s="1">
        <v>1</v>
      </c>
      <c r="AS250" s="1">
        <v>90</v>
      </c>
      <c r="AT250" s="1">
        <v>60003760</v>
      </c>
      <c r="AU250" s="1">
        <v>-1</v>
      </c>
      <c r="AV250" s="1">
        <v>0</v>
      </c>
      <c r="AX250"/>
      <c r="AY250"/>
      <c r="AZ250"/>
      <c r="BA250"/>
      <c r="BB250"/>
      <c r="BC250"/>
      <c r="BD250"/>
      <c r="BE250"/>
      <c r="BF250"/>
      <c r="BG250"/>
      <c r="BH250"/>
      <c r="BJ250"/>
      <c r="BK250"/>
      <c r="BL250"/>
      <c r="BM250"/>
      <c r="BN250"/>
      <c r="BO250"/>
      <c r="BP250"/>
      <c r="BQ250"/>
      <c r="BR250"/>
      <c r="BS250"/>
      <c r="BT250"/>
      <c r="BV250"/>
      <c r="BW250"/>
      <c r="BX250"/>
      <c r="BY250"/>
      <c r="BZ250"/>
      <c r="CA250"/>
      <c r="CB250"/>
      <c r="CC250"/>
      <c r="CD250"/>
      <c r="CE250"/>
      <c r="CF250"/>
      <c r="CH250" s="1">
        <v>2361310785</v>
      </c>
      <c r="CI250" s="1">
        <v>29668</v>
      </c>
      <c r="CJ250" s="1">
        <v>3</v>
      </c>
      <c r="CK250" s="1">
        <v>3</v>
      </c>
      <c r="CL250" s="1">
        <v>360000000</v>
      </c>
      <c r="CM250" s="1">
        <v>1</v>
      </c>
      <c r="CN250" s="1">
        <v>1</v>
      </c>
      <c r="CO250" s="1">
        <v>90</v>
      </c>
      <c r="CP250" s="1">
        <v>60003760</v>
      </c>
      <c r="CQ250" s="1">
        <v>0</v>
      </c>
      <c r="CR250" s="1">
        <v>0</v>
      </c>
      <c r="DR250" s="1">
        <v>2823947638</v>
      </c>
      <c r="DS250" s="1">
        <v>17888</v>
      </c>
      <c r="DT250" s="1">
        <v>2487000</v>
      </c>
      <c r="DU250" s="1">
        <v>2062000</v>
      </c>
      <c r="DV250" s="1">
        <v>404.98</v>
      </c>
      <c r="DW250" s="1">
        <v>1</v>
      </c>
      <c r="DX250" s="1">
        <v>0</v>
      </c>
      <c r="DY250" s="1">
        <v>90</v>
      </c>
      <c r="DZ250" s="1">
        <v>60002236</v>
      </c>
      <c r="EA250" s="1">
        <v>32767</v>
      </c>
      <c r="EB250" s="1">
        <v>9</v>
      </c>
      <c r="JF250"/>
      <c r="JG250"/>
      <c r="JH250"/>
      <c r="JI250"/>
      <c r="JJ250"/>
      <c r="JK250"/>
      <c r="JL250"/>
      <c r="JM250"/>
      <c r="JN250"/>
      <c r="JO250"/>
      <c r="JP250"/>
      <c r="NV250"/>
      <c r="NW250"/>
      <c r="NX250"/>
      <c r="NY250"/>
      <c r="NZ250"/>
      <c r="OA250"/>
      <c r="OB250"/>
      <c r="OC250"/>
      <c r="OD250"/>
      <c r="OE250"/>
      <c r="OF250"/>
    </row>
    <row r="251" spans="2:396" x14ac:dyDescent="0.25">
      <c r="B251" s="1">
        <v>2741942362</v>
      </c>
      <c r="C251" s="1">
        <v>34</v>
      </c>
      <c r="D251" s="1">
        <v>76926039</v>
      </c>
      <c r="E251" s="1">
        <v>76926039</v>
      </c>
      <c r="F251" s="1">
        <v>6.83</v>
      </c>
      <c r="G251" s="1">
        <v>1</v>
      </c>
      <c r="H251" s="1">
        <v>0</v>
      </c>
      <c r="I251" s="1">
        <v>90</v>
      </c>
      <c r="J251" s="1">
        <v>60003760</v>
      </c>
      <c r="K251" s="1">
        <v>32767</v>
      </c>
      <c r="L251" s="1">
        <v>0</v>
      </c>
      <c r="N251" s="1">
        <v>2870736283</v>
      </c>
      <c r="O251" s="1">
        <v>35</v>
      </c>
      <c r="P251" s="1">
        <v>1852173</v>
      </c>
      <c r="Q251" s="1">
        <v>1852173</v>
      </c>
      <c r="R251" s="1">
        <v>14.8</v>
      </c>
      <c r="S251" s="1">
        <v>1</v>
      </c>
      <c r="T251" s="1">
        <v>0</v>
      </c>
      <c r="U251" s="1">
        <v>90</v>
      </c>
      <c r="V251" s="1">
        <v>60000787</v>
      </c>
      <c r="W251" s="1">
        <v>32767</v>
      </c>
      <c r="X251" s="1">
        <v>11</v>
      </c>
      <c r="Z251" s="1">
        <v>2878109353</v>
      </c>
      <c r="AA251" s="1">
        <v>36</v>
      </c>
      <c r="AB251" s="1">
        <v>25009</v>
      </c>
      <c r="AC251" s="1">
        <v>25009</v>
      </c>
      <c r="AD251" s="16">
        <v>55.55</v>
      </c>
      <c r="AE251" s="1">
        <v>1</v>
      </c>
      <c r="AF251" s="1">
        <v>0</v>
      </c>
      <c r="AG251" s="1">
        <v>14</v>
      </c>
      <c r="AH251" s="1">
        <v>60003757</v>
      </c>
      <c r="AI251" s="1">
        <v>32767</v>
      </c>
      <c r="AJ251" s="1">
        <v>11</v>
      </c>
      <c r="AX251"/>
      <c r="AY251"/>
      <c r="AZ251"/>
      <c r="BA251"/>
      <c r="BB251"/>
      <c r="BC251"/>
      <c r="BD251"/>
      <c r="BE251"/>
      <c r="BF251"/>
      <c r="BG251"/>
      <c r="BH251"/>
      <c r="BJ251"/>
      <c r="BK251"/>
      <c r="BL251"/>
      <c r="BM251"/>
      <c r="BN251"/>
      <c r="BO251"/>
      <c r="BP251"/>
      <c r="BQ251"/>
      <c r="BR251"/>
      <c r="BS251"/>
      <c r="BT251"/>
      <c r="BV251"/>
      <c r="BW251"/>
      <c r="BX251"/>
      <c r="BY251"/>
      <c r="BZ251"/>
      <c r="CA251"/>
      <c r="CB251"/>
      <c r="CC251"/>
      <c r="CD251"/>
      <c r="CE251"/>
      <c r="CF251"/>
      <c r="CH251" s="1">
        <v>2360624925</v>
      </c>
      <c r="CI251" s="1">
        <v>29668</v>
      </c>
      <c r="CJ251" s="1">
        <v>10</v>
      </c>
      <c r="CK251" s="1">
        <v>10</v>
      </c>
      <c r="CL251" s="1">
        <v>4142889.99</v>
      </c>
      <c r="CM251" s="1">
        <v>1</v>
      </c>
      <c r="CN251" s="1">
        <v>1</v>
      </c>
      <c r="CO251" s="1">
        <v>90</v>
      </c>
      <c r="CP251" s="1">
        <v>60003760</v>
      </c>
      <c r="CQ251" s="1">
        <v>-1</v>
      </c>
      <c r="CR251" s="1">
        <v>0</v>
      </c>
      <c r="DR251" s="1">
        <v>2763544247</v>
      </c>
      <c r="DS251" s="1">
        <v>17888</v>
      </c>
      <c r="DT251" s="1">
        <v>18570</v>
      </c>
      <c r="DU251" s="1">
        <v>5920</v>
      </c>
      <c r="DV251" s="1">
        <v>434</v>
      </c>
      <c r="DW251" s="1">
        <v>1</v>
      </c>
      <c r="DX251" s="1">
        <v>0</v>
      </c>
      <c r="DY251" s="1">
        <v>90</v>
      </c>
      <c r="DZ251" s="1">
        <v>60002236</v>
      </c>
      <c r="EA251" s="1">
        <v>32767</v>
      </c>
      <c r="EB251" s="1">
        <v>9</v>
      </c>
      <c r="JF251"/>
      <c r="JG251"/>
      <c r="JH251"/>
      <c r="JI251"/>
      <c r="JJ251"/>
      <c r="JK251"/>
      <c r="JL251"/>
      <c r="JM251"/>
      <c r="JN251"/>
      <c r="JO251"/>
      <c r="JP251"/>
      <c r="NV251"/>
      <c r="NW251"/>
      <c r="NX251"/>
      <c r="NY251"/>
      <c r="NZ251"/>
      <c r="OA251"/>
      <c r="OB251"/>
      <c r="OC251"/>
      <c r="OD251"/>
      <c r="OE251"/>
      <c r="OF251"/>
    </row>
    <row r="252" spans="2:396" x14ac:dyDescent="0.25">
      <c r="B252" s="1">
        <v>2741969221</v>
      </c>
      <c r="C252" s="1">
        <v>34</v>
      </c>
      <c r="D252" s="1">
        <v>1684733330</v>
      </c>
      <c r="E252" s="1">
        <v>1684733330</v>
      </c>
      <c r="F252" s="1">
        <v>6.79</v>
      </c>
      <c r="G252" s="1">
        <v>1</v>
      </c>
      <c r="H252" s="1">
        <v>0</v>
      </c>
      <c r="I252" s="1">
        <v>90</v>
      </c>
      <c r="J252" s="1">
        <v>60003760</v>
      </c>
      <c r="K252" s="1">
        <v>32767</v>
      </c>
      <c r="L252" s="1">
        <v>0</v>
      </c>
      <c r="N252" s="1">
        <v>2815747821</v>
      </c>
      <c r="O252" s="1">
        <v>35</v>
      </c>
      <c r="P252" s="1">
        <v>2000000</v>
      </c>
      <c r="Q252" s="1">
        <v>856120</v>
      </c>
      <c r="R252" s="1">
        <v>15.8</v>
      </c>
      <c r="S252" s="1">
        <v>1</v>
      </c>
      <c r="T252" s="1">
        <v>0</v>
      </c>
      <c r="U252" s="1">
        <v>90</v>
      </c>
      <c r="V252" s="1">
        <v>60002242</v>
      </c>
      <c r="W252" s="1">
        <v>32767</v>
      </c>
      <c r="X252" s="1">
        <v>11</v>
      </c>
      <c r="Z252" s="1">
        <v>2878067201</v>
      </c>
      <c r="AA252" s="1">
        <v>36</v>
      </c>
      <c r="AB252" s="1">
        <v>13036773</v>
      </c>
      <c r="AC252" s="1">
        <v>13036773</v>
      </c>
      <c r="AD252" s="16">
        <v>48.94</v>
      </c>
      <c r="AE252" s="1">
        <v>1</v>
      </c>
      <c r="AF252" s="1">
        <v>0</v>
      </c>
      <c r="AG252" s="1">
        <v>90</v>
      </c>
      <c r="AH252" s="1">
        <v>60003760</v>
      </c>
      <c r="AI252" s="1">
        <v>32767</v>
      </c>
      <c r="AJ252" s="1">
        <v>11</v>
      </c>
      <c r="AX252"/>
      <c r="AY252"/>
      <c r="AZ252"/>
      <c r="BA252"/>
      <c r="BB252"/>
      <c r="BC252"/>
      <c r="BD252"/>
      <c r="BE252"/>
      <c r="BF252"/>
      <c r="BG252"/>
      <c r="BH252"/>
      <c r="BJ252"/>
      <c r="BK252"/>
      <c r="BL252"/>
      <c r="BM252"/>
      <c r="BN252"/>
      <c r="BO252"/>
      <c r="BP252"/>
      <c r="BQ252"/>
      <c r="BR252"/>
      <c r="BS252"/>
      <c r="BT252"/>
      <c r="BV252"/>
      <c r="BW252"/>
      <c r="BX252"/>
      <c r="BY252"/>
      <c r="BZ252"/>
      <c r="CA252"/>
      <c r="CB252"/>
      <c r="CC252"/>
      <c r="CD252"/>
      <c r="CE252"/>
      <c r="CF252"/>
      <c r="CH252" s="1">
        <v>2360626090</v>
      </c>
      <c r="CI252" s="1">
        <v>29668</v>
      </c>
      <c r="CJ252" s="1">
        <v>1000</v>
      </c>
      <c r="CK252" s="1">
        <v>1000</v>
      </c>
      <c r="CL252" s="1">
        <v>1</v>
      </c>
      <c r="CM252" s="1">
        <v>1</v>
      </c>
      <c r="CN252" s="1">
        <v>1</v>
      </c>
      <c r="CO252" s="1">
        <v>90</v>
      </c>
      <c r="CP252" s="1">
        <v>60003760</v>
      </c>
      <c r="CQ252" s="1">
        <v>-1</v>
      </c>
      <c r="CR252" s="1">
        <v>0</v>
      </c>
      <c r="DR252" s="1">
        <v>2783788764</v>
      </c>
      <c r="DS252" s="1">
        <v>17888</v>
      </c>
      <c r="DT252" s="1">
        <v>194375</v>
      </c>
      <c r="DU252" s="1">
        <v>194375</v>
      </c>
      <c r="DV252" s="1">
        <v>423</v>
      </c>
      <c r="DW252" s="1">
        <v>1</v>
      </c>
      <c r="DX252" s="1">
        <v>0</v>
      </c>
      <c r="DY252" s="1">
        <v>90</v>
      </c>
      <c r="DZ252" s="1">
        <v>60007591</v>
      </c>
      <c r="EA252" s="1">
        <v>32767</v>
      </c>
      <c r="EB252" s="1">
        <v>9</v>
      </c>
      <c r="JF252"/>
      <c r="JG252"/>
      <c r="JH252"/>
      <c r="JI252"/>
      <c r="JJ252"/>
      <c r="JK252"/>
      <c r="JL252"/>
      <c r="JM252"/>
      <c r="JN252"/>
      <c r="JO252"/>
      <c r="JP252"/>
      <c r="NV252"/>
      <c r="NW252"/>
      <c r="NX252"/>
      <c r="NY252"/>
      <c r="NZ252"/>
      <c r="OA252"/>
      <c r="OB252"/>
      <c r="OC252"/>
      <c r="OD252"/>
      <c r="OE252"/>
      <c r="OF252"/>
    </row>
    <row r="253" spans="2:396" x14ac:dyDescent="0.25">
      <c r="B253" s="1">
        <v>2745825921</v>
      </c>
      <c r="C253" s="1">
        <v>34</v>
      </c>
      <c r="D253" s="1">
        <v>83591056</v>
      </c>
      <c r="E253" s="1">
        <v>83591056</v>
      </c>
      <c r="F253" s="1">
        <v>6.22</v>
      </c>
      <c r="G253" s="1">
        <v>1</v>
      </c>
      <c r="H253" s="1">
        <v>0</v>
      </c>
      <c r="I253" s="1">
        <v>90</v>
      </c>
      <c r="J253" s="1">
        <v>60003760</v>
      </c>
      <c r="K253" s="1">
        <v>32767</v>
      </c>
      <c r="L253" s="1">
        <v>0</v>
      </c>
      <c r="N253" s="1">
        <v>2877050927</v>
      </c>
      <c r="O253" s="1">
        <v>35</v>
      </c>
      <c r="P253" s="1">
        <v>7677106</v>
      </c>
      <c r="Q253" s="1">
        <v>7677106</v>
      </c>
      <c r="R253" s="1">
        <v>14.75</v>
      </c>
      <c r="S253" s="1">
        <v>1</v>
      </c>
      <c r="T253" s="1">
        <v>0</v>
      </c>
      <c r="U253" s="1">
        <v>90</v>
      </c>
      <c r="V253" s="1">
        <v>60002242</v>
      </c>
      <c r="W253" s="1">
        <v>32767</v>
      </c>
      <c r="X253" s="1">
        <v>11</v>
      </c>
      <c r="Z253" s="1">
        <v>2878150834</v>
      </c>
      <c r="AA253" s="1">
        <v>36</v>
      </c>
      <c r="AB253" s="1">
        <v>1634737</v>
      </c>
      <c r="AC253" s="1">
        <v>17580</v>
      </c>
      <c r="AD253" s="16">
        <v>48.83</v>
      </c>
      <c r="AE253" s="1">
        <v>1</v>
      </c>
      <c r="AF253" s="1">
        <v>0</v>
      </c>
      <c r="AG253" s="1">
        <v>90</v>
      </c>
      <c r="AH253" s="1">
        <v>60003760</v>
      </c>
      <c r="AI253" s="1">
        <v>32767</v>
      </c>
      <c r="AJ253" s="1">
        <v>11</v>
      </c>
      <c r="AX253"/>
      <c r="AY253"/>
      <c r="AZ253"/>
      <c r="BA253"/>
      <c r="BB253"/>
      <c r="BC253"/>
      <c r="BD253"/>
      <c r="BE253"/>
      <c r="BF253"/>
      <c r="BG253"/>
      <c r="BH253"/>
      <c r="BJ253"/>
      <c r="BK253"/>
      <c r="BL253"/>
      <c r="BM253"/>
      <c r="BN253"/>
      <c r="BO253"/>
      <c r="BP253"/>
      <c r="BQ253"/>
      <c r="BR253"/>
      <c r="BS253"/>
      <c r="BT253"/>
      <c r="BV253"/>
      <c r="BW253"/>
      <c r="BX253"/>
      <c r="BY253"/>
      <c r="BZ253"/>
      <c r="CA253"/>
      <c r="CB253"/>
      <c r="CC253"/>
      <c r="CD253"/>
      <c r="CE253"/>
      <c r="CF253"/>
      <c r="CH253" s="1">
        <v>2360626458</v>
      </c>
      <c r="CI253" s="1">
        <v>29668</v>
      </c>
      <c r="CJ253" s="1">
        <v>1</v>
      </c>
      <c r="CK253" s="1">
        <v>1</v>
      </c>
      <c r="CL253" s="1">
        <v>0.01</v>
      </c>
      <c r="CM253" s="1">
        <v>1</v>
      </c>
      <c r="CN253" s="1">
        <v>1</v>
      </c>
      <c r="CO253" s="1">
        <v>90</v>
      </c>
      <c r="CP253" s="1">
        <v>60003760</v>
      </c>
      <c r="CQ253" s="1">
        <v>-1</v>
      </c>
      <c r="CR253" s="1">
        <v>0</v>
      </c>
      <c r="DR253" s="1">
        <v>2790904122</v>
      </c>
      <c r="DS253" s="1">
        <v>17888</v>
      </c>
      <c r="DT253" s="1">
        <v>22201</v>
      </c>
      <c r="DU253" s="1">
        <v>201</v>
      </c>
      <c r="DV253" s="1">
        <v>412</v>
      </c>
      <c r="DW253" s="1">
        <v>1</v>
      </c>
      <c r="DX253" s="1">
        <v>0</v>
      </c>
      <c r="DY253" s="1">
        <v>90</v>
      </c>
      <c r="DZ253" s="1">
        <v>60004474</v>
      </c>
      <c r="EA253" s="1">
        <v>32767</v>
      </c>
      <c r="EB253" s="1">
        <v>9</v>
      </c>
      <c r="JF253"/>
      <c r="JG253"/>
      <c r="JH253"/>
      <c r="JI253"/>
      <c r="JJ253"/>
      <c r="JK253"/>
      <c r="JL253"/>
      <c r="JM253"/>
      <c r="JN253"/>
      <c r="JO253"/>
      <c r="JP253"/>
      <c r="NV253"/>
      <c r="NW253"/>
      <c r="NX253"/>
      <c r="NY253"/>
      <c r="NZ253"/>
      <c r="OA253"/>
      <c r="OB253"/>
      <c r="OC253"/>
      <c r="OD253"/>
      <c r="OE253"/>
      <c r="OF253"/>
    </row>
    <row r="254" spans="2:396" x14ac:dyDescent="0.25">
      <c r="B254" s="1">
        <v>2746280520</v>
      </c>
      <c r="C254" s="1">
        <v>34</v>
      </c>
      <c r="D254" s="1">
        <v>1659794</v>
      </c>
      <c r="E254" s="1">
        <v>1659794</v>
      </c>
      <c r="F254" s="1">
        <v>6.21</v>
      </c>
      <c r="G254" s="1">
        <v>1</v>
      </c>
      <c r="H254" s="1">
        <v>0</v>
      </c>
      <c r="I254" s="1">
        <v>90</v>
      </c>
      <c r="J254" s="1">
        <v>60003760</v>
      </c>
      <c r="K254" s="1">
        <v>32767</v>
      </c>
      <c r="L254" s="1">
        <v>0</v>
      </c>
      <c r="N254" s="1">
        <v>2877051584</v>
      </c>
      <c r="O254" s="1">
        <v>35</v>
      </c>
      <c r="P254" s="1">
        <v>265729</v>
      </c>
      <c r="Q254" s="1">
        <v>265729</v>
      </c>
      <c r="R254" s="1">
        <v>14.75</v>
      </c>
      <c r="S254" s="1">
        <v>1</v>
      </c>
      <c r="T254" s="1">
        <v>0</v>
      </c>
      <c r="U254" s="1">
        <v>90</v>
      </c>
      <c r="V254" s="1">
        <v>60000583</v>
      </c>
      <c r="W254" s="1">
        <v>32767</v>
      </c>
      <c r="X254" s="1">
        <v>11</v>
      </c>
      <c r="Z254" s="1">
        <v>2878140420</v>
      </c>
      <c r="AA254" s="1">
        <v>36</v>
      </c>
      <c r="AB254" s="1">
        <v>1730919</v>
      </c>
      <c r="AC254" s="1">
        <v>187988</v>
      </c>
      <c r="AD254" s="16">
        <v>48.85</v>
      </c>
      <c r="AE254" s="1">
        <v>1</v>
      </c>
      <c r="AF254" s="1">
        <v>0</v>
      </c>
      <c r="AG254" s="1">
        <v>7</v>
      </c>
      <c r="AH254" s="1">
        <v>60003760</v>
      </c>
      <c r="AI254" s="1">
        <v>32767</v>
      </c>
      <c r="AJ254" s="1">
        <v>11</v>
      </c>
      <c r="AX254"/>
      <c r="AY254"/>
      <c r="AZ254"/>
      <c r="BA254"/>
      <c r="BB254"/>
      <c r="BC254"/>
      <c r="BD254"/>
      <c r="BE254"/>
      <c r="BF254"/>
      <c r="BG254"/>
      <c r="BH254"/>
      <c r="BJ254"/>
      <c r="BK254"/>
      <c r="BL254"/>
      <c r="BM254"/>
      <c r="BN254"/>
      <c r="BO254"/>
      <c r="BP254"/>
      <c r="BQ254"/>
      <c r="BR254"/>
      <c r="BS254"/>
      <c r="BT254"/>
      <c r="BV254"/>
      <c r="BW254"/>
      <c r="BX254"/>
      <c r="BY254"/>
      <c r="BZ254"/>
      <c r="CA254"/>
      <c r="CB254"/>
      <c r="CC254"/>
      <c r="CD254"/>
      <c r="CE254"/>
      <c r="CF254"/>
      <c r="CH254" s="1">
        <v>2360684373</v>
      </c>
      <c r="CI254" s="1">
        <v>29668</v>
      </c>
      <c r="CJ254" s="1">
        <v>1</v>
      </c>
      <c r="CK254" s="1">
        <v>1</v>
      </c>
      <c r="CL254" s="1">
        <v>332000000</v>
      </c>
      <c r="CM254" s="1">
        <v>1</v>
      </c>
      <c r="CN254" s="1">
        <v>1</v>
      </c>
      <c r="CO254" s="1">
        <v>90</v>
      </c>
      <c r="CP254" s="1">
        <v>60003760</v>
      </c>
      <c r="CQ254" s="1">
        <v>-1</v>
      </c>
      <c r="CR254" s="1">
        <v>0</v>
      </c>
      <c r="DR254" s="1">
        <v>2790904252</v>
      </c>
      <c r="DS254" s="1">
        <v>17888</v>
      </c>
      <c r="DT254" s="1">
        <v>100000</v>
      </c>
      <c r="DU254" s="1">
        <v>100000</v>
      </c>
      <c r="DV254" s="1">
        <v>412</v>
      </c>
      <c r="DW254" s="1">
        <v>1</v>
      </c>
      <c r="DX254" s="1">
        <v>0</v>
      </c>
      <c r="DY254" s="1">
        <v>90</v>
      </c>
      <c r="DZ254" s="1">
        <v>60001591</v>
      </c>
      <c r="EA254" s="1">
        <v>32767</v>
      </c>
      <c r="EB254" s="1">
        <v>9</v>
      </c>
      <c r="JF254"/>
      <c r="JG254"/>
      <c r="JH254"/>
      <c r="JI254"/>
      <c r="JJ254"/>
      <c r="JK254"/>
      <c r="JL254"/>
      <c r="JM254"/>
      <c r="JN254"/>
      <c r="JO254"/>
      <c r="JP254"/>
      <c r="NV254"/>
      <c r="NW254"/>
      <c r="NX254"/>
      <c r="NY254"/>
      <c r="NZ254"/>
      <c r="OA254"/>
      <c r="OB254"/>
      <c r="OC254"/>
      <c r="OD254"/>
      <c r="OE254"/>
      <c r="OF254"/>
    </row>
    <row r="255" spans="2:396" x14ac:dyDescent="0.25">
      <c r="B255" s="1">
        <v>2745323351</v>
      </c>
      <c r="C255" s="1">
        <v>34</v>
      </c>
      <c r="D255" s="1">
        <v>89386024</v>
      </c>
      <c r="E255" s="1">
        <v>89386024</v>
      </c>
      <c r="F255" s="1">
        <v>6.25</v>
      </c>
      <c r="G255" s="1">
        <v>1</v>
      </c>
      <c r="H255" s="1">
        <v>0</v>
      </c>
      <c r="I255" s="1">
        <v>90</v>
      </c>
      <c r="J255" s="1">
        <v>60003760</v>
      </c>
      <c r="K255" s="1">
        <v>32767</v>
      </c>
      <c r="L255" s="1">
        <v>0</v>
      </c>
      <c r="N255" s="1">
        <v>2877051759</v>
      </c>
      <c r="O255" s="1">
        <v>35</v>
      </c>
      <c r="P255" s="1">
        <v>9477562</v>
      </c>
      <c r="Q255" s="1">
        <v>9477562</v>
      </c>
      <c r="R255" s="1">
        <v>14.75</v>
      </c>
      <c r="S255" s="1">
        <v>1</v>
      </c>
      <c r="T255" s="1">
        <v>0</v>
      </c>
      <c r="U255" s="1">
        <v>90</v>
      </c>
      <c r="V255" s="1">
        <v>60000391</v>
      </c>
      <c r="W255" s="1">
        <v>32767</v>
      </c>
      <c r="X255" s="1">
        <v>11</v>
      </c>
      <c r="Z255" s="1">
        <v>2878201809</v>
      </c>
      <c r="AA255" s="1">
        <v>36</v>
      </c>
      <c r="AB255" s="1">
        <v>275642</v>
      </c>
      <c r="AC255" s="1">
        <v>275642</v>
      </c>
      <c r="AD255" s="16">
        <v>48.8</v>
      </c>
      <c r="AE255" s="1">
        <v>1</v>
      </c>
      <c r="AF255" s="1">
        <v>0</v>
      </c>
      <c r="AG255" s="1">
        <v>90</v>
      </c>
      <c r="AH255" s="1">
        <v>60003760</v>
      </c>
      <c r="AI255" s="1">
        <v>32767</v>
      </c>
      <c r="AJ255" s="1">
        <v>11</v>
      </c>
      <c r="AX255"/>
      <c r="AY255"/>
      <c r="AZ255"/>
      <c r="BA255"/>
      <c r="BB255"/>
      <c r="BC255"/>
      <c r="BD255"/>
      <c r="BE255"/>
      <c r="BF255"/>
      <c r="BG255"/>
      <c r="BH255"/>
      <c r="BJ255"/>
      <c r="BK255"/>
      <c r="BL255"/>
      <c r="BM255"/>
      <c r="BN255"/>
      <c r="BO255"/>
      <c r="BP255"/>
      <c r="BQ255"/>
      <c r="BR255"/>
      <c r="BS255"/>
      <c r="BT255"/>
      <c r="CH255" s="1">
        <v>2360022736</v>
      </c>
      <c r="CI255" s="1">
        <v>29668</v>
      </c>
      <c r="CJ255" s="1">
        <v>1</v>
      </c>
      <c r="CK255" s="1">
        <v>1</v>
      </c>
      <c r="CL255" s="1">
        <v>531987.74</v>
      </c>
      <c r="CM255" s="1">
        <v>1</v>
      </c>
      <c r="CN255" s="1">
        <v>1</v>
      </c>
      <c r="CO255" s="1">
        <v>90</v>
      </c>
      <c r="CP255" s="1">
        <v>60003760</v>
      </c>
      <c r="CQ255" s="1">
        <v>32767</v>
      </c>
      <c r="CR255" s="1">
        <v>0</v>
      </c>
      <c r="DR255" s="1">
        <v>2854212933</v>
      </c>
      <c r="DS255" s="1">
        <v>17888</v>
      </c>
      <c r="DT255" s="1">
        <v>3000000</v>
      </c>
      <c r="DU255" s="1">
        <v>2950000</v>
      </c>
      <c r="DV255" s="1">
        <v>400</v>
      </c>
      <c r="DW255" s="1">
        <v>1</v>
      </c>
      <c r="DX255" s="1">
        <v>0</v>
      </c>
      <c r="DY255" s="1">
        <v>90</v>
      </c>
      <c r="DZ255" s="1">
        <v>60000301</v>
      </c>
      <c r="EA255" s="1">
        <v>32767</v>
      </c>
      <c r="EB255" s="1">
        <v>9</v>
      </c>
      <c r="JF255"/>
      <c r="JG255"/>
      <c r="JH255"/>
      <c r="JI255"/>
      <c r="JJ255"/>
      <c r="JK255"/>
      <c r="JL255"/>
      <c r="JM255"/>
      <c r="JN255"/>
      <c r="JO255"/>
      <c r="JP255"/>
      <c r="NV255"/>
      <c r="NW255"/>
      <c r="NX255"/>
      <c r="NY255"/>
      <c r="NZ255"/>
      <c r="OA255"/>
      <c r="OB255"/>
      <c r="OC255"/>
      <c r="OD255"/>
      <c r="OE255"/>
      <c r="OF255"/>
    </row>
    <row r="256" spans="2:396" x14ac:dyDescent="0.25">
      <c r="B256" s="1">
        <v>2745458021</v>
      </c>
      <c r="C256" s="1">
        <v>34</v>
      </c>
      <c r="D256" s="1">
        <v>87737043</v>
      </c>
      <c r="E256" s="1">
        <v>87737043</v>
      </c>
      <c r="F256" s="1">
        <v>6.25</v>
      </c>
      <c r="G256" s="1">
        <v>1</v>
      </c>
      <c r="H256" s="1">
        <v>0</v>
      </c>
      <c r="I256" s="1">
        <v>90</v>
      </c>
      <c r="J256" s="1">
        <v>60003760</v>
      </c>
      <c r="K256" s="1">
        <v>32767</v>
      </c>
      <c r="L256" s="1">
        <v>0</v>
      </c>
      <c r="N256" s="1">
        <v>2877051167</v>
      </c>
      <c r="O256" s="1">
        <v>35</v>
      </c>
      <c r="P256" s="1">
        <v>76252</v>
      </c>
      <c r="Q256" s="1">
        <v>76252</v>
      </c>
      <c r="R256" s="1">
        <v>14.75</v>
      </c>
      <c r="S256" s="1">
        <v>1</v>
      </c>
      <c r="T256" s="1">
        <v>0</v>
      </c>
      <c r="U256" s="1">
        <v>90</v>
      </c>
      <c r="V256" s="1">
        <v>60000382</v>
      </c>
      <c r="W256" s="1">
        <v>32767</v>
      </c>
      <c r="X256" s="1">
        <v>11</v>
      </c>
      <c r="Z256" s="1">
        <v>2878202770</v>
      </c>
      <c r="AA256" s="1">
        <v>36</v>
      </c>
      <c r="AB256" s="1">
        <v>50000000</v>
      </c>
      <c r="AC256" s="1">
        <v>50000000</v>
      </c>
      <c r="AD256" s="16">
        <v>51.18</v>
      </c>
      <c r="AE256" s="1">
        <v>1</v>
      </c>
      <c r="AF256" s="1">
        <v>0</v>
      </c>
      <c r="AG256" s="1">
        <v>90</v>
      </c>
      <c r="AH256" s="1">
        <v>60003760</v>
      </c>
      <c r="AI256" s="1">
        <v>32767</v>
      </c>
      <c r="AJ256" s="1">
        <v>11</v>
      </c>
      <c r="AX256"/>
      <c r="AY256"/>
      <c r="AZ256"/>
      <c r="BA256"/>
      <c r="BB256"/>
      <c r="BC256"/>
      <c r="BD256"/>
      <c r="BE256"/>
      <c r="BF256"/>
      <c r="BG256"/>
      <c r="BH256"/>
      <c r="BJ256"/>
      <c r="BK256"/>
      <c r="BL256"/>
      <c r="BM256"/>
      <c r="BN256"/>
      <c r="BO256"/>
      <c r="BP256"/>
      <c r="BQ256"/>
      <c r="BR256"/>
      <c r="BS256"/>
      <c r="BT256"/>
      <c r="CH256" s="1">
        <v>2360484252</v>
      </c>
      <c r="CI256" s="1">
        <v>29668</v>
      </c>
      <c r="CJ256" s="1">
        <v>1</v>
      </c>
      <c r="CK256" s="1">
        <v>1</v>
      </c>
      <c r="CL256" s="1">
        <v>460000</v>
      </c>
      <c r="CM256" s="1">
        <v>1</v>
      </c>
      <c r="CN256" s="1">
        <v>1</v>
      </c>
      <c r="CO256" s="1">
        <v>90</v>
      </c>
      <c r="CP256" s="1">
        <v>60003760</v>
      </c>
      <c r="CQ256" s="1">
        <v>32767</v>
      </c>
      <c r="CR256" s="1">
        <v>0</v>
      </c>
      <c r="DR256" s="1">
        <v>2858691037</v>
      </c>
      <c r="DS256" s="1">
        <v>17888</v>
      </c>
      <c r="DT256" s="1">
        <v>2755</v>
      </c>
      <c r="DU256" s="1">
        <v>2755</v>
      </c>
      <c r="DV256" s="1">
        <v>344</v>
      </c>
      <c r="DW256" s="1">
        <v>1</v>
      </c>
      <c r="DX256" s="1">
        <v>0</v>
      </c>
      <c r="DY256" s="1">
        <v>90</v>
      </c>
      <c r="DZ256" s="1">
        <v>60000790</v>
      </c>
      <c r="EA256" s="1">
        <v>32767</v>
      </c>
      <c r="EB256" s="1">
        <v>9</v>
      </c>
      <c r="JF256"/>
      <c r="JG256"/>
      <c r="JH256"/>
      <c r="JI256"/>
      <c r="JJ256"/>
      <c r="JK256"/>
      <c r="JL256"/>
      <c r="JM256"/>
      <c r="JN256"/>
      <c r="JO256"/>
      <c r="JP256"/>
      <c r="NV256"/>
      <c r="NW256"/>
      <c r="NX256"/>
      <c r="NY256"/>
      <c r="NZ256"/>
      <c r="OA256"/>
      <c r="OB256"/>
      <c r="OC256"/>
      <c r="OD256"/>
      <c r="OE256"/>
      <c r="OF256"/>
    </row>
    <row r="257" spans="2:396" x14ac:dyDescent="0.25">
      <c r="B257" s="1">
        <v>2745610720</v>
      </c>
      <c r="C257" s="1">
        <v>34</v>
      </c>
      <c r="D257" s="1">
        <v>700000000</v>
      </c>
      <c r="E257" s="1">
        <v>700000000</v>
      </c>
      <c r="F257" s="1">
        <v>6.28</v>
      </c>
      <c r="G257" s="1">
        <v>1</v>
      </c>
      <c r="H257" s="1">
        <v>0</v>
      </c>
      <c r="I257" s="1">
        <v>90</v>
      </c>
      <c r="J257" s="1">
        <v>60003760</v>
      </c>
      <c r="K257" s="1">
        <v>32767</v>
      </c>
      <c r="L257" s="1">
        <v>0</v>
      </c>
      <c r="N257" s="1">
        <v>2877051415</v>
      </c>
      <c r="O257" s="1">
        <v>35</v>
      </c>
      <c r="P257" s="1">
        <v>27677720</v>
      </c>
      <c r="Q257" s="1">
        <v>27677720</v>
      </c>
      <c r="R257" s="1">
        <v>14.75</v>
      </c>
      <c r="S257" s="1">
        <v>1</v>
      </c>
      <c r="T257" s="1">
        <v>0</v>
      </c>
      <c r="U257" s="1">
        <v>90</v>
      </c>
      <c r="V257" s="1">
        <v>60000586</v>
      </c>
      <c r="W257" s="1">
        <v>32767</v>
      </c>
      <c r="X257" s="1">
        <v>11</v>
      </c>
      <c r="Z257" s="1">
        <v>2876224661</v>
      </c>
      <c r="AA257" s="1">
        <v>36</v>
      </c>
      <c r="AB257" s="1">
        <v>272304</v>
      </c>
      <c r="AC257" s="1">
        <v>272304</v>
      </c>
      <c r="AD257" s="16">
        <v>65</v>
      </c>
      <c r="AE257" s="1">
        <v>1</v>
      </c>
      <c r="AF257" s="1">
        <v>0</v>
      </c>
      <c r="AG257" s="1">
        <v>30</v>
      </c>
      <c r="AH257" s="1">
        <v>60003760</v>
      </c>
      <c r="AI257" s="1">
        <v>32767</v>
      </c>
      <c r="AJ257" s="1">
        <v>11</v>
      </c>
      <c r="AX257"/>
      <c r="AY257"/>
      <c r="AZ257"/>
      <c r="BA257"/>
      <c r="BB257"/>
      <c r="BC257"/>
      <c r="BD257"/>
      <c r="BE257"/>
      <c r="BF257"/>
      <c r="BG257"/>
      <c r="BH257"/>
      <c r="BJ257"/>
      <c r="BK257"/>
      <c r="BL257"/>
      <c r="BM257"/>
      <c r="BN257"/>
      <c r="BO257"/>
      <c r="BP257"/>
      <c r="BQ257"/>
      <c r="BR257"/>
      <c r="BS257"/>
      <c r="BT257"/>
      <c r="CH257" s="1">
        <v>2363612711</v>
      </c>
      <c r="CI257" s="1">
        <v>29668</v>
      </c>
      <c r="CJ257" s="1">
        <v>1</v>
      </c>
      <c r="CK257" s="1">
        <v>1</v>
      </c>
      <c r="CL257" s="1">
        <v>390000000</v>
      </c>
      <c r="CM257" s="1">
        <v>1</v>
      </c>
      <c r="CN257" s="1">
        <v>1</v>
      </c>
      <c r="CO257" s="1">
        <v>90</v>
      </c>
      <c r="CP257" s="1">
        <v>60003760</v>
      </c>
      <c r="CQ257" s="1">
        <v>-1</v>
      </c>
      <c r="CR257" s="1">
        <v>0</v>
      </c>
      <c r="DR257" s="1">
        <v>2863398250</v>
      </c>
      <c r="DS257" s="1">
        <v>17888</v>
      </c>
      <c r="DT257" s="1">
        <v>82888</v>
      </c>
      <c r="DU257" s="1">
        <v>82888</v>
      </c>
      <c r="DV257" s="1">
        <v>342</v>
      </c>
      <c r="DW257" s="1">
        <v>1</v>
      </c>
      <c r="DX257" s="1">
        <v>0</v>
      </c>
      <c r="DY257" s="1">
        <v>90</v>
      </c>
      <c r="DZ257" s="1">
        <v>60004474</v>
      </c>
      <c r="EA257" s="1">
        <v>32767</v>
      </c>
      <c r="EB257" s="1">
        <v>9</v>
      </c>
      <c r="JF257"/>
      <c r="JG257"/>
      <c r="JH257"/>
      <c r="JI257"/>
      <c r="JJ257"/>
      <c r="JK257"/>
      <c r="JL257"/>
      <c r="JM257"/>
      <c r="JN257"/>
      <c r="JO257"/>
      <c r="JP257"/>
      <c r="NV257"/>
      <c r="NW257"/>
      <c r="NX257"/>
      <c r="NY257"/>
      <c r="NZ257"/>
      <c r="OA257"/>
      <c r="OB257"/>
      <c r="OC257"/>
      <c r="OD257"/>
      <c r="OE257"/>
      <c r="OF257"/>
    </row>
    <row r="258" spans="2:396" x14ac:dyDescent="0.25">
      <c r="B258" s="1">
        <v>2745011008</v>
      </c>
      <c r="C258" s="1">
        <v>34</v>
      </c>
      <c r="D258" s="1">
        <v>418239834</v>
      </c>
      <c r="E258" s="1">
        <v>418239834</v>
      </c>
      <c r="F258" s="1">
        <v>6.23</v>
      </c>
      <c r="G258" s="1">
        <v>1</v>
      </c>
      <c r="H258" s="1">
        <v>0</v>
      </c>
      <c r="I258" s="1">
        <v>90</v>
      </c>
      <c r="J258" s="1">
        <v>60003760</v>
      </c>
      <c r="K258" s="1">
        <v>32767</v>
      </c>
      <c r="L258" s="1">
        <v>0</v>
      </c>
      <c r="N258" s="1">
        <v>2815752091</v>
      </c>
      <c r="O258" s="1">
        <v>35</v>
      </c>
      <c r="P258" s="1">
        <v>915775</v>
      </c>
      <c r="Q258" s="1">
        <v>875775</v>
      </c>
      <c r="R258" s="1">
        <v>15.8</v>
      </c>
      <c r="S258" s="1">
        <v>1</v>
      </c>
      <c r="T258" s="1">
        <v>0</v>
      </c>
      <c r="U258" s="1">
        <v>90</v>
      </c>
      <c r="V258" s="1">
        <v>60013144</v>
      </c>
      <c r="W258" s="1">
        <v>32767</v>
      </c>
      <c r="X258" s="1">
        <v>12</v>
      </c>
      <c r="Z258" s="1">
        <v>2877048017</v>
      </c>
      <c r="AA258" s="1">
        <v>36</v>
      </c>
      <c r="AB258" s="1">
        <v>2028341</v>
      </c>
      <c r="AC258" s="1">
        <v>2028341</v>
      </c>
      <c r="AD258" s="16">
        <v>50.55</v>
      </c>
      <c r="AE258" s="1">
        <v>1</v>
      </c>
      <c r="AF258" s="1">
        <v>0</v>
      </c>
      <c r="AG258" s="1">
        <v>14</v>
      </c>
      <c r="AH258" s="1">
        <v>60003760</v>
      </c>
      <c r="AI258" s="1">
        <v>32767</v>
      </c>
      <c r="AJ258" s="1">
        <v>11</v>
      </c>
      <c r="AX258"/>
      <c r="AY258"/>
      <c r="AZ258"/>
      <c r="BA258"/>
      <c r="BB258"/>
      <c r="BC258"/>
      <c r="BD258"/>
      <c r="BE258"/>
      <c r="BF258"/>
      <c r="BG258"/>
      <c r="BH258"/>
      <c r="BJ258"/>
      <c r="BK258"/>
      <c r="BL258"/>
      <c r="BM258"/>
      <c r="BN258"/>
      <c r="BO258"/>
      <c r="BP258"/>
      <c r="BQ258"/>
      <c r="BR258"/>
      <c r="BS258"/>
      <c r="BT258"/>
      <c r="CH258" s="1">
        <v>2363704242</v>
      </c>
      <c r="CI258" s="1">
        <v>29668</v>
      </c>
      <c r="CJ258" s="1">
        <v>10</v>
      </c>
      <c r="CK258" s="1">
        <v>10</v>
      </c>
      <c r="CL258" s="1">
        <v>381000000</v>
      </c>
      <c r="CM258" s="1">
        <v>1</v>
      </c>
      <c r="CN258" s="1">
        <v>1</v>
      </c>
      <c r="CO258" s="1">
        <v>90</v>
      </c>
      <c r="CP258" s="1">
        <v>60003760</v>
      </c>
      <c r="CQ258" s="1">
        <v>-1</v>
      </c>
      <c r="CR258" s="1">
        <v>0</v>
      </c>
      <c r="DR258" s="1">
        <v>2874821540</v>
      </c>
      <c r="DS258" s="1">
        <v>17888</v>
      </c>
      <c r="DT258" s="1">
        <v>95488</v>
      </c>
      <c r="DU258" s="1">
        <v>95488</v>
      </c>
      <c r="DV258" s="1">
        <v>412</v>
      </c>
      <c r="DW258" s="1">
        <v>1</v>
      </c>
      <c r="DX258" s="1">
        <v>0</v>
      </c>
      <c r="DY258" s="1">
        <v>7</v>
      </c>
      <c r="DZ258" s="1">
        <v>60001591</v>
      </c>
      <c r="EA258" s="1">
        <v>32767</v>
      </c>
      <c r="EB258" s="1">
        <v>9</v>
      </c>
      <c r="JF258"/>
      <c r="JG258"/>
      <c r="JH258"/>
      <c r="JI258"/>
      <c r="JJ258"/>
      <c r="JK258"/>
      <c r="JL258"/>
      <c r="JM258"/>
      <c r="JN258"/>
      <c r="JO258"/>
      <c r="JP258"/>
      <c r="NV258"/>
      <c r="NW258"/>
      <c r="NX258"/>
      <c r="NY258"/>
      <c r="NZ258"/>
      <c r="OA258"/>
      <c r="OB258"/>
      <c r="OC258"/>
      <c r="OD258"/>
      <c r="OE258"/>
      <c r="OF258"/>
    </row>
    <row r="259" spans="2:396" x14ac:dyDescent="0.25">
      <c r="B259" s="1">
        <v>2745153087</v>
      </c>
      <c r="C259" s="1">
        <v>34</v>
      </c>
      <c r="D259" s="1">
        <v>72712901</v>
      </c>
      <c r="E259" s="1">
        <v>72712901</v>
      </c>
      <c r="F259" s="1">
        <v>6.27</v>
      </c>
      <c r="G259" s="1">
        <v>1</v>
      </c>
      <c r="H259" s="1">
        <v>0</v>
      </c>
      <c r="I259" s="1">
        <v>90</v>
      </c>
      <c r="J259" s="1">
        <v>60003760</v>
      </c>
      <c r="K259" s="1">
        <v>32767</v>
      </c>
      <c r="L259" s="1">
        <v>0</v>
      </c>
      <c r="N259" s="1">
        <v>2856511032</v>
      </c>
      <c r="O259" s="1">
        <v>35</v>
      </c>
      <c r="P259" s="1">
        <v>1742585</v>
      </c>
      <c r="Q259" s="1">
        <v>242585</v>
      </c>
      <c r="R259" s="1">
        <v>15.26</v>
      </c>
      <c r="S259" s="1">
        <v>1</v>
      </c>
      <c r="T259" s="1">
        <v>0</v>
      </c>
      <c r="U259" s="1">
        <v>90</v>
      </c>
      <c r="V259" s="1">
        <v>60001588</v>
      </c>
      <c r="W259" s="1">
        <v>32767</v>
      </c>
      <c r="X259" s="1">
        <v>12</v>
      </c>
      <c r="Z259" s="1">
        <v>2870130605</v>
      </c>
      <c r="AA259" s="1">
        <v>36</v>
      </c>
      <c r="AB259" s="1">
        <v>600000</v>
      </c>
      <c r="AC259" s="1">
        <v>550000</v>
      </c>
      <c r="AD259" s="16">
        <v>52</v>
      </c>
      <c r="AE259" s="1">
        <v>1</v>
      </c>
      <c r="AF259" s="1">
        <v>0</v>
      </c>
      <c r="AG259" s="1">
        <v>90</v>
      </c>
      <c r="AH259" s="1">
        <v>60001642</v>
      </c>
      <c r="AI259" s="1">
        <v>32767</v>
      </c>
      <c r="AJ259" s="1">
        <v>7</v>
      </c>
      <c r="AX259"/>
      <c r="AY259"/>
      <c r="AZ259"/>
      <c r="BA259"/>
      <c r="BB259"/>
      <c r="BC259"/>
      <c r="BD259"/>
      <c r="BE259"/>
      <c r="BF259"/>
      <c r="BG259"/>
      <c r="BH259"/>
      <c r="BJ259"/>
      <c r="BK259"/>
      <c r="BL259"/>
      <c r="BM259"/>
      <c r="BN259"/>
      <c r="BO259"/>
      <c r="BP259"/>
      <c r="BQ259"/>
      <c r="BR259"/>
      <c r="BS259"/>
      <c r="BT259"/>
      <c r="CH259" s="1">
        <v>2363704488</v>
      </c>
      <c r="CI259" s="1">
        <v>29668</v>
      </c>
      <c r="CJ259" s="1">
        <v>2</v>
      </c>
      <c r="CK259" s="1">
        <v>2</v>
      </c>
      <c r="CL259" s="1">
        <v>381000001</v>
      </c>
      <c r="CM259" s="1">
        <v>1</v>
      </c>
      <c r="CN259" s="1">
        <v>1</v>
      </c>
      <c r="CO259" s="1">
        <v>90</v>
      </c>
      <c r="CP259" s="1">
        <v>60003760</v>
      </c>
      <c r="CQ259" s="1">
        <v>-1</v>
      </c>
      <c r="CR259" s="1">
        <v>0</v>
      </c>
      <c r="DR259" s="1">
        <v>2784983847</v>
      </c>
      <c r="DS259" s="1">
        <v>17888</v>
      </c>
      <c r="DT259" s="1">
        <v>1794</v>
      </c>
      <c r="DU259" s="1">
        <v>1794</v>
      </c>
      <c r="DV259" s="1">
        <v>413</v>
      </c>
      <c r="DW259" s="1">
        <v>1</v>
      </c>
      <c r="DX259" s="1">
        <v>0</v>
      </c>
      <c r="DY259" s="1">
        <v>90</v>
      </c>
      <c r="DZ259" s="1">
        <v>60010822</v>
      </c>
      <c r="EA259" s="1">
        <v>32767</v>
      </c>
      <c r="EB259" s="1">
        <v>9</v>
      </c>
      <c r="NV259"/>
      <c r="NW259"/>
      <c r="NX259"/>
      <c r="NY259"/>
      <c r="NZ259"/>
      <c r="OA259"/>
      <c r="OB259"/>
      <c r="OC259"/>
      <c r="OD259"/>
      <c r="OE259"/>
      <c r="OF259"/>
    </row>
    <row r="260" spans="2:396" x14ac:dyDescent="0.25">
      <c r="B260" s="1">
        <v>2867569768</v>
      </c>
      <c r="C260" s="1">
        <v>34</v>
      </c>
      <c r="D260" s="1">
        <v>1648636</v>
      </c>
      <c r="E260" s="1">
        <v>1648634</v>
      </c>
      <c r="F260" s="1">
        <v>9.99</v>
      </c>
      <c r="G260" s="1">
        <v>1</v>
      </c>
      <c r="H260" s="1">
        <v>0</v>
      </c>
      <c r="I260" s="1">
        <v>90</v>
      </c>
      <c r="J260" s="1">
        <v>60004423</v>
      </c>
      <c r="K260" s="1">
        <v>32767</v>
      </c>
      <c r="L260" s="1">
        <v>0</v>
      </c>
      <c r="N260" s="1">
        <v>2872288514</v>
      </c>
      <c r="O260" s="1">
        <v>35</v>
      </c>
      <c r="P260" s="1">
        <v>746691</v>
      </c>
      <c r="Q260" s="1">
        <v>746691</v>
      </c>
      <c r="R260" s="1">
        <v>14.75</v>
      </c>
      <c r="S260" s="1">
        <v>1</v>
      </c>
      <c r="T260" s="1">
        <v>0</v>
      </c>
      <c r="U260" s="1">
        <v>90</v>
      </c>
      <c r="V260" s="1">
        <v>60010816</v>
      </c>
      <c r="W260" s="1">
        <v>32767</v>
      </c>
      <c r="X260" s="1">
        <v>12</v>
      </c>
      <c r="Z260" s="1">
        <v>2876651906</v>
      </c>
      <c r="AA260" s="1">
        <v>36</v>
      </c>
      <c r="AB260" s="1">
        <v>929124</v>
      </c>
      <c r="AC260" s="1">
        <v>929124</v>
      </c>
      <c r="AD260" s="16">
        <v>47.9</v>
      </c>
      <c r="AE260" s="1">
        <v>1</v>
      </c>
      <c r="AF260" s="1">
        <v>0</v>
      </c>
      <c r="AG260" s="1">
        <v>30</v>
      </c>
      <c r="AH260" s="1">
        <v>60004048</v>
      </c>
      <c r="AI260" s="1">
        <v>32767</v>
      </c>
      <c r="AJ260" s="1">
        <v>7</v>
      </c>
      <c r="AX260"/>
      <c r="AY260"/>
      <c r="AZ260"/>
      <c r="BA260"/>
      <c r="BB260"/>
      <c r="BC260"/>
      <c r="BD260"/>
      <c r="BE260"/>
      <c r="BF260"/>
      <c r="BG260"/>
      <c r="BH260"/>
      <c r="BJ260"/>
      <c r="BK260"/>
      <c r="BL260"/>
      <c r="BM260"/>
      <c r="BN260"/>
      <c r="BO260"/>
      <c r="BP260"/>
      <c r="BQ260"/>
      <c r="BR260"/>
      <c r="BS260"/>
      <c r="BT260"/>
      <c r="CH260" s="1">
        <v>2363770938</v>
      </c>
      <c r="CI260" s="1">
        <v>29668</v>
      </c>
      <c r="CJ260" s="1">
        <v>1</v>
      </c>
      <c r="CK260" s="1">
        <v>1</v>
      </c>
      <c r="CL260" s="1">
        <v>366758010.00999999</v>
      </c>
      <c r="CM260" s="1">
        <v>1</v>
      </c>
      <c r="CN260" s="1">
        <v>1</v>
      </c>
      <c r="CO260" s="1">
        <v>90</v>
      </c>
      <c r="CP260" s="1">
        <v>60003760</v>
      </c>
      <c r="CQ260" s="1">
        <v>-1</v>
      </c>
      <c r="CR260" s="1">
        <v>0</v>
      </c>
      <c r="DR260" s="1">
        <v>2763544736</v>
      </c>
      <c r="DS260" s="1">
        <v>17888</v>
      </c>
      <c r="DT260" s="1">
        <v>64</v>
      </c>
      <c r="DU260" s="1">
        <v>64</v>
      </c>
      <c r="DV260" s="1">
        <v>434</v>
      </c>
      <c r="DW260" s="1">
        <v>1</v>
      </c>
      <c r="DX260" s="1">
        <v>0</v>
      </c>
      <c r="DY260" s="1">
        <v>90</v>
      </c>
      <c r="DZ260" s="1">
        <v>60002233</v>
      </c>
      <c r="EA260" s="1">
        <v>32767</v>
      </c>
      <c r="EB260" s="1">
        <v>9</v>
      </c>
      <c r="NV260"/>
      <c r="NW260"/>
      <c r="NX260"/>
      <c r="NY260"/>
      <c r="NZ260"/>
      <c r="OA260"/>
      <c r="OB260"/>
      <c r="OC260"/>
      <c r="OD260"/>
      <c r="OE260"/>
      <c r="OF260"/>
    </row>
    <row r="261" spans="2:396" x14ac:dyDescent="0.25">
      <c r="B261" s="1">
        <v>2868848081</v>
      </c>
      <c r="C261" s="1">
        <v>34</v>
      </c>
      <c r="D261" s="1">
        <v>31497458</v>
      </c>
      <c r="E261" s="1">
        <v>31497458</v>
      </c>
      <c r="F261" s="1">
        <v>5.85</v>
      </c>
      <c r="G261" s="1">
        <v>1</v>
      </c>
      <c r="H261" s="1">
        <v>0</v>
      </c>
      <c r="I261" s="1">
        <v>90</v>
      </c>
      <c r="J261" s="1">
        <v>60003760</v>
      </c>
      <c r="K261" s="1">
        <v>32767</v>
      </c>
      <c r="L261" s="1">
        <v>0</v>
      </c>
      <c r="N261" s="1">
        <v>2871859246</v>
      </c>
      <c r="O261" s="1">
        <v>35</v>
      </c>
      <c r="P261" s="1">
        <v>1561536</v>
      </c>
      <c r="Q261" s="1">
        <v>1561536</v>
      </c>
      <c r="R261" s="1">
        <v>15</v>
      </c>
      <c r="S261" s="1">
        <v>1</v>
      </c>
      <c r="T261" s="1">
        <v>0</v>
      </c>
      <c r="U261" s="1">
        <v>90</v>
      </c>
      <c r="V261" s="1">
        <v>60000589</v>
      </c>
      <c r="W261" s="1">
        <v>32767</v>
      </c>
      <c r="X261" s="1">
        <v>12</v>
      </c>
      <c r="Z261" s="1">
        <v>2863253467</v>
      </c>
      <c r="AA261" s="1">
        <v>36</v>
      </c>
      <c r="AB261" s="1">
        <v>2271373</v>
      </c>
      <c r="AC261" s="1">
        <v>1881373</v>
      </c>
      <c r="AD261" s="16">
        <v>52.99</v>
      </c>
      <c r="AE261" s="1">
        <v>1</v>
      </c>
      <c r="AF261" s="1">
        <v>0</v>
      </c>
      <c r="AG261" s="1">
        <v>30</v>
      </c>
      <c r="AH261" s="1">
        <v>60004054</v>
      </c>
      <c r="AI261" s="1">
        <v>32767</v>
      </c>
      <c r="AJ261" s="1">
        <v>8</v>
      </c>
      <c r="AX261"/>
      <c r="AY261"/>
      <c r="AZ261"/>
      <c r="BA261"/>
      <c r="BB261"/>
      <c r="BC261"/>
      <c r="BD261"/>
      <c r="BE261"/>
      <c r="BF261"/>
      <c r="BG261"/>
      <c r="BH261"/>
      <c r="BJ261"/>
      <c r="BK261"/>
      <c r="BL261"/>
      <c r="BM261"/>
      <c r="BN261"/>
      <c r="BO261"/>
      <c r="BP261"/>
      <c r="BQ261"/>
      <c r="BR261"/>
      <c r="BS261"/>
      <c r="BT261"/>
      <c r="CH261" s="1">
        <v>2363820520</v>
      </c>
      <c r="CI261" s="1">
        <v>29668</v>
      </c>
      <c r="CJ261" s="1">
        <v>1</v>
      </c>
      <c r="CK261" s="1">
        <v>1</v>
      </c>
      <c r="CL261" s="1">
        <v>420000</v>
      </c>
      <c r="CM261" s="1">
        <v>1</v>
      </c>
      <c r="CN261" s="1">
        <v>1</v>
      </c>
      <c r="CO261" s="1">
        <v>90</v>
      </c>
      <c r="CP261" s="1">
        <v>60003760</v>
      </c>
      <c r="CQ261" s="1">
        <v>-1</v>
      </c>
      <c r="CR261" s="1">
        <v>0</v>
      </c>
      <c r="DR261" s="1">
        <v>2766452682</v>
      </c>
      <c r="DS261" s="1">
        <v>17888</v>
      </c>
      <c r="DT261" s="1">
        <v>1115</v>
      </c>
      <c r="DU261" s="1">
        <v>1115</v>
      </c>
      <c r="DV261" s="1">
        <v>425</v>
      </c>
      <c r="DW261" s="1">
        <v>1</v>
      </c>
      <c r="DX261" s="1">
        <v>0</v>
      </c>
      <c r="DY261" s="1">
        <v>90</v>
      </c>
      <c r="DZ261" s="1">
        <v>60000787</v>
      </c>
      <c r="EA261" s="1">
        <v>32767</v>
      </c>
      <c r="EB261" s="1">
        <v>9</v>
      </c>
      <c r="NV261"/>
      <c r="NW261"/>
      <c r="NX261"/>
      <c r="NY261"/>
      <c r="NZ261"/>
      <c r="OA261"/>
      <c r="OB261"/>
      <c r="OC261"/>
      <c r="OD261"/>
      <c r="OE261"/>
      <c r="OF261"/>
    </row>
    <row r="262" spans="2:396" x14ac:dyDescent="0.25">
      <c r="B262" s="1">
        <v>2868542489</v>
      </c>
      <c r="C262" s="1">
        <v>34</v>
      </c>
      <c r="D262" s="1">
        <v>349050000</v>
      </c>
      <c r="E262" s="1">
        <v>349050000</v>
      </c>
      <c r="F262" s="1">
        <v>5.9</v>
      </c>
      <c r="G262" s="1">
        <v>1</v>
      </c>
      <c r="H262" s="1">
        <v>0</v>
      </c>
      <c r="I262" s="1">
        <v>90</v>
      </c>
      <c r="J262" s="1">
        <v>60003760</v>
      </c>
      <c r="K262" s="1">
        <v>32767</v>
      </c>
      <c r="L262" s="1">
        <v>0</v>
      </c>
      <c r="N262" s="1">
        <v>2870736618</v>
      </c>
      <c r="O262" s="1">
        <v>35</v>
      </c>
      <c r="P262" s="1">
        <v>404422</v>
      </c>
      <c r="Q262" s="1">
        <v>388422</v>
      </c>
      <c r="R262" s="1">
        <v>14.8</v>
      </c>
      <c r="S262" s="1">
        <v>1</v>
      </c>
      <c r="T262" s="1">
        <v>0</v>
      </c>
      <c r="U262" s="1">
        <v>90</v>
      </c>
      <c r="V262" s="1">
        <v>60001588</v>
      </c>
      <c r="W262" s="1">
        <v>32767</v>
      </c>
      <c r="X262" s="1">
        <v>12</v>
      </c>
      <c r="Z262" s="1">
        <v>2851282715</v>
      </c>
      <c r="AA262" s="1">
        <v>36</v>
      </c>
      <c r="AB262" s="1">
        <v>1027810</v>
      </c>
      <c r="AC262" s="1">
        <v>1027810</v>
      </c>
      <c r="AD262" s="16">
        <v>53.75</v>
      </c>
      <c r="AE262" s="1">
        <v>1</v>
      </c>
      <c r="AF262" s="1">
        <v>0</v>
      </c>
      <c r="AG262" s="1">
        <v>90</v>
      </c>
      <c r="AH262" s="1">
        <v>60004054</v>
      </c>
      <c r="AI262" s="1">
        <v>32767</v>
      </c>
      <c r="AJ262" s="1">
        <v>8</v>
      </c>
      <c r="AX262"/>
      <c r="AY262"/>
      <c r="AZ262"/>
      <c r="BA262"/>
      <c r="BB262"/>
      <c r="BC262"/>
      <c r="BD262"/>
      <c r="BE262"/>
      <c r="BF262"/>
      <c r="BG262"/>
      <c r="BH262"/>
      <c r="BJ262"/>
      <c r="BK262"/>
      <c r="BL262"/>
      <c r="BM262"/>
      <c r="BN262"/>
      <c r="BO262"/>
      <c r="BP262"/>
      <c r="BQ262"/>
      <c r="BR262"/>
      <c r="BS262"/>
      <c r="BT262"/>
      <c r="CH262" s="1">
        <v>2363943118</v>
      </c>
      <c r="CI262" s="1">
        <v>29668</v>
      </c>
      <c r="CJ262" s="1">
        <v>8</v>
      </c>
      <c r="CK262" s="1">
        <v>7</v>
      </c>
      <c r="CL262" s="1">
        <v>375600000.68000001</v>
      </c>
      <c r="CM262" s="1">
        <v>1</v>
      </c>
      <c r="CN262" s="1">
        <v>1</v>
      </c>
      <c r="CO262" s="1">
        <v>90</v>
      </c>
      <c r="CP262" s="1">
        <v>60003760</v>
      </c>
      <c r="CQ262" s="1">
        <v>-1</v>
      </c>
      <c r="CR262" s="1">
        <v>0</v>
      </c>
      <c r="DR262" s="1">
        <v>2828895808</v>
      </c>
      <c r="DS262" s="1">
        <v>17888</v>
      </c>
      <c r="DT262" s="1">
        <v>550000</v>
      </c>
      <c r="DU262" s="1">
        <v>302050</v>
      </c>
      <c r="DV262" s="1">
        <v>359.99</v>
      </c>
      <c r="DW262" s="1">
        <v>1</v>
      </c>
      <c r="DX262" s="1">
        <v>0</v>
      </c>
      <c r="DY262" s="1">
        <v>90</v>
      </c>
      <c r="DZ262" s="1">
        <v>60002242</v>
      </c>
      <c r="EA262" s="1">
        <v>32767</v>
      </c>
      <c r="EB262" s="1">
        <v>9</v>
      </c>
      <c r="NV262"/>
      <c r="NW262"/>
      <c r="NX262"/>
      <c r="NY262"/>
      <c r="NZ262"/>
      <c r="OA262"/>
      <c r="OB262"/>
      <c r="OC262"/>
      <c r="OD262"/>
      <c r="OE262"/>
      <c r="OF262"/>
    </row>
    <row r="263" spans="2:396" x14ac:dyDescent="0.25">
      <c r="B263" s="1">
        <v>2869991741</v>
      </c>
      <c r="C263" s="1">
        <v>34</v>
      </c>
      <c r="D263" s="1">
        <v>500000000</v>
      </c>
      <c r="E263" s="1">
        <v>290377460</v>
      </c>
      <c r="F263" s="1">
        <v>5.84</v>
      </c>
      <c r="G263" s="1">
        <v>1</v>
      </c>
      <c r="H263" s="1">
        <v>0</v>
      </c>
      <c r="I263" s="1">
        <v>90</v>
      </c>
      <c r="J263" s="1">
        <v>60003760</v>
      </c>
      <c r="K263" s="1">
        <v>32767</v>
      </c>
      <c r="L263" s="1">
        <v>0</v>
      </c>
      <c r="N263" s="1">
        <v>2869572823</v>
      </c>
      <c r="O263" s="1">
        <v>35</v>
      </c>
      <c r="P263" s="1">
        <v>11126060</v>
      </c>
      <c r="Q263" s="1">
        <v>11116060</v>
      </c>
      <c r="R263" s="1">
        <v>14.69</v>
      </c>
      <c r="S263" s="1">
        <v>1</v>
      </c>
      <c r="T263" s="1">
        <v>0</v>
      </c>
      <c r="U263" s="1">
        <v>7</v>
      </c>
      <c r="V263" s="1">
        <v>60001588</v>
      </c>
      <c r="W263" s="1">
        <v>32767</v>
      </c>
      <c r="X263" s="1">
        <v>12</v>
      </c>
      <c r="Z263" s="1">
        <v>2849913376</v>
      </c>
      <c r="AA263" s="1">
        <v>36</v>
      </c>
      <c r="AB263" s="1">
        <v>5000000</v>
      </c>
      <c r="AC263" s="1">
        <v>4520000</v>
      </c>
      <c r="AD263" s="16">
        <v>61.5</v>
      </c>
      <c r="AE263" s="1">
        <v>1</v>
      </c>
      <c r="AF263" s="1">
        <v>0</v>
      </c>
      <c r="AG263" s="1">
        <v>90</v>
      </c>
      <c r="AH263" s="1">
        <v>60001651</v>
      </c>
      <c r="AI263" s="1">
        <v>32767</v>
      </c>
      <c r="AJ263" s="1">
        <v>6</v>
      </c>
      <c r="AX263"/>
      <c r="AY263"/>
      <c r="AZ263"/>
      <c r="BA263"/>
      <c r="BB263"/>
      <c r="BC263"/>
      <c r="BD263"/>
      <c r="BE263"/>
      <c r="BF263"/>
      <c r="BG263"/>
      <c r="BH263"/>
      <c r="BJ263"/>
      <c r="BK263"/>
      <c r="BL263"/>
      <c r="BM263"/>
      <c r="BN263"/>
      <c r="BO263"/>
      <c r="BP263"/>
      <c r="BQ263"/>
      <c r="BR263"/>
      <c r="BS263"/>
      <c r="BT263"/>
      <c r="CH263" s="1">
        <v>2363900629</v>
      </c>
      <c r="CI263" s="1">
        <v>29668</v>
      </c>
      <c r="CJ263" s="1">
        <v>1</v>
      </c>
      <c r="CK263" s="1">
        <v>1</v>
      </c>
      <c r="CL263" s="1">
        <v>0.01</v>
      </c>
      <c r="CM263" s="1">
        <v>1</v>
      </c>
      <c r="CN263" s="1">
        <v>1</v>
      </c>
      <c r="CO263" s="1">
        <v>90</v>
      </c>
      <c r="CP263" s="1">
        <v>60003760</v>
      </c>
      <c r="CQ263" s="1">
        <v>-1</v>
      </c>
      <c r="CR263" s="1">
        <v>0</v>
      </c>
      <c r="DR263" s="1">
        <v>2873574379</v>
      </c>
      <c r="DS263" s="1">
        <v>17888</v>
      </c>
      <c r="DT263" s="1">
        <v>864778</v>
      </c>
      <c r="DU263" s="1">
        <v>864778</v>
      </c>
      <c r="DV263" s="1">
        <v>440</v>
      </c>
      <c r="DW263" s="1">
        <v>1</v>
      </c>
      <c r="DX263" s="1">
        <v>0</v>
      </c>
      <c r="DY263" s="1">
        <v>90</v>
      </c>
      <c r="DZ263" s="1">
        <v>60002242</v>
      </c>
      <c r="EA263" s="1">
        <v>32767</v>
      </c>
      <c r="EB263" s="1">
        <v>9</v>
      </c>
      <c r="NV263"/>
      <c r="NW263"/>
      <c r="NX263"/>
      <c r="NY263"/>
      <c r="NZ263"/>
      <c r="OA263"/>
      <c r="OB263"/>
      <c r="OC263"/>
      <c r="OD263"/>
      <c r="OE263"/>
      <c r="OF263"/>
    </row>
    <row r="264" spans="2:396" x14ac:dyDescent="0.25">
      <c r="B264" s="1">
        <v>2870054370</v>
      </c>
      <c r="C264" s="1">
        <v>34</v>
      </c>
      <c r="D264" s="1">
        <v>2147483647</v>
      </c>
      <c r="E264" s="1">
        <v>2147483647</v>
      </c>
      <c r="F264" s="1">
        <v>5.76</v>
      </c>
      <c r="G264" s="1">
        <v>1</v>
      </c>
      <c r="H264" s="1">
        <v>0</v>
      </c>
      <c r="I264" s="1">
        <v>90</v>
      </c>
      <c r="J264" s="1">
        <v>60003760</v>
      </c>
      <c r="K264" s="1">
        <v>32767</v>
      </c>
      <c r="L264" s="1">
        <v>0</v>
      </c>
      <c r="N264" s="1">
        <v>2869883732</v>
      </c>
      <c r="O264" s="1">
        <v>35</v>
      </c>
      <c r="P264" s="1">
        <v>440205</v>
      </c>
      <c r="Q264" s="1">
        <v>440205</v>
      </c>
      <c r="R264" s="1">
        <v>14.99</v>
      </c>
      <c r="S264" s="1">
        <v>1</v>
      </c>
      <c r="T264" s="1">
        <v>0</v>
      </c>
      <c r="U264" s="1">
        <v>14</v>
      </c>
      <c r="V264" s="1">
        <v>60000574</v>
      </c>
      <c r="W264" s="1">
        <v>32767</v>
      </c>
      <c r="X264" s="1">
        <v>12</v>
      </c>
      <c r="Z264" s="1">
        <v>2877243708</v>
      </c>
      <c r="AA264" s="1">
        <v>36</v>
      </c>
      <c r="AB264" s="1">
        <v>5243333</v>
      </c>
      <c r="AC264" s="1">
        <v>2743333</v>
      </c>
      <c r="AD264" s="16">
        <v>47.87</v>
      </c>
      <c r="AE264" s="1">
        <v>1</v>
      </c>
      <c r="AF264" s="1">
        <v>0</v>
      </c>
      <c r="AG264" s="1">
        <v>7</v>
      </c>
      <c r="AH264" s="1">
        <v>60002743</v>
      </c>
      <c r="AI264" s="1">
        <v>32767</v>
      </c>
      <c r="AJ264" s="1">
        <v>6</v>
      </c>
      <c r="AX264"/>
      <c r="AY264"/>
      <c r="AZ264"/>
      <c r="BA264"/>
      <c r="BB264"/>
      <c r="BC264"/>
      <c r="BD264"/>
      <c r="BE264"/>
      <c r="BF264"/>
      <c r="BG264"/>
      <c r="BH264"/>
      <c r="BJ264"/>
      <c r="BK264"/>
      <c r="BL264"/>
      <c r="BM264"/>
      <c r="BN264"/>
      <c r="BO264"/>
      <c r="BP264"/>
      <c r="BQ264"/>
      <c r="BR264"/>
      <c r="BS264"/>
      <c r="BT264"/>
      <c r="CH264" s="1">
        <v>2364807809</v>
      </c>
      <c r="CI264" s="1">
        <v>29668</v>
      </c>
      <c r="CJ264" s="1">
        <v>5</v>
      </c>
      <c r="CK264" s="1">
        <v>5</v>
      </c>
      <c r="CL264" s="1">
        <v>380000010</v>
      </c>
      <c r="CM264" s="1">
        <v>1</v>
      </c>
      <c r="CN264" s="1">
        <v>1</v>
      </c>
      <c r="CO264" s="1">
        <v>90</v>
      </c>
      <c r="CP264" s="1">
        <v>60003760</v>
      </c>
      <c r="CQ264" s="1">
        <v>32767</v>
      </c>
      <c r="CR264" s="1">
        <v>0</v>
      </c>
      <c r="DR264" s="1">
        <v>2873632661</v>
      </c>
      <c r="DS264" s="1">
        <v>17888</v>
      </c>
      <c r="DT264" s="1">
        <v>1250000</v>
      </c>
      <c r="DU264" s="1">
        <v>1190000</v>
      </c>
      <c r="DV264" s="1">
        <v>360</v>
      </c>
      <c r="DW264" s="1">
        <v>1</v>
      </c>
      <c r="DX264" s="1">
        <v>0</v>
      </c>
      <c r="DY264" s="1">
        <v>90</v>
      </c>
      <c r="DZ264" s="1">
        <v>60002242</v>
      </c>
      <c r="EA264" s="1">
        <v>32767</v>
      </c>
      <c r="EB264" s="1">
        <v>9</v>
      </c>
      <c r="NV264"/>
      <c r="NW264"/>
      <c r="NX264"/>
      <c r="NY264"/>
      <c r="NZ264"/>
      <c r="OA264"/>
      <c r="OB264"/>
      <c r="OC264"/>
      <c r="OD264"/>
      <c r="OE264"/>
      <c r="OF264"/>
    </row>
    <row r="265" spans="2:396" x14ac:dyDescent="0.25">
      <c r="B265" s="1">
        <v>2870052221</v>
      </c>
      <c r="C265" s="1">
        <v>34</v>
      </c>
      <c r="D265" s="1">
        <v>2109146994</v>
      </c>
      <c r="E265" s="1">
        <v>431829174</v>
      </c>
      <c r="F265" s="1">
        <v>5.76</v>
      </c>
      <c r="G265" s="1">
        <v>1</v>
      </c>
      <c r="H265" s="1">
        <v>0</v>
      </c>
      <c r="I265" s="1">
        <v>90</v>
      </c>
      <c r="J265" s="1">
        <v>60003760</v>
      </c>
      <c r="K265" s="1">
        <v>32767</v>
      </c>
      <c r="L265" s="1">
        <v>0</v>
      </c>
      <c r="N265" s="1">
        <v>2866022875</v>
      </c>
      <c r="O265" s="1">
        <v>35</v>
      </c>
      <c r="P265" s="1">
        <v>850382</v>
      </c>
      <c r="Q265" s="1">
        <v>382</v>
      </c>
      <c r="R265" s="1">
        <v>14.95</v>
      </c>
      <c r="S265" s="1">
        <v>1</v>
      </c>
      <c r="T265" s="1">
        <v>0</v>
      </c>
      <c r="U265" s="1">
        <v>14</v>
      </c>
      <c r="V265" s="1">
        <v>60000574</v>
      </c>
      <c r="W265" s="1">
        <v>32767</v>
      </c>
      <c r="X265" s="1">
        <v>12</v>
      </c>
      <c r="Z265" s="1">
        <v>2828111665</v>
      </c>
      <c r="AA265" s="1">
        <v>36</v>
      </c>
      <c r="AB265" s="1">
        <v>449527</v>
      </c>
      <c r="AC265" s="1">
        <v>138527</v>
      </c>
      <c r="AD265" s="16">
        <v>52.01</v>
      </c>
      <c r="AE265" s="1">
        <v>1</v>
      </c>
      <c r="AF265" s="1">
        <v>0</v>
      </c>
      <c r="AG265" s="1">
        <v>90</v>
      </c>
      <c r="AH265" s="1">
        <v>60004051</v>
      </c>
      <c r="AI265" s="1">
        <v>32767</v>
      </c>
      <c r="AJ265" s="1">
        <v>8</v>
      </c>
      <c r="AX265"/>
      <c r="AY265"/>
      <c r="AZ265"/>
      <c r="BA265"/>
      <c r="BB265"/>
      <c r="BC265"/>
      <c r="BD265"/>
      <c r="BE265"/>
      <c r="BF265"/>
      <c r="BG265"/>
      <c r="BH265"/>
      <c r="BJ265"/>
      <c r="BK265"/>
      <c r="BL265"/>
      <c r="BM265"/>
      <c r="BN265"/>
      <c r="BO265"/>
      <c r="BP265"/>
      <c r="BQ265"/>
      <c r="BR265"/>
      <c r="BS265"/>
      <c r="BT265"/>
      <c r="CH265" s="1">
        <v>2364656832</v>
      </c>
      <c r="CI265" s="1">
        <v>29668</v>
      </c>
      <c r="CJ265" s="1">
        <v>100</v>
      </c>
      <c r="CK265" s="1">
        <v>100</v>
      </c>
      <c r="CL265" s="1">
        <v>45000</v>
      </c>
      <c r="CM265" s="1">
        <v>1</v>
      </c>
      <c r="CN265" s="1">
        <v>1</v>
      </c>
      <c r="CO265" s="1">
        <v>90</v>
      </c>
      <c r="CP265" s="1">
        <v>60003760</v>
      </c>
      <c r="CQ265" s="1">
        <v>32767</v>
      </c>
      <c r="CR265" s="1">
        <v>0</v>
      </c>
      <c r="DR265" s="1">
        <v>2808907604</v>
      </c>
      <c r="DS265" s="1">
        <v>17888</v>
      </c>
      <c r="DT265" s="1">
        <v>375884</v>
      </c>
      <c r="DU265" s="1">
        <v>170884</v>
      </c>
      <c r="DV265" s="1">
        <v>688</v>
      </c>
      <c r="DW265" s="1">
        <v>1</v>
      </c>
      <c r="DX265" s="1">
        <v>0</v>
      </c>
      <c r="DY265" s="1">
        <v>90</v>
      </c>
      <c r="DZ265" s="1">
        <v>60002239</v>
      </c>
      <c r="EA265" s="1">
        <v>32767</v>
      </c>
      <c r="EB265" s="1">
        <v>8</v>
      </c>
      <c r="NV265"/>
      <c r="NW265"/>
      <c r="NX265"/>
      <c r="NY265"/>
      <c r="NZ265"/>
      <c r="OA265"/>
      <c r="OB265"/>
      <c r="OC265"/>
      <c r="OD265"/>
      <c r="OE265"/>
      <c r="OF265"/>
    </row>
    <row r="266" spans="2:396" x14ac:dyDescent="0.25">
      <c r="B266" s="1">
        <v>2870046147</v>
      </c>
      <c r="C266" s="1">
        <v>34</v>
      </c>
      <c r="D266" s="1">
        <v>26447890</v>
      </c>
      <c r="E266" s="1">
        <v>26447889</v>
      </c>
      <c r="F266" s="1">
        <v>5.8</v>
      </c>
      <c r="G266" s="1">
        <v>1</v>
      </c>
      <c r="H266" s="1">
        <v>0</v>
      </c>
      <c r="I266" s="1">
        <v>90</v>
      </c>
      <c r="J266" s="1">
        <v>60003760</v>
      </c>
      <c r="K266" s="1">
        <v>32767</v>
      </c>
      <c r="L266" s="1">
        <v>0</v>
      </c>
      <c r="N266" s="1">
        <v>2867418029</v>
      </c>
      <c r="O266" s="1">
        <v>35</v>
      </c>
      <c r="P266" s="1">
        <v>722525</v>
      </c>
      <c r="Q266" s="1">
        <v>722525</v>
      </c>
      <c r="R266" s="1">
        <v>15.04</v>
      </c>
      <c r="S266" s="1">
        <v>1</v>
      </c>
      <c r="T266" s="1">
        <v>0</v>
      </c>
      <c r="U266" s="1">
        <v>30</v>
      </c>
      <c r="V266" s="1">
        <v>60000574</v>
      </c>
      <c r="W266" s="1">
        <v>32767</v>
      </c>
      <c r="X266" s="1">
        <v>12</v>
      </c>
      <c r="Z266" s="1">
        <v>2834125087</v>
      </c>
      <c r="AA266" s="1">
        <v>36</v>
      </c>
      <c r="AB266" s="1">
        <v>1000028</v>
      </c>
      <c r="AC266" s="1">
        <v>647040</v>
      </c>
      <c r="AD266" s="16">
        <v>61.25</v>
      </c>
      <c r="AE266" s="1">
        <v>1</v>
      </c>
      <c r="AF266" s="1">
        <v>0</v>
      </c>
      <c r="AG266" s="1">
        <v>30</v>
      </c>
      <c r="AH266" s="1">
        <v>60000646</v>
      </c>
      <c r="AI266" s="1">
        <v>32767</v>
      </c>
      <c r="AJ266" s="1">
        <v>7</v>
      </c>
      <c r="AX266"/>
      <c r="AY266"/>
      <c r="AZ266"/>
      <c r="BA266"/>
      <c r="BB266"/>
      <c r="BC266"/>
      <c r="BD266"/>
      <c r="BE266"/>
      <c r="BF266"/>
      <c r="BG266"/>
      <c r="BH266"/>
      <c r="BJ266"/>
      <c r="BK266"/>
      <c r="BL266"/>
      <c r="BM266"/>
      <c r="BN266"/>
      <c r="BO266"/>
      <c r="BP266"/>
      <c r="BQ266"/>
      <c r="BR266"/>
      <c r="BS266"/>
      <c r="BT266"/>
      <c r="CH266" s="1">
        <v>2364699135</v>
      </c>
      <c r="CI266" s="1">
        <v>29668</v>
      </c>
      <c r="CJ266" s="1">
        <v>3</v>
      </c>
      <c r="CK266" s="1">
        <v>3</v>
      </c>
      <c r="CL266" s="1">
        <v>392500100.01999998</v>
      </c>
      <c r="CM266" s="1">
        <v>1</v>
      </c>
      <c r="CN266" s="1">
        <v>1</v>
      </c>
      <c r="CO266" s="1">
        <v>90</v>
      </c>
      <c r="CP266" s="1">
        <v>60003760</v>
      </c>
      <c r="CQ266" s="1">
        <v>32767</v>
      </c>
      <c r="CR266" s="1">
        <v>0</v>
      </c>
      <c r="DR266" s="1">
        <v>2773756510</v>
      </c>
      <c r="DS266" s="1">
        <v>17888</v>
      </c>
      <c r="DT266" s="1">
        <v>840839</v>
      </c>
      <c r="DU266" s="1">
        <v>370839</v>
      </c>
      <c r="DV266" s="1">
        <v>810</v>
      </c>
      <c r="DW266" s="1">
        <v>1</v>
      </c>
      <c r="DX266" s="1">
        <v>0</v>
      </c>
      <c r="DY266" s="1">
        <v>90</v>
      </c>
      <c r="DZ266" s="1">
        <v>60007585</v>
      </c>
      <c r="EA266" s="1">
        <v>32767</v>
      </c>
      <c r="EB266" s="1">
        <v>8</v>
      </c>
      <c r="NV266"/>
      <c r="NW266"/>
      <c r="NX266"/>
      <c r="NY266"/>
      <c r="NZ266"/>
      <c r="OA266"/>
      <c r="OB266"/>
      <c r="OC266"/>
      <c r="OD266"/>
      <c r="OE266"/>
      <c r="OF266"/>
    </row>
    <row r="267" spans="2:396" x14ac:dyDescent="0.25">
      <c r="B267" s="1">
        <v>2870049619</v>
      </c>
      <c r="C267" s="1">
        <v>34</v>
      </c>
      <c r="D267" s="1">
        <v>38243595</v>
      </c>
      <c r="E267" s="1">
        <v>38243595</v>
      </c>
      <c r="F267" s="1">
        <v>5.8</v>
      </c>
      <c r="G267" s="1">
        <v>1</v>
      </c>
      <c r="H267" s="1">
        <v>0</v>
      </c>
      <c r="I267" s="1">
        <v>7</v>
      </c>
      <c r="J267" s="1">
        <v>60003760</v>
      </c>
      <c r="K267" s="1">
        <v>32767</v>
      </c>
      <c r="L267" s="1">
        <v>0</v>
      </c>
      <c r="N267" s="1">
        <v>2877743642</v>
      </c>
      <c r="O267" s="1">
        <v>35</v>
      </c>
      <c r="P267" s="1">
        <v>447029</v>
      </c>
      <c r="Q267" s="1">
        <v>447029</v>
      </c>
      <c r="R267" s="1">
        <v>14.72</v>
      </c>
      <c r="S267" s="1">
        <v>1</v>
      </c>
      <c r="T267" s="1">
        <v>0</v>
      </c>
      <c r="U267" s="1">
        <v>90</v>
      </c>
      <c r="V267" s="1">
        <v>60013144</v>
      </c>
      <c r="W267" s="1">
        <v>32767</v>
      </c>
      <c r="X267" s="1">
        <v>12</v>
      </c>
      <c r="Z267" s="1">
        <v>2873487646</v>
      </c>
      <c r="AA267" s="1">
        <v>36</v>
      </c>
      <c r="AB267" s="1">
        <v>2486123</v>
      </c>
      <c r="AC267" s="1">
        <v>2201123</v>
      </c>
      <c r="AD267" s="16">
        <v>50.25</v>
      </c>
      <c r="AE267" s="1">
        <v>1</v>
      </c>
      <c r="AF267" s="1">
        <v>0</v>
      </c>
      <c r="AG267" s="1">
        <v>90</v>
      </c>
      <c r="AH267" s="1">
        <v>60004222</v>
      </c>
      <c r="AI267" s="1">
        <v>32767</v>
      </c>
      <c r="AJ267" s="1">
        <v>8</v>
      </c>
      <c r="AX267"/>
      <c r="AY267"/>
      <c r="AZ267"/>
      <c r="BA267"/>
      <c r="BB267"/>
      <c r="BC267"/>
      <c r="BD267"/>
      <c r="BE267"/>
      <c r="BF267"/>
      <c r="BG267"/>
      <c r="BH267"/>
      <c r="BJ267"/>
      <c r="BK267"/>
      <c r="BL267"/>
      <c r="BM267"/>
      <c r="BN267"/>
      <c r="BO267"/>
      <c r="BP267"/>
      <c r="BQ267"/>
      <c r="BR267"/>
      <c r="BS267"/>
      <c r="BT267"/>
      <c r="CH267" s="1">
        <v>2364557689</v>
      </c>
      <c r="CI267" s="1">
        <v>29668</v>
      </c>
      <c r="CJ267" s="1">
        <v>429999999</v>
      </c>
      <c r="CK267" s="1">
        <v>429999999</v>
      </c>
      <c r="CL267" s="1">
        <v>0.01</v>
      </c>
      <c r="CM267" s="1">
        <v>1</v>
      </c>
      <c r="CN267" s="1">
        <v>1</v>
      </c>
      <c r="CO267" s="1">
        <v>90</v>
      </c>
      <c r="CP267" s="1">
        <v>60003760</v>
      </c>
      <c r="CQ267" s="1">
        <v>-1</v>
      </c>
      <c r="CR267" s="1">
        <v>0</v>
      </c>
      <c r="DR267" s="1">
        <v>2854531993</v>
      </c>
      <c r="DS267" s="1">
        <v>17888</v>
      </c>
      <c r="DT267" s="1">
        <v>173911</v>
      </c>
      <c r="DU267" s="1">
        <v>173911</v>
      </c>
      <c r="DV267" s="1">
        <v>689.99</v>
      </c>
      <c r="DW267" s="1">
        <v>1</v>
      </c>
      <c r="DX267" s="1">
        <v>0</v>
      </c>
      <c r="DY267" s="1">
        <v>90</v>
      </c>
      <c r="DZ267" s="1">
        <v>60002239</v>
      </c>
      <c r="EA267" s="1">
        <v>32767</v>
      </c>
      <c r="EB267" s="1">
        <v>8</v>
      </c>
      <c r="NV267"/>
      <c r="NW267"/>
      <c r="NX267"/>
      <c r="NY267"/>
      <c r="NZ267"/>
      <c r="OA267"/>
      <c r="OB267"/>
      <c r="OC267"/>
      <c r="OD267"/>
      <c r="OE267"/>
      <c r="OF267"/>
    </row>
    <row r="268" spans="2:396" x14ac:dyDescent="0.25">
      <c r="B268" s="1">
        <v>2870011467</v>
      </c>
      <c r="C268" s="1">
        <v>34</v>
      </c>
      <c r="D268" s="1">
        <v>89999700</v>
      </c>
      <c r="E268" s="1">
        <v>89999700</v>
      </c>
      <c r="F268" s="1">
        <v>5.84</v>
      </c>
      <c r="G268" s="1">
        <v>1</v>
      </c>
      <c r="H268" s="1">
        <v>0</v>
      </c>
      <c r="I268" s="1">
        <v>90</v>
      </c>
      <c r="J268" s="1">
        <v>60003760</v>
      </c>
      <c r="K268" s="1">
        <v>32767</v>
      </c>
      <c r="L268" s="1">
        <v>0</v>
      </c>
      <c r="N268" s="1">
        <v>2847897986</v>
      </c>
      <c r="O268" s="1">
        <v>35</v>
      </c>
      <c r="P268" s="1">
        <v>2523629</v>
      </c>
      <c r="Q268" s="1">
        <v>2523629</v>
      </c>
      <c r="R268" s="1">
        <v>16.5</v>
      </c>
      <c r="S268" s="1">
        <v>1</v>
      </c>
      <c r="T268" s="1">
        <v>0</v>
      </c>
      <c r="U268" s="1">
        <v>90</v>
      </c>
      <c r="V268" s="1">
        <v>60002239</v>
      </c>
      <c r="W268" s="1">
        <v>32767</v>
      </c>
      <c r="X268" s="1">
        <v>10</v>
      </c>
      <c r="Z268" s="1">
        <v>2873427908</v>
      </c>
      <c r="AA268" s="1">
        <v>36</v>
      </c>
      <c r="AB268" s="1">
        <v>69040</v>
      </c>
      <c r="AC268" s="1">
        <v>16</v>
      </c>
      <c r="AD268" s="16">
        <v>48.5</v>
      </c>
      <c r="AE268" s="1">
        <v>1</v>
      </c>
      <c r="AF268" s="1">
        <v>0</v>
      </c>
      <c r="AG268" s="1">
        <v>30</v>
      </c>
      <c r="AH268" s="1">
        <v>60003937</v>
      </c>
      <c r="AI268" s="1">
        <v>32767</v>
      </c>
      <c r="AJ268" s="1">
        <v>8</v>
      </c>
      <c r="AX268"/>
      <c r="AY268"/>
      <c r="AZ268"/>
      <c r="BA268"/>
      <c r="BB268"/>
      <c r="BC268"/>
      <c r="BD268"/>
      <c r="BE268"/>
      <c r="BF268"/>
      <c r="BG268"/>
      <c r="BH268"/>
      <c r="BJ268"/>
      <c r="BK268"/>
      <c r="BL268"/>
      <c r="BM268"/>
      <c r="BN268"/>
      <c r="BO268"/>
      <c r="BP268"/>
      <c r="BQ268"/>
      <c r="BR268"/>
      <c r="BS268"/>
      <c r="BT268"/>
      <c r="CH268" s="1">
        <v>2364226173</v>
      </c>
      <c r="CI268" s="1">
        <v>29668</v>
      </c>
      <c r="CJ268" s="1">
        <v>1</v>
      </c>
      <c r="CK268" s="1">
        <v>1</v>
      </c>
      <c r="CL268" s="1">
        <v>100000</v>
      </c>
      <c r="CM268" s="1">
        <v>1</v>
      </c>
      <c r="CN268" s="1">
        <v>1</v>
      </c>
      <c r="CO268" s="1">
        <v>90</v>
      </c>
      <c r="CP268" s="1">
        <v>60003760</v>
      </c>
      <c r="CQ268" s="1">
        <v>40</v>
      </c>
      <c r="CR268" s="1">
        <v>0</v>
      </c>
      <c r="DR268" s="1">
        <v>2854532770</v>
      </c>
      <c r="DS268" s="1">
        <v>17888</v>
      </c>
      <c r="DT268" s="1">
        <v>21414</v>
      </c>
      <c r="DU268" s="1">
        <v>1414</v>
      </c>
      <c r="DV268" s="1">
        <v>695</v>
      </c>
      <c r="DW268" s="1">
        <v>1</v>
      </c>
      <c r="DX268" s="1">
        <v>0</v>
      </c>
      <c r="DY268" s="1">
        <v>90</v>
      </c>
      <c r="DZ268" s="1">
        <v>60013141</v>
      </c>
      <c r="EA268" s="1">
        <v>32767</v>
      </c>
      <c r="EB268" s="1">
        <v>8</v>
      </c>
      <c r="NV268"/>
      <c r="NW268"/>
      <c r="NX268"/>
      <c r="NY268"/>
      <c r="NZ268"/>
      <c r="OA268"/>
      <c r="OB268"/>
      <c r="OC268"/>
      <c r="OD268"/>
      <c r="OE268"/>
      <c r="OF268"/>
    </row>
    <row r="269" spans="2:396" x14ac:dyDescent="0.25">
      <c r="B269" s="1">
        <v>2870024772</v>
      </c>
      <c r="C269" s="1">
        <v>34</v>
      </c>
      <c r="D269" s="1">
        <v>98125000</v>
      </c>
      <c r="E269" s="1">
        <v>98125000</v>
      </c>
      <c r="F269" s="1">
        <v>5.84</v>
      </c>
      <c r="G269" s="1">
        <v>1</v>
      </c>
      <c r="H269" s="1">
        <v>0</v>
      </c>
      <c r="I269" s="1">
        <v>30</v>
      </c>
      <c r="J269" s="1">
        <v>60003760</v>
      </c>
      <c r="K269" s="1">
        <v>32767</v>
      </c>
      <c r="L269" s="1">
        <v>0</v>
      </c>
      <c r="N269" s="1">
        <v>2877053277</v>
      </c>
      <c r="O269" s="1">
        <v>35</v>
      </c>
      <c r="P269" s="1">
        <v>173765</v>
      </c>
      <c r="Q269" s="1">
        <v>173765</v>
      </c>
      <c r="R269" s="1">
        <v>14.75</v>
      </c>
      <c r="S269" s="1">
        <v>1</v>
      </c>
      <c r="T269" s="1">
        <v>0</v>
      </c>
      <c r="U269" s="1">
        <v>90</v>
      </c>
      <c r="V269" s="1">
        <v>60013141</v>
      </c>
      <c r="W269" s="1">
        <v>32767</v>
      </c>
      <c r="X269" s="1">
        <v>10</v>
      </c>
      <c r="Z269" s="1">
        <v>2868902991</v>
      </c>
      <c r="AA269" s="1">
        <v>36</v>
      </c>
      <c r="AB269" s="1">
        <v>267447</v>
      </c>
      <c r="AC269" s="1">
        <v>447</v>
      </c>
      <c r="AD269" s="16">
        <v>49.5</v>
      </c>
      <c r="AE269" s="1">
        <v>1</v>
      </c>
      <c r="AF269" s="1">
        <v>0</v>
      </c>
      <c r="AG269" s="1">
        <v>90</v>
      </c>
      <c r="AH269" s="1">
        <v>60003934</v>
      </c>
      <c r="AI269" s="1">
        <v>32767</v>
      </c>
      <c r="AJ269" s="1">
        <v>8</v>
      </c>
      <c r="AX269"/>
      <c r="AY269"/>
      <c r="AZ269"/>
      <c r="BA269"/>
      <c r="BB269"/>
      <c r="BC269"/>
      <c r="BD269"/>
      <c r="BE269"/>
      <c r="BF269"/>
      <c r="BG269"/>
      <c r="BH269"/>
      <c r="BJ269"/>
      <c r="BK269"/>
      <c r="BL269"/>
      <c r="BM269"/>
      <c r="BN269"/>
      <c r="BO269"/>
      <c r="BP269"/>
      <c r="BQ269"/>
      <c r="BR269"/>
      <c r="BS269"/>
      <c r="BT269"/>
      <c r="CH269" s="1">
        <v>2364315808</v>
      </c>
      <c r="CI269" s="1">
        <v>29668</v>
      </c>
      <c r="CJ269" s="1">
        <v>1</v>
      </c>
      <c r="CK269" s="1">
        <v>1</v>
      </c>
      <c r="CL269" s="1">
        <v>415499.99</v>
      </c>
      <c r="CM269" s="1">
        <v>1</v>
      </c>
      <c r="CN269" s="1">
        <v>1</v>
      </c>
      <c r="CO269" s="1">
        <v>90</v>
      </c>
      <c r="CP269" s="1">
        <v>60003760</v>
      </c>
      <c r="CQ269" s="1">
        <v>-1</v>
      </c>
      <c r="CR269" s="1">
        <v>0</v>
      </c>
      <c r="DR269" s="1">
        <v>2831345341</v>
      </c>
      <c r="DS269" s="1">
        <v>17888</v>
      </c>
      <c r="DT269" s="1">
        <v>157884</v>
      </c>
      <c r="DU269" s="1">
        <v>147884</v>
      </c>
      <c r="DV269" s="1">
        <v>689</v>
      </c>
      <c r="DW269" s="1">
        <v>1</v>
      </c>
      <c r="DX269" s="1">
        <v>0</v>
      </c>
      <c r="DY269" s="1">
        <v>90</v>
      </c>
      <c r="DZ269" s="1">
        <v>60002239</v>
      </c>
      <c r="EA269" s="1">
        <v>32767</v>
      </c>
      <c r="EB269" s="1">
        <v>8</v>
      </c>
      <c r="NV269"/>
      <c r="NW269"/>
      <c r="NX269"/>
      <c r="NY269"/>
      <c r="NZ269"/>
      <c r="OA269"/>
      <c r="OB269"/>
      <c r="OC269"/>
      <c r="OD269"/>
      <c r="OE269"/>
      <c r="OF269"/>
    </row>
    <row r="270" spans="2:396" x14ac:dyDescent="0.25">
      <c r="B270" s="1">
        <v>2870120252</v>
      </c>
      <c r="C270" s="1">
        <v>34</v>
      </c>
      <c r="D270" s="1">
        <v>62439203</v>
      </c>
      <c r="E270" s="1">
        <v>62439203</v>
      </c>
      <c r="F270" s="1">
        <v>5.82</v>
      </c>
      <c r="G270" s="1">
        <v>1</v>
      </c>
      <c r="H270" s="1">
        <v>0</v>
      </c>
      <c r="I270" s="1">
        <v>90</v>
      </c>
      <c r="J270" s="1">
        <v>60003760</v>
      </c>
      <c r="K270" s="1">
        <v>32767</v>
      </c>
      <c r="L270" s="1">
        <v>0</v>
      </c>
      <c r="N270" s="1">
        <v>2877053063</v>
      </c>
      <c r="O270" s="1">
        <v>35</v>
      </c>
      <c r="P270" s="1">
        <v>209040</v>
      </c>
      <c r="Q270" s="1">
        <v>209040</v>
      </c>
      <c r="R270" s="1">
        <v>14.75</v>
      </c>
      <c r="S270" s="1">
        <v>1</v>
      </c>
      <c r="T270" s="1">
        <v>0</v>
      </c>
      <c r="U270" s="1">
        <v>90</v>
      </c>
      <c r="V270" s="1">
        <v>60002239</v>
      </c>
      <c r="W270" s="1">
        <v>32767</v>
      </c>
      <c r="X270" s="1">
        <v>10</v>
      </c>
      <c r="Z270" s="1">
        <v>2874266653</v>
      </c>
      <c r="AA270" s="1">
        <v>36</v>
      </c>
      <c r="AB270" s="1">
        <v>68001</v>
      </c>
      <c r="AC270" s="1">
        <v>68001</v>
      </c>
      <c r="AD270" s="16">
        <v>49.9</v>
      </c>
      <c r="AE270" s="1">
        <v>1</v>
      </c>
      <c r="AF270" s="1">
        <v>0</v>
      </c>
      <c r="AG270" s="1">
        <v>90</v>
      </c>
      <c r="AH270" s="1">
        <v>60002434</v>
      </c>
      <c r="AI270" s="1">
        <v>32767</v>
      </c>
      <c r="AJ270" s="1">
        <v>9</v>
      </c>
      <c r="AX270"/>
      <c r="AY270"/>
      <c r="AZ270"/>
      <c r="BA270"/>
      <c r="BB270"/>
      <c r="BC270"/>
      <c r="BD270"/>
      <c r="BE270"/>
      <c r="BF270"/>
      <c r="BG270"/>
      <c r="BH270"/>
      <c r="BJ270"/>
      <c r="BK270"/>
      <c r="BL270"/>
      <c r="BM270"/>
      <c r="BN270"/>
      <c r="BO270"/>
      <c r="BP270"/>
      <c r="BQ270"/>
      <c r="BR270"/>
      <c r="BS270"/>
      <c r="BT270"/>
      <c r="CH270" s="1">
        <v>2364352675</v>
      </c>
      <c r="CI270" s="1">
        <v>29668</v>
      </c>
      <c r="CJ270" s="1">
        <v>3</v>
      </c>
      <c r="CK270" s="1">
        <v>3</v>
      </c>
      <c r="CL270" s="1">
        <v>451000000</v>
      </c>
      <c r="CM270" s="1">
        <v>1</v>
      </c>
      <c r="CN270" s="1">
        <v>1</v>
      </c>
      <c r="CO270" s="1">
        <v>90</v>
      </c>
      <c r="CP270" s="1">
        <v>60003760</v>
      </c>
      <c r="CQ270" s="1">
        <v>-1</v>
      </c>
      <c r="CR270" s="1">
        <v>0</v>
      </c>
      <c r="DR270" s="1">
        <v>2875522097</v>
      </c>
      <c r="DS270" s="1">
        <v>17888</v>
      </c>
      <c r="DT270" s="1">
        <v>152431</v>
      </c>
      <c r="DU270" s="1">
        <v>52431</v>
      </c>
      <c r="DV270" s="1">
        <v>689.98</v>
      </c>
      <c r="DW270" s="1">
        <v>1</v>
      </c>
      <c r="DX270" s="1">
        <v>0</v>
      </c>
      <c r="DY270" s="1">
        <v>90</v>
      </c>
      <c r="DZ270" s="1">
        <v>60013141</v>
      </c>
      <c r="EA270" s="1">
        <v>32767</v>
      </c>
      <c r="EB270" s="1">
        <v>8</v>
      </c>
      <c r="NV270"/>
      <c r="NW270"/>
      <c r="NX270"/>
      <c r="NY270"/>
      <c r="NZ270"/>
      <c r="OA270"/>
      <c r="OB270"/>
      <c r="OC270"/>
      <c r="OD270"/>
      <c r="OE270"/>
      <c r="OF270"/>
    </row>
    <row r="271" spans="2:396" x14ac:dyDescent="0.25">
      <c r="B271" s="1">
        <v>2867159871</v>
      </c>
      <c r="C271" s="1">
        <v>34</v>
      </c>
      <c r="D271" s="1">
        <v>11985</v>
      </c>
      <c r="E271" s="1">
        <v>11985</v>
      </c>
      <c r="F271" s="1">
        <v>25</v>
      </c>
      <c r="G271" s="1">
        <v>1</v>
      </c>
      <c r="H271" s="1">
        <v>0</v>
      </c>
      <c r="I271" s="1">
        <v>90</v>
      </c>
      <c r="J271" s="1">
        <v>60003760</v>
      </c>
      <c r="K271" s="1">
        <v>32767</v>
      </c>
      <c r="L271" s="1">
        <v>0</v>
      </c>
      <c r="N271" s="1">
        <v>2877052845</v>
      </c>
      <c r="O271" s="1">
        <v>35</v>
      </c>
      <c r="P271" s="1">
        <v>322234</v>
      </c>
      <c r="Q271" s="1">
        <v>322234</v>
      </c>
      <c r="R271" s="1">
        <v>14.75</v>
      </c>
      <c r="S271" s="1">
        <v>1</v>
      </c>
      <c r="T271" s="1">
        <v>0</v>
      </c>
      <c r="U271" s="1">
        <v>90</v>
      </c>
      <c r="V271" s="1">
        <v>60007585</v>
      </c>
      <c r="W271" s="1">
        <v>32767</v>
      </c>
      <c r="X271" s="1">
        <v>10</v>
      </c>
      <c r="Z271" s="1">
        <v>2878340400</v>
      </c>
      <c r="AA271" s="1">
        <v>36</v>
      </c>
      <c r="AB271" s="1">
        <v>3961</v>
      </c>
      <c r="AC271" s="1">
        <v>3961</v>
      </c>
      <c r="AD271" s="16">
        <v>48</v>
      </c>
      <c r="AE271" s="1">
        <v>1</v>
      </c>
      <c r="AF271" s="1">
        <v>0</v>
      </c>
      <c r="AG271" s="1">
        <v>1</v>
      </c>
      <c r="AH271" s="1">
        <v>60002434</v>
      </c>
      <c r="AI271" s="1">
        <v>32767</v>
      </c>
      <c r="AJ271" s="1">
        <v>9</v>
      </c>
      <c r="AX271"/>
      <c r="AY271"/>
      <c r="AZ271"/>
      <c r="BA271"/>
      <c r="BB271"/>
      <c r="BC271"/>
      <c r="BD271"/>
      <c r="BE271"/>
      <c r="BF271"/>
      <c r="BG271"/>
      <c r="BH271"/>
      <c r="BJ271"/>
      <c r="BK271"/>
      <c r="BL271"/>
      <c r="BM271"/>
      <c r="BN271"/>
      <c r="BO271"/>
      <c r="BP271"/>
      <c r="BQ271"/>
      <c r="BR271"/>
      <c r="BS271"/>
      <c r="BT271"/>
      <c r="CH271" s="1">
        <v>2365433357</v>
      </c>
      <c r="CI271" s="1">
        <v>29668</v>
      </c>
      <c r="CJ271" s="1">
        <v>1</v>
      </c>
      <c r="CK271" s="1">
        <v>1</v>
      </c>
      <c r="CL271" s="1">
        <v>402000000.00999999</v>
      </c>
      <c r="CM271" s="1">
        <v>1</v>
      </c>
      <c r="CN271" s="1">
        <v>1</v>
      </c>
      <c r="CO271" s="1">
        <v>90</v>
      </c>
      <c r="CP271" s="1">
        <v>60003760</v>
      </c>
      <c r="CQ271" s="1">
        <v>-1</v>
      </c>
      <c r="CR271" s="1">
        <v>0</v>
      </c>
      <c r="DR271" s="1">
        <v>2763544454</v>
      </c>
      <c r="DS271" s="1">
        <v>17888</v>
      </c>
      <c r="DT271" s="1">
        <v>258</v>
      </c>
      <c r="DU271" s="1">
        <v>258</v>
      </c>
      <c r="DV271" s="1">
        <v>434</v>
      </c>
      <c r="DW271" s="1">
        <v>1</v>
      </c>
      <c r="DX271" s="1">
        <v>0</v>
      </c>
      <c r="DY271" s="1">
        <v>90</v>
      </c>
      <c r="DZ271" s="1">
        <v>60004426</v>
      </c>
      <c r="EA271" s="1">
        <v>32767</v>
      </c>
      <c r="EB271" s="1">
        <v>11</v>
      </c>
      <c r="NV271"/>
      <c r="NW271"/>
      <c r="NX271"/>
      <c r="NY271"/>
      <c r="NZ271"/>
      <c r="OA271"/>
      <c r="OB271"/>
      <c r="OC271"/>
      <c r="OD271"/>
      <c r="OE271"/>
      <c r="OF271"/>
    </row>
    <row r="272" spans="2:396" x14ac:dyDescent="0.25">
      <c r="B272" s="1">
        <v>2866524575</v>
      </c>
      <c r="C272" s="1">
        <v>34</v>
      </c>
      <c r="D272" s="1">
        <v>18445225</v>
      </c>
      <c r="E272" s="1">
        <v>18445225</v>
      </c>
      <c r="F272" s="1">
        <v>6</v>
      </c>
      <c r="G272" s="1">
        <v>1</v>
      </c>
      <c r="H272" s="1">
        <v>0</v>
      </c>
      <c r="I272" s="1">
        <v>90</v>
      </c>
      <c r="J272" s="1">
        <v>60003760</v>
      </c>
      <c r="K272" s="1">
        <v>32767</v>
      </c>
      <c r="L272" s="1">
        <v>0</v>
      </c>
      <c r="N272" s="1">
        <v>2877054058</v>
      </c>
      <c r="O272" s="1">
        <v>35</v>
      </c>
      <c r="P272" s="1">
        <v>2177</v>
      </c>
      <c r="Q272" s="1">
        <v>2177</v>
      </c>
      <c r="R272" s="1">
        <v>14.75</v>
      </c>
      <c r="S272" s="1">
        <v>1</v>
      </c>
      <c r="T272" s="1">
        <v>0</v>
      </c>
      <c r="U272" s="1">
        <v>90</v>
      </c>
      <c r="V272" s="1">
        <v>60003175</v>
      </c>
      <c r="W272" s="1">
        <v>32767</v>
      </c>
      <c r="X272" s="1">
        <v>12</v>
      </c>
      <c r="Z272" s="1">
        <v>2851252669</v>
      </c>
      <c r="AA272" s="1">
        <v>36</v>
      </c>
      <c r="AB272" s="1">
        <v>546947</v>
      </c>
      <c r="AC272" s="1">
        <v>15575</v>
      </c>
      <c r="AD272" s="16">
        <v>48.8</v>
      </c>
      <c r="AE272" s="1">
        <v>1</v>
      </c>
      <c r="AF272" s="1">
        <v>0</v>
      </c>
      <c r="AG272" s="1">
        <v>90</v>
      </c>
      <c r="AH272" s="1">
        <v>60004075</v>
      </c>
      <c r="AI272" s="1">
        <v>32767</v>
      </c>
      <c r="AJ272" s="1">
        <v>8</v>
      </c>
      <c r="AX272"/>
      <c r="AY272"/>
      <c r="AZ272"/>
      <c r="BA272"/>
      <c r="BB272"/>
      <c r="BC272"/>
      <c r="BD272"/>
      <c r="BE272"/>
      <c r="BF272"/>
      <c r="BG272"/>
      <c r="BH272"/>
      <c r="BJ272"/>
      <c r="BK272"/>
      <c r="BL272"/>
      <c r="BM272"/>
      <c r="BN272"/>
      <c r="BO272"/>
      <c r="BP272"/>
      <c r="BQ272"/>
      <c r="BR272"/>
      <c r="BS272"/>
      <c r="BT272"/>
      <c r="CH272" s="1">
        <v>2365902552</v>
      </c>
      <c r="CI272" s="1">
        <v>29668</v>
      </c>
      <c r="CJ272" s="1">
        <v>1</v>
      </c>
      <c r="CK272" s="1">
        <v>1</v>
      </c>
      <c r="CL272" s="1">
        <v>375999999.99000001</v>
      </c>
      <c r="CM272" s="1">
        <v>1</v>
      </c>
      <c r="CN272" s="1">
        <v>1</v>
      </c>
      <c r="CO272" s="1">
        <v>90</v>
      </c>
      <c r="CP272" s="1">
        <v>60003760</v>
      </c>
      <c r="CQ272" s="1">
        <v>40</v>
      </c>
      <c r="CR272" s="1">
        <v>0</v>
      </c>
      <c r="DR272" s="1">
        <v>2774750225</v>
      </c>
      <c r="DS272" s="1">
        <v>17888</v>
      </c>
      <c r="DT272" s="1">
        <v>728005</v>
      </c>
      <c r="DU272" s="1">
        <v>288005</v>
      </c>
      <c r="DV272" s="1">
        <v>410</v>
      </c>
      <c r="DW272" s="1">
        <v>1</v>
      </c>
      <c r="DX272" s="1">
        <v>0</v>
      </c>
      <c r="DY272" s="1">
        <v>90</v>
      </c>
      <c r="DZ272" s="1">
        <v>60004372</v>
      </c>
      <c r="EA272" s="1">
        <v>32767</v>
      </c>
      <c r="EB272" s="1">
        <v>11</v>
      </c>
      <c r="NV272"/>
      <c r="NW272"/>
      <c r="NX272"/>
      <c r="NY272"/>
      <c r="NZ272"/>
      <c r="OA272"/>
      <c r="OB272"/>
      <c r="OC272"/>
      <c r="OD272"/>
      <c r="OE272"/>
      <c r="OF272"/>
    </row>
    <row r="273" spans="2:396" x14ac:dyDescent="0.25">
      <c r="B273" s="1">
        <v>2866482239</v>
      </c>
      <c r="C273" s="1">
        <v>34</v>
      </c>
      <c r="D273" s="1">
        <v>90000000</v>
      </c>
      <c r="E273" s="1">
        <v>90000000</v>
      </c>
      <c r="F273" s="1">
        <v>5.89</v>
      </c>
      <c r="G273" s="1">
        <v>1</v>
      </c>
      <c r="H273" s="1">
        <v>0</v>
      </c>
      <c r="I273" s="1">
        <v>30</v>
      </c>
      <c r="J273" s="1">
        <v>60003760</v>
      </c>
      <c r="K273" s="1">
        <v>32767</v>
      </c>
      <c r="L273" s="1">
        <v>0</v>
      </c>
      <c r="N273" s="1">
        <v>2877053834</v>
      </c>
      <c r="O273" s="1">
        <v>35</v>
      </c>
      <c r="P273" s="1">
        <v>59546</v>
      </c>
      <c r="Q273" s="1">
        <v>59546</v>
      </c>
      <c r="R273" s="1">
        <v>14.75</v>
      </c>
      <c r="S273" s="1">
        <v>1</v>
      </c>
      <c r="T273" s="1">
        <v>0</v>
      </c>
      <c r="U273" s="1">
        <v>90</v>
      </c>
      <c r="V273" s="1">
        <v>60001621</v>
      </c>
      <c r="W273" s="1">
        <v>32767</v>
      </c>
      <c r="X273" s="1">
        <v>12</v>
      </c>
      <c r="Z273" s="1">
        <v>2848692416</v>
      </c>
      <c r="AA273" s="1">
        <v>36</v>
      </c>
      <c r="AB273" s="1">
        <v>7923</v>
      </c>
      <c r="AC273" s="1">
        <v>7923</v>
      </c>
      <c r="AD273" s="16">
        <v>50</v>
      </c>
      <c r="AE273" s="1">
        <v>1</v>
      </c>
      <c r="AF273" s="1">
        <v>0</v>
      </c>
      <c r="AG273" s="1">
        <v>90</v>
      </c>
      <c r="AH273" s="1">
        <v>60006856</v>
      </c>
      <c r="AI273" s="1">
        <v>32767</v>
      </c>
      <c r="AJ273" s="1">
        <v>8</v>
      </c>
      <c r="AX273"/>
      <c r="AY273"/>
      <c r="AZ273"/>
      <c r="BA273"/>
      <c r="BB273"/>
      <c r="BC273"/>
      <c r="BD273"/>
      <c r="BE273"/>
      <c r="BF273"/>
      <c r="BG273"/>
      <c r="BH273"/>
      <c r="BJ273"/>
      <c r="BK273"/>
      <c r="BL273"/>
      <c r="BM273"/>
      <c r="BN273"/>
      <c r="BO273"/>
      <c r="BP273"/>
      <c r="BQ273"/>
      <c r="BR273"/>
      <c r="BS273"/>
      <c r="BT273"/>
      <c r="CH273" s="1">
        <v>2365927545</v>
      </c>
      <c r="CI273" s="1">
        <v>29668</v>
      </c>
      <c r="CJ273" s="1">
        <v>3</v>
      </c>
      <c r="CK273" s="1">
        <v>3</v>
      </c>
      <c r="CL273" s="1">
        <v>399000000</v>
      </c>
      <c r="CM273" s="1">
        <v>1</v>
      </c>
      <c r="CN273" s="1">
        <v>1</v>
      </c>
      <c r="CO273" s="1">
        <v>90</v>
      </c>
      <c r="CP273" s="1">
        <v>60003760</v>
      </c>
      <c r="CQ273" s="1">
        <v>32767</v>
      </c>
      <c r="CR273" s="1">
        <v>0</v>
      </c>
      <c r="DR273" s="1">
        <v>2822573027</v>
      </c>
      <c r="DS273" s="1">
        <v>17888</v>
      </c>
      <c r="DT273" s="1">
        <v>227500</v>
      </c>
      <c r="DU273" s="1">
        <v>7500</v>
      </c>
      <c r="DV273" s="1">
        <v>750</v>
      </c>
      <c r="DW273" s="1">
        <v>1</v>
      </c>
      <c r="DX273" s="1">
        <v>0</v>
      </c>
      <c r="DY273" s="1">
        <v>90</v>
      </c>
      <c r="DZ273" s="1">
        <v>60012325</v>
      </c>
      <c r="EA273" s="1">
        <v>32767</v>
      </c>
      <c r="EB273" s="1">
        <v>11</v>
      </c>
      <c r="NV273"/>
      <c r="NW273"/>
      <c r="NX273"/>
      <c r="NY273"/>
      <c r="NZ273"/>
      <c r="OA273"/>
      <c r="OB273"/>
      <c r="OC273"/>
      <c r="OD273"/>
      <c r="OE273"/>
      <c r="OF273"/>
    </row>
    <row r="274" spans="2:396" x14ac:dyDescent="0.25">
      <c r="B274" s="1">
        <v>2866359325</v>
      </c>
      <c r="C274" s="1">
        <v>34</v>
      </c>
      <c r="D274" s="1">
        <v>86000000</v>
      </c>
      <c r="E274" s="1">
        <v>86000000</v>
      </c>
      <c r="F274" s="1">
        <v>6</v>
      </c>
      <c r="G274" s="1">
        <v>1</v>
      </c>
      <c r="H274" s="1">
        <v>0</v>
      </c>
      <c r="I274" s="1">
        <v>90</v>
      </c>
      <c r="J274" s="1">
        <v>60003760</v>
      </c>
      <c r="K274" s="1">
        <v>32767</v>
      </c>
      <c r="L274" s="1">
        <v>0</v>
      </c>
      <c r="N274" s="1">
        <v>2877054574</v>
      </c>
      <c r="O274" s="1">
        <v>35</v>
      </c>
      <c r="P274" s="1">
        <v>17500</v>
      </c>
      <c r="Q274" s="1">
        <v>17500</v>
      </c>
      <c r="R274" s="1">
        <v>14.75</v>
      </c>
      <c r="S274" s="1">
        <v>1</v>
      </c>
      <c r="T274" s="1">
        <v>0</v>
      </c>
      <c r="U274" s="1">
        <v>90</v>
      </c>
      <c r="V274" s="1">
        <v>60001627</v>
      </c>
      <c r="W274" s="1">
        <v>32767</v>
      </c>
      <c r="X274" s="1">
        <v>12</v>
      </c>
      <c r="Z274" s="1">
        <v>2872929330</v>
      </c>
      <c r="AA274" s="1">
        <v>36</v>
      </c>
      <c r="AB274" s="1">
        <v>1000000</v>
      </c>
      <c r="AC274" s="1">
        <v>1000000</v>
      </c>
      <c r="AD274" s="16">
        <v>49.99</v>
      </c>
      <c r="AE274" s="1">
        <v>1</v>
      </c>
      <c r="AF274" s="1">
        <v>0</v>
      </c>
      <c r="AG274" s="1">
        <v>90</v>
      </c>
      <c r="AH274" s="1">
        <v>60004075</v>
      </c>
      <c r="AI274" s="1">
        <v>32767</v>
      </c>
      <c r="AJ274" s="1">
        <v>8</v>
      </c>
      <c r="AX274"/>
      <c r="AY274"/>
      <c r="AZ274"/>
      <c r="BA274"/>
      <c r="BB274"/>
      <c r="BC274"/>
      <c r="BD274"/>
      <c r="BE274"/>
      <c r="BF274"/>
      <c r="BG274"/>
      <c r="BH274"/>
      <c r="BJ274"/>
      <c r="BK274"/>
      <c r="BL274"/>
      <c r="BM274"/>
      <c r="BN274"/>
      <c r="BO274"/>
      <c r="BP274"/>
      <c r="BQ274"/>
      <c r="BR274"/>
      <c r="BS274"/>
      <c r="BT274"/>
      <c r="CH274" s="1">
        <v>2365944734</v>
      </c>
      <c r="CI274" s="1">
        <v>29668</v>
      </c>
      <c r="CJ274" s="1">
        <v>3</v>
      </c>
      <c r="CK274" s="1">
        <v>3</v>
      </c>
      <c r="CL274" s="1">
        <v>400000000</v>
      </c>
      <c r="CM274" s="1">
        <v>1</v>
      </c>
      <c r="CN274" s="1">
        <v>1</v>
      </c>
      <c r="CO274" s="1">
        <v>90</v>
      </c>
      <c r="CP274" s="1">
        <v>60003760</v>
      </c>
      <c r="CQ274" s="1">
        <v>-1</v>
      </c>
      <c r="CR274" s="1">
        <v>0</v>
      </c>
      <c r="DR274" s="1">
        <v>2835322500</v>
      </c>
      <c r="DS274" s="1">
        <v>17888</v>
      </c>
      <c r="DT274" s="1">
        <v>5170</v>
      </c>
      <c r="DU274" s="1">
        <v>104</v>
      </c>
      <c r="DV274" s="1">
        <v>500</v>
      </c>
      <c r="DW274" s="1">
        <v>1</v>
      </c>
      <c r="DX274" s="1">
        <v>0</v>
      </c>
      <c r="DY274" s="1">
        <v>90</v>
      </c>
      <c r="DZ274" s="1">
        <v>60002374</v>
      </c>
      <c r="EA274" s="1">
        <v>32767</v>
      </c>
      <c r="EB274" s="1">
        <v>11</v>
      </c>
      <c r="NV274"/>
      <c r="NW274"/>
      <c r="NX274"/>
      <c r="NY274"/>
      <c r="NZ274"/>
      <c r="OA274"/>
      <c r="OB274"/>
      <c r="OC274"/>
      <c r="OD274"/>
      <c r="OE274"/>
      <c r="OF274"/>
    </row>
    <row r="275" spans="2:396" x14ac:dyDescent="0.25">
      <c r="B275" s="1">
        <v>2866290078</v>
      </c>
      <c r="C275" s="1">
        <v>34</v>
      </c>
      <c r="D275" s="1">
        <v>138317834</v>
      </c>
      <c r="E275" s="1">
        <v>138317834</v>
      </c>
      <c r="F275" s="1">
        <v>5.89</v>
      </c>
      <c r="G275" s="1">
        <v>1</v>
      </c>
      <c r="H275" s="1">
        <v>0</v>
      </c>
      <c r="I275" s="1">
        <v>30</v>
      </c>
      <c r="J275" s="1">
        <v>60003760</v>
      </c>
      <c r="K275" s="1">
        <v>32767</v>
      </c>
      <c r="L275" s="1">
        <v>0</v>
      </c>
      <c r="N275" s="1">
        <v>2877054312</v>
      </c>
      <c r="O275" s="1">
        <v>35</v>
      </c>
      <c r="P275" s="1">
        <v>7397724</v>
      </c>
      <c r="Q275" s="1">
        <v>7397724</v>
      </c>
      <c r="R275" s="1">
        <v>14.75</v>
      </c>
      <c r="S275" s="1">
        <v>1</v>
      </c>
      <c r="T275" s="1">
        <v>0</v>
      </c>
      <c r="U275" s="1">
        <v>90</v>
      </c>
      <c r="V275" s="1">
        <v>60004468</v>
      </c>
      <c r="W275" s="1">
        <v>32767</v>
      </c>
      <c r="X275" s="1">
        <v>12</v>
      </c>
      <c r="Z275" s="1">
        <v>2799894057</v>
      </c>
      <c r="AA275" s="1">
        <v>36</v>
      </c>
      <c r="AB275" s="1">
        <v>1627953</v>
      </c>
      <c r="AC275" s="1">
        <v>1606206</v>
      </c>
      <c r="AD275" s="16">
        <v>248</v>
      </c>
      <c r="AE275" s="1">
        <v>1</v>
      </c>
      <c r="AF275" s="1">
        <v>0</v>
      </c>
      <c r="AG275" s="1">
        <v>90</v>
      </c>
      <c r="AH275" s="1">
        <v>60010192</v>
      </c>
      <c r="AI275" s="1">
        <v>32767</v>
      </c>
      <c r="AJ275" s="1">
        <v>9</v>
      </c>
      <c r="AX275"/>
      <c r="AY275"/>
      <c r="AZ275"/>
      <c r="BA275"/>
      <c r="BB275"/>
      <c r="BC275"/>
      <c r="BD275"/>
      <c r="BE275"/>
      <c r="BF275"/>
      <c r="BG275"/>
      <c r="BH275"/>
      <c r="BJ275"/>
      <c r="BK275"/>
      <c r="BL275"/>
      <c r="BM275"/>
      <c r="BN275"/>
      <c r="BO275"/>
      <c r="BP275"/>
      <c r="BQ275"/>
      <c r="BR275"/>
      <c r="BS275"/>
      <c r="BT275"/>
      <c r="CH275" s="1">
        <v>2365956830</v>
      </c>
      <c r="CI275" s="1">
        <v>29668</v>
      </c>
      <c r="CJ275" s="1">
        <v>1</v>
      </c>
      <c r="CK275" s="1">
        <v>1</v>
      </c>
      <c r="CL275" s="1">
        <v>380000000</v>
      </c>
      <c r="CM275" s="1">
        <v>1</v>
      </c>
      <c r="CN275" s="1">
        <v>1</v>
      </c>
      <c r="CO275" s="1">
        <v>90</v>
      </c>
      <c r="CP275" s="1">
        <v>60003760</v>
      </c>
      <c r="CQ275" s="1">
        <v>32767</v>
      </c>
      <c r="CR275" s="1">
        <v>0</v>
      </c>
      <c r="DR275" s="1">
        <v>2818745862</v>
      </c>
      <c r="DS275" s="1">
        <v>17888</v>
      </c>
      <c r="DT275" s="1">
        <v>500000</v>
      </c>
      <c r="DU275" s="1">
        <v>420000</v>
      </c>
      <c r="DV275" s="1">
        <v>500</v>
      </c>
      <c r="DW275" s="1">
        <v>1</v>
      </c>
      <c r="DX275" s="1">
        <v>0</v>
      </c>
      <c r="DY275" s="1">
        <v>90</v>
      </c>
      <c r="DZ275" s="1">
        <v>60007510</v>
      </c>
      <c r="EA275" s="1">
        <v>32767</v>
      </c>
      <c r="EB275" s="1">
        <v>12</v>
      </c>
      <c r="NV275"/>
      <c r="NW275"/>
      <c r="NX275"/>
      <c r="NY275"/>
      <c r="NZ275"/>
      <c r="OA275"/>
      <c r="OB275"/>
      <c r="OC275"/>
      <c r="OD275"/>
      <c r="OE275"/>
      <c r="OF275"/>
    </row>
    <row r="276" spans="2:396" x14ac:dyDescent="0.25">
      <c r="B276" s="1">
        <v>2864823363</v>
      </c>
      <c r="C276" s="1">
        <v>34</v>
      </c>
      <c r="D276" s="1">
        <v>669781</v>
      </c>
      <c r="E276" s="1">
        <v>669781</v>
      </c>
      <c r="F276" s="1">
        <v>6</v>
      </c>
      <c r="G276" s="1">
        <v>1</v>
      </c>
      <c r="H276" s="1">
        <v>0</v>
      </c>
      <c r="I276" s="1">
        <v>90</v>
      </c>
      <c r="J276" s="1">
        <v>60003760</v>
      </c>
      <c r="K276" s="1">
        <v>32767</v>
      </c>
      <c r="L276" s="1">
        <v>0</v>
      </c>
      <c r="N276" s="1">
        <v>2877054793</v>
      </c>
      <c r="O276" s="1">
        <v>35</v>
      </c>
      <c r="P276" s="1">
        <v>402295</v>
      </c>
      <c r="Q276" s="1">
        <v>402295</v>
      </c>
      <c r="R276" s="1">
        <v>14.75</v>
      </c>
      <c r="S276" s="1">
        <v>1</v>
      </c>
      <c r="T276" s="1">
        <v>0</v>
      </c>
      <c r="U276" s="1">
        <v>90</v>
      </c>
      <c r="V276" s="1">
        <v>60001630</v>
      </c>
      <c r="W276" s="1">
        <v>32767</v>
      </c>
      <c r="X276" s="1">
        <v>12</v>
      </c>
      <c r="Z276" s="1">
        <v>2835135083</v>
      </c>
      <c r="AA276" s="1">
        <v>36</v>
      </c>
      <c r="AB276" s="1">
        <v>167888</v>
      </c>
      <c r="AC276" s="1">
        <v>1538</v>
      </c>
      <c r="AD276" s="16">
        <v>229</v>
      </c>
      <c r="AE276" s="1">
        <v>1</v>
      </c>
      <c r="AF276" s="1">
        <v>0</v>
      </c>
      <c r="AG276" s="1">
        <v>90</v>
      </c>
      <c r="AH276" s="1">
        <v>60010192</v>
      </c>
      <c r="AI276" s="1">
        <v>32767</v>
      </c>
      <c r="AJ276" s="1">
        <v>9</v>
      </c>
      <c r="AX276"/>
      <c r="AY276"/>
      <c r="AZ276"/>
      <c r="BA276"/>
      <c r="BB276"/>
      <c r="BC276"/>
      <c r="BD276"/>
      <c r="BE276"/>
      <c r="BF276"/>
      <c r="BG276"/>
      <c r="BH276"/>
      <c r="BJ276"/>
      <c r="BK276"/>
      <c r="BL276"/>
      <c r="BM276"/>
      <c r="BN276"/>
      <c r="BO276"/>
      <c r="BP276"/>
      <c r="BQ276"/>
      <c r="BR276"/>
      <c r="BS276"/>
      <c r="BT276"/>
      <c r="CH276" s="1">
        <v>2365958307</v>
      </c>
      <c r="CI276" s="1">
        <v>29668</v>
      </c>
      <c r="CJ276" s="1">
        <v>3</v>
      </c>
      <c r="CK276" s="1">
        <v>3</v>
      </c>
      <c r="CL276" s="1">
        <v>390000000</v>
      </c>
      <c r="CM276" s="1">
        <v>1</v>
      </c>
      <c r="CN276" s="1">
        <v>1</v>
      </c>
      <c r="CO276" s="1">
        <v>90</v>
      </c>
      <c r="CP276" s="1">
        <v>60003760</v>
      </c>
      <c r="CQ276" s="1">
        <v>-1</v>
      </c>
      <c r="CR276" s="1">
        <v>0</v>
      </c>
      <c r="DR276" s="1">
        <v>2868672130</v>
      </c>
      <c r="DS276" s="1">
        <v>17888</v>
      </c>
      <c r="DT276" s="1">
        <v>200000</v>
      </c>
      <c r="DU276" s="1">
        <v>19000</v>
      </c>
      <c r="DV276" s="1">
        <v>460</v>
      </c>
      <c r="DW276" s="1">
        <v>1</v>
      </c>
      <c r="DX276" s="1">
        <v>0</v>
      </c>
      <c r="DY276" s="1">
        <v>90</v>
      </c>
      <c r="DZ276" s="1">
        <v>60000484</v>
      </c>
      <c r="EA276" s="1">
        <v>32767</v>
      </c>
      <c r="EB276" s="1">
        <v>12</v>
      </c>
      <c r="NV276"/>
      <c r="NW276"/>
      <c r="NX276"/>
      <c r="NY276"/>
      <c r="NZ276"/>
      <c r="OA276"/>
      <c r="OB276"/>
      <c r="OC276"/>
      <c r="OD276"/>
      <c r="OE276"/>
      <c r="OF276"/>
    </row>
    <row r="277" spans="2:396" x14ac:dyDescent="0.25">
      <c r="B277" s="1">
        <v>2864241193</v>
      </c>
      <c r="C277" s="1">
        <v>34</v>
      </c>
      <c r="D277" s="1">
        <v>1</v>
      </c>
      <c r="E277" s="1">
        <v>1</v>
      </c>
      <c r="F277" s="1">
        <v>999999999</v>
      </c>
      <c r="G277" s="1">
        <v>1</v>
      </c>
      <c r="H277" s="1">
        <v>0</v>
      </c>
      <c r="I277" s="1">
        <v>30</v>
      </c>
      <c r="J277" s="1">
        <v>60003760</v>
      </c>
      <c r="K277" s="1">
        <v>32767</v>
      </c>
      <c r="L277" s="1">
        <v>0</v>
      </c>
      <c r="N277" s="1">
        <v>2866462364</v>
      </c>
      <c r="O277" s="1">
        <v>35</v>
      </c>
      <c r="P277" s="1">
        <v>1919706</v>
      </c>
      <c r="Q277" s="1">
        <v>1919706</v>
      </c>
      <c r="R277" s="1">
        <v>14.8</v>
      </c>
      <c r="S277" s="1">
        <v>1</v>
      </c>
      <c r="T277" s="1">
        <v>0</v>
      </c>
      <c r="U277" s="1">
        <v>90</v>
      </c>
      <c r="V277" s="1">
        <v>60010459</v>
      </c>
      <c r="W277" s="1">
        <v>32767</v>
      </c>
      <c r="X277" s="1">
        <v>13</v>
      </c>
      <c r="Z277" s="1">
        <v>2874347570</v>
      </c>
      <c r="AA277" s="1">
        <v>36</v>
      </c>
      <c r="AB277" s="1">
        <v>169877</v>
      </c>
      <c r="AC277" s="1">
        <v>169877</v>
      </c>
      <c r="AD277" s="16">
        <v>229</v>
      </c>
      <c r="AE277" s="1">
        <v>1</v>
      </c>
      <c r="AF277" s="1">
        <v>0</v>
      </c>
      <c r="AG277" s="1">
        <v>90</v>
      </c>
      <c r="AH277" s="1">
        <v>60010192</v>
      </c>
      <c r="AI277" s="1">
        <v>32767</v>
      </c>
      <c r="AJ277" s="1">
        <v>9</v>
      </c>
      <c r="AX277"/>
      <c r="AY277"/>
      <c r="AZ277"/>
      <c r="BA277"/>
      <c r="BB277"/>
      <c r="BC277"/>
      <c r="BD277"/>
      <c r="BE277"/>
      <c r="BF277"/>
      <c r="BG277"/>
      <c r="BH277"/>
      <c r="BJ277"/>
      <c r="BK277"/>
      <c r="BL277"/>
      <c r="BM277"/>
      <c r="BN277"/>
      <c r="BO277"/>
      <c r="BP277"/>
      <c r="BQ277"/>
      <c r="BR277"/>
      <c r="BS277"/>
      <c r="BT277"/>
      <c r="CH277" s="1">
        <v>2365520033</v>
      </c>
      <c r="CI277" s="1">
        <v>29668</v>
      </c>
      <c r="CJ277" s="1">
        <v>1</v>
      </c>
      <c r="CK277" s="1">
        <v>1</v>
      </c>
      <c r="CL277" s="1">
        <v>406000000</v>
      </c>
      <c r="CM277" s="1">
        <v>1</v>
      </c>
      <c r="CN277" s="1">
        <v>1</v>
      </c>
      <c r="CO277" s="1">
        <v>90</v>
      </c>
      <c r="CP277" s="1">
        <v>60003760</v>
      </c>
      <c r="CQ277" s="1">
        <v>32767</v>
      </c>
      <c r="CR277" s="1">
        <v>0</v>
      </c>
      <c r="DR277" s="1">
        <v>2868684304</v>
      </c>
      <c r="DS277" s="1">
        <v>17888</v>
      </c>
      <c r="DT277" s="1">
        <v>200000</v>
      </c>
      <c r="DU277" s="1">
        <v>200000</v>
      </c>
      <c r="DV277" s="1">
        <v>490</v>
      </c>
      <c r="DW277" s="1">
        <v>1</v>
      </c>
      <c r="DX277" s="1">
        <v>0</v>
      </c>
      <c r="DY277" s="1">
        <v>90</v>
      </c>
      <c r="DZ277" s="1">
        <v>60007510</v>
      </c>
      <c r="EA277" s="1">
        <v>32767</v>
      </c>
      <c r="EB277" s="1">
        <v>12</v>
      </c>
      <c r="NV277"/>
      <c r="NW277"/>
      <c r="NX277"/>
      <c r="NY277"/>
      <c r="NZ277"/>
      <c r="OA277"/>
      <c r="OB277"/>
      <c r="OC277"/>
      <c r="OD277"/>
      <c r="OE277"/>
      <c r="OF277"/>
    </row>
    <row r="278" spans="2:396" x14ac:dyDescent="0.25">
      <c r="B278" s="1">
        <v>2865526040</v>
      </c>
      <c r="C278" s="1">
        <v>34</v>
      </c>
      <c r="D278" s="1">
        <v>5391</v>
      </c>
      <c r="E278" s="1">
        <v>5391</v>
      </c>
      <c r="F278" s="1">
        <v>100</v>
      </c>
      <c r="G278" s="1">
        <v>1</v>
      </c>
      <c r="H278" s="1">
        <v>0</v>
      </c>
      <c r="I278" s="1">
        <v>14</v>
      </c>
      <c r="J278" s="1">
        <v>60003760</v>
      </c>
      <c r="K278" s="1">
        <v>32767</v>
      </c>
      <c r="L278" s="1">
        <v>0</v>
      </c>
      <c r="N278" s="1">
        <v>2877052613</v>
      </c>
      <c r="O278" s="1">
        <v>35</v>
      </c>
      <c r="P278" s="1">
        <v>270992</v>
      </c>
      <c r="Q278" s="1">
        <v>270992</v>
      </c>
      <c r="R278" s="1">
        <v>14.75</v>
      </c>
      <c r="S278" s="1">
        <v>1</v>
      </c>
      <c r="T278" s="1">
        <v>0</v>
      </c>
      <c r="U278" s="1">
        <v>90</v>
      </c>
      <c r="V278" s="1">
        <v>60010456</v>
      </c>
      <c r="W278" s="1">
        <v>32767</v>
      </c>
      <c r="X278" s="1">
        <v>13</v>
      </c>
      <c r="Z278" s="1">
        <v>2863671444</v>
      </c>
      <c r="AA278" s="1">
        <v>36</v>
      </c>
      <c r="AB278" s="1">
        <v>4481</v>
      </c>
      <c r="AC278" s="1">
        <v>4481</v>
      </c>
      <c r="AD278" s="16">
        <v>48.9</v>
      </c>
      <c r="AE278" s="1">
        <v>1</v>
      </c>
      <c r="AF278" s="1">
        <v>0</v>
      </c>
      <c r="AG278" s="1">
        <v>90</v>
      </c>
      <c r="AH278" s="1">
        <v>60004081</v>
      </c>
      <c r="AI278" s="1">
        <v>32767</v>
      </c>
      <c r="AJ278" s="1">
        <v>10</v>
      </c>
      <c r="AX278"/>
      <c r="AY278"/>
      <c r="AZ278"/>
      <c r="BA278"/>
      <c r="BB278"/>
      <c r="BC278"/>
      <c r="BD278"/>
      <c r="BE278"/>
      <c r="BF278"/>
      <c r="BG278"/>
      <c r="BH278"/>
      <c r="BJ278"/>
      <c r="BK278"/>
      <c r="BL278"/>
      <c r="BM278"/>
      <c r="BN278"/>
      <c r="BO278"/>
      <c r="BP278"/>
      <c r="BQ278"/>
      <c r="BR278"/>
      <c r="BS278"/>
      <c r="BT278"/>
      <c r="CH278" s="1">
        <v>2365293087</v>
      </c>
      <c r="CI278" s="1">
        <v>29668</v>
      </c>
      <c r="CJ278" s="1">
        <v>1</v>
      </c>
      <c r="CK278" s="1">
        <v>1</v>
      </c>
      <c r="CL278" s="1">
        <v>394500000</v>
      </c>
      <c r="CM278" s="1">
        <v>1</v>
      </c>
      <c r="CN278" s="1">
        <v>1</v>
      </c>
      <c r="CO278" s="1">
        <v>90</v>
      </c>
      <c r="CP278" s="1">
        <v>60003760</v>
      </c>
      <c r="CQ278" s="1">
        <v>32767</v>
      </c>
      <c r="CR278" s="1">
        <v>0</v>
      </c>
      <c r="DR278" s="1">
        <v>2867975708</v>
      </c>
      <c r="DS278" s="1">
        <v>17888</v>
      </c>
      <c r="DT278" s="1">
        <v>100000</v>
      </c>
      <c r="DU278" s="1">
        <v>100000</v>
      </c>
      <c r="DV278" s="1">
        <v>405</v>
      </c>
      <c r="DW278" s="1">
        <v>1</v>
      </c>
      <c r="DX278" s="1">
        <v>0</v>
      </c>
      <c r="DY278" s="1">
        <v>90</v>
      </c>
      <c r="DZ278" s="1">
        <v>60004375</v>
      </c>
      <c r="EA278" s="1">
        <v>32767</v>
      </c>
      <c r="EB278" s="1">
        <v>12</v>
      </c>
      <c r="NV278"/>
      <c r="NW278"/>
      <c r="NX278"/>
      <c r="NY278"/>
      <c r="NZ278"/>
      <c r="OA278"/>
      <c r="OB278"/>
      <c r="OC278"/>
      <c r="OD278"/>
      <c r="OE278"/>
      <c r="OF278"/>
    </row>
    <row r="279" spans="2:396" x14ac:dyDescent="0.25">
      <c r="B279" s="1">
        <v>2865639226</v>
      </c>
      <c r="C279" s="1">
        <v>34</v>
      </c>
      <c r="D279" s="1">
        <v>6277657</v>
      </c>
      <c r="E279" s="1">
        <v>6277657</v>
      </c>
      <c r="F279" s="1">
        <v>5.98</v>
      </c>
      <c r="G279" s="1">
        <v>1</v>
      </c>
      <c r="H279" s="1">
        <v>0</v>
      </c>
      <c r="I279" s="1">
        <v>90</v>
      </c>
      <c r="J279" s="1">
        <v>60003760</v>
      </c>
      <c r="K279" s="1">
        <v>32767</v>
      </c>
      <c r="L279" s="1">
        <v>0</v>
      </c>
      <c r="N279" s="1">
        <v>2877052100</v>
      </c>
      <c r="O279" s="1">
        <v>35</v>
      </c>
      <c r="P279" s="1">
        <v>456559</v>
      </c>
      <c r="Q279" s="1">
        <v>456559</v>
      </c>
      <c r="R279" s="1">
        <v>14.75</v>
      </c>
      <c r="S279" s="1">
        <v>1</v>
      </c>
      <c r="T279" s="1">
        <v>0</v>
      </c>
      <c r="U279" s="1">
        <v>90</v>
      </c>
      <c r="V279" s="1">
        <v>60001798</v>
      </c>
      <c r="W279" s="1">
        <v>32767</v>
      </c>
      <c r="X279" s="1">
        <v>13</v>
      </c>
      <c r="Z279" s="1">
        <v>2845851551</v>
      </c>
      <c r="AA279" s="1">
        <v>36</v>
      </c>
      <c r="AB279" s="1">
        <v>200226</v>
      </c>
      <c r="AC279" s="1">
        <v>226</v>
      </c>
      <c r="AD279" s="16">
        <v>50</v>
      </c>
      <c r="AE279" s="1">
        <v>1</v>
      </c>
      <c r="AF279" s="1">
        <v>0</v>
      </c>
      <c r="AG279" s="1">
        <v>90</v>
      </c>
      <c r="AH279" s="1">
        <v>60001801</v>
      </c>
      <c r="AI279" s="1">
        <v>32767</v>
      </c>
      <c r="AJ279" s="1">
        <v>10</v>
      </c>
      <c r="AX279"/>
      <c r="AY279"/>
      <c r="AZ279"/>
      <c r="BA279"/>
      <c r="BB279"/>
      <c r="BC279"/>
      <c r="BD279"/>
      <c r="BE279"/>
      <c r="BF279"/>
      <c r="BG279"/>
      <c r="BH279"/>
      <c r="BJ279"/>
      <c r="BK279"/>
      <c r="BL279"/>
      <c r="BM279"/>
      <c r="BN279"/>
      <c r="BO279"/>
      <c r="BP279"/>
      <c r="BQ279"/>
      <c r="BR279"/>
      <c r="BS279"/>
      <c r="BT279"/>
      <c r="CH279" s="1">
        <v>2365138976</v>
      </c>
      <c r="CI279" s="1">
        <v>29668</v>
      </c>
      <c r="CJ279" s="1">
        <v>1</v>
      </c>
      <c r="CK279" s="1">
        <v>1</v>
      </c>
      <c r="CL279" s="1">
        <v>393500000</v>
      </c>
      <c r="CM279" s="1">
        <v>1</v>
      </c>
      <c r="CN279" s="1">
        <v>1</v>
      </c>
      <c r="CO279" s="1">
        <v>90</v>
      </c>
      <c r="CP279" s="1">
        <v>60003760</v>
      </c>
      <c r="CQ279" s="1">
        <v>32767</v>
      </c>
      <c r="CR279" s="1">
        <v>0</v>
      </c>
      <c r="DR279" s="1">
        <v>2808907943</v>
      </c>
      <c r="DS279" s="1">
        <v>17888</v>
      </c>
      <c r="DT279" s="1">
        <v>59000</v>
      </c>
      <c r="DU279" s="1">
        <v>39000</v>
      </c>
      <c r="DV279" s="1">
        <v>699</v>
      </c>
      <c r="DW279" s="1">
        <v>1</v>
      </c>
      <c r="DX279" s="1">
        <v>0</v>
      </c>
      <c r="DY279" s="1">
        <v>90</v>
      </c>
      <c r="DZ279" s="1">
        <v>60013045</v>
      </c>
      <c r="EA279" s="1">
        <v>32767</v>
      </c>
      <c r="EB279" s="1">
        <v>13</v>
      </c>
      <c r="NV279"/>
      <c r="NW279"/>
      <c r="NX279"/>
      <c r="NY279"/>
      <c r="NZ279"/>
      <c r="OA279"/>
      <c r="OB279"/>
      <c r="OC279"/>
      <c r="OD279"/>
      <c r="OE279"/>
      <c r="OF279"/>
    </row>
    <row r="280" spans="2:396" x14ac:dyDescent="0.25">
      <c r="B280" s="1">
        <v>2865710520</v>
      </c>
      <c r="C280" s="1">
        <v>34</v>
      </c>
      <c r="D280" s="1">
        <v>1004271</v>
      </c>
      <c r="E280" s="1">
        <v>1004271</v>
      </c>
      <c r="F280" s="1">
        <v>7</v>
      </c>
      <c r="G280" s="1">
        <v>1</v>
      </c>
      <c r="H280" s="1">
        <v>0</v>
      </c>
      <c r="I280" s="1">
        <v>90</v>
      </c>
      <c r="J280" s="1">
        <v>60003760</v>
      </c>
      <c r="K280" s="1">
        <v>32767</v>
      </c>
      <c r="L280" s="1">
        <v>0</v>
      </c>
      <c r="N280" s="1">
        <v>2877052327</v>
      </c>
      <c r="O280" s="1">
        <v>35</v>
      </c>
      <c r="P280" s="1">
        <v>277633</v>
      </c>
      <c r="Q280" s="1">
        <v>277633</v>
      </c>
      <c r="R280" s="1">
        <v>14.75</v>
      </c>
      <c r="S280" s="1">
        <v>1</v>
      </c>
      <c r="T280" s="1">
        <v>0</v>
      </c>
      <c r="U280" s="1">
        <v>90</v>
      </c>
      <c r="V280" s="1">
        <v>60010459</v>
      </c>
      <c r="W280" s="1">
        <v>32767</v>
      </c>
      <c r="X280" s="1">
        <v>13</v>
      </c>
      <c r="Z280" s="1">
        <v>2848959077</v>
      </c>
      <c r="AA280" s="1">
        <v>36</v>
      </c>
      <c r="AB280" s="1">
        <v>146875</v>
      </c>
      <c r="AC280" s="1">
        <v>41875</v>
      </c>
      <c r="AD280" s="16">
        <v>50</v>
      </c>
      <c r="AE280" s="1">
        <v>1</v>
      </c>
      <c r="AF280" s="1">
        <v>0</v>
      </c>
      <c r="AG280" s="1">
        <v>90</v>
      </c>
      <c r="AH280" s="1">
        <v>60004078</v>
      </c>
      <c r="AI280" s="1">
        <v>32767</v>
      </c>
      <c r="AJ280" s="1">
        <v>10</v>
      </c>
      <c r="AX280"/>
      <c r="AY280"/>
      <c r="AZ280"/>
      <c r="BA280"/>
      <c r="BB280"/>
      <c r="BC280"/>
      <c r="BD280"/>
      <c r="BE280"/>
      <c r="BF280"/>
      <c r="BG280"/>
      <c r="BH280"/>
      <c r="CH280" s="1">
        <v>2365081521</v>
      </c>
      <c r="CI280" s="1">
        <v>29668</v>
      </c>
      <c r="CJ280" s="1">
        <v>5</v>
      </c>
      <c r="CK280" s="1">
        <v>5</v>
      </c>
      <c r="CL280" s="1">
        <v>400000013</v>
      </c>
      <c r="CM280" s="1">
        <v>1</v>
      </c>
      <c r="CN280" s="1">
        <v>1</v>
      </c>
      <c r="CO280" s="1">
        <v>90</v>
      </c>
      <c r="CP280" s="1">
        <v>60003760</v>
      </c>
      <c r="CQ280" s="1">
        <v>-1</v>
      </c>
      <c r="CR280" s="1">
        <v>0</v>
      </c>
      <c r="DR280" s="1">
        <v>2843991253</v>
      </c>
      <c r="DS280" s="1">
        <v>17888</v>
      </c>
      <c r="DT280" s="1">
        <v>125888</v>
      </c>
      <c r="DU280" s="1">
        <v>125888</v>
      </c>
      <c r="DV280" s="1">
        <v>690</v>
      </c>
      <c r="DW280" s="1">
        <v>1</v>
      </c>
      <c r="DX280" s="1">
        <v>0</v>
      </c>
      <c r="DY280" s="1">
        <v>90</v>
      </c>
      <c r="DZ280" s="1">
        <v>60000964</v>
      </c>
      <c r="EA280" s="1">
        <v>32767</v>
      </c>
      <c r="EB280" s="1">
        <v>13</v>
      </c>
      <c r="NV280"/>
      <c r="NW280"/>
      <c r="NX280"/>
      <c r="NY280"/>
      <c r="NZ280"/>
      <c r="OA280"/>
      <c r="OB280"/>
      <c r="OC280"/>
      <c r="OD280"/>
      <c r="OE280"/>
      <c r="OF280"/>
    </row>
    <row r="281" spans="2:396" x14ac:dyDescent="0.25">
      <c r="B281" s="1">
        <v>2870963080</v>
      </c>
      <c r="C281" s="1">
        <v>34</v>
      </c>
      <c r="D281" s="1">
        <v>380513</v>
      </c>
      <c r="E281" s="1">
        <v>380513</v>
      </c>
      <c r="F281" s="1">
        <v>5.75</v>
      </c>
      <c r="G281" s="1">
        <v>1</v>
      </c>
      <c r="H281" s="1">
        <v>0</v>
      </c>
      <c r="I281" s="1">
        <v>7</v>
      </c>
      <c r="J281" s="1">
        <v>60003760</v>
      </c>
      <c r="K281" s="1">
        <v>32767</v>
      </c>
      <c r="L281" s="1">
        <v>0</v>
      </c>
      <c r="N281" s="1">
        <v>2843505389</v>
      </c>
      <c r="O281" s="1">
        <v>35</v>
      </c>
      <c r="P281" s="1">
        <v>2182173</v>
      </c>
      <c r="Q281" s="1">
        <v>2171704</v>
      </c>
      <c r="R281" s="1">
        <v>15.61</v>
      </c>
      <c r="S281" s="1">
        <v>1</v>
      </c>
      <c r="T281" s="1">
        <v>0</v>
      </c>
      <c r="U281" s="1">
        <v>90</v>
      </c>
      <c r="V281" s="1">
        <v>60001624</v>
      </c>
      <c r="W281" s="1">
        <v>32767</v>
      </c>
      <c r="X281" s="1">
        <v>14</v>
      </c>
      <c r="Z281" s="1">
        <v>2863836628</v>
      </c>
      <c r="AA281" s="1">
        <v>36</v>
      </c>
      <c r="AB281" s="1">
        <v>1736179</v>
      </c>
      <c r="AC281" s="1">
        <v>1736179</v>
      </c>
      <c r="AD281" s="16">
        <v>51</v>
      </c>
      <c r="AE281" s="1">
        <v>1</v>
      </c>
      <c r="AF281" s="1">
        <v>0</v>
      </c>
      <c r="AG281" s="1">
        <v>90</v>
      </c>
      <c r="AH281" s="1">
        <v>60014686</v>
      </c>
      <c r="AI281" s="1">
        <v>32767</v>
      </c>
      <c r="AJ281" s="1">
        <v>5</v>
      </c>
      <c r="AX281"/>
      <c r="AY281"/>
      <c r="AZ281"/>
      <c r="BA281"/>
      <c r="BB281"/>
      <c r="BC281"/>
      <c r="BD281"/>
      <c r="BE281"/>
      <c r="BF281"/>
      <c r="BG281"/>
      <c r="BH281"/>
      <c r="CH281" s="1">
        <v>2365082553</v>
      </c>
      <c r="CI281" s="1">
        <v>29668</v>
      </c>
      <c r="CJ281" s="1">
        <v>4</v>
      </c>
      <c r="CK281" s="1">
        <v>4</v>
      </c>
      <c r="CL281" s="1">
        <v>397001532</v>
      </c>
      <c r="CM281" s="1">
        <v>1</v>
      </c>
      <c r="CN281" s="1">
        <v>1</v>
      </c>
      <c r="CO281" s="1">
        <v>90</v>
      </c>
      <c r="CP281" s="1">
        <v>60003760</v>
      </c>
      <c r="CQ281" s="1">
        <v>-1</v>
      </c>
      <c r="CR281" s="1">
        <v>0</v>
      </c>
      <c r="DR281" s="1">
        <v>2746058670</v>
      </c>
      <c r="DS281" s="1">
        <v>17888</v>
      </c>
      <c r="DT281" s="1">
        <v>200000</v>
      </c>
      <c r="DU281" s="1">
        <v>173000</v>
      </c>
      <c r="DV281" s="1">
        <v>700</v>
      </c>
      <c r="DW281" s="1">
        <v>1</v>
      </c>
      <c r="DX281" s="1">
        <v>0</v>
      </c>
      <c r="DY281" s="1">
        <v>90</v>
      </c>
      <c r="DZ281" s="1">
        <v>60013045</v>
      </c>
      <c r="EA281" s="1">
        <v>32767</v>
      </c>
      <c r="EB281" s="1">
        <v>13</v>
      </c>
      <c r="NV281"/>
      <c r="NW281"/>
      <c r="NX281"/>
      <c r="NY281"/>
      <c r="NZ281"/>
      <c r="OA281"/>
      <c r="OB281"/>
      <c r="OC281"/>
      <c r="OD281"/>
      <c r="OE281"/>
      <c r="OF281"/>
    </row>
    <row r="282" spans="2:396" x14ac:dyDescent="0.25">
      <c r="B282" s="1">
        <v>2870969197</v>
      </c>
      <c r="C282" s="1">
        <v>34</v>
      </c>
      <c r="D282" s="1">
        <v>1000000</v>
      </c>
      <c r="E282" s="1">
        <v>1000000</v>
      </c>
      <c r="F282" s="1">
        <v>5.89</v>
      </c>
      <c r="G282" s="1">
        <v>1</v>
      </c>
      <c r="H282" s="1">
        <v>0</v>
      </c>
      <c r="I282" s="1">
        <v>7</v>
      </c>
      <c r="J282" s="1">
        <v>60003760</v>
      </c>
      <c r="K282" s="1">
        <v>32767</v>
      </c>
      <c r="L282" s="1">
        <v>0</v>
      </c>
      <c r="N282" s="1">
        <v>2851175065</v>
      </c>
      <c r="O282" s="1">
        <v>35</v>
      </c>
      <c r="P282" s="1">
        <v>72328</v>
      </c>
      <c r="Q282" s="1">
        <v>72328</v>
      </c>
      <c r="R282" s="1">
        <v>25</v>
      </c>
      <c r="S282" s="1">
        <v>1</v>
      </c>
      <c r="T282" s="1">
        <v>0</v>
      </c>
      <c r="U282" s="1">
        <v>90</v>
      </c>
      <c r="V282" s="1">
        <v>60001795</v>
      </c>
      <c r="W282" s="1">
        <v>32767</v>
      </c>
      <c r="X282" s="1">
        <v>14</v>
      </c>
      <c r="Z282" s="1">
        <v>2869355450</v>
      </c>
      <c r="AA282" s="1">
        <v>36</v>
      </c>
      <c r="AB282" s="1">
        <v>1942</v>
      </c>
      <c r="AC282" s="1">
        <v>1942</v>
      </c>
      <c r="AD282" s="16">
        <v>48.5</v>
      </c>
      <c r="AE282" s="1">
        <v>1</v>
      </c>
      <c r="AF282" s="1">
        <v>0</v>
      </c>
      <c r="AG282" s="1">
        <v>30</v>
      </c>
      <c r="AH282" s="1">
        <v>60002425</v>
      </c>
      <c r="AI282" s="1">
        <v>32767</v>
      </c>
      <c r="AJ282" s="1">
        <v>5</v>
      </c>
      <c r="AX282"/>
      <c r="AY282"/>
      <c r="AZ282"/>
      <c r="BA282"/>
      <c r="BB282"/>
      <c r="BC282"/>
      <c r="BD282"/>
      <c r="BE282"/>
      <c r="BF282"/>
      <c r="BG282"/>
      <c r="BH282"/>
      <c r="CH282" s="1">
        <v>2368960167</v>
      </c>
      <c r="CI282" s="1">
        <v>29668</v>
      </c>
      <c r="CJ282" s="1">
        <v>1</v>
      </c>
      <c r="CK282" s="1">
        <v>1</v>
      </c>
      <c r="CL282" s="1">
        <v>420000000</v>
      </c>
      <c r="CM282" s="1">
        <v>1</v>
      </c>
      <c r="CN282" s="1">
        <v>1</v>
      </c>
      <c r="CO282" s="1">
        <v>90</v>
      </c>
      <c r="CP282" s="1">
        <v>60003760</v>
      </c>
      <c r="CQ282" s="1">
        <v>-1</v>
      </c>
      <c r="CR282" s="1">
        <v>0</v>
      </c>
      <c r="DR282" s="1">
        <v>2732329696</v>
      </c>
      <c r="DS282" s="1">
        <v>17888</v>
      </c>
      <c r="DT282" s="1">
        <v>600000</v>
      </c>
      <c r="DU282" s="1">
        <v>600000</v>
      </c>
      <c r="DV282" s="1">
        <v>1198.94</v>
      </c>
      <c r="DW282" s="1">
        <v>1</v>
      </c>
      <c r="DX282" s="1">
        <v>0</v>
      </c>
      <c r="DY282" s="1">
        <v>90</v>
      </c>
      <c r="DZ282" s="1">
        <v>60000967</v>
      </c>
      <c r="EA282" s="1">
        <v>32767</v>
      </c>
      <c r="EB282" s="1">
        <v>10</v>
      </c>
      <c r="NV282"/>
      <c r="NW282"/>
      <c r="NX282"/>
      <c r="NY282"/>
      <c r="NZ282"/>
      <c r="OA282"/>
      <c r="OB282"/>
      <c r="OC282"/>
      <c r="OD282"/>
      <c r="OE282"/>
      <c r="OF282"/>
    </row>
    <row r="283" spans="2:396" x14ac:dyDescent="0.25">
      <c r="B283" s="1">
        <v>2870969640</v>
      </c>
      <c r="C283" s="1">
        <v>34</v>
      </c>
      <c r="D283" s="1">
        <v>2000000</v>
      </c>
      <c r="E283" s="1">
        <v>2000000</v>
      </c>
      <c r="F283" s="1">
        <v>5.94</v>
      </c>
      <c r="G283" s="1">
        <v>1</v>
      </c>
      <c r="H283" s="1">
        <v>0</v>
      </c>
      <c r="I283" s="1">
        <v>7</v>
      </c>
      <c r="J283" s="1">
        <v>60003760</v>
      </c>
      <c r="K283" s="1">
        <v>32767</v>
      </c>
      <c r="L283" s="1">
        <v>0</v>
      </c>
      <c r="N283" s="1">
        <v>2872288310</v>
      </c>
      <c r="O283" s="1">
        <v>35</v>
      </c>
      <c r="P283" s="1">
        <v>78899</v>
      </c>
      <c r="Q283" s="1">
        <v>78899</v>
      </c>
      <c r="R283" s="1">
        <v>14.75</v>
      </c>
      <c r="S283" s="1">
        <v>1</v>
      </c>
      <c r="T283" s="1">
        <v>0</v>
      </c>
      <c r="U283" s="1">
        <v>90</v>
      </c>
      <c r="V283" s="1">
        <v>60001624</v>
      </c>
      <c r="W283" s="1">
        <v>32767</v>
      </c>
      <c r="X283" s="1">
        <v>14</v>
      </c>
      <c r="Z283" s="1">
        <v>2804915693</v>
      </c>
      <c r="AA283" s="1">
        <v>36</v>
      </c>
      <c r="AB283" s="1">
        <v>431854</v>
      </c>
      <c r="AC283" s="1">
        <v>231854</v>
      </c>
      <c r="AD283" s="16">
        <v>55</v>
      </c>
      <c r="AE283" s="1">
        <v>1</v>
      </c>
      <c r="AF283" s="1">
        <v>0</v>
      </c>
      <c r="AG283" s="1">
        <v>90</v>
      </c>
      <c r="AH283" s="1">
        <v>60004435</v>
      </c>
      <c r="AI283" s="1">
        <v>32767</v>
      </c>
      <c r="AJ283" s="1">
        <v>4</v>
      </c>
      <c r="AX283"/>
      <c r="AY283"/>
      <c r="AZ283"/>
      <c r="BA283"/>
      <c r="BB283"/>
      <c r="BC283"/>
      <c r="BD283"/>
      <c r="BE283"/>
      <c r="BF283"/>
      <c r="BG283"/>
      <c r="BH283"/>
      <c r="CH283" s="1">
        <v>2368843169</v>
      </c>
      <c r="CI283" s="1">
        <v>29668</v>
      </c>
      <c r="CJ283" s="1">
        <v>1</v>
      </c>
      <c r="CK283" s="1">
        <v>1</v>
      </c>
      <c r="CL283" s="1">
        <v>3000000</v>
      </c>
      <c r="CM283" s="1">
        <v>1</v>
      </c>
      <c r="CN283" s="1">
        <v>1</v>
      </c>
      <c r="CO283" s="1">
        <v>90</v>
      </c>
      <c r="CP283" s="1">
        <v>60003760</v>
      </c>
      <c r="CQ283" s="1">
        <v>-1</v>
      </c>
      <c r="CR283" s="1">
        <v>0</v>
      </c>
      <c r="DR283" s="1">
        <v>2766450815</v>
      </c>
      <c r="DS283" s="1">
        <v>17888</v>
      </c>
      <c r="DT283" s="1">
        <v>4064</v>
      </c>
      <c r="DU283" s="1">
        <v>4064</v>
      </c>
      <c r="DV283" s="1">
        <v>425</v>
      </c>
      <c r="DW283" s="1">
        <v>1</v>
      </c>
      <c r="DX283" s="1">
        <v>0</v>
      </c>
      <c r="DY283" s="1">
        <v>90</v>
      </c>
      <c r="DZ283" s="1">
        <v>60015026</v>
      </c>
      <c r="EA283" s="1">
        <v>32767</v>
      </c>
      <c r="EB283" s="1">
        <v>10</v>
      </c>
      <c r="NV283"/>
      <c r="NW283"/>
      <c r="NX283"/>
      <c r="NY283"/>
      <c r="NZ283"/>
      <c r="OA283"/>
      <c r="OB283"/>
      <c r="OC283"/>
      <c r="OD283"/>
      <c r="OE283"/>
      <c r="OF283"/>
    </row>
    <row r="284" spans="2:396" x14ac:dyDescent="0.25">
      <c r="B284" s="1">
        <v>2870982018</v>
      </c>
      <c r="C284" s="1">
        <v>34</v>
      </c>
      <c r="D284" s="1">
        <v>150727198</v>
      </c>
      <c r="E284" s="1">
        <v>150727198</v>
      </c>
      <c r="F284" s="1">
        <v>5.85</v>
      </c>
      <c r="G284" s="1">
        <v>1</v>
      </c>
      <c r="H284" s="1">
        <v>0</v>
      </c>
      <c r="I284" s="1">
        <v>90</v>
      </c>
      <c r="J284" s="1">
        <v>60003760</v>
      </c>
      <c r="K284" s="1">
        <v>32767</v>
      </c>
      <c r="L284" s="1">
        <v>0</v>
      </c>
      <c r="N284" s="1">
        <v>2871858050</v>
      </c>
      <c r="O284" s="1">
        <v>35</v>
      </c>
      <c r="P284" s="1">
        <v>5627158</v>
      </c>
      <c r="Q284" s="1">
        <v>5627158</v>
      </c>
      <c r="R284" s="1">
        <v>15</v>
      </c>
      <c r="S284" s="1">
        <v>1</v>
      </c>
      <c r="T284" s="1">
        <v>0</v>
      </c>
      <c r="U284" s="1">
        <v>90</v>
      </c>
      <c r="V284" s="1">
        <v>60001795</v>
      </c>
      <c r="W284" s="1">
        <v>32767</v>
      </c>
      <c r="X284" s="1">
        <v>14</v>
      </c>
      <c r="Z284" s="1">
        <v>2813352361</v>
      </c>
      <c r="AA284" s="1">
        <v>36</v>
      </c>
      <c r="AB284" s="1">
        <v>214388</v>
      </c>
      <c r="AC284" s="1">
        <v>211189</v>
      </c>
      <c r="AD284" s="16">
        <v>54.3</v>
      </c>
      <c r="AE284" s="1">
        <v>1</v>
      </c>
      <c r="AF284" s="1">
        <v>0</v>
      </c>
      <c r="AG284" s="1">
        <v>90</v>
      </c>
      <c r="AH284" s="1">
        <v>60004435</v>
      </c>
      <c r="AI284" s="1">
        <v>32767</v>
      </c>
      <c r="AJ284" s="1">
        <v>4</v>
      </c>
      <c r="AX284"/>
      <c r="AY284"/>
      <c r="AZ284"/>
      <c r="BA284"/>
      <c r="BB284"/>
      <c r="BC284"/>
      <c r="BD284"/>
      <c r="BE284"/>
      <c r="BF284"/>
      <c r="BG284"/>
      <c r="BH284"/>
      <c r="CH284" s="1">
        <v>2368063164</v>
      </c>
      <c r="CI284" s="1">
        <v>29668</v>
      </c>
      <c r="CJ284" s="1">
        <v>1</v>
      </c>
      <c r="CK284" s="1">
        <v>1</v>
      </c>
      <c r="CL284" s="1">
        <v>400000000</v>
      </c>
      <c r="CM284" s="1">
        <v>1</v>
      </c>
      <c r="CN284" s="1">
        <v>1</v>
      </c>
      <c r="CO284" s="1">
        <v>90</v>
      </c>
      <c r="CP284" s="1">
        <v>60003760</v>
      </c>
      <c r="CQ284" s="1">
        <v>-1</v>
      </c>
      <c r="CR284" s="1">
        <v>0</v>
      </c>
      <c r="DR284" s="1">
        <v>2878369206</v>
      </c>
      <c r="DS284" s="1">
        <v>17888</v>
      </c>
      <c r="DT284" s="1">
        <v>425336</v>
      </c>
      <c r="DU284" s="1">
        <v>385336</v>
      </c>
      <c r="DV284" s="1">
        <v>338</v>
      </c>
      <c r="DW284" s="1">
        <v>1</v>
      </c>
      <c r="DX284" s="1">
        <v>0</v>
      </c>
      <c r="DY284" s="1">
        <v>90</v>
      </c>
      <c r="DZ284" s="1">
        <v>60003757</v>
      </c>
      <c r="EA284" s="1">
        <v>32767</v>
      </c>
      <c r="EB284" s="1">
        <v>0</v>
      </c>
      <c r="NV284"/>
      <c r="NW284"/>
      <c r="NX284"/>
      <c r="NY284"/>
      <c r="NZ284"/>
      <c r="OA284"/>
      <c r="OB284"/>
      <c r="OC284"/>
      <c r="OD284"/>
      <c r="OE284"/>
      <c r="OF284"/>
    </row>
    <row r="285" spans="2:396" x14ac:dyDescent="0.25">
      <c r="B285" s="1">
        <v>2870869348</v>
      </c>
      <c r="C285" s="1">
        <v>34</v>
      </c>
      <c r="D285" s="1">
        <v>60000001</v>
      </c>
      <c r="E285" s="1">
        <v>60000001</v>
      </c>
      <c r="F285" s="1">
        <v>5.75</v>
      </c>
      <c r="G285" s="1">
        <v>1</v>
      </c>
      <c r="H285" s="1">
        <v>0</v>
      </c>
      <c r="I285" s="1">
        <v>30</v>
      </c>
      <c r="J285" s="1">
        <v>60003760</v>
      </c>
      <c r="K285" s="1">
        <v>32767</v>
      </c>
      <c r="L285" s="1">
        <v>0</v>
      </c>
      <c r="N285" s="1">
        <v>2877055797</v>
      </c>
      <c r="O285" s="1">
        <v>35</v>
      </c>
      <c r="P285" s="1">
        <v>1787281</v>
      </c>
      <c r="Q285" s="1">
        <v>1787281</v>
      </c>
      <c r="R285" s="1">
        <v>14.75</v>
      </c>
      <c r="S285" s="1">
        <v>1</v>
      </c>
      <c r="T285" s="1">
        <v>0</v>
      </c>
      <c r="U285" s="1">
        <v>90</v>
      </c>
      <c r="V285" s="1">
        <v>60001624</v>
      </c>
      <c r="W285" s="1">
        <v>32767</v>
      </c>
      <c r="X285" s="1">
        <v>14</v>
      </c>
      <c r="Z285" s="1">
        <v>2862896425</v>
      </c>
      <c r="AA285" s="1">
        <v>36</v>
      </c>
      <c r="AB285" s="1">
        <v>775733</v>
      </c>
      <c r="AC285" s="1">
        <v>775733</v>
      </c>
      <c r="AD285" s="16">
        <v>52.35</v>
      </c>
      <c r="AE285" s="1">
        <v>1</v>
      </c>
      <c r="AF285" s="1">
        <v>0</v>
      </c>
      <c r="AG285" s="1">
        <v>90</v>
      </c>
      <c r="AH285" s="1">
        <v>60002284</v>
      </c>
      <c r="AI285" s="1">
        <v>32767</v>
      </c>
      <c r="AJ285" s="1">
        <v>4</v>
      </c>
      <c r="AX285"/>
      <c r="AY285"/>
      <c r="AZ285"/>
      <c r="BA285"/>
      <c r="BB285"/>
      <c r="BC285"/>
      <c r="BD285"/>
      <c r="BE285"/>
      <c r="BF285"/>
      <c r="BG285"/>
      <c r="BH285"/>
      <c r="CH285" s="1">
        <v>2368228031</v>
      </c>
      <c r="CI285" s="1">
        <v>29668</v>
      </c>
      <c r="CJ285" s="1">
        <v>3</v>
      </c>
      <c r="CK285" s="1">
        <v>3</v>
      </c>
      <c r="CL285" s="1">
        <v>418720005.00999999</v>
      </c>
      <c r="CM285" s="1">
        <v>1</v>
      </c>
      <c r="CN285" s="1">
        <v>1</v>
      </c>
      <c r="CO285" s="1">
        <v>90</v>
      </c>
      <c r="CP285" s="1">
        <v>60003760</v>
      </c>
      <c r="CQ285" s="1">
        <v>-1</v>
      </c>
      <c r="CR285" s="1">
        <v>0</v>
      </c>
      <c r="DR285" s="1">
        <v>2878370847</v>
      </c>
      <c r="DS285" s="1">
        <v>17888</v>
      </c>
      <c r="DT285" s="1">
        <v>14853900</v>
      </c>
      <c r="DU285" s="1">
        <v>13880580</v>
      </c>
      <c r="DV285" s="1">
        <v>338.93</v>
      </c>
      <c r="DW285" s="1">
        <v>1</v>
      </c>
      <c r="DX285" s="1">
        <v>0</v>
      </c>
      <c r="DY285" s="1">
        <v>90</v>
      </c>
      <c r="DZ285" s="1">
        <v>60003760</v>
      </c>
      <c r="EA285" s="1">
        <v>32767</v>
      </c>
      <c r="EB285" s="1">
        <v>0</v>
      </c>
    </row>
    <row r="286" spans="2:396" x14ac:dyDescent="0.25">
      <c r="B286" s="1">
        <v>2871290808</v>
      </c>
      <c r="C286" s="1">
        <v>34</v>
      </c>
      <c r="D286" s="1">
        <v>100000000</v>
      </c>
      <c r="E286" s="1">
        <v>100000000</v>
      </c>
      <c r="F286" s="1">
        <v>5.74</v>
      </c>
      <c r="G286" s="1">
        <v>1</v>
      </c>
      <c r="H286" s="1">
        <v>0</v>
      </c>
      <c r="I286" s="1">
        <v>90</v>
      </c>
      <c r="J286" s="1">
        <v>60003760</v>
      </c>
      <c r="K286" s="1">
        <v>32767</v>
      </c>
      <c r="L286" s="1">
        <v>0</v>
      </c>
      <c r="N286" s="1">
        <v>2877055281</v>
      </c>
      <c r="O286" s="1">
        <v>35</v>
      </c>
      <c r="P286" s="1">
        <v>12780048</v>
      </c>
      <c r="Q286" s="1">
        <v>12780048</v>
      </c>
      <c r="R286" s="1">
        <v>14.75</v>
      </c>
      <c r="S286" s="1">
        <v>1</v>
      </c>
      <c r="T286" s="1">
        <v>0</v>
      </c>
      <c r="U286" s="1">
        <v>90</v>
      </c>
      <c r="V286" s="1">
        <v>60001795</v>
      </c>
      <c r="W286" s="1">
        <v>32767</v>
      </c>
      <c r="X286" s="1">
        <v>14</v>
      </c>
      <c r="Z286" s="1">
        <v>2853704231</v>
      </c>
      <c r="AA286" s="1">
        <v>36</v>
      </c>
      <c r="AB286" s="1">
        <v>661630</v>
      </c>
      <c r="AC286" s="1">
        <v>661630</v>
      </c>
      <c r="AD286" s="16">
        <v>52</v>
      </c>
      <c r="AE286" s="1">
        <v>1</v>
      </c>
      <c r="AF286" s="1">
        <v>0</v>
      </c>
      <c r="AG286" s="1">
        <v>90</v>
      </c>
      <c r="AH286" s="1">
        <v>60002284</v>
      </c>
      <c r="AI286" s="1">
        <v>32767</v>
      </c>
      <c r="AJ286" s="1">
        <v>4</v>
      </c>
      <c r="AX286"/>
      <c r="AY286"/>
      <c r="AZ286"/>
      <c r="BA286"/>
      <c r="BB286"/>
      <c r="BC286"/>
      <c r="BD286"/>
      <c r="BE286"/>
      <c r="BF286"/>
      <c r="BG286"/>
      <c r="BH286"/>
      <c r="CH286" s="1">
        <v>2368334568</v>
      </c>
      <c r="CI286" s="1">
        <v>29668</v>
      </c>
      <c r="CJ286" s="1">
        <v>1</v>
      </c>
      <c r="CK286" s="1">
        <v>1</v>
      </c>
      <c r="CL286" s="1">
        <v>439555999</v>
      </c>
      <c r="CM286" s="1">
        <v>1</v>
      </c>
      <c r="CN286" s="1">
        <v>1</v>
      </c>
      <c r="CO286" s="1">
        <v>90</v>
      </c>
      <c r="CP286" s="1">
        <v>60003760</v>
      </c>
      <c r="CQ286" s="1">
        <v>-1</v>
      </c>
      <c r="CR286" s="1">
        <v>0</v>
      </c>
      <c r="DR286" s="1">
        <v>2878408163</v>
      </c>
      <c r="DS286" s="1">
        <v>17888</v>
      </c>
      <c r="DT286" s="1">
        <v>32294</v>
      </c>
      <c r="DU286" s="1">
        <v>32294</v>
      </c>
      <c r="DV286" s="1">
        <v>338.9</v>
      </c>
      <c r="DW286" s="1">
        <v>1</v>
      </c>
      <c r="DX286" s="1">
        <v>0</v>
      </c>
      <c r="DY286" s="1">
        <v>90</v>
      </c>
      <c r="DZ286" s="1">
        <v>60003760</v>
      </c>
      <c r="EA286" s="1">
        <v>32767</v>
      </c>
      <c r="EB286" s="1">
        <v>0</v>
      </c>
    </row>
    <row r="287" spans="2:396" x14ac:dyDescent="0.25">
      <c r="B287" s="1">
        <v>2871180827</v>
      </c>
      <c r="C287" s="1">
        <v>34</v>
      </c>
      <c r="D287" s="1">
        <v>54632921</v>
      </c>
      <c r="E287" s="1">
        <v>54632921</v>
      </c>
      <c r="F287" s="1">
        <v>5.9</v>
      </c>
      <c r="G287" s="1">
        <v>1</v>
      </c>
      <c r="H287" s="1">
        <v>0</v>
      </c>
      <c r="I287" s="1">
        <v>90</v>
      </c>
      <c r="J287" s="1">
        <v>60003760</v>
      </c>
      <c r="K287" s="1">
        <v>32767</v>
      </c>
      <c r="L287" s="1">
        <v>0</v>
      </c>
      <c r="N287" s="1">
        <v>2851173837</v>
      </c>
      <c r="O287" s="1">
        <v>35</v>
      </c>
      <c r="P287" s="1">
        <v>295364</v>
      </c>
      <c r="Q287" s="1">
        <v>295364</v>
      </c>
      <c r="R287" s="1">
        <v>25</v>
      </c>
      <c r="S287" s="1">
        <v>1</v>
      </c>
      <c r="T287" s="1">
        <v>0</v>
      </c>
      <c r="U287" s="1">
        <v>90</v>
      </c>
      <c r="V287" s="1">
        <v>60003172</v>
      </c>
      <c r="W287" s="1">
        <v>32767</v>
      </c>
      <c r="X287" s="1">
        <v>13</v>
      </c>
      <c r="Z287" s="1">
        <v>2855150752</v>
      </c>
      <c r="AA287" s="1">
        <v>36</v>
      </c>
      <c r="AB287" s="1">
        <v>253183</v>
      </c>
      <c r="AC287" s="1">
        <v>253183</v>
      </c>
      <c r="AD287" s="16">
        <v>52.5</v>
      </c>
      <c r="AE287" s="1">
        <v>1</v>
      </c>
      <c r="AF287" s="1">
        <v>0</v>
      </c>
      <c r="AG287" s="1">
        <v>90</v>
      </c>
      <c r="AH287" s="1">
        <v>60002284</v>
      </c>
      <c r="AI287" s="1">
        <v>32767</v>
      </c>
      <c r="AJ287" s="1">
        <v>4</v>
      </c>
      <c r="AX287"/>
      <c r="AY287"/>
      <c r="AZ287"/>
      <c r="BA287"/>
      <c r="BB287"/>
      <c r="BC287"/>
      <c r="BD287"/>
      <c r="BE287"/>
      <c r="BF287"/>
      <c r="BG287"/>
      <c r="BH287"/>
      <c r="CH287" s="1">
        <v>2367751910</v>
      </c>
      <c r="CI287" s="1">
        <v>29668</v>
      </c>
      <c r="CJ287" s="1">
        <v>3</v>
      </c>
      <c r="CK287" s="1">
        <v>3</v>
      </c>
      <c r="CL287" s="1">
        <v>450000000</v>
      </c>
      <c r="CM287" s="1">
        <v>1</v>
      </c>
      <c r="CN287" s="1">
        <v>1</v>
      </c>
      <c r="CO287" s="1">
        <v>90</v>
      </c>
      <c r="CP287" s="1">
        <v>60003760</v>
      </c>
      <c r="CQ287" s="1">
        <v>32767</v>
      </c>
      <c r="CR287" s="1">
        <v>0</v>
      </c>
      <c r="DR287" s="1">
        <v>2878416534</v>
      </c>
      <c r="DS287" s="1">
        <v>17888</v>
      </c>
      <c r="DT287" s="1">
        <v>549818</v>
      </c>
      <c r="DU287" s="1">
        <v>449818</v>
      </c>
      <c r="DV287" s="1">
        <v>337.98</v>
      </c>
      <c r="DW287" s="1">
        <v>1</v>
      </c>
      <c r="DX287" s="1">
        <v>0</v>
      </c>
      <c r="DY287" s="1">
        <v>90</v>
      </c>
      <c r="DZ287" s="1">
        <v>60003760</v>
      </c>
      <c r="EA287" s="1">
        <v>32767</v>
      </c>
      <c r="EB287" s="1">
        <v>0</v>
      </c>
    </row>
    <row r="288" spans="2:396" x14ac:dyDescent="0.25">
      <c r="B288" s="1">
        <v>2870141582</v>
      </c>
      <c r="C288" s="1">
        <v>34</v>
      </c>
      <c r="D288" s="1">
        <v>305763466</v>
      </c>
      <c r="E288" s="1">
        <v>305763466</v>
      </c>
      <c r="F288" s="1">
        <v>5.84</v>
      </c>
      <c r="G288" s="1">
        <v>1</v>
      </c>
      <c r="H288" s="1">
        <v>0</v>
      </c>
      <c r="I288" s="1">
        <v>90</v>
      </c>
      <c r="J288" s="1">
        <v>60003760</v>
      </c>
      <c r="K288" s="1">
        <v>32767</v>
      </c>
      <c r="L288" s="1">
        <v>0</v>
      </c>
      <c r="N288" s="1">
        <v>2856511760</v>
      </c>
      <c r="O288" s="1">
        <v>35</v>
      </c>
      <c r="P288" s="1">
        <v>11849139</v>
      </c>
      <c r="Q288" s="1">
        <v>11847639</v>
      </c>
      <c r="R288" s="1">
        <v>15.26</v>
      </c>
      <c r="S288" s="1">
        <v>1</v>
      </c>
      <c r="T288" s="1">
        <v>0</v>
      </c>
      <c r="U288" s="1">
        <v>90</v>
      </c>
      <c r="V288" s="1">
        <v>60003172</v>
      </c>
      <c r="W288" s="1">
        <v>32767</v>
      </c>
      <c r="X288" s="1">
        <v>13</v>
      </c>
      <c r="Z288" s="1">
        <v>2856206147</v>
      </c>
      <c r="AA288" s="1">
        <v>36</v>
      </c>
      <c r="AB288" s="1">
        <v>356924</v>
      </c>
      <c r="AC288" s="1">
        <v>356924</v>
      </c>
      <c r="AD288" s="16">
        <v>51.5</v>
      </c>
      <c r="AE288" s="1">
        <v>1</v>
      </c>
      <c r="AF288" s="1">
        <v>0</v>
      </c>
      <c r="AG288" s="1">
        <v>90</v>
      </c>
      <c r="AH288" s="1">
        <v>60002284</v>
      </c>
      <c r="AI288" s="1">
        <v>32767</v>
      </c>
      <c r="AJ288" s="1">
        <v>4</v>
      </c>
      <c r="AX288"/>
      <c r="AY288"/>
      <c r="AZ288"/>
      <c r="BA288"/>
      <c r="BB288"/>
      <c r="BC288"/>
      <c r="BD288"/>
      <c r="BE288"/>
      <c r="BF288"/>
      <c r="BG288"/>
      <c r="BH288"/>
      <c r="CH288" s="1">
        <v>2367823341</v>
      </c>
      <c r="CI288" s="1">
        <v>29668</v>
      </c>
      <c r="CJ288" s="1">
        <v>3</v>
      </c>
      <c r="CK288" s="1">
        <v>3</v>
      </c>
      <c r="CL288" s="1">
        <v>355000000</v>
      </c>
      <c r="CM288" s="1">
        <v>1</v>
      </c>
      <c r="CN288" s="1">
        <v>1</v>
      </c>
      <c r="CO288" s="1">
        <v>90</v>
      </c>
      <c r="CP288" s="1">
        <v>60003760</v>
      </c>
      <c r="CQ288" s="1">
        <v>40</v>
      </c>
      <c r="CR288" s="1">
        <v>0</v>
      </c>
      <c r="DR288" s="1">
        <v>2878441543</v>
      </c>
      <c r="DS288" s="1">
        <v>17888</v>
      </c>
      <c r="DT288" s="1">
        <v>300000</v>
      </c>
      <c r="DU288" s="1">
        <v>300000</v>
      </c>
      <c r="DV288" s="1">
        <v>337.95</v>
      </c>
      <c r="DW288" s="1">
        <v>1</v>
      </c>
      <c r="DX288" s="1">
        <v>0</v>
      </c>
      <c r="DY288" s="1">
        <v>90</v>
      </c>
      <c r="DZ288" s="1">
        <v>60003760</v>
      </c>
      <c r="EA288" s="1">
        <v>32767</v>
      </c>
      <c r="EB288" s="1">
        <v>0</v>
      </c>
    </row>
    <row r="289" spans="2:132" x14ac:dyDescent="0.25">
      <c r="B289" s="1">
        <v>2870192875</v>
      </c>
      <c r="C289" s="1">
        <v>34</v>
      </c>
      <c r="D289" s="1">
        <v>40486513</v>
      </c>
      <c r="E289" s="1">
        <v>40486513</v>
      </c>
      <c r="F289" s="1">
        <v>5.84</v>
      </c>
      <c r="G289" s="1">
        <v>1</v>
      </c>
      <c r="H289" s="1">
        <v>0</v>
      </c>
      <c r="I289" s="1">
        <v>90</v>
      </c>
      <c r="J289" s="1">
        <v>60003760</v>
      </c>
      <c r="K289" s="1">
        <v>32767</v>
      </c>
      <c r="L289" s="1">
        <v>0</v>
      </c>
      <c r="N289" s="1">
        <v>2872287038</v>
      </c>
      <c r="O289" s="1">
        <v>35</v>
      </c>
      <c r="P289" s="1">
        <v>179030</v>
      </c>
      <c r="Q289" s="1">
        <v>179030</v>
      </c>
      <c r="R289" s="1">
        <v>14.75</v>
      </c>
      <c r="S289" s="1">
        <v>1</v>
      </c>
      <c r="T289" s="1">
        <v>0</v>
      </c>
      <c r="U289" s="1">
        <v>90</v>
      </c>
      <c r="V289" s="1">
        <v>60003172</v>
      </c>
      <c r="W289" s="1">
        <v>32767</v>
      </c>
      <c r="X289" s="1">
        <v>13</v>
      </c>
      <c r="Z289" s="1">
        <v>2849461817</v>
      </c>
      <c r="AA289" s="1">
        <v>36</v>
      </c>
      <c r="AB289" s="1">
        <v>954971</v>
      </c>
      <c r="AC289" s="1">
        <v>954971</v>
      </c>
      <c r="AD289" s="16">
        <v>53</v>
      </c>
      <c r="AE289" s="1">
        <v>1</v>
      </c>
      <c r="AF289" s="1">
        <v>0</v>
      </c>
      <c r="AG289" s="1">
        <v>90</v>
      </c>
      <c r="AH289" s="1">
        <v>60002284</v>
      </c>
      <c r="AI289" s="1">
        <v>32767</v>
      </c>
      <c r="AJ289" s="1">
        <v>4</v>
      </c>
      <c r="AX289"/>
      <c r="AY289"/>
      <c r="AZ289"/>
      <c r="BA289"/>
      <c r="BB289"/>
      <c r="BC289"/>
      <c r="BD289"/>
      <c r="BE289"/>
      <c r="BF289"/>
      <c r="BG289"/>
      <c r="BH289"/>
      <c r="CH289" s="1">
        <v>2367832276</v>
      </c>
      <c r="CI289" s="1">
        <v>29668</v>
      </c>
      <c r="CJ289" s="1">
        <v>8</v>
      </c>
      <c r="CK289" s="1">
        <v>8</v>
      </c>
      <c r="CL289" s="1">
        <v>425000000</v>
      </c>
      <c r="CM289" s="1">
        <v>1</v>
      </c>
      <c r="CN289" s="1">
        <v>1</v>
      </c>
      <c r="CO289" s="1">
        <v>90</v>
      </c>
      <c r="CP289" s="1">
        <v>60003760</v>
      </c>
      <c r="CQ289" s="1">
        <v>-1</v>
      </c>
      <c r="CR289" s="1">
        <v>0</v>
      </c>
      <c r="DR289" s="1">
        <v>2877668071</v>
      </c>
      <c r="DS289" s="1">
        <v>17888</v>
      </c>
      <c r="DT289" s="1">
        <v>7000000</v>
      </c>
      <c r="DU289" s="1">
        <v>6551074</v>
      </c>
      <c r="DV289" s="1">
        <v>337.83</v>
      </c>
      <c r="DW289" s="1">
        <v>1</v>
      </c>
      <c r="DX289" s="1">
        <v>0</v>
      </c>
      <c r="DY289" s="1">
        <v>90</v>
      </c>
      <c r="DZ289" s="1">
        <v>60003760</v>
      </c>
      <c r="EA289" s="1">
        <v>32767</v>
      </c>
      <c r="EB289" s="1">
        <v>8</v>
      </c>
    </row>
    <row r="290" spans="2:132" x14ac:dyDescent="0.25">
      <c r="B290" s="1">
        <v>2870385294</v>
      </c>
      <c r="C290" s="1">
        <v>34</v>
      </c>
      <c r="D290" s="1">
        <v>73313561</v>
      </c>
      <c r="E290" s="1">
        <v>73313561</v>
      </c>
      <c r="F290" s="1">
        <v>5.84</v>
      </c>
      <c r="G290" s="1">
        <v>1</v>
      </c>
      <c r="H290" s="1">
        <v>0</v>
      </c>
      <c r="I290" s="1">
        <v>90</v>
      </c>
      <c r="J290" s="1">
        <v>60003760</v>
      </c>
      <c r="K290" s="1">
        <v>32767</v>
      </c>
      <c r="L290" s="1">
        <v>0</v>
      </c>
      <c r="N290" s="1">
        <v>2877060489</v>
      </c>
      <c r="O290" s="1">
        <v>35</v>
      </c>
      <c r="P290" s="1">
        <v>1860500</v>
      </c>
      <c r="Q290" s="1">
        <v>1860500</v>
      </c>
      <c r="R290" s="1">
        <v>14.75</v>
      </c>
      <c r="S290" s="1">
        <v>1</v>
      </c>
      <c r="T290" s="1">
        <v>0</v>
      </c>
      <c r="U290" s="1">
        <v>90</v>
      </c>
      <c r="V290" s="1">
        <v>60003172</v>
      </c>
      <c r="W290" s="1">
        <v>32767</v>
      </c>
      <c r="X290" s="1">
        <v>13</v>
      </c>
      <c r="Z290" s="1">
        <v>2850016647</v>
      </c>
      <c r="AA290" s="1">
        <v>36</v>
      </c>
      <c r="AB290" s="1">
        <v>31525</v>
      </c>
      <c r="AC290" s="1">
        <v>31525</v>
      </c>
      <c r="AD290" s="16">
        <v>53</v>
      </c>
      <c r="AE290" s="1">
        <v>1</v>
      </c>
      <c r="AF290" s="1">
        <v>0</v>
      </c>
      <c r="AG290" s="1">
        <v>90</v>
      </c>
      <c r="AH290" s="1">
        <v>60002284</v>
      </c>
      <c r="AI290" s="1">
        <v>32767</v>
      </c>
      <c r="AJ290" s="1">
        <v>4</v>
      </c>
      <c r="AX290"/>
      <c r="AY290"/>
      <c r="AZ290"/>
      <c r="BA290"/>
      <c r="BB290"/>
      <c r="BC290"/>
      <c r="BD290"/>
      <c r="BE290"/>
      <c r="BF290"/>
      <c r="BG290"/>
      <c r="BH290"/>
      <c r="CH290" s="1">
        <v>2366432610</v>
      </c>
      <c r="CI290" s="1">
        <v>29668</v>
      </c>
      <c r="CJ290" s="1">
        <v>1</v>
      </c>
      <c r="CK290" s="1">
        <v>1</v>
      </c>
      <c r="CL290" s="1">
        <v>401300000</v>
      </c>
      <c r="CM290" s="1">
        <v>1</v>
      </c>
      <c r="CN290" s="1">
        <v>1</v>
      </c>
      <c r="CO290" s="1">
        <v>90</v>
      </c>
      <c r="CP290" s="1">
        <v>60003760</v>
      </c>
      <c r="CQ290" s="1">
        <v>32767</v>
      </c>
      <c r="CR290" s="1">
        <v>0</v>
      </c>
      <c r="DR290" s="1">
        <v>2878388834</v>
      </c>
      <c r="DS290" s="1">
        <v>17888</v>
      </c>
      <c r="DT290" s="1">
        <v>475250</v>
      </c>
      <c r="DU290" s="1">
        <v>475250</v>
      </c>
      <c r="DV290" s="1">
        <v>337.82</v>
      </c>
      <c r="DW290" s="1">
        <v>1</v>
      </c>
      <c r="DX290" s="1">
        <v>0</v>
      </c>
      <c r="DY290" s="1">
        <v>90</v>
      </c>
      <c r="DZ290" s="1">
        <v>60003760</v>
      </c>
      <c r="EA290" s="1">
        <v>32767</v>
      </c>
      <c r="EB290" s="1">
        <v>0</v>
      </c>
    </row>
    <row r="291" spans="2:132" x14ac:dyDescent="0.25">
      <c r="B291" s="1">
        <v>2870387839</v>
      </c>
      <c r="C291" s="1">
        <v>34</v>
      </c>
      <c r="D291" s="1">
        <v>721299222</v>
      </c>
      <c r="E291" s="1">
        <v>708609470</v>
      </c>
      <c r="F291" s="1">
        <v>5.75</v>
      </c>
      <c r="G291" s="1">
        <v>1</v>
      </c>
      <c r="H291" s="1">
        <v>0</v>
      </c>
      <c r="I291" s="1">
        <v>90</v>
      </c>
      <c r="J291" s="1">
        <v>60003760</v>
      </c>
      <c r="K291" s="1">
        <v>32767</v>
      </c>
      <c r="L291" s="1">
        <v>0</v>
      </c>
      <c r="N291" s="1">
        <v>2832383180</v>
      </c>
      <c r="O291" s="1">
        <v>35</v>
      </c>
      <c r="P291" s="1">
        <v>697869</v>
      </c>
      <c r="Q291" s="1">
        <v>697731</v>
      </c>
      <c r="R291" s="1">
        <v>25</v>
      </c>
      <c r="S291" s="1">
        <v>1</v>
      </c>
      <c r="T291" s="1">
        <v>0</v>
      </c>
      <c r="U291" s="1">
        <v>90</v>
      </c>
      <c r="V291" s="1">
        <v>60004465</v>
      </c>
      <c r="W291" s="1">
        <v>32767</v>
      </c>
      <c r="X291" s="1">
        <v>11</v>
      </c>
      <c r="Z291" s="1">
        <v>2845123363</v>
      </c>
      <c r="AA291" s="1">
        <v>36</v>
      </c>
      <c r="AB291" s="1">
        <v>356235</v>
      </c>
      <c r="AC291" s="1">
        <v>356235</v>
      </c>
      <c r="AD291" s="16">
        <v>53</v>
      </c>
      <c r="AE291" s="1">
        <v>1</v>
      </c>
      <c r="AF291" s="1">
        <v>0</v>
      </c>
      <c r="AG291" s="1">
        <v>90</v>
      </c>
      <c r="AH291" s="1">
        <v>60002284</v>
      </c>
      <c r="AI291" s="1">
        <v>32767</v>
      </c>
      <c r="AJ291" s="1">
        <v>4</v>
      </c>
      <c r="AX291"/>
      <c r="AY291"/>
      <c r="AZ291"/>
      <c r="BA291"/>
      <c r="BB291"/>
      <c r="BC291"/>
      <c r="BD291"/>
      <c r="BE291"/>
      <c r="BF291"/>
      <c r="BG291"/>
      <c r="BH291"/>
      <c r="CH291" s="1">
        <v>2366635239</v>
      </c>
      <c r="CI291" s="1">
        <v>29668</v>
      </c>
      <c r="CJ291" s="1">
        <v>5</v>
      </c>
      <c r="CK291" s="1">
        <v>5</v>
      </c>
      <c r="CL291" s="1">
        <v>424000</v>
      </c>
      <c r="CM291" s="1">
        <v>1</v>
      </c>
      <c r="CN291" s="1">
        <v>1</v>
      </c>
      <c r="CO291" s="1">
        <v>90</v>
      </c>
      <c r="CP291" s="1">
        <v>60003760</v>
      </c>
      <c r="CQ291" s="1">
        <v>10</v>
      </c>
      <c r="CR291" s="1">
        <v>0</v>
      </c>
      <c r="DR291" s="1">
        <v>2878465583</v>
      </c>
      <c r="DS291" s="1">
        <v>17888</v>
      </c>
      <c r="DT291" s="1">
        <v>201957</v>
      </c>
      <c r="DU291" s="1">
        <v>201957</v>
      </c>
      <c r="DV291" s="1">
        <v>335.99</v>
      </c>
      <c r="DW291" s="1">
        <v>1</v>
      </c>
      <c r="DX291" s="1">
        <v>0</v>
      </c>
      <c r="DY291" s="1">
        <v>3</v>
      </c>
      <c r="DZ291" s="1">
        <v>60004057</v>
      </c>
      <c r="EA291" s="1">
        <v>32767</v>
      </c>
      <c r="EB291" s="1">
        <v>0</v>
      </c>
    </row>
    <row r="292" spans="2:132" x14ac:dyDescent="0.25">
      <c r="B292" s="1">
        <v>2870371836</v>
      </c>
      <c r="C292" s="1">
        <v>34</v>
      </c>
      <c r="D292" s="1">
        <v>57909715</v>
      </c>
      <c r="E292" s="1">
        <v>57909715</v>
      </c>
      <c r="F292" s="1">
        <v>5.77</v>
      </c>
      <c r="G292" s="1">
        <v>1</v>
      </c>
      <c r="H292" s="1">
        <v>0</v>
      </c>
      <c r="I292" s="1">
        <v>90</v>
      </c>
      <c r="J292" s="1">
        <v>60003760</v>
      </c>
      <c r="K292" s="1">
        <v>32767</v>
      </c>
      <c r="L292" s="1">
        <v>0</v>
      </c>
      <c r="N292" s="1">
        <v>2851185579</v>
      </c>
      <c r="O292" s="1">
        <v>35</v>
      </c>
      <c r="P292" s="1">
        <v>229521</v>
      </c>
      <c r="Q292" s="1">
        <v>229521</v>
      </c>
      <c r="R292" s="1">
        <v>25</v>
      </c>
      <c r="S292" s="1">
        <v>1</v>
      </c>
      <c r="T292" s="1">
        <v>0</v>
      </c>
      <c r="U292" s="1">
        <v>90</v>
      </c>
      <c r="V292" s="1">
        <v>60013042</v>
      </c>
      <c r="W292" s="1">
        <v>32767</v>
      </c>
      <c r="X292" s="1">
        <v>10</v>
      </c>
      <c r="Z292" s="1">
        <v>2843777050</v>
      </c>
      <c r="AA292" s="1">
        <v>36</v>
      </c>
      <c r="AB292" s="1">
        <v>231447</v>
      </c>
      <c r="AC292" s="1">
        <v>231201</v>
      </c>
      <c r="AD292" s="16">
        <v>53</v>
      </c>
      <c r="AE292" s="1">
        <v>1</v>
      </c>
      <c r="AF292" s="1">
        <v>0</v>
      </c>
      <c r="AG292" s="1">
        <v>90</v>
      </c>
      <c r="AH292" s="1">
        <v>60002284</v>
      </c>
      <c r="AI292" s="1">
        <v>32767</v>
      </c>
      <c r="AJ292" s="1">
        <v>4</v>
      </c>
      <c r="AX292"/>
      <c r="AY292"/>
      <c r="AZ292"/>
      <c r="BA292"/>
      <c r="BB292"/>
      <c r="BC292"/>
      <c r="BD292"/>
      <c r="BE292"/>
      <c r="BF292"/>
      <c r="BG292"/>
      <c r="BH292"/>
      <c r="CH292" s="1">
        <v>2366695539</v>
      </c>
      <c r="CI292" s="1">
        <v>29668</v>
      </c>
      <c r="CJ292" s="1">
        <v>12</v>
      </c>
      <c r="CK292" s="1">
        <v>12</v>
      </c>
      <c r="CL292" s="1">
        <v>355000000.07999998</v>
      </c>
      <c r="CM292" s="1">
        <v>1</v>
      </c>
      <c r="CN292" s="1">
        <v>1</v>
      </c>
      <c r="CO292" s="1">
        <v>90</v>
      </c>
      <c r="CP292" s="1">
        <v>60003760</v>
      </c>
      <c r="CQ292" s="1">
        <v>-1</v>
      </c>
      <c r="CR292" s="1">
        <v>0</v>
      </c>
      <c r="DR292" s="1">
        <v>2878483798</v>
      </c>
      <c r="DS292" s="1">
        <v>17888</v>
      </c>
      <c r="DT292" s="1">
        <v>152832</v>
      </c>
      <c r="DU292" s="1">
        <v>152832</v>
      </c>
      <c r="DV292" s="1">
        <v>337.67</v>
      </c>
      <c r="DW292" s="1">
        <v>1</v>
      </c>
      <c r="DX292" s="1">
        <v>0</v>
      </c>
      <c r="DY292" s="1">
        <v>90</v>
      </c>
      <c r="DZ292" s="1">
        <v>60003760</v>
      </c>
      <c r="EA292" s="1">
        <v>32767</v>
      </c>
      <c r="EB292" s="1">
        <v>0</v>
      </c>
    </row>
    <row r="293" spans="2:132" x14ac:dyDescent="0.25">
      <c r="B293" s="1">
        <v>2870459041</v>
      </c>
      <c r="C293" s="1">
        <v>34</v>
      </c>
      <c r="D293" s="1">
        <v>88213651</v>
      </c>
      <c r="E293" s="1">
        <v>88213651</v>
      </c>
      <c r="F293" s="1">
        <v>5.89</v>
      </c>
      <c r="G293" s="1">
        <v>1</v>
      </c>
      <c r="H293" s="1">
        <v>0</v>
      </c>
      <c r="I293" s="1">
        <v>30</v>
      </c>
      <c r="J293" s="1">
        <v>60003760</v>
      </c>
      <c r="K293" s="1">
        <v>32767</v>
      </c>
      <c r="L293" s="1">
        <v>0</v>
      </c>
      <c r="N293" s="1">
        <v>2856511255</v>
      </c>
      <c r="O293" s="1">
        <v>35</v>
      </c>
      <c r="P293" s="1">
        <v>1084127</v>
      </c>
      <c r="Q293" s="1">
        <v>1084127</v>
      </c>
      <c r="R293" s="1">
        <v>15.26</v>
      </c>
      <c r="S293" s="1">
        <v>1</v>
      </c>
      <c r="T293" s="1">
        <v>0</v>
      </c>
      <c r="U293" s="1">
        <v>90</v>
      </c>
      <c r="V293" s="1">
        <v>60012316</v>
      </c>
      <c r="W293" s="1">
        <v>32767</v>
      </c>
      <c r="X293" s="1">
        <v>10</v>
      </c>
      <c r="Z293" s="1">
        <v>2865914659</v>
      </c>
      <c r="AA293" s="1">
        <v>36</v>
      </c>
      <c r="AB293" s="1">
        <v>714693</v>
      </c>
      <c r="AC293" s="1">
        <v>714693</v>
      </c>
      <c r="AD293" s="16">
        <v>51.7</v>
      </c>
      <c r="AE293" s="1">
        <v>1</v>
      </c>
      <c r="AF293" s="1">
        <v>0</v>
      </c>
      <c r="AG293" s="1">
        <v>90</v>
      </c>
      <c r="AH293" s="1">
        <v>60002284</v>
      </c>
      <c r="AI293" s="1">
        <v>32767</v>
      </c>
      <c r="AJ293" s="1">
        <v>4</v>
      </c>
      <c r="AX293"/>
      <c r="AY293"/>
      <c r="AZ293"/>
      <c r="BA293"/>
      <c r="BB293"/>
      <c r="BC293"/>
      <c r="BD293"/>
      <c r="BE293"/>
      <c r="BF293"/>
      <c r="BG293"/>
      <c r="BH293"/>
      <c r="CH293" s="1">
        <v>2366292602</v>
      </c>
      <c r="CI293" s="1">
        <v>29668</v>
      </c>
      <c r="CJ293" s="1">
        <v>16</v>
      </c>
      <c r="CK293" s="1">
        <v>16</v>
      </c>
      <c r="CL293" s="1">
        <v>400100001.42000002</v>
      </c>
      <c r="CM293" s="1">
        <v>1</v>
      </c>
      <c r="CN293" s="1">
        <v>1</v>
      </c>
      <c r="CO293" s="1">
        <v>90</v>
      </c>
      <c r="CP293" s="1">
        <v>60003760</v>
      </c>
      <c r="CQ293" s="1">
        <v>-1</v>
      </c>
      <c r="CR293" s="1">
        <v>0</v>
      </c>
      <c r="DR293" s="1">
        <v>2878389216</v>
      </c>
      <c r="DS293" s="1">
        <v>17888</v>
      </c>
      <c r="DT293" s="1">
        <v>500000</v>
      </c>
      <c r="DU293" s="1">
        <v>500000</v>
      </c>
      <c r="DV293" s="1">
        <v>337.55</v>
      </c>
      <c r="DW293" s="1">
        <v>1</v>
      </c>
      <c r="DX293" s="1">
        <v>0</v>
      </c>
      <c r="DY293" s="1">
        <v>90</v>
      </c>
      <c r="DZ293" s="1">
        <v>60003760</v>
      </c>
      <c r="EA293" s="1">
        <v>32767</v>
      </c>
      <c r="EB293" s="1">
        <v>0</v>
      </c>
    </row>
    <row r="294" spans="2:132" x14ac:dyDescent="0.25">
      <c r="B294" s="1">
        <v>2870769252</v>
      </c>
      <c r="C294" s="1">
        <v>34</v>
      </c>
      <c r="D294" s="1">
        <v>75000000</v>
      </c>
      <c r="E294" s="1">
        <v>75000000</v>
      </c>
      <c r="F294" s="1">
        <v>5.74</v>
      </c>
      <c r="G294" s="1">
        <v>1</v>
      </c>
      <c r="H294" s="1">
        <v>0</v>
      </c>
      <c r="I294" s="1">
        <v>90</v>
      </c>
      <c r="J294" s="1">
        <v>60003760</v>
      </c>
      <c r="K294" s="1">
        <v>32767</v>
      </c>
      <c r="L294" s="1">
        <v>0</v>
      </c>
      <c r="N294" s="1">
        <v>2856512443</v>
      </c>
      <c r="O294" s="1">
        <v>35</v>
      </c>
      <c r="P294" s="1">
        <v>981765</v>
      </c>
      <c r="Q294" s="1">
        <v>981765</v>
      </c>
      <c r="R294" s="1">
        <v>15.26</v>
      </c>
      <c r="S294" s="1">
        <v>1</v>
      </c>
      <c r="T294" s="1">
        <v>0</v>
      </c>
      <c r="U294" s="1">
        <v>90</v>
      </c>
      <c r="V294" s="1">
        <v>60012325</v>
      </c>
      <c r="W294" s="1">
        <v>32767</v>
      </c>
      <c r="X294" s="1">
        <v>10</v>
      </c>
      <c r="Z294" s="1">
        <v>2875445092</v>
      </c>
      <c r="AA294" s="1">
        <v>36</v>
      </c>
      <c r="AB294" s="1">
        <v>2093869</v>
      </c>
      <c r="AC294" s="1">
        <v>206869</v>
      </c>
      <c r="AD294" s="16">
        <v>49</v>
      </c>
      <c r="AE294" s="1">
        <v>1</v>
      </c>
      <c r="AF294" s="1">
        <v>0</v>
      </c>
      <c r="AG294" s="1">
        <v>7</v>
      </c>
      <c r="AH294" s="1">
        <v>60001882</v>
      </c>
      <c r="AI294" s="1">
        <v>32767</v>
      </c>
      <c r="AJ294" s="1">
        <v>3</v>
      </c>
      <c r="AX294"/>
      <c r="AY294"/>
      <c r="AZ294"/>
      <c r="BA294"/>
      <c r="BB294"/>
      <c r="BC294"/>
      <c r="BD294"/>
      <c r="BE294"/>
      <c r="BF294"/>
      <c r="BG294"/>
      <c r="BH294"/>
      <c r="CH294" s="1">
        <v>2366427519</v>
      </c>
      <c r="CI294" s="1">
        <v>29668</v>
      </c>
      <c r="CJ294" s="1">
        <v>1</v>
      </c>
      <c r="CK294" s="1">
        <v>1</v>
      </c>
      <c r="CL294" s="1">
        <v>404250000</v>
      </c>
      <c r="CM294" s="1">
        <v>1</v>
      </c>
      <c r="CN294" s="1">
        <v>1</v>
      </c>
      <c r="CO294" s="1">
        <v>90</v>
      </c>
      <c r="CP294" s="1">
        <v>60003760</v>
      </c>
      <c r="CQ294" s="1">
        <v>32767</v>
      </c>
      <c r="CR294" s="1">
        <v>0</v>
      </c>
      <c r="DR294" s="1">
        <v>2878326337</v>
      </c>
      <c r="DS294" s="1">
        <v>17888</v>
      </c>
      <c r="DT294" s="1">
        <v>10000000</v>
      </c>
      <c r="DU294" s="1">
        <v>10000000</v>
      </c>
      <c r="DV294" s="1">
        <v>337.44</v>
      </c>
      <c r="DW294" s="1">
        <v>1</v>
      </c>
      <c r="DX294" s="1">
        <v>0</v>
      </c>
      <c r="DY294" s="1">
        <v>30</v>
      </c>
      <c r="DZ294" s="1">
        <v>60003760</v>
      </c>
      <c r="EA294" s="1">
        <v>32767</v>
      </c>
      <c r="EB294" s="1">
        <v>8</v>
      </c>
    </row>
    <row r="295" spans="2:132" x14ac:dyDescent="0.25">
      <c r="B295" s="1">
        <v>2870694229</v>
      </c>
      <c r="C295" s="1">
        <v>34</v>
      </c>
      <c r="D295" s="1">
        <v>2224724</v>
      </c>
      <c r="E295" s="1">
        <v>2224724</v>
      </c>
      <c r="F295" s="1">
        <v>5.74</v>
      </c>
      <c r="G295" s="1">
        <v>1</v>
      </c>
      <c r="H295" s="1">
        <v>0</v>
      </c>
      <c r="I295" s="1">
        <v>90</v>
      </c>
      <c r="J295" s="1">
        <v>60003760</v>
      </c>
      <c r="K295" s="1">
        <v>32767</v>
      </c>
      <c r="L295" s="1">
        <v>0</v>
      </c>
      <c r="N295" s="1">
        <v>2870734921</v>
      </c>
      <c r="O295" s="1">
        <v>35</v>
      </c>
      <c r="P295" s="1">
        <v>246706</v>
      </c>
      <c r="Q295" s="1">
        <v>246706</v>
      </c>
      <c r="R295" s="1">
        <v>14.8</v>
      </c>
      <c r="S295" s="1">
        <v>1</v>
      </c>
      <c r="T295" s="1">
        <v>0</v>
      </c>
      <c r="U295" s="1">
        <v>90</v>
      </c>
      <c r="V295" s="1">
        <v>60012325</v>
      </c>
      <c r="W295" s="1">
        <v>32767</v>
      </c>
      <c r="X295" s="1">
        <v>10</v>
      </c>
      <c r="Z295" s="1">
        <v>2843834926</v>
      </c>
      <c r="AA295" s="1">
        <v>36</v>
      </c>
      <c r="AB295" s="1">
        <v>471636</v>
      </c>
      <c r="AC295" s="1">
        <v>471636</v>
      </c>
      <c r="AD295" s="16">
        <v>51</v>
      </c>
      <c r="AE295" s="1">
        <v>1</v>
      </c>
      <c r="AF295" s="1">
        <v>0</v>
      </c>
      <c r="AG295" s="1">
        <v>30</v>
      </c>
      <c r="AH295" s="1">
        <v>60003211</v>
      </c>
      <c r="AI295" s="1">
        <v>32767</v>
      </c>
      <c r="AJ295" s="1">
        <v>5</v>
      </c>
      <c r="AX295"/>
      <c r="AY295"/>
      <c r="AZ295"/>
      <c r="BA295"/>
      <c r="BB295"/>
      <c r="BC295"/>
      <c r="BD295"/>
      <c r="BE295"/>
      <c r="BF295"/>
      <c r="BG295"/>
      <c r="BH295"/>
      <c r="CH295" s="1">
        <v>2367198196</v>
      </c>
      <c r="CI295" s="1">
        <v>29668</v>
      </c>
      <c r="CJ295" s="1">
        <v>1</v>
      </c>
      <c r="CK295" s="1">
        <v>1</v>
      </c>
      <c r="CL295" s="1">
        <v>407500000</v>
      </c>
      <c r="CM295" s="1">
        <v>1</v>
      </c>
      <c r="CN295" s="1">
        <v>1</v>
      </c>
      <c r="CO295" s="1">
        <v>90</v>
      </c>
      <c r="CP295" s="1">
        <v>60003760</v>
      </c>
      <c r="CQ295" s="1">
        <v>-1</v>
      </c>
      <c r="CR295" s="1">
        <v>0</v>
      </c>
      <c r="DR295" s="1">
        <v>2878385601</v>
      </c>
      <c r="DS295" s="1">
        <v>17888</v>
      </c>
      <c r="DT295" s="1">
        <v>200000</v>
      </c>
      <c r="DU295" s="1">
        <v>200000</v>
      </c>
      <c r="DV295" s="1">
        <v>337.19</v>
      </c>
      <c r="DW295" s="1">
        <v>1</v>
      </c>
      <c r="DX295" s="1">
        <v>0</v>
      </c>
      <c r="DY295" s="1">
        <v>14</v>
      </c>
      <c r="DZ295" s="1">
        <v>60003760</v>
      </c>
      <c r="EA295" s="1">
        <v>32767</v>
      </c>
      <c r="EB295" s="1">
        <v>0</v>
      </c>
    </row>
    <row r="296" spans="2:132" x14ac:dyDescent="0.25">
      <c r="B296" s="1">
        <v>2870639373</v>
      </c>
      <c r="C296" s="1">
        <v>34</v>
      </c>
      <c r="D296" s="1">
        <v>98125000</v>
      </c>
      <c r="E296" s="1">
        <v>4431239</v>
      </c>
      <c r="F296" s="1">
        <v>5.74</v>
      </c>
      <c r="G296" s="1">
        <v>1</v>
      </c>
      <c r="H296" s="1">
        <v>0</v>
      </c>
      <c r="I296" s="1">
        <v>90</v>
      </c>
      <c r="J296" s="1">
        <v>60003760</v>
      </c>
      <c r="K296" s="1">
        <v>32767</v>
      </c>
      <c r="L296" s="1">
        <v>0</v>
      </c>
      <c r="N296" s="1">
        <v>2871856181</v>
      </c>
      <c r="O296" s="1">
        <v>35</v>
      </c>
      <c r="P296" s="1">
        <v>449347</v>
      </c>
      <c r="Q296" s="1">
        <v>449347</v>
      </c>
      <c r="R296" s="1">
        <v>15</v>
      </c>
      <c r="S296" s="1">
        <v>1</v>
      </c>
      <c r="T296" s="1">
        <v>0</v>
      </c>
      <c r="U296" s="1">
        <v>90</v>
      </c>
      <c r="V296" s="1">
        <v>60007504</v>
      </c>
      <c r="W296" s="1">
        <v>32767</v>
      </c>
      <c r="X296" s="1">
        <v>10</v>
      </c>
      <c r="Z296" s="1">
        <v>2856537236</v>
      </c>
      <c r="AA296" s="1">
        <v>36</v>
      </c>
      <c r="AB296" s="1">
        <v>1056</v>
      </c>
      <c r="AC296" s="1">
        <v>1056</v>
      </c>
      <c r="AD296" s="16">
        <v>48.08</v>
      </c>
      <c r="AE296" s="1">
        <v>1</v>
      </c>
      <c r="AF296" s="1">
        <v>0</v>
      </c>
      <c r="AG296" s="1">
        <v>30</v>
      </c>
      <c r="AH296" s="1">
        <v>60004057</v>
      </c>
      <c r="AI296" s="1">
        <v>32767</v>
      </c>
      <c r="AJ296" s="1">
        <v>3</v>
      </c>
      <c r="AX296"/>
      <c r="AY296"/>
      <c r="AZ296"/>
      <c r="BA296"/>
      <c r="BB296"/>
      <c r="BC296"/>
      <c r="BD296"/>
      <c r="BE296"/>
      <c r="BF296"/>
      <c r="BG296"/>
      <c r="BH296"/>
      <c r="CH296" s="1">
        <v>2367198605</v>
      </c>
      <c r="CI296" s="1">
        <v>29668</v>
      </c>
      <c r="CJ296" s="1">
        <v>4</v>
      </c>
      <c r="CK296" s="1">
        <v>4</v>
      </c>
      <c r="CL296" s="1">
        <v>350000000</v>
      </c>
      <c r="CM296" s="1">
        <v>1</v>
      </c>
      <c r="CN296" s="1">
        <v>1</v>
      </c>
      <c r="CO296" s="1">
        <v>90</v>
      </c>
      <c r="CP296" s="1">
        <v>60003760</v>
      </c>
      <c r="CQ296" s="1">
        <v>-1</v>
      </c>
      <c r="CR296" s="1">
        <v>0</v>
      </c>
      <c r="DR296" s="1">
        <v>2878520038</v>
      </c>
      <c r="DS296" s="1">
        <v>17888</v>
      </c>
      <c r="DT296" s="1">
        <v>247500</v>
      </c>
      <c r="DU296" s="1">
        <v>247500</v>
      </c>
      <c r="DV296" s="1">
        <v>337</v>
      </c>
      <c r="DW296" s="1">
        <v>1</v>
      </c>
      <c r="DX296" s="1">
        <v>0</v>
      </c>
      <c r="DY296" s="1">
        <v>90</v>
      </c>
      <c r="DZ296" s="1">
        <v>60003760</v>
      </c>
      <c r="EA296" s="1">
        <v>32767</v>
      </c>
      <c r="EB296" s="1">
        <v>0</v>
      </c>
    </row>
    <row r="297" spans="2:132" x14ac:dyDescent="0.25">
      <c r="B297" s="1">
        <v>2871689929</v>
      </c>
      <c r="C297" s="1">
        <v>34</v>
      </c>
      <c r="D297" s="1">
        <v>50000000</v>
      </c>
      <c r="E297" s="1">
        <v>50000000</v>
      </c>
      <c r="F297" s="1">
        <v>5.8</v>
      </c>
      <c r="G297" s="1">
        <v>1</v>
      </c>
      <c r="H297" s="1">
        <v>0</v>
      </c>
      <c r="I297" s="1">
        <v>90</v>
      </c>
      <c r="J297" s="1">
        <v>60003760</v>
      </c>
      <c r="K297" s="1">
        <v>32767</v>
      </c>
      <c r="L297" s="1">
        <v>0</v>
      </c>
      <c r="N297" s="1">
        <v>2871854728</v>
      </c>
      <c r="O297" s="1">
        <v>35</v>
      </c>
      <c r="P297" s="1">
        <v>814464</v>
      </c>
      <c r="Q297" s="1">
        <v>814464</v>
      </c>
      <c r="R297" s="1">
        <v>15</v>
      </c>
      <c r="S297" s="1">
        <v>1</v>
      </c>
      <c r="T297" s="1">
        <v>0</v>
      </c>
      <c r="U297" s="1">
        <v>90</v>
      </c>
      <c r="V297" s="1">
        <v>60000499</v>
      </c>
      <c r="W297" s="1">
        <v>32767</v>
      </c>
      <c r="X297" s="1">
        <v>11</v>
      </c>
      <c r="Z297" s="1">
        <v>2704198481</v>
      </c>
      <c r="AA297" s="1">
        <v>36</v>
      </c>
      <c r="AB297" s="1">
        <v>52</v>
      </c>
      <c r="AC297" s="1">
        <v>37</v>
      </c>
      <c r="AD297" s="16">
        <v>255</v>
      </c>
      <c r="AE297" s="1">
        <v>1</v>
      </c>
      <c r="AF297" s="1">
        <v>0</v>
      </c>
      <c r="AG297" s="1">
        <v>90</v>
      </c>
      <c r="AH297" s="1">
        <v>60004057</v>
      </c>
      <c r="AI297" s="1">
        <v>32767</v>
      </c>
      <c r="AJ297" s="1">
        <v>3</v>
      </c>
      <c r="AX297"/>
      <c r="AY297"/>
      <c r="AZ297"/>
      <c r="BA297"/>
      <c r="BB297"/>
      <c r="BC297"/>
      <c r="BD297"/>
      <c r="BE297"/>
      <c r="BF297"/>
      <c r="BG297"/>
      <c r="BH297"/>
      <c r="CH297" s="1">
        <v>2367116306</v>
      </c>
      <c r="CI297" s="1">
        <v>29668</v>
      </c>
      <c r="CJ297" s="1">
        <v>3</v>
      </c>
      <c r="CK297" s="1">
        <v>3</v>
      </c>
      <c r="CL297" s="1">
        <v>450000000</v>
      </c>
      <c r="CM297" s="1">
        <v>1</v>
      </c>
      <c r="CN297" s="1">
        <v>1</v>
      </c>
      <c r="CO297" s="1">
        <v>90</v>
      </c>
      <c r="CP297" s="1">
        <v>60003760</v>
      </c>
      <c r="CQ297" s="1">
        <v>32767</v>
      </c>
      <c r="CR297" s="1">
        <v>0</v>
      </c>
      <c r="DR297" s="1">
        <v>2877893295</v>
      </c>
      <c r="DS297" s="1">
        <v>17888</v>
      </c>
      <c r="DT297" s="1">
        <v>4798439</v>
      </c>
      <c r="DU297" s="1">
        <v>1635935</v>
      </c>
      <c r="DV297" s="1">
        <v>336.87</v>
      </c>
      <c r="DW297" s="1">
        <v>1</v>
      </c>
      <c r="DX297" s="1">
        <v>0</v>
      </c>
      <c r="DY297" s="1">
        <v>30</v>
      </c>
      <c r="DZ297" s="1">
        <v>60003760</v>
      </c>
      <c r="EA297" s="1">
        <v>32767</v>
      </c>
      <c r="EB297" s="1">
        <v>8</v>
      </c>
    </row>
    <row r="298" spans="2:132" x14ac:dyDescent="0.25">
      <c r="B298" s="1">
        <v>2871632952</v>
      </c>
      <c r="C298" s="1">
        <v>34</v>
      </c>
      <c r="D298" s="1">
        <v>3912352</v>
      </c>
      <c r="E298" s="1">
        <v>3912352</v>
      </c>
      <c r="F298" s="1">
        <v>5.98</v>
      </c>
      <c r="G298" s="1">
        <v>1</v>
      </c>
      <c r="H298" s="1">
        <v>0</v>
      </c>
      <c r="I298" s="1">
        <v>90</v>
      </c>
      <c r="J298" s="1">
        <v>60003760</v>
      </c>
      <c r="K298" s="1">
        <v>32767</v>
      </c>
      <c r="L298" s="1">
        <v>0</v>
      </c>
      <c r="N298" s="1">
        <v>2877048759</v>
      </c>
      <c r="O298" s="1">
        <v>35</v>
      </c>
      <c r="P298" s="1">
        <v>27178</v>
      </c>
      <c r="Q298" s="1">
        <v>27178</v>
      </c>
      <c r="R298" s="1">
        <v>14.75</v>
      </c>
      <c r="S298" s="1">
        <v>1</v>
      </c>
      <c r="T298" s="1">
        <v>0</v>
      </c>
      <c r="U298" s="1">
        <v>90</v>
      </c>
      <c r="V298" s="1">
        <v>60000499</v>
      </c>
      <c r="W298" s="1">
        <v>32767</v>
      </c>
      <c r="X298" s="1">
        <v>11</v>
      </c>
      <c r="Z298" s="1">
        <v>2875440921</v>
      </c>
      <c r="AA298" s="1">
        <v>36</v>
      </c>
      <c r="AB298" s="1">
        <v>109266</v>
      </c>
      <c r="AC298" s="1">
        <v>109266</v>
      </c>
      <c r="AD298" s="16">
        <v>48</v>
      </c>
      <c r="AE298" s="1">
        <v>1</v>
      </c>
      <c r="AF298" s="1">
        <v>0</v>
      </c>
      <c r="AG298" s="1">
        <v>3</v>
      </c>
      <c r="AH298" s="1">
        <v>60004057</v>
      </c>
      <c r="AI298" s="1">
        <v>32767</v>
      </c>
      <c r="AJ298" s="1">
        <v>3</v>
      </c>
      <c r="AX298"/>
      <c r="AY298"/>
      <c r="AZ298"/>
      <c r="BA298"/>
      <c r="BB298"/>
      <c r="BC298"/>
      <c r="BD298"/>
      <c r="BE298"/>
      <c r="BF298"/>
      <c r="BG298"/>
      <c r="BH298"/>
      <c r="CH298" s="1">
        <v>2367141957</v>
      </c>
      <c r="CI298" s="1">
        <v>29668</v>
      </c>
      <c r="CJ298" s="1">
        <v>200</v>
      </c>
      <c r="CK298" s="1">
        <v>193</v>
      </c>
      <c r="CL298" s="1">
        <v>438303000.01999998</v>
      </c>
      <c r="CM298" s="1">
        <v>1</v>
      </c>
      <c r="CN298" s="1">
        <v>1</v>
      </c>
      <c r="CO298" s="1">
        <v>90</v>
      </c>
      <c r="CP298" s="1">
        <v>60003760</v>
      </c>
      <c r="CQ298" s="1">
        <v>-1</v>
      </c>
      <c r="CR298" s="1">
        <v>0</v>
      </c>
      <c r="DR298" s="1">
        <v>2877940469</v>
      </c>
      <c r="DS298" s="1">
        <v>17888</v>
      </c>
      <c r="DT298" s="1">
        <v>1302708</v>
      </c>
      <c r="DU298" s="1">
        <v>1302708</v>
      </c>
      <c r="DV298" s="1">
        <v>336.87</v>
      </c>
      <c r="DW298" s="1">
        <v>1</v>
      </c>
      <c r="DX298" s="1">
        <v>0</v>
      </c>
      <c r="DY298" s="1">
        <v>30</v>
      </c>
      <c r="DZ298" s="1">
        <v>60003760</v>
      </c>
      <c r="EA298" s="1">
        <v>32767</v>
      </c>
      <c r="EB298" s="1">
        <v>8</v>
      </c>
    </row>
    <row r="299" spans="2:132" x14ac:dyDescent="0.25">
      <c r="B299" s="1">
        <v>2871789034</v>
      </c>
      <c r="C299" s="1">
        <v>34</v>
      </c>
      <c r="D299" s="1">
        <v>49737333</v>
      </c>
      <c r="E299" s="1">
        <v>49737333</v>
      </c>
      <c r="F299" s="1">
        <v>5.75</v>
      </c>
      <c r="G299" s="1">
        <v>1</v>
      </c>
      <c r="H299" s="1">
        <v>0</v>
      </c>
      <c r="I299" s="1">
        <v>30</v>
      </c>
      <c r="J299" s="1">
        <v>60003760</v>
      </c>
      <c r="K299" s="1">
        <v>32767</v>
      </c>
      <c r="L299" s="1">
        <v>0</v>
      </c>
      <c r="N299" s="1">
        <v>2877048548</v>
      </c>
      <c r="O299" s="1">
        <v>35</v>
      </c>
      <c r="P299" s="1">
        <v>360085</v>
      </c>
      <c r="Q299" s="1">
        <v>360085</v>
      </c>
      <c r="R299" s="1">
        <v>14.75</v>
      </c>
      <c r="S299" s="1">
        <v>1</v>
      </c>
      <c r="T299" s="1">
        <v>0</v>
      </c>
      <c r="U299" s="1">
        <v>90</v>
      </c>
      <c r="V299" s="1">
        <v>60004378</v>
      </c>
      <c r="W299" s="1">
        <v>32767</v>
      </c>
      <c r="X299" s="1">
        <v>11</v>
      </c>
      <c r="Z299" s="1">
        <v>2856743915</v>
      </c>
      <c r="AA299" s="1">
        <v>36</v>
      </c>
      <c r="AB299" s="1">
        <v>112121</v>
      </c>
      <c r="AC299" s="1">
        <v>112120</v>
      </c>
      <c r="AD299" s="16">
        <v>49.5</v>
      </c>
      <c r="AE299" s="1">
        <v>1</v>
      </c>
      <c r="AF299" s="1">
        <v>0</v>
      </c>
      <c r="AG299" s="1">
        <v>30</v>
      </c>
      <c r="AH299" s="1">
        <v>60004060</v>
      </c>
      <c r="AI299" s="1">
        <v>32767</v>
      </c>
      <c r="AJ299" s="1">
        <v>3</v>
      </c>
      <c r="AX299"/>
      <c r="AY299"/>
      <c r="AZ299"/>
      <c r="BA299"/>
      <c r="BB299"/>
      <c r="BC299"/>
      <c r="BD299"/>
      <c r="BE299"/>
      <c r="BF299"/>
      <c r="BG299"/>
      <c r="BH299"/>
      <c r="CH299" s="1">
        <v>2369683299</v>
      </c>
      <c r="CI299" s="1">
        <v>29668</v>
      </c>
      <c r="CJ299" s="1">
        <v>10</v>
      </c>
      <c r="CK299" s="1">
        <v>10</v>
      </c>
      <c r="CL299" s="1">
        <v>400000000</v>
      </c>
      <c r="CM299" s="1">
        <v>1</v>
      </c>
      <c r="CN299" s="1">
        <v>1</v>
      </c>
      <c r="CO299" s="1">
        <v>90</v>
      </c>
      <c r="CP299" s="1">
        <v>60003760</v>
      </c>
      <c r="CQ299" s="1">
        <v>-1</v>
      </c>
      <c r="CR299" s="1">
        <v>0</v>
      </c>
      <c r="DR299" s="1">
        <v>2878604874</v>
      </c>
      <c r="DS299" s="1">
        <v>17888</v>
      </c>
      <c r="DT299" s="1">
        <v>7667</v>
      </c>
      <c r="DU299" s="1">
        <v>7667</v>
      </c>
      <c r="DV299" s="1">
        <v>680</v>
      </c>
      <c r="DW299" s="1">
        <v>1</v>
      </c>
      <c r="DX299" s="1">
        <v>0</v>
      </c>
      <c r="DY299" s="1">
        <v>90</v>
      </c>
      <c r="DZ299" s="1">
        <v>60013141</v>
      </c>
      <c r="EA299" s="1">
        <v>32767</v>
      </c>
      <c r="EB299" s="1">
        <v>0</v>
      </c>
    </row>
    <row r="300" spans="2:132" x14ac:dyDescent="0.25">
      <c r="B300" s="1">
        <v>2871929898</v>
      </c>
      <c r="C300" s="1">
        <v>34</v>
      </c>
      <c r="D300" s="1">
        <v>63807499</v>
      </c>
      <c r="E300" s="1">
        <v>63807499</v>
      </c>
      <c r="F300" s="1">
        <v>5.98</v>
      </c>
      <c r="G300" s="1">
        <v>1</v>
      </c>
      <c r="H300" s="1">
        <v>0</v>
      </c>
      <c r="I300" s="1">
        <v>30</v>
      </c>
      <c r="J300" s="1">
        <v>60003760</v>
      </c>
      <c r="K300" s="1">
        <v>32767</v>
      </c>
      <c r="L300" s="1">
        <v>0</v>
      </c>
      <c r="N300" s="1">
        <v>2877047796</v>
      </c>
      <c r="O300" s="1">
        <v>35</v>
      </c>
      <c r="P300" s="1">
        <v>54338111</v>
      </c>
      <c r="Q300" s="1">
        <v>54338111</v>
      </c>
      <c r="R300" s="1">
        <v>14.75</v>
      </c>
      <c r="S300" s="1">
        <v>1</v>
      </c>
      <c r="T300" s="1">
        <v>0</v>
      </c>
      <c r="U300" s="1">
        <v>90</v>
      </c>
      <c r="V300" s="1">
        <v>60002374</v>
      </c>
      <c r="W300" s="1">
        <v>32767</v>
      </c>
      <c r="X300" s="1">
        <v>11</v>
      </c>
      <c r="Z300" s="1">
        <v>2845851018</v>
      </c>
      <c r="AA300" s="1">
        <v>36</v>
      </c>
      <c r="AB300" s="1">
        <v>373461</v>
      </c>
      <c r="AC300" s="1">
        <v>100265</v>
      </c>
      <c r="AD300" s="16">
        <v>50</v>
      </c>
      <c r="AE300" s="1">
        <v>1</v>
      </c>
      <c r="AF300" s="1">
        <v>0</v>
      </c>
      <c r="AG300" s="1">
        <v>90</v>
      </c>
      <c r="AH300" s="1">
        <v>60004060</v>
      </c>
      <c r="AI300" s="1">
        <v>32767</v>
      </c>
      <c r="AJ300" s="1">
        <v>3</v>
      </c>
      <c r="AX300"/>
      <c r="AY300"/>
      <c r="AZ300"/>
      <c r="BA300"/>
      <c r="BB300"/>
      <c r="BC300"/>
      <c r="BD300"/>
      <c r="BE300"/>
      <c r="BF300"/>
      <c r="BG300"/>
      <c r="BH300"/>
      <c r="CH300" s="1">
        <v>2370568470</v>
      </c>
      <c r="CI300" s="1">
        <v>29668</v>
      </c>
      <c r="CJ300" s="1">
        <v>3</v>
      </c>
      <c r="CK300" s="1">
        <v>3</v>
      </c>
      <c r="CL300" s="1">
        <v>415000000</v>
      </c>
      <c r="CM300" s="1">
        <v>1</v>
      </c>
      <c r="CN300" s="1">
        <v>1</v>
      </c>
      <c r="CO300" s="1">
        <v>90</v>
      </c>
      <c r="CP300" s="1">
        <v>60003760</v>
      </c>
      <c r="CQ300" s="1">
        <v>32767</v>
      </c>
      <c r="CR300" s="1">
        <v>0</v>
      </c>
      <c r="DR300" s="1">
        <v>2878623512</v>
      </c>
      <c r="DS300" s="1">
        <v>17888</v>
      </c>
      <c r="DT300" s="1">
        <v>4975922</v>
      </c>
      <c r="DU300" s="1">
        <v>263710</v>
      </c>
      <c r="DV300" s="1">
        <v>336.4</v>
      </c>
      <c r="DW300" s="1">
        <v>1</v>
      </c>
      <c r="DX300" s="1">
        <v>0</v>
      </c>
      <c r="DY300" s="1">
        <v>90</v>
      </c>
      <c r="DZ300" s="1">
        <v>60003760</v>
      </c>
      <c r="EA300" s="1">
        <v>32767</v>
      </c>
      <c r="EB300" s="1">
        <v>0</v>
      </c>
    </row>
    <row r="301" spans="2:132" x14ac:dyDescent="0.25">
      <c r="B301" s="1">
        <v>2872130548</v>
      </c>
      <c r="C301" s="1">
        <v>34</v>
      </c>
      <c r="D301" s="1">
        <v>235982499</v>
      </c>
      <c r="E301" s="1">
        <v>235982499</v>
      </c>
      <c r="F301" s="1">
        <v>5.82</v>
      </c>
      <c r="G301" s="1">
        <v>1</v>
      </c>
      <c r="H301" s="1">
        <v>0</v>
      </c>
      <c r="I301" s="1">
        <v>90</v>
      </c>
      <c r="J301" s="1">
        <v>60003760</v>
      </c>
      <c r="K301" s="1">
        <v>32767</v>
      </c>
      <c r="L301" s="1">
        <v>0</v>
      </c>
      <c r="N301" s="1">
        <v>2877048312</v>
      </c>
      <c r="O301" s="1">
        <v>35</v>
      </c>
      <c r="P301" s="1">
        <v>33959</v>
      </c>
      <c r="Q301" s="1">
        <v>33959</v>
      </c>
      <c r="R301" s="1">
        <v>14.75</v>
      </c>
      <c r="S301" s="1">
        <v>1</v>
      </c>
      <c r="T301" s="1">
        <v>0</v>
      </c>
      <c r="U301" s="1">
        <v>90</v>
      </c>
      <c r="V301" s="1">
        <v>60000493</v>
      </c>
      <c r="W301" s="1">
        <v>32767</v>
      </c>
      <c r="X301" s="1">
        <v>11</v>
      </c>
      <c r="Z301" s="1">
        <v>2864844088</v>
      </c>
      <c r="AA301" s="1">
        <v>36</v>
      </c>
      <c r="AB301" s="1">
        <v>1359500</v>
      </c>
      <c r="AC301" s="1">
        <v>1356879</v>
      </c>
      <c r="AD301" s="16">
        <v>48.05</v>
      </c>
      <c r="AE301" s="1">
        <v>1</v>
      </c>
      <c r="AF301" s="1">
        <v>0</v>
      </c>
      <c r="AG301" s="1">
        <v>90</v>
      </c>
      <c r="AH301" s="1">
        <v>60004060</v>
      </c>
      <c r="AI301" s="1">
        <v>32767</v>
      </c>
      <c r="AJ301" s="1">
        <v>3</v>
      </c>
      <c r="AX301"/>
      <c r="AY301"/>
      <c r="AZ301"/>
      <c r="BA301"/>
      <c r="BB301"/>
      <c r="BC301"/>
      <c r="BD301"/>
      <c r="BE301"/>
      <c r="BF301"/>
      <c r="BG301"/>
      <c r="BH301"/>
      <c r="CH301" s="1">
        <v>2370842006</v>
      </c>
      <c r="CI301" s="1">
        <v>29668</v>
      </c>
      <c r="CJ301" s="1">
        <v>1</v>
      </c>
      <c r="CK301" s="1">
        <v>1</v>
      </c>
      <c r="CL301" s="1">
        <v>390000000</v>
      </c>
      <c r="CM301" s="1">
        <v>1</v>
      </c>
      <c r="CN301" s="1">
        <v>1</v>
      </c>
      <c r="CO301" s="1">
        <v>90</v>
      </c>
      <c r="CP301" s="1">
        <v>60003760</v>
      </c>
      <c r="CQ301" s="1">
        <v>-1</v>
      </c>
      <c r="CR301" s="1">
        <v>0</v>
      </c>
      <c r="DR301" s="1">
        <v>2878665259</v>
      </c>
      <c r="DS301" s="1">
        <v>17888</v>
      </c>
      <c r="DT301" s="1">
        <v>637189</v>
      </c>
      <c r="DU301" s="1">
        <v>637189</v>
      </c>
      <c r="DV301" s="1">
        <v>350</v>
      </c>
      <c r="DW301" s="1">
        <v>1</v>
      </c>
      <c r="DX301" s="1">
        <v>0</v>
      </c>
      <c r="DY301" s="1">
        <v>90</v>
      </c>
      <c r="DZ301" s="1">
        <v>60003760</v>
      </c>
      <c r="EA301" s="1">
        <v>32767</v>
      </c>
      <c r="EB301" s="1">
        <v>0</v>
      </c>
    </row>
    <row r="302" spans="2:132" x14ac:dyDescent="0.25">
      <c r="B302" s="1">
        <v>2872461445</v>
      </c>
      <c r="C302" s="1">
        <v>34</v>
      </c>
      <c r="D302" s="1">
        <v>6358522</v>
      </c>
      <c r="E302" s="1">
        <v>6358522</v>
      </c>
      <c r="F302" s="1">
        <v>5.99</v>
      </c>
      <c r="G302" s="1">
        <v>1</v>
      </c>
      <c r="H302" s="1">
        <v>0</v>
      </c>
      <c r="I302" s="1">
        <v>90</v>
      </c>
      <c r="J302" s="1">
        <v>60003760</v>
      </c>
      <c r="K302" s="1">
        <v>32767</v>
      </c>
      <c r="L302" s="1">
        <v>0</v>
      </c>
      <c r="N302" s="1">
        <v>2877048119</v>
      </c>
      <c r="O302" s="1">
        <v>35</v>
      </c>
      <c r="P302" s="1">
        <v>1624</v>
      </c>
      <c r="Q302" s="1">
        <v>1624</v>
      </c>
      <c r="R302" s="1">
        <v>14.75</v>
      </c>
      <c r="S302" s="1">
        <v>1</v>
      </c>
      <c r="T302" s="1">
        <v>0</v>
      </c>
      <c r="U302" s="1">
        <v>90</v>
      </c>
      <c r="V302" s="1">
        <v>60007501</v>
      </c>
      <c r="W302" s="1">
        <v>32767</v>
      </c>
      <c r="X302" s="1">
        <v>11</v>
      </c>
      <c r="Z302" s="1">
        <v>2848694548</v>
      </c>
      <c r="AA302" s="1">
        <v>36</v>
      </c>
      <c r="AB302" s="1">
        <v>1670</v>
      </c>
      <c r="AC302" s="1">
        <v>1670</v>
      </c>
      <c r="AD302" s="16">
        <v>50</v>
      </c>
      <c r="AE302" s="1">
        <v>1</v>
      </c>
      <c r="AF302" s="1">
        <v>0</v>
      </c>
      <c r="AG302" s="1">
        <v>90</v>
      </c>
      <c r="AH302" s="1">
        <v>60002272</v>
      </c>
      <c r="AI302" s="1">
        <v>32767</v>
      </c>
      <c r="AJ302" s="1">
        <v>4</v>
      </c>
      <c r="AX302"/>
      <c r="AY302"/>
      <c r="AZ302"/>
      <c r="BA302"/>
      <c r="BB302"/>
      <c r="BC302"/>
      <c r="BD302"/>
      <c r="BE302"/>
      <c r="BF302"/>
      <c r="BG302"/>
      <c r="BH302"/>
      <c r="CH302" s="1">
        <v>2370866598</v>
      </c>
      <c r="CI302" s="1">
        <v>29668</v>
      </c>
      <c r="CJ302" s="1">
        <v>500</v>
      </c>
      <c r="CK302" s="1">
        <v>500</v>
      </c>
      <c r="CL302" s="1">
        <v>0.5</v>
      </c>
      <c r="CM302" s="1">
        <v>1</v>
      </c>
      <c r="CN302" s="1">
        <v>1</v>
      </c>
      <c r="CO302" s="1">
        <v>90</v>
      </c>
      <c r="CP302" s="1">
        <v>60003760</v>
      </c>
      <c r="CQ302" s="1">
        <v>40</v>
      </c>
      <c r="CR302" s="1">
        <v>0</v>
      </c>
      <c r="DR302" s="1">
        <v>2878758541</v>
      </c>
      <c r="DS302" s="1">
        <v>17888</v>
      </c>
      <c r="DT302" s="1">
        <v>765475</v>
      </c>
      <c r="DU302" s="1">
        <v>629613</v>
      </c>
      <c r="DV302" s="1">
        <v>336</v>
      </c>
      <c r="DW302" s="1">
        <v>1</v>
      </c>
      <c r="DX302" s="1">
        <v>0</v>
      </c>
      <c r="DY302" s="1">
        <v>90</v>
      </c>
      <c r="DZ302" s="1">
        <v>60003760</v>
      </c>
      <c r="EA302" s="1">
        <v>32767</v>
      </c>
      <c r="EB302" s="1">
        <v>0</v>
      </c>
    </row>
    <row r="303" spans="2:132" x14ac:dyDescent="0.25">
      <c r="B303" s="1">
        <v>2873569306</v>
      </c>
      <c r="C303" s="1">
        <v>34</v>
      </c>
      <c r="D303" s="1">
        <v>1</v>
      </c>
      <c r="E303" s="1">
        <v>1</v>
      </c>
      <c r="F303" s="1">
        <v>100</v>
      </c>
      <c r="G303" s="1">
        <v>1</v>
      </c>
      <c r="H303" s="1">
        <v>0</v>
      </c>
      <c r="I303" s="1">
        <v>90</v>
      </c>
      <c r="J303" s="1">
        <v>60003760</v>
      </c>
      <c r="K303" s="1">
        <v>32767</v>
      </c>
      <c r="L303" s="1">
        <v>0</v>
      </c>
      <c r="N303" s="1">
        <v>2812454389</v>
      </c>
      <c r="O303" s="1">
        <v>35</v>
      </c>
      <c r="P303" s="1">
        <v>7124430</v>
      </c>
      <c r="Q303" s="1">
        <v>2110530</v>
      </c>
      <c r="R303" s="1">
        <v>14.3</v>
      </c>
      <c r="S303" s="1">
        <v>1</v>
      </c>
      <c r="T303" s="1">
        <v>0</v>
      </c>
      <c r="U303" s="1">
        <v>90</v>
      </c>
      <c r="V303" s="1">
        <v>60004375</v>
      </c>
      <c r="W303" s="1">
        <v>32767</v>
      </c>
      <c r="X303" s="1">
        <v>9</v>
      </c>
      <c r="Z303" s="1">
        <v>2848135569</v>
      </c>
      <c r="AA303" s="1">
        <v>36</v>
      </c>
      <c r="AB303" s="1">
        <v>12425030</v>
      </c>
      <c r="AC303" s="1">
        <v>3135231</v>
      </c>
      <c r="AD303" s="16">
        <v>48.42</v>
      </c>
      <c r="AE303" s="1">
        <v>1</v>
      </c>
      <c r="AF303" s="1">
        <v>0</v>
      </c>
      <c r="AG303" s="1">
        <v>90</v>
      </c>
      <c r="AH303" s="1">
        <v>60002272</v>
      </c>
      <c r="AI303" s="1">
        <v>32767</v>
      </c>
      <c r="AJ303" s="1">
        <v>4</v>
      </c>
      <c r="AX303"/>
      <c r="AY303"/>
      <c r="AZ303"/>
      <c r="BA303"/>
      <c r="BB303"/>
      <c r="BC303"/>
      <c r="BD303"/>
      <c r="BE303"/>
      <c r="BF303"/>
      <c r="BG303"/>
      <c r="BH303"/>
      <c r="CH303" s="1">
        <v>2372332351</v>
      </c>
      <c r="CI303" s="1">
        <v>29668</v>
      </c>
      <c r="CJ303" s="1">
        <v>10</v>
      </c>
      <c r="CK303" s="1">
        <v>10</v>
      </c>
      <c r="CL303" s="1">
        <v>4330000</v>
      </c>
      <c r="CM303" s="1">
        <v>1</v>
      </c>
      <c r="CN303" s="1">
        <v>1</v>
      </c>
      <c r="CO303" s="1">
        <v>90</v>
      </c>
      <c r="CP303" s="1">
        <v>60003760</v>
      </c>
      <c r="CQ303" s="1">
        <v>32767</v>
      </c>
      <c r="CR303" s="1">
        <v>0</v>
      </c>
      <c r="DR303" s="1">
        <v>2875138435</v>
      </c>
      <c r="DS303" s="1">
        <v>17888</v>
      </c>
      <c r="DT303" s="1">
        <v>6000000</v>
      </c>
      <c r="DU303" s="1">
        <v>146423</v>
      </c>
      <c r="DV303" s="1">
        <v>337.43</v>
      </c>
      <c r="DW303" s="1">
        <v>1</v>
      </c>
      <c r="DX303" s="1">
        <v>0</v>
      </c>
      <c r="DY303" s="1">
        <v>90</v>
      </c>
      <c r="DZ303" s="1">
        <v>60003760</v>
      </c>
      <c r="EA303" s="1">
        <v>32767</v>
      </c>
      <c r="EB303" s="1">
        <v>8</v>
      </c>
    </row>
    <row r="304" spans="2:132" x14ac:dyDescent="0.25">
      <c r="B304" s="1">
        <v>2873504797</v>
      </c>
      <c r="C304" s="1">
        <v>34</v>
      </c>
      <c r="D304" s="1">
        <v>4828481</v>
      </c>
      <c r="E304" s="1">
        <v>4828481</v>
      </c>
      <c r="F304" s="1">
        <v>5.8</v>
      </c>
      <c r="G304" s="1">
        <v>1</v>
      </c>
      <c r="H304" s="1">
        <v>0</v>
      </c>
      <c r="I304" s="1">
        <v>90</v>
      </c>
      <c r="J304" s="1">
        <v>60003760</v>
      </c>
      <c r="K304" s="1">
        <v>32767</v>
      </c>
      <c r="L304" s="1">
        <v>0</v>
      </c>
      <c r="N304" s="1">
        <v>2851186528</v>
      </c>
      <c r="O304" s="1">
        <v>35</v>
      </c>
      <c r="P304" s="1">
        <v>672415</v>
      </c>
      <c r="Q304" s="1">
        <v>672415</v>
      </c>
      <c r="R304" s="1">
        <v>25</v>
      </c>
      <c r="S304" s="1">
        <v>1</v>
      </c>
      <c r="T304" s="1">
        <v>0</v>
      </c>
      <c r="U304" s="1">
        <v>90</v>
      </c>
      <c r="V304" s="1">
        <v>60007510</v>
      </c>
      <c r="W304" s="1">
        <v>32767</v>
      </c>
      <c r="X304" s="1">
        <v>9</v>
      </c>
      <c r="Z304" s="1">
        <v>2869954641</v>
      </c>
      <c r="AA304" s="1">
        <v>36</v>
      </c>
      <c r="AB304" s="1">
        <v>7527568</v>
      </c>
      <c r="AC304" s="1">
        <v>4392337</v>
      </c>
      <c r="AD304" s="16">
        <v>48.42</v>
      </c>
      <c r="AE304" s="1">
        <v>1</v>
      </c>
      <c r="AF304" s="1">
        <v>0</v>
      </c>
      <c r="AG304" s="1">
        <v>90</v>
      </c>
      <c r="AH304" s="1">
        <v>60002272</v>
      </c>
      <c r="AI304" s="1">
        <v>32767</v>
      </c>
      <c r="AJ304" s="1">
        <v>4</v>
      </c>
      <c r="AX304"/>
      <c r="AY304"/>
      <c r="AZ304"/>
      <c r="BA304"/>
      <c r="BB304"/>
      <c r="BC304"/>
      <c r="BD304"/>
      <c r="BE304"/>
      <c r="BF304"/>
      <c r="BG304"/>
      <c r="BH304"/>
      <c r="CH304" s="1">
        <v>2388028703</v>
      </c>
      <c r="CI304" s="1">
        <v>29668</v>
      </c>
      <c r="CJ304" s="1">
        <v>2</v>
      </c>
      <c r="CK304" s="1">
        <v>2</v>
      </c>
      <c r="CL304" s="1">
        <v>430000000</v>
      </c>
      <c r="CM304" s="1">
        <v>1</v>
      </c>
      <c r="CN304" s="1">
        <v>1</v>
      </c>
      <c r="CO304" s="1">
        <v>90</v>
      </c>
      <c r="CP304" s="1">
        <v>60003760</v>
      </c>
      <c r="CQ304" s="1">
        <v>32767</v>
      </c>
      <c r="CR304" s="1">
        <v>0</v>
      </c>
      <c r="DR304" s="1">
        <v>2875138329</v>
      </c>
      <c r="DS304" s="1">
        <v>17888</v>
      </c>
      <c r="DT304" s="1">
        <v>6000000</v>
      </c>
      <c r="DU304" s="1">
        <v>6000000</v>
      </c>
      <c r="DV304" s="1">
        <v>337.43</v>
      </c>
      <c r="DW304" s="1">
        <v>1</v>
      </c>
      <c r="DX304" s="1">
        <v>0</v>
      </c>
      <c r="DY304" s="1">
        <v>90</v>
      </c>
      <c r="DZ304" s="1">
        <v>60003760</v>
      </c>
      <c r="EA304" s="1">
        <v>32767</v>
      </c>
      <c r="EB304" s="1">
        <v>8</v>
      </c>
    </row>
    <row r="305" spans="2:132" x14ac:dyDescent="0.25">
      <c r="B305" s="1">
        <v>2874113692</v>
      </c>
      <c r="C305" s="1">
        <v>34</v>
      </c>
      <c r="D305" s="1">
        <v>147153670</v>
      </c>
      <c r="E305" s="1">
        <v>147153670</v>
      </c>
      <c r="F305" s="1">
        <v>5.76</v>
      </c>
      <c r="G305" s="1">
        <v>1</v>
      </c>
      <c r="H305" s="1">
        <v>0</v>
      </c>
      <c r="I305" s="1">
        <v>7</v>
      </c>
      <c r="J305" s="1">
        <v>60003760</v>
      </c>
      <c r="K305" s="1">
        <v>32767</v>
      </c>
      <c r="L305" s="1">
        <v>0</v>
      </c>
      <c r="N305" s="1">
        <v>2851186007</v>
      </c>
      <c r="O305" s="1">
        <v>35</v>
      </c>
      <c r="P305" s="1">
        <v>217859</v>
      </c>
      <c r="Q305" s="1">
        <v>217859</v>
      </c>
      <c r="R305" s="1">
        <v>25</v>
      </c>
      <c r="S305" s="1">
        <v>1</v>
      </c>
      <c r="T305" s="1">
        <v>0</v>
      </c>
      <c r="U305" s="1">
        <v>90</v>
      </c>
      <c r="V305" s="1">
        <v>60004375</v>
      </c>
      <c r="W305" s="1">
        <v>32767</v>
      </c>
      <c r="X305" s="1">
        <v>9</v>
      </c>
      <c r="Z305" s="1">
        <v>2815750688</v>
      </c>
      <c r="AA305" s="1">
        <v>36</v>
      </c>
      <c r="AB305" s="1">
        <v>315113</v>
      </c>
      <c r="AC305" s="1">
        <v>10107</v>
      </c>
      <c r="AD305" s="16">
        <v>47.5</v>
      </c>
      <c r="AE305" s="1">
        <v>1</v>
      </c>
      <c r="AF305" s="1">
        <v>0</v>
      </c>
      <c r="AG305" s="1">
        <v>90</v>
      </c>
      <c r="AH305" s="1">
        <v>60002842</v>
      </c>
      <c r="AI305" s="1">
        <v>32767</v>
      </c>
      <c r="AJ305" s="1">
        <v>5</v>
      </c>
      <c r="AX305"/>
      <c r="AY305"/>
      <c r="AZ305"/>
      <c r="BA305"/>
      <c r="BB305"/>
      <c r="BC305"/>
      <c r="BD305"/>
      <c r="BE305"/>
      <c r="BF305"/>
      <c r="BG305"/>
      <c r="BH305"/>
      <c r="CH305" s="1">
        <v>2388130530</v>
      </c>
      <c r="CI305" s="1">
        <v>29668</v>
      </c>
      <c r="CJ305" s="1">
        <v>1000</v>
      </c>
      <c r="CK305" s="1">
        <v>1000</v>
      </c>
      <c r="CL305" s="1">
        <v>496000</v>
      </c>
      <c r="CM305" s="1">
        <v>1</v>
      </c>
      <c r="CN305" s="1">
        <v>1</v>
      </c>
      <c r="CO305" s="1">
        <v>90</v>
      </c>
      <c r="CP305" s="1">
        <v>60003760</v>
      </c>
      <c r="CQ305" s="1">
        <v>-1</v>
      </c>
      <c r="CR305" s="1">
        <v>0</v>
      </c>
      <c r="DR305" s="1">
        <v>2875138224</v>
      </c>
      <c r="DS305" s="1">
        <v>17888</v>
      </c>
      <c r="DT305" s="1">
        <v>6466400</v>
      </c>
      <c r="DU305" s="1">
        <v>6466400</v>
      </c>
      <c r="DV305" s="1">
        <v>337.43</v>
      </c>
      <c r="DW305" s="1">
        <v>1</v>
      </c>
      <c r="DX305" s="1">
        <v>0</v>
      </c>
      <c r="DY305" s="1">
        <v>90</v>
      </c>
      <c r="DZ305" s="1">
        <v>60003760</v>
      </c>
      <c r="EA305" s="1">
        <v>32767</v>
      </c>
      <c r="EB305" s="1">
        <v>8</v>
      </c>
    </row>
    <row r="306" spans="2:132" x14ac:dyDescent="0.25">
      <c r="B306" s="1">
        <v>2873958363</v>
      </c>
      <c r="C306" s="1">
        <v>34</v>
      </c>
      <c r="D306" s="1">
        <v>89999700</v>
      </c>
      <c r="E306" s="1">
        <v>89999700</v>
      </c>
      <c r="F306" s="1">
        <v>5.84</v>
      </c>
      <c r="G306" s="1">
        <v>1</v>
      </c>
      <c r="H306" s="1">
        <v>0</v>
      </c>
      <c r="I306" s="1">
        <v>90</v>
      </c>
      <c r="J306" s="1">
        <v>60003760</v>
      </c>
      <c r="K306" s="1">
        <v>32767</v>
      </c>
      <c r="L306" s="1">
        <v>0</v>
      </c>
      <c r="N306" s="1">
        <v>2877050037</v>
      </c>
      <c r="O306" s="1">
        <v>35</v>
      </c>
      <c r="P306" s="1">
        <v>14890467</v>
      </c>
      <c r="Q306" s="1">
        <v>14890467</v>
      </c>
      <c r="R306" s="1">
        <v>14.75</v>
      </c>
      <c r="S306" s="1">
        <v>1</v>
      </c>
      <c r="T306" s="1">
        <v>0</v>
      </c>
      <c r="U306" s="1">
        <v>90</v>
      </c>
      <c r="V306" s="1">
        <v>60004375</v>
      </c>
      <c r="W306" s="1">
        <v>32767</v>
      </c>
      <c r="X306" s="1">
        <v>9</v>
      </c>
      <c r="Z306" s="1">
        <v>2830920542</v>
      </c>
      <c r="AA306" s="1">
        <v>36</v>
      </c>
      <c r="AB306" s="1">
        <v>22255</v>
      </c>
      <c r="AC306" s="1">
        <v>22255</v>
      </c>
      <c r="AD306" s="16">
        <v>55</v>
      </c>
      <c r="AE306" s="1">
        <v>1</v>
      </c>
      <c r="AF306" s="1">
        <v>0</v>
      </c>
      <c r="AG306" s="1">
        <v>90</v>
      </c>
      <c r="AH306" s="1">
        <v>60000904</v>
      </c>
      <c r="AI306" s="1">
        <v>32767</v>
      </c>
      <c r="AJ306" s="1">
        <v>5</v>
      </c>
      <c r="AX306"/>
      <c r="AY306"/>
      <c r="AZ306"/>
      <c r="BA306"/>
      <c r="BB306"/>
      <c r="BC306"/>
      <c r="BD306"/>
      <c r="BE306"/>
      <c r="BF306"/>
      <c r="BG306"/>
      <c r="BH306"/>
      <c r="CH306" s="1">
        <v>2388645952</v>
      </c>
      <c r="CI306" s="1">
        <v>29668</v>
      </c>
      <c r="CJ306" s="1">
        <v>2</v>
      </c>
      <c r="CK306" s="1">
        <v>2</v>
      </c>
      <c r="CL306" s="1">
        <v>455000002</v>
      </c>
      <c r="CM306" s="1">
        <v>1</v>
      </c>
      <c r="CN306" s="1">
        <v>1</v>
      </c>
      <c r="CO306" s="1">
        <v>90</v>
      </c>
      <c r="CP306" s="1">
        <v>60003760</v>
      </c>
      <c r="CQ306" s="1">
        <v>-1</v>
      </c>
      <c r="CR306" s="1">
        <v>0</v>
      </c>
      <c r="DR306" s="1">
        <v>2875114035</v>
      </c>
      <c r="DS306" s="1">
        <v>17888</v>
      </c>
      <c r="DT306" s="1">
        <v>11500000</v>
      </c>
      <c r="DU306" s="1">
        <v>11500000</v>
      </c>
      <c r="DV306" s="1">
        <v>337.43</v>
      </c>
      <c r="DW306" s="1">
        <v>1</v>
      </c>
      <c r="DX306" s="1">
        <v>0</v>
      </c>
      <c r="DY306" s="1">
        <v>90</v>
      </c>
      <c r="DZ306" s="1">
        <v>60003760</v>
      </c>
      <c r="EA306" s="1">
        <v>32767</v>
      </c>
      <c r="EB306" s="1">
        <v>8</v>
      </c>
    </row>
    <row r="307" spans="2:132" x14ac:dyDescent="0.25">
      <c r="B307" s="1">
        <v>2872554278</v>
      </c>
      <c r="C307" s="1">
        <v>34</v>
      </c>
      <c r="D307" s="1">
        <v>82770062</v>
      </c>
      <c r="E307" s="1">
        <v>82770062</v>
      </c>
      <c r="F307" s="1">
        <v>5.99</v>
      </c>
      <c r="G307" s="1">
        <v>1</v>
      </c>
      <c r="H307" s="1">
        <v>0</v>
      </c>
      <c r="I307" s="1">
        <v>90</v>
      </c>
      <c r="J307" s="1">
        <v>60003760</v>
      </c>
      <c r="K307" s="1">
        <v>32767</v>
      </c>
      <c r="L307" s="1">
        <v>0</v>
      </c>
      <c r="N307" s="1">
        <v>2877050539</v>
      </c>
      <c r="O307" s="1">
        <v>35</v>
      </c>
      <c r="P307" s="1">
        <v>2165032</v>
      </c>
      <c r="Q307" s="1">
        <v>2165032</v>
      </c>
      <c r="R307" s="1">
        <v>14.75</v>
      </c>
      <c r="S307" s="1">
        <v>1</v>
      </c>
      <c r="T307" s="1">
        <v>0</v>
      </c>
      <c r="U307" s="1">
        <v>90</v>
      </c>
      <c r="V307" s="1">
        <v>60007510</v>
      </c>
      <c r="W307" s="1">
        <v>32767</v>
      </c>
      <c r="X307" s="1">
        <v>9</v>
      </c>
      <c r="Z307" s="1">
        <v>2877002248</v>
      </c>
      <c r="AA307" s="1">
        <v>36</v>
      </c>
      <c r="AB307" s="1">
        <v>839890</v>
      </c>
      <c r="AC307" s="1">
        <v>839890</v>
      </c>
      <c r="AD307" s="16">
        <v>47</v>
      </c>
      <c r="AE307" s="1">
        <v>1</v>
      </c>
      <c r="AF307" s="1">
        <v>0</v>
      </c>
      <c r="AG307" s="1">
        <v>1</v>
      </c>
      <c r="AH307" s="1">
        <v>60002842</v>
      </c>
      <c r="AI307" s="1">
        <v>32767</v>
      </c>
      <c r="AJ307" s="1">
        <v>5</v>
      </c>
      <c r="AX307"/>
      <c r="AY307"/>
      <c r="AZ307"/>
      <c r="BA307"/>
      <c r="BB307"/>
      <c r="BC307"/>
      <c r="BD307"/>
      <c r="BE307"/>
      <c r="BF307"/>
      <c r="BG307"/>
      <c r="BH307"/>
      <c r="CH307" s="1">
        <v>2390115058</v>
      </c>
      <c r="CI307" s="1">
        <v>29668</v>
      </c>
      <c r="CJ307" s="1">
        <v>1</v>
      </c>
      <c r="CK307" s="1">
        <v>1</v>
      </c>
      <c r="CL307" s="1">
        <v>490000</v>
      </c>
      <c r="CM307" s="1">
        <v>1</v>
      </c>
      <c r="CN307" s="1">
        <v>1</v>
      </c>
      <c r="CO307" s="1">
        <v>90</v>
      </c>
      <c r="CP307" s="1">
        <v>60003760</v>
      </c>
      <c r="CQ307" s="1">
        <v>-1</v>
      </c>
      <c r="CR307" s="1">
        <v>0</v>
      </c>
      <c r="DR307" s="1">
        <v>2876817731</v>
      </c>
      <c r="DS307" s="1">
        <v>17888</v>
      </c>
      <c r="DT307" s="1">
        <v>55299</v>
      </c>
      <c r="DU307" s="1">
        <v>55299</v>
      </c>
      <c r="DV307" s="1">
        <v>335</v>
      </c>
      <c r="DW307" s="1">
        <v>1</v>
      </c>
      <c r="DX307" s="1">
        <v>0</v>
      </c>
      <c r="DY307" s="1">
        <v>90</v>
      </c>
      <c r="DZ307" s="1">
        <v>60004234</v>
      </c>
      <c r="EA307" s="1">
        <v>32767</v>
      </c>
      <c r="EB307" s="1">
        <v>9</v>
      </c>
    </row>
    <row r="308" spans="2:132" x14ac:dyDescent="0.25">
      <c r="B308" s="1">
        <v>2872821333</v>
      </c>
      <c r="C308" s="1">
        <v>34</v>
      </c>
      <c r="D308" s="1">
        <v>51232883</v>
      </c>
      <c r="E308" s="1">
        <v>51232883</v>
      </c>
      <c r="F308" s="1">
        <v>5.74</v>
      </c>
      <c r="G308" s="1">
        <v>1</v>
      </c>
      <c r="H308" s="1">
        <v>0</v>
      </c>
      <c r="I308" s="1">
        <v>90</v>
      </c>
      <c r="J308" s="1">
        <v>60003760</v>
      </c>
      <c r="K308" s="1">
        <v>32767</v>
      </c>
      <c r="L308" s="1">
        <v>0</v>
      </c>
      <c r="N308" s="1">
        <v>2877050286</v>
      </c>
      <c r="O308" s="1">
        <v>35</v>
      </c>
      <c r="P308" s="1">
        <v>1659828</v>
      </c>
      <c r="Q308" s="1">
        <v>1659828</v>
      </c>
      <c r="R308" s="1">
        <v>14.75</v>
      </c>
      <c r="S308" s="1">
        <v>1</v>
      </c>
      <c r="T308" s="1">
        <v>0</v>
      </c>
      <c r="U308" s="1">
        <v>90</v>
      </c>
      <c r="V308" s="1">
        <v>60000484</v>
      </c>
      <c r="W308" s="1">
        <v>32767</v>
      </c>
      <c r="X308" s="1">
        <v>9</v>
      </c>
      <c r="Z308" s="1">
        <v>2821390093</v>
      </c>
      <c r="AA308" s="1">
        <v>36</v>
      </c>
      <c r="AB308" s="1">
        <v>1434787</v>
      </c>
      <c r="AC308" s="1">
        <v>73392</v>
      </c>
      <c r="AD308" s="16">
        <v>51.3</v>
      </c>
      <c r="AE308" s="1">
        <v>1</v>
      </c>
      <c r="AF308" s="1">
        <v>0</v>
      </c>
      <c r="AG308" s="1">
        <v>90</v>
      </c>
      <c r="AH308" s="1">
        <v>60002851</v>
      </c>
      <c r="AI308" s="1">
        <v>32767</v>
      </c>
      <c r="AJ308" s="1">
        <v>4</v>
      </c>
      <c r="AX308"/>
      <c r="AY308"/>
      <c r="AZ308"/>
      <c r="BA308"/>
      <c r="BB308"/>
      <c r="BC308"/>
      <c r="BD308"/>
      <c r="BE308"/>
      <c r="BF308"/>
      <c r="BG308"/>
      <c r="BH308"/>
      <c r="CH308" s="1">
        <v>2389117253</v>
      </c>
      <c r="CI308" s="1">
        <v>29668</v>
      </c>
      <c r="CJ308" s="1">
        <v>1</v>
      </c>
      <c r="CK308" s="1">
        <v>1</v>
      </c>
      <c r="CL308" s="1">
        <v>400000000</v>
      </c>
      <c r="CM308" s="1">
        <v>1</v>
      </c>
      <c r="CN308" s="1">
        <v>1</v>
      </c>
      <c r="CO308" s="1">
        <v>90</v>
      </c>
      <c r="CP308" s="1">
        <v>60003760</v>
      </c>
      <c r="CQ308" s="1">
        <v>32767</v>
      </c>
      <c r="CR308" s="1">
        <v>0</v>
      </c>
      <c r="DR308" s="1">
        <v>2878829645</v>
      </c>
      <c r="DS308" s="1">
        <v>17888</v>
      </c>
      <c r="DT308" s="1">
        <v>15000000</v>
      </c>
      <c r="DU308" s="1">
        <v>15000000</v>
      </c>
      <c r="DV308" s="1">
        <v>336.38</v>
      </c>
      <c r="DW308" s="1">
        <v>1</v>
      </c>
      <c r="DX308" s="1">
        <v>0</v>
      </c>
      <c r="DY308" s="1">
        <v>14</v>
      </c>
      <c r="DZ308" s="1">
        <v>60003760</v>
      </c>
      <c r="EA308" s="1">
        <v>32767</v>
      </c>
      <c r="EB308" s="1">
        <v>0</v>
      </c>
    </row>
    <row r="309" spans="2:132" x14ac:dyDescent="0.25">
      <c r="B309" s="1">
        <v>2872948571</v>
      </c>
      <c r="C309" s="1">
        <v>34</v>
      </c>
      <c r="D309" s="1">
        <v>1045246</v>
      </c>
      <c r="E309" s="1">
        <v>1045246</v>
      </c>
      <c r="F309" s="1">
        <v>5.77</v>
      </c>
      <c r="G309" s="1">
        <v>1</v>
      </c>
      <c r="H309" s="1">
        <v>0</v>
      </c>
      <c r="I309" s="1">
        <v>90</v>
      </c>
      <c r="J309" s="1">
        <v>60003760</v>
      </c>
      <c r="K309" s="1">
        <v>32767</v>
      </c>
      <c r="L309" s="1">
        <v>0</v>
      </c>
      <c r="N309" s="1">
        <v>2871856750</v>
      </c>
      <c r="O309" s="1">
        <v>35</v>
      </c>
      <c r="P309" s="1">
        <v>764588</v>
      </c>
      <c r="Q309" s="1">
        <v>764588</v>
      </c>
      <c r="R309" s="1">
        <v>15</v>
      </c>
      <c r="S309" s="1">
        <v>1</v>
      </c>
      <c r="T309" s="1">
        <v>0</v>
      </c>
      <c r="U309" s="1">
        <v>90</v>
      </c>
      <c r="V309" s="1">
        <v>60007495</v>
      </c>
      <c r="W309" s="1">
        <v>32767</v>
      </c>
      <c r="X309" s="1">
        <v>8</v>
      </c>
      <c r="Z309" s="1">
        <v>2819365473</v>
      </c>
      <c r="AA309" s="1">
        <v>36</v>
      </c>
      <c r="AB309" s="1">
        <v>579468</v>
      </c>
      <c r="AC309" s="1">
        <v>255</v>
      </c>
      <c r="AD309" s="16">
        <v>51.3</v>
      </c>
      <c r="AE309" s="1">
        <v>1</v>
      </c>
      <c r="AF309" s="1">
        <v>0</v>
      </c>
      <c r="AG309" s="1">
        <v>90</v>
      </c>
      <c r="AH309" s="1">
        <v>60002275</v>
      </c>
      <c r="AI309" s="1">
        <v>32767</v>
      </c>
      <c r="AJ309" s="1">
        <v>4</v>
      </c>
      <c r="AX309"/>
      <c r="AY309"/>
      <c r="AZ309"/>
      <c r="BA309"/>
      <c r="BB309"/>
      <c r="BC309"/>
      <c r="BD309"/>
      <c r="BE309"/>
      <c r="BF309"/>
      <c r="BG309"/>
      <c r="BH309"/>
      <c r="CH309" s="1">
        <v>2388743603</v>
      </c>
      <c r="CI309" s="1">
        <v>29668</v>
      </c>
      <c r="CJ309" s="1">
        <v>2</v>
      </c>
      <c r="CK309" s="1">
        <v>2</v>
      </c>
      <c r="CL309" s="1">
        <v>430000901</v>
      </c>
      <c r="CM309" s="1">
        <v>1</v>
      </c>
      <c r="CN309" s="1">
        <v>1</v>
      </c>
      <c r="CO309" s="1">
        <v>90</v>
      </c>
      <c r="CP309" s="1">
        <v>60003760</v>
      </c>
      <c r="CQ309" s="1">
        <v>0</v>
      </c>
      <c r="CR309" s="1">
        <v>0</v>
      </c>
      <c r="DR309" s="1">
        <v>2878836527</v>
      </c>
      <c r="DS309" s="1">
        <v>17888</v>
      </c>
      <c r="DT309" s="1">
        <v>467400</v>
      </c>
      <c r="DU309" s="1">
        <v>167400</v>
      </c>
      <c r="DV309" s="1">
        <v>335.99</v>
      </c>
      <c r="DW309" s="1">
        <v>1</v>
      </c>
      <c r="DX309" s="1">
        <v>0</v>
      </c>
      <c r="DY309" s="1">
        <v>90</v>
      </c>
      <c r="DZ309" s="1">
        <v>60003760</v>
      </c>
      <c r="EA309" s="1">
        <v>32767</v>
      </c>
      <c r="EB309" s="1">
        <v>0</v>
      </c>
    </row>
    <row r="310" spans="2:132" x14ac:dyDescent="0.25">
      <c r="B310" s="1">
        <v>2872998289</v>
      </c>
      <c r="C310" s="1">
        <v>34</v>
      </c>
      <c r="D310" s="1">
        <v>594304</v>
      </c>
      <c r="E310" s="1">
        <v>594304</v>
      </c>
      <c r="F310" s="1">
        <v>5.75</v>
      </c>
      <c r="G310" s="1">
        <v>1</v>
      </c>
      <c r="H310" s="1">
        <v>0</v>
      </c>
      <c r="I310" s="1">
        <v>90</v>
      </c>
      <c r="J310" s="1">
        <v>60003760</v>
      </c>
      <c r="K310" s="1">
        <v>32767</v>
      </c>
      <c r="L310" s="1">
        <v>0</v>
      </c>
      <c r="N310" s="1">
        <v>2856512243</v>
      </c>
      <c r="O310" s="1">
        <v>35</v>
      </c>
      <c r="P310" s="1">
        <v>2615513</v>
      </c>
      <c r="Q310" s="1">
        <v>2615513</v>
      </c>
      <c r="R310" s="1">
        <v>15.26</v>
      </c>
      <c r="S310" s="1">
        <v>1</v>
      </c>
      <c r="T310" s="1">
        <v>0</v>
      </c>
      <c r="U310" s="1">
        <v>90</v>
      </c>
      <c r="V310" s="1">
        <v>60000487</v>
      </c>
      <c r="W310" s="1">
        <v>32767</v>
      </c>
      <c r="X310" s="1">
        <v>12</v>
      </c>
      <c r="Z310" s="1">
        <v>2761239553</v>
      </c>
      <c r="AA310" s="1">
        <v>36</v>
      </c>
      <c r="AB310" s="1">
        <v>4772</v>
      </c>
      <c r="AC310" s="1">
        <v>772</v>
      </c>
      <c r="AD310" s="16">
        <v>60</v>
      </c>
      <c r="AE310" s="1">
        <v>1</v>
      </c>
      <c r="AF310" s="1">
        <v>0</v>
      </c>
      <c r="AG310" s="1">
        <v>90</v>
      </c>
      <c r="AH310" s="1">
        <v>60012667</v>
      </c>
      <c r="AI310" s="1">
        <v>32767</v>
      </c>
      <c r="AJ310" s="1">
        <v>7</v>
      </c>
      <c r="AX310"/>
      <c r="AY310"/>
      <c r="AZ310"/>
      <c r="BA310"/>
      <c r="BB310"/>
      <c r="BC310"/>
      <c r="BD310"/>
      <c r="BE310"/>
      <c r="BF310"/>
      <c r="BG310"/>
      <c r="BH310"/>
      <c r="CH310" s="1">
        <v>2386661037</v>
      </c>
      <c r="CI310" s="1">
        <v>29668</v>
      </c>
      <c r="CJ310" s="1">
        <v>1</v>
      </c>
      <c r="CK310" s="1">
        <v>1</v>
      </c>
      <c r="CL310" s="1">
        <v>4894630</v>
      </c>
      <c r="CM310" s="1">
        <v>1</v>
      </c>
      <c r="CN310" s="1">
        <v>1</v>
      </c>
      <c r="CO310" s="1">
        <v>30</v>
      </c>
      <c r="CP310" s="1">
        <v>60003760</v>
      </c>
      <c r="CQ310" s="1">
        <v>32767</v>
      </c>
      <c r="CR310" s="1">
        <v>0</v>
      </c>
      <c r="DR310" s="1">
        <v>2878606050</v>
      </c>
      <c r="DS310" s="1">
        <v>17888</v>
      </c>
      <c r="DT310" s="1">
        <v>2959865</v>
      </c>
      <c r="DU310" s="1">
        <v>2336339</v>
      </c>
      <c r="DV310" s="1">
        <v>335.92</v>
      </c>
      <c r="DW310" s="1">
        <v>1</v>
      </c>
      <c r="DX310" s="1">
        <v>0</v>
      </c>
      <c r="DY310" s="1">
        <v>90</v>
      </c>
      <c r="DZ310" s="1">
        <v>60003760</v>
      </c>
      <c r="EA310" s="1">
        <v>32767</v>
      </c>
      <c r="EB310" s="1">
        <v>0</v>
      </c>
    </row>
    <row r="311" spans="2:132" x14ac:dyDescent="0.25">
      <c r="B311" s="1">
        <v>2873043788</v>
      </c>
      <c r="C311" s="1">
        <v>34</v>
      </c>
      <c r="D311" s="1">
        <v>21192373</v>
      </c>
      <c r="E311" s="1">
        <v>21192373</v>
      </c>
      <c r="F311" s="1">
        <v>5.8</v>
      </c>
      <c r="G311" s="1">
        <v>1</v>
      </c>
      <c r="H311" s="1">
        <v>0</v>
      </c>
      <c r="I311" s="1">
        <v>7</v>
      </c>
      <c r="J311" s="1">
        <v>60003760</v>
      </c>
      <c r="K311" s="1">
        <v>32767</v>
      </c>
      <c r="L311" s="1">
        <v>0</v>
      </c>
      <c r="N311" s="1">
        <v>2843505116</v>
      </c>
      <c r="O311" s="1">
        <v>35</v>
      </c>
      <c r="P311" s="1">
        <v>1866496</v>
      </c>
      <c r="Q311" s="1">
        <v>1866496</v>
      </c>
      <c r="R311" s="1">
        <v>15.61</v>
      </c>
      <c r="S311" s="1">
        <v>1</v>
      </c>
      <c r="T311" s="1">
        <v>0</v>
      </c>
      <c r="U311" s="1">
        <v>90</v>
      </c>
      <c r="V311" s="1">
        <v>60000487</v>
      </c>
      <c r="W311" s="1">
        <v>32767</v>
      </c>
      <c r="X311" s="1">
        <v>12</v>
      </c>
      <c r="Z311" s="1">
        <v>2755631705</v>
      </c>
      <c r="AA311" s="1">
        <v>36</v>
      </c>
      <c r="AB311" s="1">
        <v>16420915</v>
      </c>
      <c r="AC311" s="1">
        <v>7790480</v>
      </c>
      <c r="AD311" s="16">
        <v>57.42</v>
      </c>
      <c r="AE311" s="1">
        <v>1</v>
      </c>
      <c r="AF311" s="1">
        <v>0</v>
      </c>
      <c r="AG311" s="1">
        <v>90</v>
      </c>
      <c r="AH311" s="1">
        <v>60000535</v>
      </c>
      <c r="AI311" s="1">
        <v>32767</v>
      </c>
      <c r="AJ311" s="1">
        <v>7</v>
      </c>
      <c r="AX311"/>
      <c r="AY311"/>
      <c r="AZ311"/>
      <c r="BA311"/>
      <c r="BB311"/>
      <c r="BC311"/>
      <c r="BD311"/>
      <c r="BE311"/>
      <c r="BF311"/>
      <c r="BG311"/>
      <c r="BH311"/>
      <c r="CH311" s="1">
        <v>2386817170</v>
      </c>
      <c r="CI311" s="1">
        <v>29668</v>
      </c>
      <c r="CJ311" s="1">
        <v>3</v>
      </c>
      <c r="CK311" s="1">
        <v>3</v>
      </c>
      <c r="CL311" s="1">
        <v>401000000</v>
      </c>
      <c r="CM311" s="1">
        <v>1</v>
      </c>
      <c r="CN311" s="1">
        <v>1</v>
      </c>
      <c r="CO311" s="1">
        <v>90</v>
      </c>
      <c r="CP311" s="1">
        <v>60003760</v>
      </c>
      <c r="CQ311" s="1">
        <v>40</v>
      </c>
      <c r="CR311" s="1">
        <v>0</v>
      </c>
      <c r="DR311" s="1">
        <v>2878917749</v>
      </c>
      <c r="DS311" s="1">
        <v>17888</v>
      </c>
      <c r="DT311" s="1">
        <v>300000</v>
      </c>
      <c r="DU311" s="1">
        <v>300000</v>
      </c>
      <c r="DV311" s="1">
        <v>418</v>
      </c>
      <c r="DW311" s="1">
        <v>1</v>
      </c>
      <c r="DX311" s="1">
        <v>0</v>
      </c>
      <c r="DY311" s="1">
        <v>90</v>
      </c>
      <c r="DZ311" s="1">
        <v>60004081</v>
      </c>
      <c r="EA311" s="1">
        <v>32767</v>
      </c>
      <c r="EB311" s="1">
        <v>0</v>
      </c>
    </row>
    <row r="312" spans="2:132" x14ac:dyDescent="0.25">
      <c r="B312" s="1">
        <v>2873162415</v>
      </c>
      <c r="C312" s="1">
        <v>34</v>
      </c>
      <c r="D312" s="1">
        <v>9364562</v>
      </c>
      <c r="E312" s="1">
        <v>9364562</v>
      </c>
      <c r="F312" s="1">
        <v>6.1</v>
      </c>
      <c r="G312" s="1">
        <v>1</v>
      </c>
      <c r="H312" s="1">
        <v>0</v>
      </c>
      <c r="I312" s="1">
        <v>90</v>
      </c>
      <c r="J312" s="1">
        <v>60003760</v>
      </c>
      <c r="K312" s="1">
        <v>32767</v>
      </c>
      <c r="L312" s="1">
        <v>0</v>
      </c>
      <c r="N312" s="1">
        <v>2867910260</v>
      </c>
      <c r="O312" s="1">
        <v>35</v>
      </c>
      <c r="P312" s="1">
        <v>726835</v>
      </c>
      <c r="Q312" s="1">
        <v>726835</v>
      </c>
      <c r="R312" s="1">
        <v>14.8</v>
      </c>
      <c r="S312" s="1">
        <v>1</v>
      </c>
      <c r="T312" s="1">
        <v>0</v>
      </c>
      <c r="U312" s="1">
        <v>90</v>
      </c>
      <c r="V312" s="1">
        <v>60000487</v>
      </c>
      <c r="W312" s="1">
        <v>32767</v>
      </c>
      <c r="X312" s="1">
        <v>12</v>
      </c>
      <c r="Z312" s="1">
        <v>2862766003</v>
      </c>
      <c r="AA312" s="1">
        <v>36</v>
      </c>
      <c r="AB312" s="1">
        <v>5201842</v>
      </c>
      <c r="AC312" s="1">
        <v>5164980</v>
      </c>
      <c r="AD312" s="16">
        <v>53</v>
      </c>
      <c r="AE312" s="1">
        <v>1</v>
      </c>
      <c r="AF312" s="1">
        <v>0</v>
      </c>
      <c r="AG312" s="1">
        <v>30</v>
      </c>
      <c r="AH312" s="1">
        <v>60004459</v>
      </c>
      <c r="AI312" s="1">
        <v>32767</v>
      </c>
      <c r="AJ312" s="1">
        <v>7</v>
      </c>
      <c r="AX312"/>
      <c r="AY312"/>
      <c r="AZ312"/>
      <c r="BA312"/>
      <c r="BB312"/>
      <c r="BC312"/>
      <c r="BD312"/>
      <c r="BE312"/>
      <c r="BF312"/>
      <c r="BG312"/>
      <c r="BH312"/>
      <c r="CH312" s="1">
        <v>2386301397</v>
      </c>
      <c r="CI312" s="1">
        <v>29668</v>
      </c>
      <c r="CJ312" s="1">
        <v>10</v>
      </c>
      <c r="CK312" s="1">
        <v>10</v>
      </c>
      <c r="CL312" s="1">
        <v>300000</v>
      </c>
      <c r="CM312" s="1">
        <v>1</v>
      </c>
      <c r="CN312" s="1">
        <v>1</v>
      </c>
      <c r="CO312" s="1">
        <v>90</v>
      </c>
      <c r="CP312" s="1">
        <v>60003760</v>
      </c>
      <c r="CQ312" s="1">
        <v>-1</v>
      </c>
      <c r="CR312" s="1">
        <v>0</v>
      </c>
      <c r="DR312" s="1">
        <v>2878937010</v>
      </c>
      <c r="DS312" s="1">
        <v>17888</v>
      </c>
      <c r="DT312" s="1">
        <v>500000</v>
      </c>
      <c r="DU312" s="1">
        <v>480000</v>
      </c>
      <c r="DV312" s="1">
        <v>524.97</v>
      </c>
      <c r="DW312" s="1">
        <v>1</v>
      </c>
      <c r="DX312" s="1">
        <v>0</v>
      </c>
      <c r="DY312" s="1">
        <v>90</v>
      </c>
      <c r="DZ312" s="1">
        <v>60003043</v>
      </c>
      <c r="EA312" s="1">
        <v>32767</v>
      </c>
      <c r="EB312" s="1">
        <v>0</v>
      </c>
    </row>
    <row r="313" spans="2:132" x14ac:dyDescent="0.25">
      <c r="B313" s="1">
        <v>2873276466</v>
      </c>
      <c r="C313" s="1">
        <v>34</v>
      </c>
      <c r="D313" s="1">
        <v>258355553</v>
      </c>
      <c r="E313" s="1">
        <v>258355553</v>
      </c>
      <c r="F313" s="1">
        <v>6.1</v>
      </c>
      <c r="G313" s="1">
        <v>1</v>
      </c>
      <c r="H313" s="1">
        <v>0</v>
      </c>
      <c r="I313" s="1">
        <v>90</v>
      </c>
      <c r="J313" s="1">
        <v>60003760</v>
      </c>
      <c r="K313" s="1">
        <v>32767</v>
      </c>
      <c r="L313" s="1">
        <v>0</v>
      </c>
      <c r="N313" s="1">
        <v>2870736735</v>
      </c>
      <c r="O313" s="1">
        <v>35</v>
      </c>
      <c r="P313" s="1">
        <v>641225</v>
      </c>
      <c r="Q313" s="1">
        <v>641225</v>
      </c>
      <c r="R313" s="1">
        <v>14.8</v>
      </c>
      <c r="S313" s="1">
        <v>1</v>
      </c>
      <c r="T313" s="1">
        <v>0</v>
      </c>
      <c r="U313" s="1">
        <v>90</v>
      </c>
      <c r="V313" s="1">
        <v>60000487</v>
      </c>
      <c r="W313" s="1">
        <v>32767</v>
      </c>
      <c r="X313" s="1">
        <v>12</v>
      </c>
      <c r="Z313" s="1">
        <v>2844028802</v>
      </c>
      <c r="AA313" s="1">
        <v>36</v>
      </c>
      <c r="AB313" s="1">
        <v>458864</v>
      </c>
      <c r="AC313" s="1">
        <v>458864</v>
      </c>
      <c r="AD313" s="16">
        <v>52.68</v>
      </c>
      <c r="AE313" s="1">
        <v>1</v>
      </c>
      <c r="AF313" s="1">
        <v>0</v>
      </c>
      <c r="AG313" s="1">
        <v>30</v>
      </c>
      <c r="AH313" s="1">
        <v>60012667</v>
      </c>
      <c r="AI313" s="1">
        <v>32767</v>
      </c>
      <c r="AJ313" s="1">
        <v>7</v>
      </c>
      <c r="AX313"/>
      <c r="AY313"/>
      <c r="AZ313"/>
      <c r="BA313"/>
      <c r="BB313"/>
      <c r="BC313"/>
      <c r="BD313"/>
      <c r="BE313"/>
      <c r="BF313"/>
      <c r="BG313"/>
      <c r="BH313"/>
      <c r="CH313" s="1">
        <v>2386139834</v>
      </c>
      <c r="CI313" s="1">
        <v>29668</v>
      </c>
      <c r="CJ313" s="1">
        <v>5</v>
      </c>
      <c r="CK313" s="1">
        <v>5</v>
      </c>
      <c r="CL313" s="1">
        <v>470012143.00999999</v>
      </c>
      <c r="CM313" s="1">
        <v>1</v>
      </c>
      <c r="CN313" s="1">
        <v>1</v>
      </c>
      <c r="CO313" s="1">
        <v>90</v>
      </c>
      <c r="CP313" s="1">
        <v>60003760</v>
      </c>
      <c r="CQ313" s="1">
        <v>-1</v>
      </c>
      <c r="CR313" s="1">
        <v>0</v>
      </c>
      <c r="DR313" s="1">
        <v>2869894689</v>
      </c>
      <c r="DS313" s="1">
        <v>17888</v>
      </c>
      <c r="DT313" s="1">
        <v>2590200</v>
      </c>
      <c r="DU313" s="1">
        <v>2590200</v>
      </c>
      <c r="DV313" s="1">
        <v>336.37</v>
      </c>
      <c r="DW313" s="1">
        <v>1</v>
      </c>
      <c r="DX313" s="1">
        <v>0</v>
      </c>
      <c r="DY313" s="1">
        <v>90</v>
      </c>
      <c r="DZ313" s="1">
        <v>60003760</v>
      </c>
      <c r="EA313" s="1">
        <v>32767</v>
      </c>
      <c r="EB313" s="1">
        <v>8</v>
      </c>
    </row>
    <row r="314" spans="2:132" x14ac:dyDescent="0.25">
      <c r="B314" s="1">
        <v>2875546072</v>
      </c>
      <c r="C314" s="1">
        <v>34</v>
      </c>
      <c r="D314" s="1">
        <v>2825965</v>
      </c>
      <c r="E314" s="1">
        <v>2825965</v>
      </c>
      <c r="F314" s="1">
        <v>5.93</v>
      </c>
      <c r="G314" s="1">
        <v>1</v>
      </c>
      <c r="H314" s="1">
        <v>0</v>
      </c>
      <c r="I314" s="1">
        <v>30</v>
      </c>
      <c r="J314" s="1">
        <v>60003760</v>
      </c>
      <c r="K314" s="1">
        <v>32767</v>
      </c>
      <c r="L314" s="1">
        <v>0</v>
      </c>
      <c r="N314" s="1">
        <v>2875327950</v>
      </c>
      <c r="O314" s="1">
        <v>35</v>
      </c>
      <c r="P314" s="1">
        <v>140672</v>
      </c>
      <c r="Q314" s="1">
        <v>140672</v>
      </c>
      <c r="R314" s="1">
        <v>14.84</v>
      </c>
      <c r="S314" s="1">
        <v>1</v>
      </c>
      <c r="T314" s="1">
        <v>0</v>
      </c>
      <c r="U314" s="1">
        <v>90</v>
      </c>
      <c r="V314" s="1">
        <v>60000490</v>
      </c>
      <c r="W314" s="1">
        <v>32767</v>
      </c>
      <c r="X314" s="1">
        <v>12</v>
      </c>
      <c r="Z314" s="1">
        <v>2830263031</v>
      </c>
      <c r="AA314" s="1">
        <v>36</v>
      </c>
      <c r="AB314" s="1">
        <v>2171973</v>
      </c>
      <c r="AC314" s="1">
        <v>1770500</v>
      </c>
      <c r="AD314" s="16">
        <v>53</v>
      </c>
      <c r="AE314" s="1">
        <v>1</v>
      </c>
      <c r="AF314" s="1">
        <v>0</v>
      </c>
      <c r="AG314" s="1">
        <v>90</v>
      </c>
      <c r="AH314" s="1">
        <v>60012667</v>
      </c>
      <c r="AI314" s="1">
        <v>32767</v>
      </c>
      <c r="AJ314" s="1">
        <v>7</v>
      </c>
      <c r="AX314"/>
      <c r="AY314"/>
      <c r="AZ314"/>
      <c r="BA314"/>
      <c r="BB314"/>
      <c r="BC314"/>
      <c r="BD314"/>
      <c r="BE314"/>
      <c r="BF314"/>
      <c r="BG314"/>
      <c r="BH314"/>
      <c r="CH314" s="1">
        <v>2386568447</v>
      </c>
      <c r="CI314" s="1">
        <v>29668</v>
      </c>
      <c r="CJ314" s="1">
        <v>20</v>
      </c>
      <c r="CK314" s="1">
        <v>20</v>
      </c>
      <c r="CL314" s="1">
        <v>400005009.99000001</v>
      </c>
      <c r="CM314" s="1">
        <v>1</v>
      </c>
      <c r="CN314" s="1">
        <v>1</v>
      </c>
      <c r="CO314" s="1">
        <v>90</v>
      </c>
      <c r="CP314" s="1">
        <v>60003760</v>
      </c>
      <c r="CQ314" s="1">
        <v>-1</v>
      </c>
      <c r="CR314" s="1">
        <v>0</v>
      </c>
      <c r="DR314" s="1">
        <v>2870489700</v>
      </c>
      <c r="DS314" s="1">
        <v>17888</v>
      </c>
      <c r="DT314" s="1">
        <v>3868100</v>
      </c>
      <c r="DU314" s="1">
        <v>3868100</v>
      </c>
      <c r="DV314" s="1">
        <v>336.37</v>
      </c>
      <c r="DW314" s="1">
        <v>1</v>
      </c>
      <c r="DX314" s="1">
        <v>0</v>
      </c>
      <c r="DY314" s="1">
        <v>90</v>
      </c>
      <c r="DZ314" s="1">
        <v>60003760</v>
      </c>
      <c r="EA314" s="1">
        <v>32767</v>
      </c>
      <c r="EB314" s="1">
        <v>8</v>
      </c>
    </row>
    <row r="315" spans="2:132" x14ac:dyDescent="0.25">
      <c r="B315" s="1">
        <v>2874897518</v>
      </c>
      <c r="C315" s="1">
        <v>34</v>
      </c>
      <c r="D315" s="1">
        <v>325270386</v>
      </c>
      <c r="E315" s="1">
        <v>325270386</v>
      </c>
      <c r="F315" s="1">
        <v>5.84</v>
      </c>
      <c r="G315" s="1">
        <v>1</v>
      </c>
      <c r="H315" s="1">
        <v>0</v>
      </c>
      <c r="I315" s="1">
        <v>30</v>
      </c>
      <c r="J315" s="1">
        <v>60003760</v>
      </c>
      <c r="K315" s="1">
        <v>32767</v>
      </c>
      <c r="L315" s="1">
        <v>0</v>
      </c>
      <c r="N315" s="1">
        <v>2871084329</v>
      </c>
      <c r="O315" s="1">
        <v>35</v>
      </c>
      <c r="P315" s="1">
        <v>803978</v>
      </c>
      <c r="Q315" s="1">
        <v>797557</v>
      </c>
      <c r="R315" s="1">
        <v>15.1</v>
      </c>
      <c r="S315" s="1">
        <v>1</v>
      </c>
      <c r="T315" s="1">
        <v>0</v>
      </c>
      <c r="U315" s="1">
        <v>7</v>
      </c>
      <c r="V315" s="1">
        <v>60015026</v>
      </c>
      <c r="W315" s="1">
        <v>32767</v>
      </c>
      <c r="X315" s="1">
        <v>5</v>
      </c>
      <c r="Z315" s="1">
        <v>2832290133</v>
      </c>
      <c r="AA315" s="1">
        <v>36</v>
      </c>
      <c r="AB315" s="1">
        <v>4267</v>
      </c>
      <c r="AC315" s="1">
        <v>4267</v>
      </c>
      <c r="AD315" s="16">
        <v>55.97</v>
      </c>
      <c r="AE315" s="1">
        <v>1</v>
      </c>
      <c r="AF315" s="1">
        <v>0</v>
      </c>
      <c r="AG315" s="1">
        <v>90</v>
      </c>
      <c r="AH315" s="1">
        <v>60012667</v>
      </c>
      <c r="AI315" s="1">
        <v>32767</v>
      </c>
      <c r="AJ315" s="1">
        <v>7</v>
      </c>
      <c r="AX315"/>
      <c r="AY315"/>
      <c r="AZ315"/>
      <c r="BA315"/>
      <c r="BB315"/>
      <c r="BC315"/>
      <c r="BD315"/>
      <c r="BE315"/>
      <c r="BF315"/>
      <c r="BG315"/>
      <c r="BH315"/>
      <c r="CH315" s="1">
        <v>2386492031</v>
      </c>
      <c r="CI315" s="1">
        <v>29668</v>
      </c>
      <c r="CJ315" s="1">
        <v>2</v>
      </c>
      <c r="CK315" s="1">
        <v>2</v>
      </c>
      <c r="CL315" s="1">
        <v>49555</v>
      </c>
      <c r="CM315" s="1">
        <v>1</v>
      </c>
      <c r="CN315" s="1">
        <v>1</v>
      </c>
      <c r="CO315" s="1">
        <v>30</v>
      </c>
      <c r="CP315" s="1">
        <v>60003760</v>
      </c>
      <c r="CQ315" s="1">
        <v>-1</v>
      </c>
      <c r="CR315" s="1">
        <v>0</v>
      </c>
      <c r="DR315" s="1">
        <v>2870327288</v>
      </c>
      <c r="DS315" s="1">
        <v>17888</v>
      </c>
      <c r="DT315" s="1">
        <v>5095180</v>
      </c>
      <c r="DU315" s="1">
        <v>5095180</v>
      </c>
      <c r="DV315" s="1">
        <v>336.37</v>
      </c>
      <c r="DW315" s="1">
        <v>1</v>
      </c>
      <c r="DX315" s="1">
        <v>0</v>
      </c>
      <c r="DY315" s="1">
        <v>90</v>
      </c>
      <c r="DZ315" s="1">
        <v>60003760</v>
      </c>
      <c r="EA315" s="1">
        <v>32767</v>
      </c>
      <c r="EB315" s="1">
        <v>8</v>
      </c>
    </row>
    <row r="316" spans="2:132" x14ac:dyDescent="0.25">
      <c r="B316" s="1">
        <v>2874566440</v>
      </c>
      <c r="C316" s="1">
        <v>34</v>
      </c>
      <c r="D316" s="1">
        <v>90000000</v>
      </c>
      <c r="E316" s="1">
        <v>90000000</v>
      </c>
      <c r="F316" s="1">
        <v>5.89</v>
      </c>
      <c r="G316" s="1">
        <v>1</v>
      </c>
      <c r="H316" s="1">
        <v>0</v>
      </c>
      <c r="I316" s="1">
        <v>30</v>
      </c>
      <c r="J316" s="1">
        <v>60003760</v>
      </c>
      <c r="K316" s="1">
        <v>32767</v>
      </c>
      <c r="L316" s="1">
        <v>0</v>
      </c>
      <c r="N316" s="1">
        <v>2871086051</v>
      </c>
      <c r="O316" s="1">
        <v>35</v>
      </c>
      <c r="P316" s="1">
        <v>60232</v>
      </c>
      <c r="Q316" s="1">
        <v>60232</v>
      </c>
      <c r="R316" s="1">
        <v>15.11</v>
      </c>
      <c r="S316" s="1">
        <v>1</v>
      </c>
      <c r="T316" s="1">
        <v>0</v>
      </c>
      <c r="U316" s="1">
        <v>7</v>
      </c>
      <c r="V316" s="1">
        <v>60015026</v>
      </c>
      <c r="W316" s="1">
        <v>32767</v>
      </c>
      <c r="X316" s="1">
        <v>5</v>
      </c>
      <c r="Z316" s="1">
        <v>2834611157</v>
      </c>
      <c r="AA316" s="1">
        <v>36</v>
      </c>
      <c r="AB316" s="1">
        <v>3043317</v>
      </c>
      <c r="AC316" s="1">
        <v>2783317</v>
      </c>
      <c r="AD316" s="16">
        <v>52.7</v>
      </c>
      <c r="AE316" s="1">
        <v>1</v>
      </c>
      <c r="AF316" s="1">
        <v>0</v>
      </c>
      <c r="AG316" s="1">
        <v>30</v>
      </c>
      <c r="AH316" s="1">
        <v>60003073</v>
      </c>
      <c r="AI316" s="1">
        <v>32767</v>
      </c>
      <c r="AJ316" s="1">
        <v>7</v>
      </c>
      <c r="AX316"/>
      <c r="AY316"/>
      <c r="AZ316"/>
      <c r="BA316"/>
      <c r="BB316"/>
      <c r="BC316"/>
      <c r="BD316"/>
      <c r="BE316"/>
      <c r="BF316"/>
      <c r="BG316"/>
      <c r="BH316"/>
      <c r="CH316" s="1">
        <v>2383281322</v>
      </c>
      <c r="CI316" s="1">
        <v>29668</v>
      </c>
      <c r="CJ316" s="1">
        <v>2</v>
      </c>
      <c r="CK316" s="1">
        <v>2</v>
      </c>
      <c r="CL316" s="1">
        <v>400000000.99000001</v>
      </c>
      <c r="CM316" s="1">
        <v>1</v>
      </c>
      <c r="CN316" s="1">
        <v>1</v>
      </c>
      <c r="CO316" s="1">
        <v>90</v>
      </c>
      <c r="CP316" s="1">
        <v>60003760</v>
      </c>
      <c r="CQ316" s="1">
        <v>32767</v>
      </c>
      <c r="CR316" s="1">
        <v>0</v>
      </c>
      <c r="DR316" s="1">
        <v>2869646523</v>
      </c>
      <c r="DS316" s="1">
        <v>17888</v>
      </c>
      <c r="DT316" s="1">
        <v>6280000</v>
      </c>
      <c r="DU316" s="1">
        <v>6280000</v>
      </c>
      <c r="DV316" s="1">
        <v>336.37</v>
      </c>
      <c r="DW316" s="1">
        <v>1</v>
      </c>
      <c r="DX316" s="1">
        <v>0</v>
      </c>
      <c r="DY316" s="1">
        <v>90</v>
      </c>
      <c r="DZ316" s="1">
        <v>60003760</v>
      </c>
      <c r="EA316" s="1">
        <v>32767</v>
      </c>
      <c r="EB316" s="1">
        <v>8</v>
      </c>
    </row>
    <row r="317" spans="2:132" x14ac:dyDescent="0.25">
      <c r="B317" s="1">
        <v>2878299847</v>
      </c>
      <c r="C317" s="1">
        <v>34</v>
      </c>
      <c r="D317" s="1">
        <v>24889117</v>
      </c>
      <c r="E317" s="1">
        <v>24889117</v>
      </c>
      <c r="F317" s="1">
        <v>5.85</v>
      </c>
      <c r="G317" s="1">
        <v>1</v>
      </c>
      <c r="H317" s="1">
        <v>0</v>
      </c>
      <c r="I317" s="1">
        <v>90</v>
      </c>
      <c r="J317" s="1">
        <v>60003760</v>
      </c>
      <c r="K317" s="1">
        <v>32767</v>
      </c>
      <c r="L317" s="1">
        <v>0</v>
      </c>
      <c r="N317" s="1">
        <v>2838455331</v>
      </c>
      <c r="O317" s="1">
        <v>35</v>
      </c>
      <c r="P317" s="1">
        <v>1000000</v>
      </c>
      <c r="Q317" s="1">
        <v>1000000</v>
      </c>
      <c r="R317" s="1">
        <v>26</v>
      </c>
      <c r="S317" s="1">
        <v>1</v>
      </c>
      <c r="T317" s="1">
        <v>0</v>
      </c>
      <c r="U317" s="1">
        <v>90</v>
      </c>
      <c r="V317" s="1">
        <v>60015027</v>
      </c>
      <c r="W317" s="1">
        <v>32767</v>
      </c>
      <c r="X317" s="1">
        <v>4</v>
      </c>
      <c r="Z317" s="1">
        <v>2873015733</v>
      </c>
      <c r="AA317" s="1">
        <v>36</v>
      </c>
      <c r="AB317" s="1">
        <v>235470</v>
      </c>
      <c r="AC317" s="1">
        <v>235470</v>
      </c>
      <c r="AD317" s="16">
        <v>51</v>
      </c>
      <c r="AE317" s="1">
        <v>1</v>
      </c>
      <c r="AF317" s="1">
        <v>0</v>
      </c>
      <c r="AG317" s="1">
        <v>7</v>
      </c>
      <c r="AH317" s="1">
        <v>60000535</v>
      </c>
      <c r="AI317" s="1">
        <v>32767</v>
      </c>
      <c r="AJ317" s="1">
        <v>7</v>
      </c>
      <c r="CH317" s="1">
        <v>2383853849</v>
      </c>
      <c r="CI317" s="1">
        <v>29668</v>
      </c>
      <c r="CJ317" s="1">
        <v>1</v>
      </c>
      <c r="CK317" s="1">
        <v>1</v>
      </c>
      <c r="CL317" s="1">
        <v>0.01</v>
      </c>
      <c r="CM317" s="1">
        <v>1</v>
      </c>
      <c r="CN317" s="1">
        <v>1</v>
      </c>
      <c r="CO317" s="1">
        <v>90</v>
      </c>
      <c r="CP317" s="1">
        <v>60003760</v>
      </c>
      <c r="CQ317" s="1">
        <v>0</v>
      </c>
      <c r="CR317" s="1">
        <v>0</v>
      </c>
      <c r="DR317" s="1">
        <v>2870238176</v>
      </c>
      <c r="DS317" s="1">
        <v>17888</v>
      </c>
      <c r="DT317" s="1">
        <v>6280000</v>
      </c>
      <c r="DU317" s="1">
        <v>6280000</v>
      </c>
      <c r="DV317" s="1">
        <v>336.37</v>
      </c>
      <c r="DW317" s="1">
        <v>1</v>
      </c>
      <c r="DX317" s="1">
        <v>0</v>
      </c>
      <c r="DY317" s="1">
        <v>90</v>
      </c>
      <c r="DZ317" s="1">
        <v>60003760</v>
      </c>
      <c r="EA317" s="1">
        <v>32767</v>
      </c>
      <c r="EB317" s="1">
        <v>8</v>
      </c>
    </row>
    <row r="318" spans="2:132" x14ac:dyDescent="0.25">
      <c r="B318" s="1">
        <v>2877700882</v>
      </c>
      <c r="C318" s="1">
        <v>34</v>
      </c>
      <c r="D318" s="1">
        <v>202608</v>
      </c>
      <c r="E318" s="1">
        <v>202608</v>
      </c>
      <c r="F318" s="1">
        <v>5.92</v>
      </c>
      <c r="G318" s="1">
        <v>1</v>
      </c>
      <c r="H318" s="1">
        <v>0</v>
      </c>
      <c r="I318" s="1">
        <v>7</v>
      </c>
      <c r="J318" s="1">
        <v>60000364</v>
      </c>
      <c r="K318" s="1">
        <v>32767</v>
      </c>
      <c r="L318" s="1">
        <v>0</v>
      </c>
      <c r="N318" s="1">
        <v>2840398566</v>
      </c>
      <c r="O318" s="1">
        <v>35</v>
      </c>
      <c r="P318" s="1">
        <v>39101</v>
      </c>
      <c r="Q318" s="1">
        <v>22446</v>
      </c>
      <c r="R318" s="1">
        <v>15.8</v>
      </c>
      <c r="S318" s="1">
        <v>1</v>
      </c>
      <c r="T318" s="1">
        <v>0</v>
      </c>
      <c r="U318" s="1">
        <v>30</v>
      </c>
      <c r="V318" s="1">
        <v>60015027</v>
      </c>
      <c r="W318" s="1">
        <v>32767</v>
      </c>
      <c r="X318" s="1">
        <v>4</v>
      </c>
      <c r="Z318" s="1">
        <v>2872782244</v>
      </c>
      <c r="AA318" s="1">
        <v>36</v>
      </c>
      <c r="AB318" s="1">
        <v>5129</v>
      </c>
      <c r="AC318" s="1">
        <v>5129</v>
      </c>
      <c r="AD318" s="16">
        <v>48.21</v>
      </c>
      <c r="AE318" s="1">
        <v>1</v>
      </c>
      <c r="AF318" s="1">
        <v>0</v>
      </c>
      <c r="AG318" s="1">
        <v>30</v>
      </c>
      <c r="AH318" s="1">
        <v>60012667</v>
      </c>
      <c r="AI318" s="1">
        <v>32767</v>
      </c>
      <c r="AJ318" s="1">
        <v>7</v>
      </c>
      <c r="CH318" s="1">
        <v>2384047446</v>
      </c>
      <c r="CI318" s="1">
        <v>29668</v>
      </c>
      <c r="CJ318" s="1">
        <v>1</v>
      </c>
      <c r="CK318" s="1">
        <v>1</v>
      </c>
      <c r="CL318" s="1">
        <v>460000</v>
      </c>
      <c r="CM318" s="1">
        <v>1</v>
      </c>
      <c r="CN318" s="1">
        <v>1</v>
      </c>
      <c r="CO318" s="1">
        <v>90</v>
      </c>
      <c r="CP318" s="1">
        <v>60003760</v>
      </c>
      <c r="CQ318" s="1">
        <v>40</v>
      </c>
      <c r="CR318" s="1">
        <v>0</v>
      </c>
      <c r="DR318" s="1">
        <v>2879010717</v>
      </c>
      <c r="DS318" s="1">
        <v>17888</v>
      </c>
      <c r="DT318" s="1">
        <v>1167259</v>
      </c>
      <c r="DU318" s="1">
        <v>1167259</v>
      </c>
      <c r="DV318" s="1">
        <v>335.88</v>
      </c>
      <c r="DW318" s="1">
        <v>1</v>
      </c>
      <c r="DX318" s="1">
        <v>0</v>
      </c>
      <c r="DY318" s="1">
        <v>90</v>
      </c>
      <c r="DZ318" s="1">
        <v>60003760</v>
      </c>
      <c r="EA318" s="1">
        <v>32767</v>
      </c>
      <c r="EB318" s="1">
        <v>0</v>
      </c>
    </row>
    <row r="319" spans="2:132" x14ac:dyDescent="0.25">
      <c r="B319" s="1">
        <v>2877740108</v>
      </c>
      <c r="C319" s="1">
        <v>34</v>
      </c>
      <c r="D319" s="1">
        <v>540439378</v>
      </c>
      <c r="E319" s="1">
        <v>540439378</v>
      </c>
      <c r="F319" s="1">
        <v>5.75</v>
      </c>
      <c r="G319" s="1">
        <v>1</v>
      </c>
      <c r="H319" s="1">
        <v>0</v>
      </c>
      <c r="I319" s="1">
        <v>90</v>
      </c>
      <c r="J319" s="1">
        <v>60003757</v>
      </c>
      <c r="K319" s="1">
        <v>32767</v>
      </c>
      <c r="L319" s="1">
        <v>0</v>
      </c>
      <c r="N319" s="1">
        <v>2847749688</v>
      </c>
      <c r="O319" s="1">
        <v>35</v>
      </c>
      <c r="P319" s="1">
        <v>1893</v>
      </c>
      <c r="Q319" s="1">
        <v>1893</v>
      </c>
      <c r="R319" s="1">
        <v>16.149999999999999</v>
      </c>
      <c r="S319" s="1">
        <v>1</v>
      </c>
      <c r="T319" s="1">
        <v>0</v>
      </c>
      <c r="U319" s="1">
        <v>30</v>
      </c>
      <c r="V319" s="1">
        <v>60015027</v>
      </c>
      <c r="W319" s="1">
        <v>32767</v>
      </c>
      <c r="X319" s="1">
        <v>4</v>
      </c>
      <c r="Z319" s="1">
        <v>2877222982</v>
      </c>
      <c r="AA319" s="1">
        <v>36</v>
      </c>
      <c r="AB319" s="1">
        <v>150906</v>
      </c>
      <c r="AC319" s="1">
        <v>150906</v>
      </c>
      <c r="AD319" s="16">
        <v>47</v>
      </c>
      <c r="AE319" s="1">
        <v>1</v>
      </c>
      <c r="AF319" s="1">
        <v>0</v>
      </c>
      <c r="AG319" s="1">
        <v>7</v>
      </c>
      <c r="AH319" s="1">
        <v>60000535</v>
      </c>
      <c r="AI319" s="1">
        <v>32767</v>
      </c>
      <c r="AJ319" s="1">
        <v>7</v>
      </c>
      <c r="CH319" s="1">
        <v>2384047674</v>
      </c>
      <c r="CI319" s="1">
        <v>29668</v>
      </c>
      <c r="CJ319" s="1">
        <v>1</v>
      </c>
      <c r="CK319" s="1">
        <v>1</v>
      </c>
      <c r="CL319" s="1">
        <v>460000</v>
      </c>
      <c r="CM319" s="1">
        <v>1</v>
      </c>
      <c r="CN319" s="1">
        <v>1</v>
      </c>
      <c r="CO319" s="1">
        <v>90</v>
      </c>
      <c r="CP319" s="1">
        <v>60003760</v>
      </c>
      <c r="CQ319" s="1">
        <v>40</v>
      </c>
      <c r="CR319" s="1">
        <v>0</v>
      </c>
      <c r="DR319" s="1">
        <v>2879076080</v>
      </c>
      <c r="DS319" s="1">
        <v>17888</v>
      </c>
      <c r="DT319" s="1">
        <v>100000</v>
      </c>
      <c r="DU319" s="1">
        <v>100000</v>
      </c>
      <c r="DV319" s="1">
        <v>334</v>
      </c>
      <c r="DW319" s="1">
        <v>1</v>
      </c>
      <c r="DX319" s="1">
        <v>0</v>
      </c>
      <c r="DY319" s="1">
        <v>1</v>
      </c>
      <c r="DZ319" s="1">
        <v>60012667</v>
      </c>
      <c r="EA319" s="1">
        <v>32767</v>
      </c>
      <c r="EB319" s="1">
        <v>0</v>
      </c>
    </row>
    <row r="320" spans="2:132" x14ac:dyDescent="0.25">
      <c r="B320" s="1">
        <v>2875882475</v>
      </c>
      <c r="C320" s="1">
        <v>34</v>
      </c>
      <c r="D320" s="1">
        <v>459803393</v>
      </c>
      <c r="E320" s="1">
        <v>459803393</v>
      </c>
      <c r="F320" s="1">
        <v>5.75</v>
      </c>
      <c r="G320" s="1">
        <v>1</v>
      </c>
      <c r="H320" s="1">
        <v>0</v>
      </c>
      <c r="I320" s="1">
        <v>90</v>
      </c>
      <c r="J320" s="1">
        <v>60003760</v>
      </c>
      <c r="K320" s="1">
        <v>32767</v>
      </c>
      <c r="L320" s="1">
        <v>0</v>
      </c>
      <c r="N320" s="1">
        <v>2864162243</v>
      </c>
      <c r="O320" s="1">
        <v>35</v>
      </c>
      <c r="P320" s="1">
        <v>2145200</v>
      </c>
      <c r="Q320" s="1">
        <v>2145200</v>
      </c>
      <c r="R320" s="1">
        <v>15</v>
      </c>
      <c r="S320" s="1">
        <v>1</v>
      </c>
      <c r="T320" s="1">
        <v>0</v>
      </c>
      <c r="U320" s="1">
        <v>90</v>
      </c>
      <c r="V320" s="1">
        <v>60015027</v>
      </c>
      <c r="W320" s="1">
        <v>32767</v>
      </c>
      <c r="X320" s="1">
        <v>4</v>
      </c>
      <c r="Z320" s="1">
        <v>2877116890</v>
      </c>
      <c r="AA320" s="1">
        <v>36</v>
      </c>
      <c r="AB320" s="1">
        <v>227460</v>
      </c>
      <c r="AC320" s="1">
        <v>227460</v>
      </c>
      <c r="AD320" s="16">
        <v>47.31</v>
      </c>
      <c r="AE320" s="1">
        <v>1</v>
      </c>
      <c r="AF320" s="1">
        <v>0</v>
      </c>
      <c r="AG320" s="1">
        <v>3</v>
      </c>
      <c r="AH320" s="1">
        <v>60012667</v>
      </c>
      <c r="AI320" s="1">
        <v>32767</v>
      </c>
      <c r="AJ320" s="1">
        <v>7</v>
      </c>
      <c r="CH320" s="1">
        <v>2394151431</v>
      </c>
      <c r="CI320" s="1">
        <v>29668</v>
      </c>
      <c r="CJ320" s="1">
        <v>19</v>
      </c>
      <c r="CK320" s="1">
        <v>4</v>
      </c>
      <c r="CL320" s="1">
        <v>450405006</v>
      </c>
      <c r="CM320" s="1">
        <v>1</v>
      </c>
      <c r="CN320" s="1">
        <v>1</v>
      </c>
      <c r="CO320" s="1">
        <v>90</v>
      </c>
      <c r="CP320" s="1">
        <v>60003760</v>
      </c>
      <c r="CQ320" s="1">
        <v>32767</v>
      </c>
      <c r="CR320" s="1">
        <v>0</v>
      </c>
      <c r="DR320" s="1">
        <v>2879115061</v>
      </c>
      <c r="DS320" s="1">
        <v>17888</v>
      </c>
      <c r="DT320" s="1">
        <v>46170</v>
      </c>
      <c r="DU320" s="1">
        <v>46170</v>
      </c>
      <c r="DV320" s="1">
        <v>330.26</v>
      </c>
      <c r="DW320" s="1">
        <v>1</v>
      </c>
      <c r="DX320" s="1">
        <v>0</v>
      </c>
      <c r="DY320" s="1">
        <v>3</v>
      </c>
      <c r="DZ320" s="1">
        <v>60003394</v>
      </c>
      <c r="EA320" s="1">
        <v>32767</v>
      </c>
      <c r="EB320" s="1">
        <v>0</v>
      </c>
    </row>
    <row r="321" spans="2:132" x14ac:dyDescent="0.25">
      <c r="B321" s="1">
        <v>2877469672</v>
      </c>
      <c r="C321" s="1">
        <v>34</v>
      </c>
      <c r="D321" s="1">
        <v>40486997</v>
      </c>
      <c r="E321" s="1">
        <v>40486997</v>
      </c>
      <c r="F321" s="1">
        <v>5.95</v>
      </c>
      <c r="G321" s="1">
        <v>1</v>
      </c>
      <c r="H321" s="1">
        <v>0</v>
      </c>
      <c r="I321" s="1">
        <v>90</v>
      </c>
      <c r="J321" s="1">
        <v>60003760</v>
      </c>
      <c r="K321" s="1">
        <v>32767</v>
      </c>
      <c r="L321" s="1">
        <v>0</v>
      </c>
      <c r="N321" s="1">
        <v>2870195977</v>
      </c>
      <c r="O321" s="1">
        <v>35</v>
      </c>
      <c r="P321" s="1">
        <v>34416</v>
      </c>
      <c r="Q321" s="1">
        <v>34416</v>
      </c>
      <c r="R321" s="1">
        <v>15.16</v>
      </c>
      <c r="S321" s="1">
        <v>1</v>
      </c>
      <c r="T321" s="1">
        <v>0</v>
      </c>
      <c r="U321" s="1">
        <v>7</v>
      </c>
      <c r="V321" s="1">
        <v>60015027</v>
      </c>
      <c r="W321" s="1">
        <v>32767</v>
      </c>
      <c r="X321" s="1">
        <v>4</v>
      </c>
      <c r="Z321" s="1">
        <v>2877508050</v>
      </c>
      <c r="AA321" s="1">
        <v>36</v>
      </c>
      <c r="AB321" s="1">
        <v>2861354</v>
      </c>
      <c r="AC321" s="1">
        <v>2861354</v>
      </c>
      <c r="AD321" s="16">
        <v>53</v>
      </c>
      <c r="AE321" s="1">
        <v>1</v>
      </c>
      <c r="AF321" s="1">
        <v>0</v>
      </c>
      <c r="AG321" s="1">
        <v>90</v>
      </c>
      <c r="AH321" s="1">
        <v>60012667</v>
      </c>
      <c r="AI321" s="1">
        <v>32767</v>
      </c>
      <c r="AJ321" s="1">
        <v>7</v>
      </c>
      <c r="CH321" s="1">
        <v>2393895971</v>
      </c>
      <c r="CI321" s="1">
        <v>29668</v>
      </c>
      <c r="CJ321" s="1">
        <v>8</v>
      </c>
      <c r="CK321" s="1">
        <v>8</v>
      </c>
      <c r="CL321" s="1">
        <v>438900000</v>
      </c>
      <c r="CM321" s="1">
        <v>1</v>
      </c>
      <c r="CN321" s="1">
        <v>1</v>
      </c>
      <c r="CO321" s="1">
        <v>90</v>
      </c>
      <c r="CP321" s="1">
        <v>60003760</v>
      </c>
      <c r="CQ321" s="1">
        <v>-1</v>
      </c>
      <c r="CR321" s="1">
        <v>0</v>
      </c>
      <c r="DR321" s="1">
        <v>2879046333</v>
      </c>
      <c r="DS321" s="1">
        <v>17888</v>
      </c>
      <c r="DT321" s="1">
        <v>5800027</v>
      </c>
      <c r="DU321" s="1">
        <v>2859761</v>
      </c>
      <c r="DV321" s="1">
        <v>335.76</v>
      </c>
      <c r="DW321" s="1">
        <v>1</v>
      </c>
      <c r="DX321" s="1">
        <v>0</v>
      </c>
      <c r="DY321" s="1">
        <v>7</v>
      </c>
      <c r="DZ321" s="1">
        <v>60003760</v>
      </c>
      <c r="EA321" s="1">
        <v>32767</v>
      </c>
      <c r="EB321" s="1">
        <v>0</v>
      </c>
    </row>
    <row r="322" spans="2:132" x14ac:dyDescent="0.25">
      <c r="B322" s="1">
        <v>2877475165</v>
      </c>
      <c r="C322" s="1">
        <v>34</v>
      </c>
      <c r="D322" s="1">
        <v>1199518</v>
      </c>
      <c r="E322" s="1">
        <v>1199518</v>
      </c>
      <c r="F322" s="1">
        <v>5.9</v>
      </c>
      <c r="G322" s="1">
        <v>1</v>
      </c>
      <c r="H322" s="1">
        <v>0</v>
      </c>
      <c r="I322" s="1">
        <v>7</v>
      </c>
      <c r="J322" s="1">
        <v>60003760</v>
      </c>
      <c r="K322" s="1">
        <v>32767</v>
      </c>
      <c r="L322" s="1">
        <v>0</v>
      </c>
      <c r="N322" s="1">
        <v>2874178359</v>
      </c>
      <c r="O322" s="1">
        <v>35</v>
      </c>
      <c r="P322" s="1">
        <v>31200</v>
      </c>
      <c r="Q322" s="1">
        <v>31200</v>
      </c>
      <c r="R322" s="1">
        <v>15</v>
      </c>
      <c r="S322" s="1">
        <v>1</v>
      </c>
      <c r="T322" s="1">
        <v>0</v>
      </c>
      <c r="U322" s="1">
        <v>7</v>
      </c>
      <c r="V322" s="1">
        <v>60015027</v>
      </c>
      <c r="W322" s="1">
        <v>32767</v>
      </c>
      <c r="X322" s="1">
        <v>4</v>
      </c>
      <c r="Z322" s="1">
        <v>2876826907</v>
      </c>
      <c r="AA322" s="1">
        <v>36</v>
      </c>
      <c r="AB322" s="1">
        <v>4740692</v>
      </c>
      <c r="AC322" s="1">
        <v>4740692</v>
      </c>
      <c r="AD322" s="16">
        <v>48</v>
      </c>
      <c r="AE322" s="1">
        <v>1</v>
      </c>
      <c r="AF322" s="1">
        <v>0</v>
      </c>
      <c r="AG322" s="1">
        <v>90</v>
      </c>
      <c r="AH322" s="1">
        <v>60004459</v>
      </c>
      <c r="AI322" s="1">
        <v>32767</v>
      </c>
      <c r="AJ322" s="1">
        <v>7</v>
      </c>
      <c r="CH322" s="1">
        <v>2394001654</v>
      </c>
      <c r="CI322" s="1">
        <v>29668</v>
      </c>
      <c r="CJ322" s="1">
        <v>2</v>
      </c>
      <c r="CK322" s="1">
        <v>2</v>
      </c>
      <c r="CL322" s="1">
        <v>430000000.01999998</v>
      </c>
      <c r="CM322" s="1">
        <v>1</v>
      </c>
      <c r="CN322" s="1">
        <v>1</v>
      </c>
      <c r="CO322" s="1">
        <v>90</v>
      </c>
      <c r="CP322" s="1">
        <v>60003760</v>
      </c>
      <c r="CQ322" s="1">
        <v>40</v>
      </c>
      <c r="CR322" s="1">
        <v>0</v>
      </c>
      <c r="DR322" s="1">
        <v>2879121131</v>
      </c>
      <c r="DS322" s="1">
        <v>17888</v>
      </c>
      <c r="DT322" s="1">
        <v>261310</v>
      </c>
      <c r="DU322" s="1">
        <v>261310</v>
      </c>
      <c r="DV322" s="1">
        <v>335.72</v>
      </c>
      <c r="DW322" s="1">
        <v>1</v>
      </c>
      <c r="DX322" s="1">
        <v>0</v>
      </c>
      <c r="DY322" s="1">
        <v>90</v>
      </c>
      <c r="DZ322" s="1">
        <v>60003760</v>
      </c>
      <c r="EA322" s="1">
        <v>32767</v>
      </c>
      <c r="EB322" s="1">
        <v>0</v>
      </c>
    </row>
    <row r="323" spans="2:132" x14ac:dyDescent="0.25">
      <c r="B323" s="1">
        <v>2877382505</v>
      </c>
      <c r="C323" s="1">
        <v>34</v>
      </c>
      <c r="D323" s="1">
        <v>9262278</v>
      </c>
      <c r="E323" s="1">
        <v>9262278</v>
      </c>
      <c r="F323" s="1">
        <v>5.76</v>
      </c>
      <c r="G323" s="1">
        <v>1</v>
      </c>
      <c r="H323" s="1">
        <v>0</v>
      </c>
      <c r="I323" s="1">
        <v>1</v>
      </c>
      <c r="J323" s="1">
        <v>60003760</v>
      </c>
      <c r="K323" s="1">
        <v>32767</v>
      </c>
      <c r="L323" s="1">
        <v>0</v>
      </c>
      <c r="N323" s="1">
        <v>2869800337</v>
      </c>
      <c r="O323" s="1">
        <v>35</v>
      </c>
      <c r="P323" s="1">
        <v>55560</v>
      </c>
      <c r="Q323" s="1">
        <v>37255</v>
      </c>
      <c r="R323" s="1">
        <v>15</v>
      </c>
      <c r="S323" s="1">
        <v>1</v>
      </c>
      <c r="T323" s="1">
        <v>0</v>
      </c>
      <c r="U323" s="1">
        <v>30</v>
      </c>
      <c r="V323" s="1">
        <v>60015027</v>
      </c>
      <c r="W323" s="1">
        <v>32767</v>
      </c>
      <c r="X323" s="1">
        <v>4</v>
      </c>
      <c r="Z323" s="1">
        <v>2826950890</v>
      </c>
      <c r="AA323" s="1">
        <v>36</v>
      </c>
      <c r="AB323" s="1">
        <v>780801</v>
      </c>
      <c r="AC323" s="1">
        <v>1</v>
      </c>
      <c r="AD323" s="16">
        <v>50.5</v>
      </c>
      <c r="AE323" s="1">
        <v>1</v>
      </c>
      <c r="AF323" s="1">
        <v>0</v>
      </c>
      <c r="AG323" s="1">
        <v>90</v>
      </c>
      <c r="AH323" s="1">
        <v>60004444</v>
      </c>
      <c r="AI323" s="1">
        <v>32767</v>
      </c>
      <c r="AJ323" s="1">
        <v>8</v>
      </c>
      <c r="CH323" s="1">
        <v>2394205238</v>
      </c>
      <c r="CI323" s="1">
        <v>29668</v>
      </c>
      <c r="CJ323" s="1">
        <v>1</v>
      </c>
      <c r="CK323" s="1">
        <v>1</v>
      </c>
      <c r="CL323" s="1">
        <v>0.01</v>
      </c>
      <c r="CM323" s="1">
        <v>1</v>
      </c>
      <c r="CN323" s="1">
        <v>1</v>
      </c>
      <c r="CO323" s="1">
        <v>90</v>
      </c>
      <c r="CP323" s="1">
        <v>60003760</v>
      </c>
      <c r="CQ323" s="1">
        <v>40</v>
      </c>
      <c r="CR323" s="1">
        <v>0</v>
      </c>
      <c r="DR323" s="1">
        <v>2879103079</v>
      </c>
      <c r="DS323" s="1">
        <v>17888</v>
      </c>
      <c r="DT323" s="1">
        <v>200000</v>
      </c>
      <c r="DU323" s="1">
        <v>200000</v>
      </c>
      <c r="DV323" s="1">
        <v>335.71</v>
      </c>
      <c r="DW323" s="1">
        <v>1</v>
      </c>
      <c r="DX323" s="1">
        <v>0</v>
      </c>
      <c r="DY323" s="1">
        <v>7</v>
      </c>
      <c r="DZ323" s="1">
        <v>60003760</v>
      </c>
      <c r="EA323" s="1">
        <v>32767</v>
      </c>
      <c r="EB323" s="1">
        <v>0</v>
      </c>
    </row>
    <row r="324" spans="2:132" x14ac:dyDescent="0.25">
      <c r="B324" s="1">
        <v>2877431024</v>
      </c>
      <c r="C324" s="1">
        <v>34</v>
      </c>
      <c r="D324" s="1">
        <v>5243369</v>
      </c>
      <c r="E324" s="1">
        <v>5243369</v>
      </c>
      <c r="F324" s="1">
        <v>6</v>
      </c>
      <c r="G324" s="1">
        <v>1</v>
      </c>
      <c r="H324" s="1">
        <v>0</v>
      </c>
      <c r="I324" s="1">
        <v>1</v>
      </c>
      <c r="J324" s="1">
        <v>60003760</v>
      </c>
      <c r="K324" s="1">
        <v>32767</v>
      </c>
      <c r="L324" s="1">
        <v>0</v>
      </c>
      <c r="N324" s="1">
        <v>2869545903</v>
      </c>
      <c r="O324" s="1">
        <v>35</v>
      </c>
      <c r="P324" s="1">
        <v>5943</v>
      </c>
      <c r="Q324" s="1">
        <v>5943</v>
      </c>
      <c r="R324" s="1">
        <v>15.5</v>
      </c>
      <c r="S324" s="1">
        <v>1</v>
      </c>
      <c r="T324" s="1">
        <v>0</v>
      </c>
      <c r="U324" s="1">
        <v>7</v>
      </c>
      <c r="V324" s="1">
        <v>60015027</v>
      </c>
      <c r="W324" s="1">
        <v>32767</v>
      </c>
      <c r="X324" s="1">
        <v>4</v>
      </c>
      <c r="Z324" s="1">
        <v>2873971208</v>
      </c>
      <c r="AA324" s="1">
        <v>36</v>
      </c>
      <c r="AB324" s="1">
        <v>21821</v>
      </c>
      <c r="AC324" s="1">
        <v>21821</v>
      </c>
      <c r="AD324" s="16">
        <v>47.6</v>
      </c>
      <c r="AE324" s="1">
        <v>1</v>
      </c>
      <c r="AF324" s="1">
        <v>0</v>
      </c>
      <c r="AG324" s="1">
        <v>7</v>
      </c>
      <c r="AH324" s="1">
        <v>60002353</v>
      </c>
      <c r="AI324" s="1">
        <v>32767</v>
      </c>
      <c r="AJ324" s="1">
        <v>8</v>
      </c>
      <c r="CH324" s="1">
        <v>2394237991</v>
      </c>
      <c r="CI324" s="1">
        <v>29668</v>
      </c>
      <c r="CJ324" s="1">
        <v>100</v>
      </c>
      <c r="CK324" s="1">
        <v>100</v>
      </c>
      <c r="CL324" s="1">
        <v>445000</v>
      </c>
      <c r="CM324" s="1">
        <v>1</v>
      </c>
      <c r="CN324" s="1">
        <v>1</v>
      </c>
      <c r="CO324" s="1">
        <v>90</v>
      </c>
      <c r="CP324" s="1">
        <v>60003760</v>
      </c>
      <c r="CQ324" s="1">
        <v>32767</v>
      </c>
      <c r="CR324" s="1">
        <v>0</v>
      </c>
      <c r="DR324" s="1">
        <v>2879098913</v>
      </c>
      <c r="DS324" s="1">
        <v>17888</v>
      </c>
      <c r="DT324" s="1">
        <v>138690</v>
      </c>
      <c r="DU324" s="1">
        <v>138690</v>
      </c>
      <c r="DV324" s="1">
        <v>335.72</v>
      </c>
      <c r="DW324" s="1">
        <v>1</v>
      </c>
      <c r="DX324" s="1">
        <v>0</v>
      </c>
      <c r="DY324" s="1">
        <v>90</v>
      </c>
      <c r="DZ324" s="1">
        <v>60003760</v>
      </c>
      <c r="EA324" s="1">
        <v>32767</v>
      </c>
      <c r="EB324" s="1">
        <v>0</v>
      </c>
    </row>
    <row r="325" spans="2:132" x14ac:dyDescent="0.25">
      <c r="B325" s="1">
        <v>2876994962</v>
      </c>
      <c r="C325" s="1">
        <v>34</v>
      </c>
      <c r="D325" s="1">
        <v>75995180</v>
      </c>
      <c r="E325" s="1">
        <v>75995180</v>
      </c>
      <c r="F325" s="1">
        <v>5.8</v>
      </c>
      <c r="G325" s="1">
        <v>1</v>
      </c>
      <c r="H325" s="1">
        <v>0</v>
      </c>
      <c r="I325" s="1">
        <v>90</v>
      </c>
      <c r="J325" s="1">
        <v>60003760</v>
      </c>
      <c r="K325" s="1">
        <v>32767</v>
      </c>
      <c r="L325" s="1">
        <v>0</v>
      </c>
      <c r="N325" s="1">
        <v>2878355957</v>
      </c>
      <c r="O325" s="1">
        <v>35</v>
      </c>
      <c r="P325" s="1">
        <v>896670</v>
      </c>
      <c r="Q325" s="1">
        <v>896670</v>
      </c>
      <c r="R325" s="1">
        <v>15.35</v>
      </c>
      <c r="S325" s="1">
        <v>1</v>
      </c>
      <c r="T325" s="1">
        <v>0</v>
      </c>
      <c r="U325" s="1">
        <v>1</v>
      </c>
      <c r="V325" s="1">
        <v>60003760</v>
      </c>
      <c r="W325" s="1">
        <v>32767</v>
      </c>
      <c r="X325" s="1">
        <v>0</v>
      </c>
      <c r="Z325" s="1">
        <v>2873937458</v>
      </c>
      <c r="AA325" s="1">
        <v>36</v>
      </c>
      <c r="AB325" s="1">
        <v>62147</v>
      </c>
      <c r="AC325" s="1">
        <v>62147</v>
      </c>
      <c r="AD325" s="16">
        <v>48</v>
      </c>
      <c r="AE325" s="1">
        <v>1</v>
      </c>
      <c r="AF325" s="1">
        <v>0</v>
      </c>
      <c r="AG325" s="1">
        <v>90</v>
      </c>
      <c r="AH325" s="1">
        <v>60003070</v>
      </c>
      <c r="AI325" s="1">
        <v>32767</v>
      </c>
      <c r="AJ325" s="1">
        <v>8</v>
      </c>
      <c r="CH325" s="1">
        <v>2394386547</v>
      </c>
      <c r="CI325" s="1">
        <v>29668</v>
      </c>
      <c r="CJ325" s="1">
        <v>1</v>
      </c>
      <c r="CK325" s="1">
        <v>1</v>
      </c>
      <c r="CL325" s="1">
        <v>380000000</v>
      </c>
      <c r="CM325" s="1">
        <v>1</v>
      </c>
      <c r="CN325" s="1">
        <v>1</v>
      </c>
      <c r="CO325" s="1">
        <v>90</v>
      </c>
      <c r="CP325" s="1">
        <v>60003760</v>
      </c>
      <c r="CQ325" s="1">
        <v>-1</v>
      </c>
      <c r="CR325" s="1">
        <v>0</v>
      </c>
      <c r="DR325" s="1">
        <v>2792622038</v>
      </c>
      <c r="DS325" s="1">
        <v>17888</v>
      </c>
      <c r="DT325" s="1">
        <v>24617805</v>
      </c>
      <c r="DU325" s="1">
        <v>20032202</v>
      </c>
      <c r="DV325" s="1">
        <v>397.94</v>
      </c>
      <c r="DW325" s="1">
        <v>1</v>
      </c>
      <c r="DX325" s="1">
        <v>0</v>
      </c>
      <c r="DY325" s="1">
        <v>90</v>
      </c>
      <c r="DZ325" s="1">
        <v>60003760</v>
      </c>
      <c r="EA325" s="1">
        <v>32767</v>
      </c>
      <c r="EB325" s="1">
        <v>8</v>
      </c>
    </row>
    <row r="326" spans="2:132" x14ac:dyDescent="0.25">
      <c r="B326" s="1">
        <v>2877055602</v>
      </c>
      <c r="C326" s="1">
        <v>34</v>
      </c>
      <c r="D326" s="1">
        <v>41183</v>
      </c>
      <c r="E326" s="1">
        <v>41183</v>
      </c>
      <c r="F326" s="1">
        <v>8</v>
      </c>
      <c r="G326" s="1">
        <v>1</v>
      </c>
      <c r="H326" s="1">
        <v>0</v>
      </c>
      <c r="I326" s="1">
        <v>1</v>
      </c>
      <c r="J326" s="1">
        <v>60003760</v>
      </c>
      <c r="K326" s="1">
        <v>32767</v>
      </c>
      <c r="L326" s="1">
        <v>0</v>
      </c>
      <c r="N326" s="1">
        <v>2856300042</v>
      </c>
      <c r="O326" s="1">
        <v>35</v>
      </c>
      <c r="P326" s="1">
        <v>5805379</v>
      </c>
      <c r="Q326" s="1">
        <v>5024317</v>
      </c>
      <c r="R326" s="1">
        <v>15</v>
      </c>
      <c r="S326" s="1">
        <v>1</v>
      </c>
      <c r="T326" s="1">
        <v>0</v>
      </c>
      <c r="U326" s="1">
        <v>30</v>
      </c>
      <c r="V326" s="1">
        <v>60003064</v>
      </c>
      <c r="W326" s="1">
        <v>32767</v>
      </c>
      <c r="X326" s="1">
        <v>3</v>
      </c>
      <c r="Z326" s="1">
        <v>2869891251</v>
      </c>
      <c r="AA326" s="1">
        <v>36</v>
      </c>
      <c r="AB326" s="1">
        <v>282601</v>
      </c>
      <c r="AC326" s="1">
        <v>62810</v>
      </c>
      <c r="AD326" s="16">
        <v>48</v>
      </c>
      <c r="AE326" s="1">
        <v>1</v>
      </c>
      <c r="AF326" s="1">
        <v>0</v>
      </c>
      <c r="AG326" s="1">
        <v>7</v>
      </c>
      <c r="AH326" s="1">
        <v>60000520</v>
      </c>
      <c r="AI326" s="1">
        <v>32767</v>
      </c>
      <c r="AJ326" s="1">
        <v>9</v>
      </c>
      <c r="CH326" s="1">
        <v>2393848025</v>
      </c>
      <c r="CI326" s="1">
        <v>29668</v>
      </c>
      <c r="CJ326" s="1">
        <v>140</v>
      </c>
      <c r="CK326" s="1">
        <v>140</v>
      </c>
      <c r="CL326" s="1">
        <v>438910000</v>
      </c>
      <c r="CM326" s="1">
        <v>1</v>
      </c>
      <c r="CN326" s="1">
        <v>1</v>
      </c>
      <c r="CO326" s="1">
        <v>90</v>
      </c>
      <c r="CP326" s="1">
        <v>60003760</v>
      </c>
      <c r="CQ326" s="1">
        <v>-1</v>
      </c>
      <c r="CR326" s="1">
        <v>0</v>
      </c>
      <c r="DR326" s="1">
        <v>2820154074</v>
      </c>
      <c r="DS326" s="1">
        <v>17888</v>
      </c>
      <c r="DT326" s="1">
        <v>2000000</v>
      </c>
      <c r="DU326" s="1">
        <v>2000000</v>
      </c>
      <c r="DV326" s="1">
        <v>299.66000000000003</v>
      </c>
      <c r="DW326" s="1">
        <v>1</v>
      </c>
      <c r="DX326" s="1">
        <v>1</v>
      </c>
      <c r="DY326" s="1">
        <v>90</v>
      </c>
      <c r="DZ326" s="1">
        <v>60003760</v>
      </c>
      <c r="EA326" s="1">
        <v>-1</v>
      </c>
      <c r="EB326" s="1">
        <v>0</v>
      </c>
    </row>
    <row r="327" spans="2:132" x14ac:dyDescent="0.25">
      <c r="B327" s="1">
        <v>2877051417</v>
      </c>
      <c r="C327" s="1">
        <v>34</v>
      </c>
      <c r="D327" s="1">
        <v>100000000</v>
      </c>
      <c r="E327" s="1">
        <v>100000000</v>
      </c>
      <c r="F327" s="1">
        <v>6.15</v>
      </c>
      <c r="G327" s="1">
        <v>1</v>
      </c>
      <c r="H327" s="1">
        <v>0</v>
      </c>
      <c r="I327" s="1">
        <v>7</v>
      </c>
      <c r="J327" s="1">
        <v>60003760</v>
      </c>
      <c r="K327" s="1">
        <v>32767</v>
      </c>
      <c r="L327" s="1">
        <v>0</v>
      </c>
      <c r="N327" s="1">
        <v>2878406162</v>
      </c>
      <c r="O327" s="1">
        <v>35</v>
      </c>
      <c r="P327" s="1">
        <v>38212825</v>
      </c>
      <c r="Q327" s="1">
        <v>38212825</v>
      </c>
      <c r="R327" s="1">
        <v>15.5</v>
      </c>
      <c r="S327" s="1">
        <v>1</v>
      </c>
      <c r="T327" s="1">
        <v>0</v>
      </c>
      <c r="U327" s="1">
        <v>1</v>
      </c>
      <c r="V327" s="1">
        <v>60003760</v>
      </c>
      <c r="W327" s="1">
        <v>32767</v>
      </c>
      <c r="X327" s="1">
        <v>0</v>
      </c>
      <c r="Z327" s="1">
        <v>2817521164</v>
      </c>
      <c r="AA327" s="1">
        <v>36</v>
      </c>
      <c r="AB327" s="1">
        <v>105368</v>
      </c>
      <c r="AC327" s="1">
        <v>73368</v>
      </c>
      <c r="AD327" s="16">
        <v>52.59</v>
      </c>
      <c r="AE327" s="1">
        <v>1</v>
      </c>
      <c r="AF327" s="1">
        <v>0</v>
      </c>
      <c r="AG327" s="1">
        <v>90</v>
      </c>
      <c r="AH327" s="1">
        <v>60003076</v>
      </c>
      <c r="AI327" s="1">
        <v>32767</v>
      </c>
      <c r="AJ327" s="1">
        <v>9</v>
      </c>
      <c r="CH327" s="1">
        <v>2393577303</v>
      </c>
      <c r="CI327" s="1">
        <v>29668</v>
      </c>
      <c r="CJ327" s="1">
        <v>1</v>
      </c>
      <c r="CK327" s="1">
        <v>1</v>
      </c>
      <c r="CL327" s="1">
        <v>433000000</v>
      </c>
      <c r="CM327" s="1">
        <v>1</v>
      </c>
      <c r="CN327" s="1">
        <v>1</v>
      </c>
      <c r="CO327" s="1">
        <v>90</v>
      </c>
      <c r="CP327" s="1">
        <v>60003760</v>
      </c>
      <c r="CQ327" s="1">
        <v>-1</v>
      </c>
      <c r="CR327" s="1">
        <v>0</v>
      </c>
      <c r="DR327" s="1">
        <v>2817327279</v>
      </c>
      <c r="DS327" s="1">
        <v>17888</v>
      </c>
      <c r="DT327" s="1">
        <v>10000000</v>
      </c>
      <c r="DU327" s="1">
        <v>192724</v>
      </c>
      <c r="DV327" s="1">
        <v>281.26</v>
      </c>
      <c r="DW327" s="1">
        <v>1</v>
      </c>
      <c r="DX327" s="1">
        <v>1</v>
      </c>
      <c r="DY327" s="1">
        <v>90</v>
      </c>
      <c r="DZ327" s="1">
        <v>60003760</v>
      </c>
      <c r="EA327" s="1">
        <v>32767</v>
      </c>
      <c r="EB327" s="1">
        <v>0</v>
      </c>
    </row>
    <row r="328" spans="2:132" x14ac:dyDescent="0.25">
      <c r="B328" s="1">
        <v>2877196264</v>
      </c>
      <c r="C328" s="1">
        <v>34</v>
      </c>
      <c r="D328" s="1">
        <v>364171</v>
      </c>
      <c r="E328" s="1">
        <v>364171</v>
      </c>
      <c r="F328" s="1">
        <v>5.9</v>
      </c>
      <c r="G328" s="1">
        <v>1</v>
      </c>
      <c r="H328" s="1">
        <v>0</v>
      </c>
      <c r="I328" s="1">
        <v>1</v>
      </c>
      <c r="J328" s="1">
        <v>60003760</v>
      </c>
      <c r="K328" s="1">
        <v>32767</v>
      </c>
      <c r="L328" s="1">
        <v>0</v>
      </c>
      <c r="N328" s="1">
        <v>2878410336</v>
      </c>
      <c r="O328" s="1">
        <v>35</v>
      </c>
      <c r="P328" s="1">
        <v>249383662</v>
      </c>
      <c r="Q328" s="1">
        <v>229575054</v>
      </c>
      <c r="R328" s="1">
        <v>15.07</v>
      </c>
      <c r="S328" s="1">
        <v>1</v>
      </c>
      <c r="T328" s="1">
        <v>0</v>
      </c>
      <c r="U328" s="1">
        <v>90</v>
      </c>
      <c r="V328" s="1">
        <v>60003760</v>
      </c>
      <c r="W328" s="1">
        <v>32767</v>
      </c>
      <c r="X328" s="1">
        <v>0</v>
      </c>
      <c r="Z328" s="1">
        <v>2826561945</v>
      </c>
      <c r="AA328" s="1">
        <v>36</v>
      </c>
      <c r="AB328" s="1">
        <v>30300</v>
      </c>
      <c r="AC328" s="1">
        <v>300</v>
      </c>
      <c r="AD328" s="16">
        <v>52.11</v>
      </c>
      <c r="AE328" s="1">
        <v>1</v>
      </c>
      <c r="AF328" s="1">
        <v>0</v>
      </c>
      <c r="AG328" s="1">
        <v>90</v>
      </c>
      <c r="AH328" s="1">
        <v>60000529</v>
      </c>
      <c r="AI328" s="1">
        <v>32767</v>
      </c>
      <c r="AJ328" s="1">
        <v>9</v>
      </c>
      <c r="CH328" s="1">
        <v>2393601664</v>
      </c>
      <c r="CI328" s="1">
        <v>29668</v>
      </c>
      <c r="CJ328" s="1">
        <v>4</v>
      </c>
      <c r="CK328" s="1">
        <v>4</v>
      </c>
      <c r="CL328" s="1">
        <v>430000000</v>
      </c>
      <c r="CM328" s="1">
        <v>1</v>
      </c>
      <c r="CN328" s="1">
        <v>1</v>
      </c>
      <c r="CO328" s="1">
        <v>90</v>
      </c>
      <c r="CP328" s="1">
        <v>60003760</v>
      </c>
      <c r="CQ328" s="1">
        <v>32767</v>
      </c>
      <c r="CR328" s="1">
        <v>0</v>
      </c>
      <c r="DR328" s="1">
        <v>2825479277</v>
      </c>
      <c r="DS328" s="1">
        <v>17888</v>
      </c>
      <c r="DT328" s="1">
        <v>10000000</v>
      </c>
      <c r="DU328" s="1">
        <v>10000000</v>
      </c>
      <c r="DV328" s="1">
        <v>281.39999999999998</v>
      </c>
      <c r="DW328" s="1">
        <v>1</v>
      </c>
      <c r="DX328" s="1">
        <v>1</v>
      </c>
      <c r="DY328" s="1">
        <v>90</v>
      </c>
      <c r="DZ328" s="1">
        <v>60003760</v>
      </c>
      <c r="EA328" s="1">
        <v>-1</v>
      </c>
      <c r="EB328" s="1">
        <v>0</v>
      </c>
    </row>
    <row r="329" spans="2:132" x14ac:dyDescent="0.25">
      <c r="B329" s="1">
        <v>2817364017</v>
      </c>
      <c r="C329" s="1">
        <v>34</v>
      </c>
      <c r="D329" s="1">
        <v>1315334</v>
      </c>
      <c r="E329" s="1">
        <v>1314188</v>
      </c>
      <c r="F329" s="1">
        <v>5.97</v>
      </c>
      <c r="G329" s="1">
        <v>1</v>
      </c>
      <c r="H329" s="1">
        <v>0</v>
      </c>
      <c r="I329" s="1">
        <v>90</v>
      </c>
      <c r="J329" s="1">
        <v>60003769</v>
      </c>
      <c r="K329" s="1">
        <v>32767</v>
      </c>
      <c r="L329" s="1">
        <v>1</v>
      </c>
      <c r="N329" s="1">
        <v>2878498068</v>
      </c>
      <c r="O329" s="1">
        <v>35</v>
      </c>
      <c r="P329" s="1">
        <v>274919</v>
      </c>
      <c r="Q329" s="1">
        <v>274919</v>
      </c>
      <c r="R329" s="1">
        <v>14.95</v>
      </c>
      <c r="S329" s="1">
        <v>1</v>
      </c>
      <c r="T329" s="1">
        <v>0</v>
      </c>
      <c r="U329" s="1">
        <v>1</v>
      </c>
      <c r="V329" s="1">
        <v>60004213</v>
      </c>
      <c r="W329" s="1">
        <v>32767</v>
      </c>
      <c r="X329" s="1">
        <v>3</v>
      </c>
      <c r="Z329" s="1">
        <v>2833310076</v>
      </c>
      <c r="AA329" s="1">
        <v>36</v>
      </c>
      <c r="AB329" s="1">
        <v>737386</v>
      </c>
      <c r="AC329" s="1">
        <v>347261</v>
      </c>
      <c r="AD329" s="16">
        <v>52.1</v>
      </c>
      <c r="AE329" s="1">
        <v>1</v>
      </c>
      <c r="AF329" s="1">
        <v>0</v>
      </c>
      <c r="AG329" s="1">
        <v>90</v>
      </c>
      <c r="AH329" s="1">
        <v>60012670</v>
      </c>
      <c r="AI329" s="1">
        <v>32767</v>
      </c>
      <c r="AJ329" s="1">
        <v>9</v>
      </c>
      <c r="CH329" s="1">
        <v>2395921348</v>
      </c>
      <c r="CI329" s="1">
        <v>29668</v>
      </c>
      <c r="CJ329" s="1">
        <v>1</v>
      </c>
      <c r="CK329" s="1">
        <v>1</v>
      </c>
      <c r="CL329" s="1">
        <v>480013</v>
      </c>
      <c r="CM329" s="1">
        <v>1</v>
      </c>
      <c r="CN329" s="1">
        <v>1</v>
      </c>
      <c r="CO329" s="1">
        <v>90</v>
      </c>
      <c r="CP329" s="1">
        <v>60003760</v>
      </c>
      <c r="CQ329" s="1">
        <v>-1</v>
      </c>
      <c r="CR329" s="1">
        <v>0</v>
      </c>
      <c r="DR329" s="1">
        <v>2782680403</v>
      </c>
      <c r="DS329" s="1">
        <v>17888</v>
      </c>
      <c r="DT329" s="1">
        <v>1000000</v>
      </c>
      <c r="DU329" s="1">
        <v>1000000</v>
      </c>
      <c r="DV329" s="1">
        <v>179.99</v>
      </c>
      <c r="DW329" s="1">
        <v>1</v>
      </c>
      <c r="DX329" s="1">
        <v>1</v>
      </c>
      <c r="DY329" s="1">
        <v>90</v>
      </c>
      <c r="DZ329" s="1">
        <v>60003760</v>
      </c>
      <c r="EA329" s="1">
        <v>20</v>
      </c>
      <c r="EB329" s="1">
        <v>0</v>
      </c>
    </row>
    <row r="330" spans="2:132" x14ac:dyDescent="0.25">
      <c r="B330" s="1">
        <v>2871697716</v>
      </c>
      <c r="C330" s="1">
        <v>34</v>
      </c>
      <c r="D330" s="1">
        <v>17917</v>
      </c>
      <c r="E330" s="1">
        <v>13029</v>
      </c>
      <c r="F330" s="1">
        <v>5.66</v>
      </c>
      <c r="G330" s="1">
        <v>1</v>
      </c>
      <c r="H330" s="1">
        <v>0</v>
      </c>
      <c r="I330" s="1">
        <v>30</v>
      </c>
      <c r="J330" s="1">
        <v>60000460</v>
      </c>
      <c r="K330" s="1">
        <v>32767</v>
      </c>
      <c r="L330" s="1">
        <v>1</v>
      </c>
      <c r="N330" s="1">
        <v>2878515321</v>
      </c>
      <c r="O330" s="1">
        <v>35</v>
      </c>
      <c r="P330" s="1">
        <v>7192676</v>
      </c>
      <c r="Q330" s="1">
        <v>7192676</v>
      </c>
      <c r="R330" s="1">
        <v>15.05</v>
      </c>
      <c r="S330" s="1">
        <v>1</v>
      </c>
      <c r="T330" s="1">
        <v>0</v>
      </c>
      <c r="U330" s="1">
        <v>7</v>
      </c>
      <c r="V330" s="1">
        <v>60003760</v>
      </c>
      <c r="W330" s="1">
        <v>32767</v>
      </c>
      <c r="X330" s="1">
        <v>0</v>
      </c>
      <c r="Z330" s="1">
        <v>2843046616</v>
      </c>
      <c r="AA330" s="1">
        <v>36</v>
      </c>
      <c r="AB330" s="1">
        <v>21683</v>
      </c>
      <c r="AC330" s="1">
        <v>21681</v>
      </c>
      <c r="AD330" s="16">
        <v>51.54</v>
      </c>
      <c r="AE330" s="1">
        <v>1</v>
      </c>
      <c r="AF330" s="1">
        <v>0</v>
      </c>
      <c r="AG330" s="1">
        <v>90</v>
      </c>
      <c r="AH330" s="1">
        <v>60002362</v>
      </c>
      <c r="AI330" s="1">
        <v>32767</v>
      </c>
      <c r="AJ330" s="1">
        <v>9</v>
      </c>
      <c r="CH330" s="1">
        <v>2396020527</v>
      </c>
      <c r="CI330" s="1">
        <v>29668</v>
      </c>
      <c r="CJ330" s="1">
        <v>2</v>
      </c>
      <c r="CK330" s="1">
        <v>2</v>
      </c>
      <c r="CL330" s="1">
        <v>450350000</v>
      </c>
      <c r="CM330" s="1">
        <v>1</v>
      </c>
      <c r="CN330" s="1">
        <v>1</v>
      </c>
      <c r="CO330" s="1">
        <v>90</v>
      </c>
      <c r="CP330" s="1">
        <v>60003760</v>
      </c>
      <c r="CQ330" s="1">
        <v>32767</v>
      </c>
      <c r="CR330" s="1">
        <v>0</v>
      </c>
      <c r="DR330" s="1">
        <v>2782681372</v>
      </c>
      <c r="DS330" s="1">
        <v>17888</v>
      </c>
      <c r="DT330" s="1">
        <v>500000</v>
      </c>
      <c r="DU330" s="1">
        <v>493596</v>
      </c>
      <c r="DV330" s="1">
        <v>279.99</v>
      </c>
      <c r="DW330" s="1">
        <v>1</v>
      </c>
      <c r="DX330" s="1">
        <v>1</v>
      </c>
      <c r="DY330" s="1">
        <v>90</v>
      </c>
      <c r="DZ330" s="1">
        <v>60003760</v>
      </c>
      <c r="EA330" s="1">
        <v>10</v>
      </c>
      <c r="EB330" s="1">
        <v>0</v>
      </c>
    </row>
    <row r="331" spans="2:132" x14ac:dyDescent="0.25">
      <c r="B331" s="1">
        <v>2870216679</v>
      </c>
      <c r="C331" s="1">
        <v>34</v>
      </c>
      <c r="D331" s="1">
        <v>21260</v>
      </c>
      <c r="E331" s="1">
        <v>21260</v>
      </c>
      <c r="F331" s="1">
        <v>6.65</v>
      </c>
      <c r="G331" s="1">
        <v>1</v>
      </c>
      <c r="H331" s="1">
        <v>0</v>
      </c>
      <c r="I331" s="1">
        <v>7</v>
      </c>
      <c r="J331" s="1">
        <v>60000457</v>
      </c>
      <c r="K331" s="1">
        <v>32767</v>
      </c>
      <c r="L331" s="1">
        <v>1</v>
      </c>
      <c r="N331" s="1">
        <v>2878522902</v>
      </c>
      <c r="O331" s="1">
        <v>35</v>
      </c>
      <c r="P331" s="1">
        <v>31375951</v>
      </c>
      <c r="Q331" s="1">
        <v>31375951</v>
      </c>
      <c r="R331" s="1">
        <v>15.04</v>
      </c>
      <c r="S331" s="1">
        <v>1</v>
      </c>
      <c r="T331" s="1">
        <v>0</v>
      </c>
      <c r="U331" s="1">
        <v>90</v>
      </c>
      <c r="V331" s="1">
        <v>60003760</v>
      </c>
      <c r="W331" s="1">
        <v>32767</v>
      </c>
      <c r="X331" s="1">
        <v>0</v>
      </c>
      <c r="Z331" s="1">
        <v>2864798349</v>
      </c>
      <c r="AA331" s="1">
        <v>36</v>
      </c>
      <c r="AB331" s="1">
        <v>359835</v>
      </c>
      <c r="AC331" s="1">
        <v>359835</v>
      </c>
      <c r="AD331" s="16">
        <v>51</v>
      </c>
      <c r="AE331" s="1">
        <v>1</v>
      </c>
      <c r="AF331" s="1">
        <v>0</v>
      </c>
      <c r="AG331" s="1">
        <v>90</v>
      </c>
      <c r="AH331" s="1">
        <v>60012670</v>
      </c>
      <c r="AI331" s="1">
        <v>32767</v>
      </c>
      <c r="AJ331" s="1">
        <v>9</v>
      </c>
      <c r="CH331" s="1">
        <v>2395648696</v>
      </c>
      <c r="CI331" s="1">
        <v>29668</v>
      </c>
      <c r="CJ331" s="1">
        <v>2</v>
      </c>
      <c r="CK331" s="1">
        <v>2</v>
      </c>
      <c r="CL331" s="1">
        <v>446002007.88999999</v>
      </c>
      <c r="CM331" s="1">
        <v>1</v>
      </c>
      <c r="CN331" s="1">
        <v>1</v>
      </c>
      <c r="CO331" s="1">
        <v>90</v>
      </c>
      <c r="CP331" s="1">
        <v>60003760</v>
      </c>
      <c r="CQ331" s="1">
        <v>-1</v>
      </c>
      <c r="CR331" s="1">
        <v>0</v>
      </c>
      <c r="DR331" s="1">
        <v>2843057848</v>
      </c>
      <c r="DS331" s="1">
        <v>17888</v>
      </c>
      <c r="DT331" s="1">
        <v>1500000</v>
      </c>
      <c r="DU331" s="1">
        <v>1500000</v>
      </c>
      <c r="DV331" s="1">
        <v>281.45</v>
      </c>
      <c r="DW331" s="1">
        <v>1</v>
      </c>
      <c r="DX331" s="1">
        <v>1</v>
      </c>
      <c r="DY331" s="1">
        <v>90</v>
      </c>
      <c r="DZ331" s="1">
        <v>60003760</v>
      </c>
      <c r="EA331" s="1">
        <v>-1</v>
      </c>
      <c r="EB331" s="1">
        <v>0</v>
      </c>
    </row>
    <row r="332" spans="2:132" x14ac:dyDescent="0.25">
      <c r="B332" s="1">
        <v>2868373119</v>
      </c>
      <c r="C332" s="1">
        <v>34</v>
      </c>
      <c r="D332" s="1">
        <v>8694215</v>
      </c>
      <c r="E332" s="1">
        <v>8126379</v>
      </c>
      <c r="F332" s="1">
        <v>5.9</v>
      </c>
      <c r="G332" s="1">
        <v>1</v>
      </c>
      <c r="H332" s="1">
        <v>0</v>
      </c>
      <c r="I332" s="1">
        <v>90</v>
      </c>
      <c r="J332" s="1">
        <v>60003769</v>
      </c>
      <c r="K332" s="1">
        <v>32767</v>
      </c>
      <c r="L332" s="1">
        <v>1</v>
      </c>
      <c r="N332" s="1">
        <v>2878523240</v>
      </c>
      <c r="O332" s="1">
        <v>35</v>
      </c>
      <c r="P332" s="1">
        <v>15104541</v>
      </c>
      <c r="Q332" s="1">
        <v>365245</v>
      </c>
      <c r="R332" s="1">
        <v>15.01</v>
      </c>
      <c r="S332" s="1">
        <v>1</v>
      </c>
      <c r="T332" s="1">
        <v>0</v>
      </c>
      <c r="U332" s="1">
        <v>90</v>
      </c>
      <c r="V332" s="1">
        <v>60003760</v>
      </c>
      <c r="W332" s="1">
        <v>32767</v>
      </c>
      <c r="X332" s="1">
        <v>0</v>
      </c>
      <c r="Z332" s="1">
        <v>2875597955</v>
      </c>
      <c r="AA332" s="1">
        <v>36</v>
      </c>
      <c r="AB332" s="1">
        <v>99560</v>
      </c>
      <c r="AC332" s="1">
        <v>99560</v>
      </c>
      <c r="AD332" s="16">
        <v>50.4</v>
      </c>
      <c r="AE332" s="1">
        <v>1</v>
      </c>
      <c r="AF332" s="1">
        <v>0</v>
      </c>
      <c r="AG332" s="1">
        <v>30</v>
      </c>
      <c r="AH332" s="1">
        <v>60000529</v>
      </c>
      <c r="AI332" s="1">
        <v>32767</v>
      </c>
      <c r="AJ332" s="1">
        <v>9</v>
      </c>
      <c r="CH332" s="1">
        <v>2395687666</v>
      </c>
      <c r="CI332" s="1">
        <v>29668</v>
      </c>
      <c r="CJ332" s="1">
        <v>1</v>
      </c>
      <c r="CK332" s="1">
        <v>1</v>
      </c>
      <c r="CL332" s="1">
        <v>451000.1</v>
      </c>
      <c r="CM332" s="1">
        <v>1</v>
      </c>
      <c r="CN332" s="1">
        <v>1</v>
      </c>
      <c r="CO332" s="1">
        <v>30</v>
      </c>
      <c r="CP332" s="1">
        <v>60003760</v>
      </c>
      <c r="CQ332" s="1">
        <v>32767</v>
      </c>
      <c r="CR332" s="1">
        <v>0</v>
      </c>
      <c r="DR332" s="1">
        <v>2628854318</v>
      </c>
      <c r="DS332" s="1">
        <v>17888</v>
      </c>
      <c r="DT332" s="1">
        <v>10000000</v>
      </c>
      <c r="DU332" s="1">
        <v>9982528</v>
      </c>
      <c r="DV332" s="1">
        <v>80.040000000000006</v>
      </c>
      <c r="DW332" s="1">
        <v>1</v>
      </c>
      <c r="DX332" s="1">
        <v>1</v>
      </c>
      <c r="DY332" s="1">
        <v>90</v>
      </c>
      <c r="DZ332" s="1">
        <v>60003760</v>
      </c>
      <c r="EA332" s="1">
        <v>32767</v>
      </c>
      <c r="EB332" s="1">
        <v>0</v>
      </c>
    </row>
    <row r="333" spans="2:132" x14ac:dyDescent="0.25">
      <c r="B333" s="1">
        <v>2871172190</v>
      </c>
      <c r="C333" s="1">
        <v>34</v>
      </c>
      <c r="D333" s="1">
        <v>610821</v>
      </c>
      <c r="E333" s="1">
        <v>610821</v>
      </c>
      <c r="F333" s="1">
        <v>6</v>
      </c>
      <c r="G333" s="1">
        <v>1</v>
      </c>
      <c r="H333" s="1">
        <v>0</v>
      </c>
      <c r="I333" s="1">
        <v>14</v>
      </c>
      <c r="J333" s="1">
        <v>60003754</v>
      </c>
      <c r="K333" s="1">
        <v>32767</v>
      </c>
      <c r="L333" s="1">
        <v>1</v>
      </c>
      <c r="N333" s="1">
        <v>2878529478</v>
      </c>
      <c r="O333" s="1">
        <v>35</v>
      </c>
      <c r="P333" s="1">
        <v>967282</v>
      </c>
      <c r="Q333" s="1">
        <v>967282</v>
      </c>
      <c r="R333" s="1">
        <v>15</v>
      </c>
      <c r="S333" s="1">
        <v>1</v>
      </c>
      <c r="T333" s="1">
        <v>0</v>
      </c>
      <c r="U333" s="1">
        <v>1</v>
      </c>
      <c r="V333" s="1">
        <v>60002842</v>
      </c>
      <c r="W333" s="1">
        <v>32767</v>
      </c>
      <c r="X333" s="1">
        <v>12</v>
      </c>
      <c r="Z333" s="1">
        <v>2874890430</v>
      </c>
      <c r="AA333" s="1">
        <v>36</v>
      </c>
      <c r="AB333" s="1">
        <v>215880</v>
      </c>
      <c r="AC333" s="1">
        <v>215880</v>
      </c>
      <c r="AD333" s="16">
        <v>51</v>
      </c>
      <c r="AE333" s="1">
        <v>1</v>
      </c>
      <c r="AF333" s="1">
        <v>0</v>
      </c>
      <c r="AG333" s="1">
        <v>14</v>
      </c>
      <c r="AH333" s="1">
        <v>60000529</v>
      </c>
      <c r="AI333" s="1">
        <v>32767</v>
      </c>
      <c r="AJ333" s="1">
        <v>9</v>
      </c>
      <c r="CH333" s="1">
        <v>2395604056</v>
      </c>
      <c r="CI333" s="1">
        <v>29668</v>
      </c>
      <c r="CJ333" s="1">
        <v>39</v>
      </c>
      <c r="CK333" s="1">
        <v>16</v>
      </c>
      <c r="CL333" s="1">
        <v>467202002</v>
      </c>
      <c r="CM333" s="1">
        <v>1</v>
      </c>
      <c r="CN333" s="1">
        <v>1</v>
      </c>
      <c r="CO333" s="1">
        <v>90</v>
      </c>
      <c r="CP333" s="1">
        <v>60003760</v>
      </c>
      <c r="CQ333" s="1">
        <v>32767</v>
      </c>
      <c r="CR333" s="1">
        <v>0</v>
      </c>
      <c r="DR333" s="1">
        <v>2865039760</v>
      </c>
      <c r="DS333" s="1">
        <v>17888</v>
      </c>
      <c r="DT333" s="1">
        <v>10000000</v>
      </c>
      <c r="DU333" s="1">
        <v>8483702</v>
      </c>
      <c r="DV333" s="1">
        <v>300</v>
      </c>
      <c r="DW333" s="1">
        <v>1</v>
      </c>
      <c r="DX333" s="1">
        <v>1</v>
      </c>
      <c r="DY333" s="1">
        <v>90</v>
      </c>
      <c r="DZ333" s="1">
        <v>60003760</v>
      </c>
      <c r="EA333" s="1">
        <v>-1</v>
      </c>
      <c r="EB333" s="1">
        <v>0</v>
      </c>
    </row>
    <row r="334" spans="2:132" x14ac:dyDescent="0.25">
      <c r="B334" s="1">
        <v>2874267024</v>
      </c>
      <c r="C334" s="1">
        <v>34</v>
      </c>
      <c r="D334" s="1">
        <v>2047050</v>
      </c>
      <c r="E334" s="1">
        <v>541821</v>
      </c>
      <c r="F334" s="1">
        <v>5.62</v>
      </c>
      <c r="G334" s="1">
        <v>1</v>
      </c>
      <c r="H334" s="1">
        <v>0</v>
      </c>
      <c r="I334" s="1">
        <v>90</v>
      </c>
      <c r="J334" s="1">
        <v>60003754</v>
      </c>
      <c r="K334" s="1">
        <v>32767</v>
      </c>
      <c r="L334" s="1">
        <v>1</v>
      </c>
      <c r="N334" s="1">
        <v>2878531308</v>
      </c>
      <c r="O334" s="1">
        <v>35</v>
      </c>
      <c r="P334" s="1">
        <v>675264</v>
      </c>
      <c r="Q334" s="1">
        <v>675264</v>
      </c>
      <c r="R334" s="1">
        <v>15</v>
      </c>
      <c r="S334" s="1">
        <v>1</v>
      </c>
      <c r="T334" s="1">
        <v>0</v>
      </c>
      <c r="U334" s="1">
        <v>1</v>
      </c>
      <c r="V334" s="1">
        <v>60003466</v>
      </c>
      <c r="W334" s="1">
        <v>32767</v>
      </c>
      <c r="X334" s="1">
        <v>0</v>
      </c>
      <c r="Z334" s="1">
        <v>2822507702</v>
      </c>
      <c r="AA334" s="1">
        <v>36</v>
      </c>
      <c r="AB334" s="1">
        <v>918212</v>
      </c>
      <c r="AC334" s="1">
        <v>542701</v>
      </c>
      <c r="AD334" s="16">
        <v>51.3</v>
      </c>
      <c r="AE334" s="1">
        <v>1</v>
      </c>
      <c r="AF334" s="1">
        <v>0</v>
      </c>
      <c r="AG334" s="1">
        <v>90</v>
      </c>
      <c r="AH334" s="1">
        <v>60001786</v>
      </c>
      <c r="AI334" s="1">
        <v>32767</v>
      </c>
      <c r="AJ334" s="1">
        <v>9</v>
      </c>
      <c r="CH334" s="1">
        <v>2392387109</v>
      </c>
      <c r="CI334" s="1">
        <v>29668</v>
      </c>
      <c r="CJ334" s="1">
        <v>20</v>
      </c>
      <c r="CK334" s="1">
        <v>20</v>
      </c>
      <c r="CL334" s="1">
        <v>434000000</v>
      </c>
      <c r="CM334" s="1">
        <v>1</v>
      </c>
      <c r="CN334" s="1">
        <v>1</v>
      </c>
      <c r="CO334" s="1">
        <v>90</v>
      </c>
      <c r="CP334" s="1">
        <v>60003760</v>
      </c>
      <c r="CQ334" s="1">
        <v>-1</v>
      </c>
      <c r="CR334" s="1">
        <v>0</v>
      </c>
      <c r="DR334" s="1">
        <v>2870834100</v>
      </c>
      <c r="DS334" s="1">
        <v>17888</v>
      </c>
      <c r="DT334" s="1">
        <v>200000</v>
      </c>
      <c r="DU334" s="1">
        <v>200000</v>
      </c>
      <c r="DV334" s="1">
        <v>250</v>
      </c>
      <c r="DW334" s="1">
        <v>1</v>
      </c>
      <c r="DX334" s="1">
        <v>1</v>
      </c>
      <c r="DY334" s="1">
        <v>30</v>
      </c>
      <c r="DZ334" s="1">
        <v>60003760</v>
      </c>
      <c r="EA334" s="1">
        <v>5</v>
      </c>
      <c r="EB334" s="1">
        <v>0</v>
      </c>
    </row>
    <row r="335" spans="2:132" x14ac:dyDescent="0.25">
      <c r="B335" s="1">
        <v>2821387908</v>
      </c>
      <c r="C335" s="1">
        <v>34</v>
      </c>
      <c r="D335" s="1">
        <v>1384216</v>
      </c>
      <c r="E335" s="1">
        <v>1373466</v>
      </c>
      <c r="F335" s="1">
        <v>5.95</v>
      </c>
      <c r="G335" s="1">
        <v>1</v>
      </c>
      <c r="H335" s="1">
        <v>0</v>
      </c>
      <c r="I335" s="1">
        <v>90</v>
      </c>
      <c r="J335" s="1">
        <v>60003334</v>
      </c>
      <c r="K335" s="1">
        <v>32767</v>
      </c>
      <c r="L335" s="1">
        <v>1</v>
      </c>
      <c r="N335" s="1">
        <v>2878553406</v>
      </c>
      <c r="O335" s="1">
        <v>35</v>
      </c>
      <c r="P335" s="1">
        <v>8941</v>
      </c>
      <c r="Q335" s="1">
        <v>8941</v>
      </c>
      <c r="R335" s="1">
        <v>15.1</v>
      </c>
      <c r="S335" s="1">
        <v>1</v>
      </c>
      <c r="T335" s="1">
        <v>0</v>
      </c>
      <c r="U335" s="1">
        <v>90</v>
      </c>
      <c r="V335" s="1">
        <v>60015027</v>
      </c>
      <c r="W335" s="1">
        <v>32767</v>
      </c>
      <c r="X335" s="1">
        <v>4</v>
      </c>
      <c r="Z335" s="1">
        <v>2830923102</v>
      </c>
      <c r="AA335" s="1">
        <v>36</v>
      </c>
      <c r="AB335" s="1">
        <v>10052</v>
      </c>
      <c r="AC335" s="1">
        <v>10052</v>
      </c>
      <c r="AD335" s="16">
        <v>55</v>
      </c>
      <c r="AE335" s="1">
        <v>1</v>
      </c>
      <c r="AF335" s="1">
        <v>0</v>
      </c>
      <c r="AG335" s="1">
        <v>90</v>
      </c>
      <c r="AH335" s="1">
        <v>60004474</v>
      </c>
      <c r="AI335" s="1">
        <v>32767</v>
      </c>
      <c r="AJ335" s="1">
        <v>1</v>
      </c>
      <c r="CH335" s="1">
        <v>2392348882</v>
      </c>
      <c r="CI335" s="1">
        <v>29668</v>
      </c>
      <c r="CJ335" s="1">
        <v>1</v>
      </c>
      <c r="CK335" s="1">
        <v>1</v>
      </c>
      <c r="CL335" s="1">
        <v>415000000</v>
      </c>
      <c r="CM335" s="1">
        <v>1</v>
      </c>
      <c r="CN335" s="1">
        <v>1</v>
      </c>
      <c r="CO335" s="1">
        <v>90</v>
      </c>
      <c r="CP335" s="1">
        <v>60003760</v>
      </c>
      <c r="CQ335" s="1">
        <v>32767</v>
      </c>
      <c r="CR335" s="1">
        <v>0</v>
      </c>
      <c r="DR335" s="1">
        <v>2878296090</v>
      </c>
      <c r="DS335" s="1">
        <v>17888</v>
      </c>
      <c r="DT335" s="1">
        <v>1000000</v>
      </c>
      <c r="DU335" s="1">
        <v>1000000</v>
      </c>
      <c r="DV335" s="1">
        <v>302.20999999999998</v>
      </c>
      <c r="DW335" s="1">
        <v>1</v>
      </c>
      <c r="DX335" s="1">
        <v>1</v>
      </c>
      <c r="DY335" s="1">
        <v>90</v>
      </c>
      <c r="DZ335" s="1">
        <v>60003760</v>
      </c>
      <c r="EA335" s="1">
        <v>-1</v>
      </c>
      <c r="EB335" s="1">
        <v>0</v>
      </c>
    </row>
    <row r="336" spans="2:132" x14ac:dyDescent="0.25">
      <c r="B336" s="1">
        <v>2842702587</v>
      </c>
      <c r="C336" s="1">
        <v>34</v>
      </c>
      <c r="D336" s="1">
        <v>2494</v>
      </c>
      <c r="E336" s="1">
        <v>2494</v>
      </c>
      <c r="F336" s="1">
        <v>10000.9</v>
      </c>
      <c r="G336" s="1">
        <v>1</v>
      </c>
      <c r="H336" s="1">
        <v>0</v>
      </c>
      <c r="I336" s="1">
        <v>30</v>
      </c>
      <c r="J336" s="1">
        <v>60003334</v>
      </c>
      <c r="K336" s="1">
        <v>32767</v>
      </c>
      <c r="L336" s="1">
        <v>1</v>
      </c>
      <c r="N336" s="1">
        <v>2878560416</v>
      </c>
      <c r="O336" s="1">
        <v>35</v>
      </c>
      <c r="P336" s="1">
        <v>1259251</v>
      </c>
      <c r="Q336" s="1">
        <v>1259251</v>
      </c>
      <c r="R336" s="1">
        <v>14.5</v>
      </c>
      <c r="S336" s="1">
        <v>1</v>
      </c>
      <c r="T336" s="1">
        <v>0</v>
      </c>
      <c r="U336" s="1">
        <v>90</v>
      </c>
      <c r="V336" s="1">
        <v>60004060</v>
      </c>
      <c r="W336" s="1">
        <v>32767</v>
      </c>
      <c r="X336" s="1">
        <v>10</v>
      </c>
      <c r="Z336" s="1">
        <v>2844038586</v>
      </c>
      <c r="AA336" s="1">
        <v>36</v>
      </c>
      <c r="AB336" s="1">
        <v>182811</v>
      </c>
      <c r="AC336" s="1">
        <v>182811</v>
      </c>
      <c r="AD336" s="16">
        <v>51</v>
      </c>
      <c r="AE336" s="1">
        <v>1</v>
      </c>
      <c r="AF336" s="1">
        <v>0</v>
      </c>
      <c r="AG336" s="1">
        <v>30</v>
      </c>
      <c r="AH336" s="1">
        <v>60001591</v>
      </c>
      <c r="AI336" s="1">
        <v>32767</v>
      </c>
      <c r="AJ336" s="1">
        <v>1</v>
      </c>
      <c r="CH336" s="1">
        <v>2392287622</v>
      </c>
      <c r="CI336" s="1">
        <v>29668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90</v>
      </c>
      <c r="CP336" s="1">
        <v>60003760</v>
      </c>
      <c r="CQ336" s="1">
        <v>-1</v>
      </c>
      <c r="CR336" s="1">
        <v>0</v>
      </c>
      <c r="DR336" s="1">
        <v>2878267095</v>
      </c>
      <c r="DS336" s="1">
        <v>17888</v>
      </c>
      <c r="DT336" s="1">
        <v>50000</v>
      </c>
      <c r="DU336" s="1">
        <v>50000</v>
      </c>
      <c r="DV336" s="1">
        <v>302.18</v>
      </c>
      <c r="DW336" s="1">
        <v>1</v>
      </c>
      <c r="DX336" s="1">
        <v>1</v>
      </c>
      <c r="DY336" s="1">
        <v>90</v>
      </c>
      <c r="DZ336" s="1">
        <v>60003760</v>
      </c>
      <c r="EA336" s="1">
        <v>-1</v>
      </c>
      <c r="EB336" s="1">
        <v>0</v>
      </c>
    </row>
    <row r="337" spans="2:132" x14ac:dyDescent="0.25">
      <c r="B337" s="1">
        <v>2837554151</v>
      </c>
      <c r="C337" s="1">
        <v>34</v>
      </c>
      <c r="D337" s="1">
        <v>507083</v>
      </c>
      <c r="E337" s="1">
        <v>504340</v>
      </c>
      <c r="F337" s="1">
        <v>5.91</v>
      </c>
      <c r="G337" s="1">
        <v>1</v>
      </c>
      <c r="H337" s="1">
        <v>0</v>
      </c>
      <c r="I337" s="1">
        <v>90</v>
      </c>
      <c r="J337" s="1">
        <v>60000649</v>
      </c>
      <c r="K337" s="1">
        <v>32767</v>
      </c>
      <c r="L337" s="1">
        <v>5</v>
      </c>
      <c r="N337" s="1">
        <v>2878563206</v>
      </c>
      <c r="O337" s="1">
        <v>35</v>
      </c>
      <c r="P337" s="1">
        <v>214292</v>
      </c>
      <c r="Q337" s="1">
        <v>159572</v>
      </c>
      <c r="R337" s="1">
        <v>14.5</v>
      </c>
      <c r="S337" s="1">
        <v>1</v>
      </c>
      <c r="T337" s="1">
        <v>0</v>
      </c>
      <c r="U337" s="1">
        <v>1</v>
      </c>
      <c r="V337" s="1">
        <v>60001486</v>
      </c>
      <c r="W337" s="1">
        <v>32767</v>
      </c>
      <c r="X337" s="1">
        <v>2</v>
      </c>
      <c r="Z337" s="1">
        <v>2845384858</v>
      </c>
      <c r="AA337" s="1">
        <v>36</v>
      </c>
      <c r="AB337" s="1">
        <v>573835</v>
      </c>
      <c r="AC337" s="1">
        <v>573835</v>
      </c>
      <c r="AD337" s="16">
        <v>50.99</v>
      </c>
      <c r="AE337" s="1">
        <v>1</v>
      </c>
      <c r="AF337" s="1">
        <v>0</v>
      </c>
      <c r="AG337" s="1">
        <v>90</v>
      </c>
      <c r="AH337" s="1">
        <v>60000784</v>
      </c>
      <c r="AI337" s="1">
        <v>32767</v>
      </c>
      <c r="AJ337" s="1">
        <v>1</v>
      </c>
      <c r="CH337" s="1">
        <v>2392481643</v>
      </c>
      <c r="CI337" s="1">
        <v>29668</v>
      </c>
      <c r="CJ337" s="1">
        <v>100</v>
      </c>
      <c r="CK337" s="1">
        <v>100</v>
      </c>
      <c r="CL337" s="1">
        <v>999</v>
      </c>
      <c r="CM337" s="1">
        <v>1</v>
      </c>
      <c r="CN337" s="1">
        <v>1</v>
      </c>
      <c r="CO337" s="1">
        <v>90</v>
      </c>
      <c r="CP337" s="1">
        <v>60003760</v>
      </c>
      <c r="CQ337" s="1">
        <v>32767</v>
      </c>
      <c r="CR337" s="1">
        <v>0</v>
      </c>
      <c r="DR337" s="1">
        <v>2877911047</v>
      </c>
      <c r="DS337" s="1">
        <v>17888</v>
      </c>
      <c r="DT337" s="1">
        <v>20000000</v>
      </c>
      <c r="DU337" s="1">
        <v>20000000</v>
      </c>
      <c r="DV337" s="1">
        <v>300</v>
      </c>
      <c r="DW337" s="1">
        <v>1</v>
      </c>
      <c r="DX337" s="1">
        <v>1</v>
      </c>
      <c r="DY337" s="1">
        <v>90</v>
      </c>
      <c r="DZ337" s="1">
        <v>60003760</v>
      </c>
      <c r="EA337" s="1">
        <v>-1</v>
      </c>
      <c r="EB337" s="1">
        <v>0</v>
      </c>
    </row>
    <row r="338" spans="2:132" x14ac:dyDescent="0.25">
      <c r="B338" s="1">
        <v>2877740279</v>
      </c>
      <c r="C338" s="1">
        <v>34</v>
      </c>
      <c r="D338" s="1">
        <v>2656000</v>
      </c>
      <c r="E338" s="1">
        <v>2656000</v>
      </c>
      <c r="F338" s="1">
        <v>5.63</v>
      </c>
      <c r="G338" s="1">
        <v>1</v>
      </c>
      <c r="H338" s="1">
        <v>0</v>
      </c>
      <c r="I338" s="1">
        <v>7</v>
      </c>
      <c r="J338" s="1">
        <v>60002734</v>
      </c>
      <c r="K338" s="1">
        <v>32767</v>
      </c>
      <c r="L338" s="1">
        <v>5</v>
      </c>
      <c r="N338" s="1">
        <v>2878595670</v>
      </c>
      <c r="O338" s="1">
        <v>35</v>
      </c>
      <c r="P338" s="1">
        <v>575113</v>
      </c>
      <c r="Q338" s="1">
        <v>575113</v>
      </c>
      <c r="R338" s="1">
        <v>15.5</v>
      </c>
      <c r="S338" s="1">
        <v>1</v>
      </c>
      <c r="T338" s="1">
        <v>0</v>
      </c>
      <c r="U338" s="1">
        <v>1</v>
      </c>
      <c r="V338" s="1">
        <v>60003460</v>
      </c>
      <c r="W338" s="1">
        <v>32767</v>
      </c>
      <c r="X338" s="1">
        <v>0</v>
      </c>
      <c r="Z338" s="1">
        <v>2861013372</v>
      </c>
      <c r="AA338" s="1">
        <v>36</v>
      </c>
      <c r="AB338" s="1">
        <v>1763103</v>
      </c>
      <c r="AC338" s="1">
        <v>1763103</v>
      </c>
      <c r="AD338" s="16">
        <v>50</v>
      </c>
      <c r="AE338" s="1">
        <v>1</v>
      </c>
      <c r="AF338" s="1">
        <v>0</v>
      </c>
      <c r="AG338" s="1">
        <v>14</v>
      </c>
      <c r="AH338" s="1">
        <v>60004474</v>
      </c>
      <c r="AI338" s="1">
        <v>32767</v>
      </c>
      <c r="AJ338" s="1">
        <v>1</v>
      </c>
      <c r="CH338" s="1">
        <v>2392197309</v>
      </c>
      <c r="CI338" s="1">
        <v>29668</v>
      </c>
      <c r="CJ338" s="1">
        <v>1</v>
      </c>
      <c r="CK338" s="1">
        <v>1</v>
      </c>
      <c r="CL338" s="1">
        <v>0.01</v>
      </c>
      <c r="CM338" s="1">
        <v>1</v>
      </c>
      <c r="CN338" s="1">
        <v>1</v>
      </c>
      <c r="CO338" s="1">
        <v>90</v>
      </c>
      <c r="CP338" s="1">
        <v>60003760</v>
      </c>
      <c r="CQ338" s="1">
        <v>3</v>
      </c>
      <c r="CR338" s="1">
        <v>0</v>
      </c>
      <c r="DR338" s="1">
        <v>2878056047</v>
      </c>
      <c r="DS338" s="1">
        <v>17888</v>
      </c>
      <c r="DT338" s="1">
        <v>5000000</v>
      </c>
      <c r="DU338" s="1">
        <v>5000000</v>
      </c>
      <c r="DV338" s="1">
        <v>300.02999999999997</v>
      </c>
      <c r="DW338" s="1">
        <v>5000</v>
      </c>
      <c r="DX338" s="1">
        <v>1</v>
      </c>
      <c r="DY338" s="1">
        <v>90</v>
      </c>
      <c r="DZ338" s="1">
        <v>60003760</v>
      </c>
      <c r="EA338" s="1">
        <v>-1</v>
      </c>
      <c r="EB338" s="1">
        <v>0</v>
      </c>
    </row>
    <row r="339" spans="2:132" x14ac:dyDescent="0.25">
      <c r="B339" s="1">
        <v>2876651058</v>
      </c>
      <c r="C339" s="1">
        <v>34</v>
      </c>
      <c r="D339" s="1">
        <v>2661189</v>
      </c>
      <c r="E339" s="1">
        <v>2661189</v>
      </c>
      <c r="F339" s="1">
        <v>5.63</v>
      </c>
      <c r="G339" s="1">
        <v>1</v>
      </c>
      <c r="H339" s="1">
        <v>0</v>
      </c>
      <c r="I339" s="1">
        <v>30</v>
      </c>
      <c r="J339" s="1">
        <v>60004048</v>
      </c>
      <c r="K339" s="1">
        <v>32767</v>
      </c>
      <c r="L339" s="1">
        <v>5</v>
      </c>
      <c r="N339" s="1">
        <v>2878689648</v>
      </c>
      <c r="O339" s="1">
        <v>35</v>
      </c>
      <c r="P339" s="1">
        <v>1401578</v>
      </c>
      <c r="Q339" s="1">
        <v>1401578</v>
      </c>
      <c r="R339" s="1">
        <v>14.75</v>
      </c>
      <c r="S339" s="1">
        <v>1</v>
      </c>
      <c r="T339" s="1">
        <v>0</v>
      </c>
      <c r="U339" s="1">
        <v>14</v>
      </c>
      <c r="V339" s="1">
        <v>60004210</v>
      </c>
      <c r="W339" s="1">
        <v>32767</v>
      </c>
      <c r="X339" s="1">
        <v>5</v>
      </c>
      <c r="Z339" s="1">
        <v>2866196272</v>
      </c>
      <c r="AA339" s="1">
        <v>36</v>
      </c>
      <c r="AB339" s="1">
        <v>3692211</v>
      </c>
      <c r="AC339" s="1">
        <v>3492211</v>
      </c>
      <c r="AD339" s="16">
        <v>49.88</v>
      </c>
      <c r="AE339" s="1">
        <v>1</v>
      </c>
      <c r="AF339" s="1">
        <v>0</v>
      </c>
      <c r="AG339" s="1">
        <v>90</v>
      </c>
      <c r="AH339" s="1">
        <v>60004474</v>
      </c>
      <c r="AI339" s="1">
        <v>32767</v>
      </c>
      <c r="AJ339" s="1">
        <v>1</v>
      </c>
      <c r="CH339" s="1">
        <v>2392198543</v>
      </c>
      <c r="CI339" s="1">
        <v>29668</v>
      </c>
      <c r="CJ339" s="1">
        <v>5</v>
      </c>
      <c r="CK339" s="1">
        <v>5</v>
      </c>
      <c r="CL339" s="1">
        <v>412000000</v>
      </c>
      <c r="CM339" s="1">
        <v>1</v>
      </c>
      <c r="CN339" s="1">
        <v>1</v>
      </c>
      <c r="CO339" s="1">
        <v>90</v>
      </c>
      <c r="CP339" s="1">
        <v>60003760</v>
      </c>
      <c r="CQ339" s="1">
        <v>-1</v>
      </c>
      <c r="CR339" s="1">
        <v>0</v>
      </c>
      <c r="DR339" s="1">
        <v>2878199459</v>
      </c>
      <c r="DS339" s="1">
        <v>17888</v>
      </c>
      <c r="DT339" s="1">
        <v>600000</v>
      </c>
      <c r="DU339" s="1">
        <v>600000</v>
      </c>
      <c r="DV339" s="1">
        <v>300.06</v>
      </c>
      <c r="DW339" s="1">
        <v>1</v>
      </c>
      <c r="DX339" s="1">
        <v>1</v>
      </c>
      <c r="DY339" s="1">
        <v>90</v>
      </c>
      <c r="DZ339" s="1">
        <v>60003760</v>
      </c>
      <c r="EA339" s="1">
        <v>-1</v>
      </c>
      <c r="EB339" s="1">
        <v>0</v>
      </c>
    </row>
    <row r="340" spans="2:132" x14ac:dyDescent="0.25">
      <c r="B340" s="1">
        <v>2777474563</v>
      </c>
      <c r="C340" s="1">
        <v>34</v>
      </c>
      <c r="D340" s="1">
        <v>1470570</v>
      </c>
      <c r="E340" s="1">
        <v>41585</v>
      </c>
      <c r="F340" s="1">
        <v>6</v>
      </c>
      <c r="G340" s="1">
        <v>1</v>
      </c>
      <c r="H340" s="1">
        <v>0</v>
      </c>
      <c r="I340" s="1">
        <v>90</v>
      </c>
      <c r="J340" s="1">
        <v>60002746</v>
      </c>
      <c r="K340" s="1">
        <v>32767</v>
      </c>
      <c r="L340" s="1">
        <v>6</v>
      </c>
      <c r="N340" s="1">
        <v>2878705967</v>
      </c>
      <c r="O340" s="1">
        <v>35</v>
      </c>
      <c r="P340" s="1">
        <v>25782784</v>
      </c>
      <c r="Q340" s="1">
        <v>25782784</v>
      </c>
      <c r="R340" s="1">
        <v>15.05</v>
      </c>
      <c r="S340" s="1">
        <v>1</v>
      </c>
      <c r="T340" s="1">
        <v>0</v>
      </c>
      <c r="U340" s="1">
        <v>30</v>
      </c>
      <c r="V340" s="1">
        <v>60003760</v>
      </c>
      <c r="W340" s="1">
        <v>32767</v>
      </c>
      <c r="X340" s="1">
        <v>0</v>
      </c>
      <c r="Z340" s="1">
        <v>2854749467</v>
      </c>
      <c r="AA340" s="1">
        <v>36</v>
      </c>
      <c r="AB340" s="1">
        <v>305902</v>
      </c>
      <c r="AC340" s="1">
        <v>81649</v>
      </c>
      <c r="AD340" s="16">
        <v>54.99</v>
      </c>
      <c r="AE340" s="1">
        <v>1</v>
      </c>
      <c r="AF340" s="1">
        <v>0</v>
      </c>
      <c r="AG340" s="1">
        <v>30</v>
      </c>
      <c r="AH340" s="1">
        <v>60010822</v>
      </c>
      <c r="AI340" s="1">
        <v>32767</v>
      </c>
      <c r="AJ340" s="1">
        <v>0</v>
      </c>
      <c r="CH340" s="1">
        <v>2392206141</v>
      </c>
      <c r="CI340" s="1">
        <v>29668</v>
      </c>
      <c r="CJ340" s="1">
        <v>2</v>
      </c>
      <c r="CK340" s="1">
        <v>2</v>
      </c>
      <c r="CL340" s="1">
        <v>410000000</v>
      </c>
      <c r="CM340" s="1">
        <v>1</v>
      </c>
      <c r="CN340" s="1">
        <v>1</v>
      </c>
      <c r="CO340" s="1">
        <v>30</v>
      </c>
      <c r="CP340" s="1">
        <v>60003760</v>
      </c>
      <c r="CQ340" s="1">
        <v>-1</v>
      </c>
      <c r="CR340" s="1">
        <v>0</v>
      </c>
      <c r="DR340" s="1">
        <v>2858353053</v>
      </c>
      <c r="DS340" s="1">
        <v>17888</v>
      </c>
      <c r="DT340" s="1">
        <v>500000</v>
      </c>
      <c r="DU340" s="1">
        <v>482215</v>
      </c>
      <c r="DV340" s="1">
        <v>300.01</v>
      </c>
      <c r="DW340" s="1">
        <v>5000</v>
      </c>
      <c r="DX340" s="1">
        <v>1</v>
      </c>
      <c r="DY340" s="1">
        <v>90</v>
      </c>
      <c r="DZ340" s="1">
        <v>60003679</v>
      </c>
      <c r="EA340" s="1">
        <v>4</v>
      </c>
      <c r="EB340" s="1">
        <v>0</v>
      </c>
    </row>
    <row r="341" spans="2:132" x14ac:dyDescent="0.25">
      <c r="B341" s="1">
        <v>2827646266</v>
      </c>
      <c r="C341" s="1">
        <v>34</v>
      </c>
      <c r="D341" s="1">
        <v>6939823</v>
      </c>
      <c r="E341" s="1">
        <v>5943711</v>
      </c>
      <c r="F341" s="1">
        <v>5.95</v>
      </c>
      <c r="G341" s="1">
        <v>1</v>
      </c>
      <c r="H341" s="1">
        <v>0</v>
      </c>
      <c r="I341" s="1">
        <v>90</v>
      </c>
      <c r="J341" s="1">
        <v>60004054</v>
      </c>
      <c r="K341" s="1">
        <v>32767</v>
      </c>
      <c r="L341" s="1">
        <v>6</v>
      </c>
      <c r="N341" s="1">
        <v>2878709753</v>
      </c>
      <c r="O341" s="1">
        <v>35</v>
      </c>
      <c r="P341" s="1">
        <v>3915284</v>
      </c>
      <c r="Q341" s="1">
        <v>3915284</v>
      </c>
      <c r="R341" s="1">
        <v>15</v>
      </c>
      <c r="S341" s="1">
        <v>1</v>
      </c>
      <c r="T341" s="1">
        <v>0</v>
      </c>
      <c r="U341" s="1">
        <v>90</v>
      </c>
      <c r="V341" s="1">
        <v>60003760</v>
      </c>
      <c r="W341" s="1">
        <v>32767</v>
      </c>
      <c r="X341" s="1">
        <v>0</v>
      </c>
      <c r="Z341" s="1">
        <v>2830921333</v>
      </c>
      <c r="AA341" s="1">
        <v>36</v>
      </c>
      <c r="AB341" s="1">
        <v>83510</v>
      </c>
      <c r="AC341" s="1">
        <v>83510</v>
      </c>
      <c r="AD341" s="16">
        <v>55</v>
      </c>
      <c r="AE341" s="1">
        <v>1</v>
      </c>
      <c r="AF341" s="1">
        <v>0</v>
      </c>
      <c r="AG341" s="1">
        <v>90</v>
      </c>
      <c r="AH341" s="1">
        <v>60000577</v>
      </c>
      <c r="AI341" s="1">
        <v>32767</v>
      </c>
      <c r="AJ341" s="1">
        <v>0</v>
      </c>
      <c r="CH341" s="1">
        <v>2392863999</v>
      </c>
      <c r="CI341" s="1">
        <v>29668</v>
      </c>
      <c r="CJ341" s="1">
        <v>1</v>
      </c>
      <c r="CK341" s="1">
        <v>1</v>
      </c>
      <c r="CL341" s="1">
        <v>432000000</v>
      </c>
      <c r="CM341" s="1">
        <v>1</v>
      </c>
      <c r="CN341" s="1">
        <v>1</v>
      </c>
      <c r="CO341" s="1">
        <v>90</v>
      </c>
      <c r="CP341" s="1">
        <v>60003760</v>
      </c>
      <c r="CQ341" s="1">
        <v>-1</v>
      </c>
      <c r="CR341" s="1">
        <v>0</v>
      </c>
      <c r="DR341" s="1">
        <v>2843505812</v>
      </c>
      <c r="DS341" s="1">
        <v>17888</v>
      </c>
      <c r="DT341" s="1">
        <v>4000000</v>
      </c>
      <c r="DU341" s="1">
        <v>2797039</v>
      </c>
      <c r="DV341" s="1">
        <v>300</v>
      </c>
      <c r="DW341" s="1">
        <v>1</v>
      </c>
      <c r="DX341" s="1">
        <v>1</v>
      </c>
      <c r="DY341" s="1">
        <v>90</v>
      </c>
      <c r="DZ341" s="1">
        <v>60012667</v>
      </c>
      <c r="EA341" s="1">
        <v>2</v>
      </c>
      <c r="EB341" s="1">
        <v>0</v>
      </c>
    </row>
    <row r="342" spans="2:132" x14ac:dyDescent="0.25">
      <c r="B342" s="1">
        <v>2826743734</v>
      </c>
      <c r="C342" s="1">
        <v>34</v>
      </c>
      <c r="D342" s="1">
        <v>20155647</v>
      </c>
      <c r="E342" s="1">
        <v>10582658</v>
      </c>
      <c r="F342" s="1">
        <v>6.02</v>
      </c>
      <c r="G342" s="1">
        <v>1</v>
      </c>
      <c r="H342" s="1">
        <v>0</v>
      </c>
      <c r="I342" s="1">
        <v>90</v>
      </c>
      <c r="J342" s="1">
        <v>60001645</v>
      </c>
      <c r="K342" s="1">
        <v>32767</v>
      </c>
      <c r="L342" s="1">
        <v>6</v>
      </c>
      <c r="N342" s="1">
        <v>2878722863</v>
      </c>
      <c r="O342" s="1">
        <v>35</v>
      </c>
      <c r="P342" s="1">
        <v>12766394</v>
      </c>
      <c r="Q342" s="1">
        <v>12766394</v>
      </c>
      <c r="R342" s="1">
        <v>14.99</v>
      </c>
      <c r="S342" s="1">
        <v>1</v>
      </c>
      <c r="T342" s="1">
        <v>0</v>
      </c>
      <c r="U342" s="1">
        <v>90</v>
      </c>
      <c r="V342" s="1">
        <v>60003760</v>
      </c>
      <c r="W342" s="1">
        <v>32767</v>
      </c>
      <c r="X342" s="1">
        <v>0</v>
      </c>
      <c r="Z342" s="1">
        <v>2815751691</v>
      </c>
      <c r="AA342" s="1">
        <v>36</v>
      </c>
      <c r="AB342" s="1">
        <v>528146</v>
      </c>
      <c r="AC342" s="1">
        <v>1000</v>
      </c>
      <c r="AD342" s="16">
        <v>47.5</v>
      </c>
      <c r="AE342" s="1">
        <v>1</v>
      </c>
      <c r="AF342" s="1">
        <v>0</v>
      </c>
      <c r="AG342" s="1">
        <v>90</v>
      </c>
      <c r="AH342" s="1">
        <v>60000787</v>
      </c>
      <c r="AI342" s="1">
        <v>32767</v>
      </c>
      <c r="AJ342" s="1">
        <v>1</v>
      </c>
      <c r="CH342" s="1">
        <v>2392685229</v>
      </c>
      <c r="CI342" s="1">
        <v>29668</v>
      </c>
      <c r="CJ342" s="1">
        <v>2</v>
      </c>
      <c r="CK342" s="1">
        <v>2</v>
      </c>
      <c r="CL342" s="1">
        <v>441000</v>
      </c>
      <c r="CM342" s="1">
        <v>1</v>
      </c>
      <c r="CN342" s="1">
        <v>1</v>
      </c>
      <c r="CO342" s="1">
        <v>90</v>
      </c>
      <c r="CP342" s="1">
        <v>60003760</v>
      </c>
      <c r="CQ342" s="1">
        <v>40</v>
      </c>
      <c r="CR342" s="1">
        <v>0</v>
      </c>
      <c r="DR342" s="1">
        <v>1780801773</v>
      </c>
      <c r="DS342" s="1">
        <v>17888</v>
      </c>
      <c r="DT342" s="1">
        <v>1000000</v>
      </c>
      <c r="DU342" s="1">
        <v>806707</v>
      </c>
      <c r="DV342" s="1">
        <v>90.05</v>
      </c>
      <c r="DW342" s="1">
        <v>1</v>
      </c>
      <c r="DX342" s="1">
        <v>1</v>
      </c>
      <c r="DY342" s="1">
        <v>90</v>
      </c>
      <c r="DZ342" s="1">
        <v>60000526</v>
      </c>
      <c r="EA342" s="1">
        <v>10</v>
      </c>
      <c r="EB342" s="1">
        <v>0</v>
      </c>
    </row>
    <row r="343" spans="2:132" x14ac:dyDescent="0.25">
      <c r="B343" s="1">
        <v>2851281486</v>
      </c>
      <c r="C343" s="1">
        <v>34</v>
      </c>
      <c r="D343" s="1">
        <v>13294959</v>
      </c>
      <c r="E343" s="1">
        <v>13294959</v>
      </c>
      <c r="F343" s="1">
        <v>5.95</v>
      </c>
      <c r="G343" s="1">
        <v>1</v>
      </c>
      <c r="H343" s="1">
        <v>0</v>
      </c>
      <c r="I343" s="1">
        <v>90</v>
      </c>
      <c r="J343" s="1">
        <v>60004054</v>
      </c>
      <c r="K343" s="1">
        <v>32767</v>
      </c>
      <c r="L343" s="1">
        <v>6</v>
      </c>
      <c r="N343" s="1">
        <v>2878730937</v>
      </c>
      <c r="O343" s="1">
        <v>35</v>
      </c>
      <c r="P343" s="1">
        <v>64817877</v>
      </c>
      <c r="Q343" s="1">
        <v>29458322</v>
      </c>
      <c r="R343" s="1">
        <v>14.96</v>
      </c>
      <c r="S343" s="1">
        <v>1</v>
      </c>
      <c r="T343" s="1">
        <v>0</v>
      </c>
      <c r="U343" s="1">
        <v>90</v>
      </c>
      <c r="V343" s="1">
        <v>60003760</v>
      </c>
      <c r="W343" s="1">
        <v>32767</v>
      </c>
      <c r="X343" s="1">
        <v>0</v>
      </c>
      <c r="Z343" s="1">
        <v>2837013910</v>
      </c>
      <c r="AA343" s="1">
        <v>36</v>
      </c>
      <c r="AB343" s="1">
        <v>1213817</v>
      </c>
      <c r="AC343" s="1">
        <v>1157631</v>
      </c>
      <c r="AD343" s="16">
        <v>51.67</v>
      </c>
      <c r="AE343" s="1">
        <v>1</v>
      </c>
      <c r="AF343" s="1">
        <v>0</v>
      </c>
      <c r="AG343" s="1">
        <v>90</v>
      </c>
      <c r="AH343" s="1">
        <v>60001585</v>
      </c>
      <c r="AI343" s="1">
        <v>32767</v>
      </c>
      <c r="AJ343" s="1">
        <v>1</v>
      </c>
      <c r="CH343" s="1">
        <v>2392937693</v>
      </c>
      <c r="CI343" s="1">
        <v>29668</v>
      </c>
      <c r="CJ343" s="1">
        <v>3</v>
      </c>
      <c r="CK343" s="1">
        <v>3</v>
      </c>
      <c r="CL343" s="1">
        <v>430000000</v>
      </c>
      <c r="CM343" s="1">
        <v>1</v>
      </c>
      <c r="CN343" s="1">
        <v>1</v>
      </c>
      <c r="CO343" s="1">
        <v>90</v>
      </c>
      <c r="CP343" s="1">
        <v>60003760</v>
      </c>
      <c r="CQ343" s="1">
        <v>0</v>
      </c>
      <c r="CR343" s="1">
        <v>0</v>
      </c>
      <c r="DR343" s="1">
        <v>2867955344</v>
      </c>
      <c r="DS343" s="1">
        <v>17888</v>
      </c>
      <c r="DT343" s="1">
        <v>155000</v>
      </c>
      <c r="DU343" s="1">
        <v>142904</v>
      </c>
      <c r="DV343" s="1">
        <v>310</v>
      </c>
      <c r="DW343" s="1">
        <v>1</v>
      </c>
      <c r="DX343" s="1">
        <v>1</v>
      </c>
      <c r="DY343" s="1">
        <v>90</v>
      </c>
      <c r="DZ343" s="1">
        <v>60001591</v>
      </c>
      <c r="EA343" s="1">
        <v>-1</v>
      </c>
      <c r="EB343" s="1">
        <v>0</v>
      </c>
    </row>
    <row r="344" spans="2:132" x14ac:dyDescent="0.25">
      <c r="B344" s="1">
        <v>2766611001</v>
      </c>
      <c r="C344" s="1">
        <v>34</v>
      </c>
      <c r="D344" s="1">
        <v>4729</v>
      </c>
      <c r="E344" s="1">
        <v>931</v>
      </c>
      <c r="F344" s="1">
        <v>7</v>
      </c>
      <c r="G344" s="1">
        <v>1</v>
      </c>
      <c r="H344" s="1">
        <v>0</v>
      </c>
      <c r="I344" s="1">
        <v>90</v>
      </c>
      <c r="J344" s="1">
        <v>60001648</v>
      </c>
      <c r="K344" s="1">
        <v>32767</v>
      </c>
      <c r="L344" s="1">
        <v>6</v>
      </c>
      <c r="N344" s="1">
        <v>2878751019</v>
      </c>
      <c r="O344" s="1">
        <v>35</v>
      </c>
      <c r="P344" s="1">
        <v>1621528</v>
      </c>
      <c r="Q344" s="1">
        <v>973998</v>
      </c>
      <c r="R344" s="1">
        <v>14.95</v>
      </c>
      <c r="S344" s="1">
        <v>1</v>
      </c>
      <c r="T344" s="1">
        <v>0</v>
      </c>
      <c r="U344" s="1">
        <v>90</v>
      </c>
      <c r="V344" s="1">
        <v>60003760</v>
      </c>
      <c r="W344" s="1">
        <v>32767</v>
      </c>
      <c r="X344" s="1">
        <v>0</v>
      </c>
      <c r="Z344" s="1">
        <v>2830919809</v>
      </c>
      <c r="AA344" s="1">
        <v>36</v>
      </c>
      <c r="AB344" s="1">
        <v>149687</v>
      </c>
      <c r="AC344" s="1">
        <v>149687</v>
      </c>
      <c r="AD344" s="16">
        <v>55</v>
      </c>
      <c r="AE344" s="1">
        <v>1</v>
      </c>
      <c r="AF344" s="1">
        <v>0</v>
      </c>
      <c r="AG344" s="1">
        <v>90</v>
      </c>
      <c r="AH344" s="1">
        <v>60000787</v>
      </c>
      <c r="AI344" s="1">
        <v>32767</v>
      </c>
      <c r="AJ344" s="1">
        <v>1</v>
      </c>
      <c r="CH344" s="1">
        <v>2393166233</v>
      </c>
      <c r="CI344" s="1">
        <v>29668</v>
      </c>
      <c r="CJ344" s="1">
        <v>6</v>
      </c>
      <c r="CK344" s="1">
        <v>6</v>
      </c>
      <c r="CL344" s="1">
        <v>436333334</v>
      </c>
      <c r="CM344" s="1">
        <v>1</v>
      </c>
      <c r="CN344" s="1">
        <v>1</v>
      </c>
      <c r="CO344" s="1">
        <v>90</v>
      </c>
      <c r="CP344" s="1">
        <v>60003760</v>
      </c>
      <c r="CQ344" s="1">
        <v>-1</v>
      </c>
      <c r="CR344" s="1">
        <v>0</v>
      </c>
      <c r="DR344" s="1">
        <v>2878217071</v>
      </c>
      <c r="DS344" s="1">
        <v>17888</v>
      </c>
      <c r="DT344" s="1">
        <v>3000000</v>
      </c>
      <c r="DU344" s="1">
        <v>3000000</v>
      </c>
      <c r="DV344" s="1">
        <v>303.02</v>
      </c>
      <c r="DW344" s="1">
        <v>1</v>
      </c>
      <c r="DX344" s="1">
        <v>1</v>
      </c>
      <c r="DY344" s="1">
        <v>30</v>
      </c>
      <c r="DZ344" s="1">
        <v>60003760</v>
      </c>
      <c r="EA344" s="1">
        <v>-1</v>
      </c>
      <c r="EB344" s="1">
        <v>0</v>
      </c>
    </row>
    <row r="345" spans="2:132" x14ac:dyDescent="0.25">
      <c r="B345" s="1">
        <v>2849936887</v>
      </c>
      <c r="C345" s="1">
        <v>34</v>
      </c>
      <c r="D345" s="1">
        <v>50000000</v>
      </c>
      <c r="E345" s="1">
        <v>50000000</v>
      </c>
      <c r="F345" s="1">
        <v>6</v>
      </c>
      <c r="G345" s="1">
        <v>1</v>
      </c>
      <c r="H345" s="1">
        <v>0</v>
      </c>
      <c r="I345" s="1">
        <v>90</v>
      </c>
      <c r="J345" s="1">
        <v>60001651</v>
      </c>
      <c r="K345" s="1">
        <v>32767</v>
      </c>
      <c r="L345" s="1">
        <v>6</v>
      </c>
      <c r="N345" s="1">
        <v>2878755139</v>
      </c>
      <c r="O345" s="1">
        <v>35</v>
      </c>
      <c r="P345" s="1">
        <v>32283029</v>
      </c>
      <c r="Q345" s="1">
        <v>32283029</v>
      </c>
      <c r="R345" s="1">
        <v>15</v>
      </c>
      <c r="S345" s="1">
        <v>1</v>
      </c>
      <c r="T345" s="1">
        <v>0</v>
      </c>
      <c r="U345" s="1">
        <v>30</v>
      </c>
      <c r="V345" s="1">
        <v>60003760</v>
      </c>
      <c r="W345" s="1">
        <v>32767</v>
      </c>
      <c r="X345" s="1">
        <v>0</v>
      </c>
      <c r="Z345" s="1">
        <v>2830920125</v>
      </c>
      <c r="AA345" s="1">
        <v>36</v>
      </c>
      <c r="AB345" s="1">
        <v>296020</v>
      </c>
      <c r="AC345" s="1">
        <v>296020</v>
      </c>
      <c r="AD345" s="16">
        <v>55</v>
      </c>
      <c r="AE345" s="1">
        <v>1</v>
      </c>
      <c r="AF345" s="1">
        <v>0</v>
      </c>
      <c r="AG345" s="1">
        <v>90</v>
      </c>
      <c r="AH345" s="1">
        <v>60007594</v>
      </c>
      <c r="AI345" s="1">
        <v>32767</v>
      </c>
      <c r="AJ345" s="1">
        <v>1</v>
      </c>
      <c r="CH345" s="1">
        <v>2393082555</v>
      </c>
      <c r="CI345" s="1">
        <v>29668</v>
      </c>
      <c r="CJ345" s="1">
        <v>1</v>
      </c>
      <c r="CK345" s="1">
        <v>1</v>
      </c>
      <c r="CL345" s="1">
        <v>400000000</v>
      </c>
      <c r="CM345" s="1">
        <v>1</v>
      </c>
      <c r="CN345" s="1">
        <v>1</v>
      </c>
      <c r="CO345" s="1">
        <v>90</v>
      </c>
      <c r="CP345" s="1">
        <v>60003760</v>
      </c>
      <c r="CQ345" s="1">
        <v>-1</v>
      </c>
      <c r="CR345" s="1">
        <v>0</v>
      </c>
      <c r="DR345" s="1">
        <v>2878267335</v>
      </c>
      <c r="DS345" s="1">
        <v>17888</v>
      </c>
      <c r="DT345" s="1">
        <v>2500000</v>
      </c>
      <c r="DU345" s="1">
        <v>2435942</v>
      </c>
      <c r="DV345" s="1">
        <v>304.64999999999998</v>
      </c>
      <c r="DW345" s="1">
        <v>1</v>
      </c>
      <c r="DX345" s="1">
        <v>1</v>
      </c>
      <c r="DY345" s="1">
        <v>90</v>
      </c>
      <c r="DZ345" s="1">
        <v>60003760</v>
      </c>
      <c r="EA345" s="1">
        <v>-1</v>
      </c>
      <c r="EB345" s="1">
        <v>0</v>
      </c>
    </row>
    <row r="346" spans="2:132" x14ac:dyDescent="0.25">
      <c r="B346" s="1">
        <v>2857987706</v>
      </c>
      <c r="C346" s="1">
        <v>34</v>
      </c>
      <c r="D346" s="1">
        <v>3974697</v>
      </c>
      <c r="E346" s="1">
        <v>3974697</v>
      </c>
      <c r="F346" s="1">
        <v>5.88</v>
      </c>
      <c r="G346" s="1">
        <v>1</v>
      </c>
      <c r="H346" s="1">
        <v>0</v>
      </c>
      <c r="I346" s="1">
        <v>90</v>
      </c>
      <c r="J346" s="1">
        <v>60002749</v>
      </c>
      <c r="K346" s="1">
        <v>32767</v>
      </c>
      <c r="L346" s="1">
        <v>6</v>
      </c>
      <c r="N346" s="1">
        <v>2878756929</v>
      </c>
      <c r="O346" s="1">
        <v>35</v>
      </c>
      <c r="P346" s="1">
        <v>985809</v>
      </c>
      <c r="Q346" s="1">
        <v>985809</v>
      </c>
      <c r="R346" s="1">
        <v>14.93</v>
      </c>
      <c r="S346" s="1">
        <v>1</v>
      </c>
      <c r="T346" s="1">
        <v>0</v>
      </c>
      <c r="U346" s="1">
        <v>90</v>
      </c>
      <c r="V346" s="1">
        <v>60003760</v>
      </c>
      <c r="W346" s="1">
        <v>32767</v>
      </c>
      <c r="X346" s="1">
        <v>0</v>
      </c>
      <c r="Z346" s="1">
        <v>2848638512</v>
      </c>
      <c r="AA346" s="1">
        <v>36</v>
      </c>
      <c r="AB346" s="1">
        <v>513297</v>
      </c>
      <c r="AC346" s="1">
        <v>513297</v>
      </c>
      <c r="AD346" s="16">
        <v>49.99</v>
      </c>
      <c r="AE346" s="1">
        <v>1</v>
      </c>
      <c r="AF346" s="1">
        <v>0</v>
      </c>
      <c r="AG346" s="1">
        <v>90</v>
      </c>
      <c r="AH346" s="1">
        <v>60000787</v>
      </c>
      <c r="AI346" s="1">
        <v>32767</v>
      </c>
      <c r="AJ346" s="1">
        <v>1</v>
      </c>
      <c r="CH346" s="1">
        <v>2390836563</v>
      </c>
      <c r="CI346" s="1">
        <v>29668</v>
      </c>
      <c r="CJ346" s="1">
        <v>1</v>
      </c>
      <c r="CK346" s="1">
        <v>1</v>
      </c>
      <c r="CL346" s="1">
        <v>4401.1099999999997</v>
      </c>
      <c r="CM346" s="1">
        <v>1</v>
      </c>
      <c r="CN346" s="1">
        <v>1</v>
      </c>
      <c r="CO346" s="1">
        <v>90</v>
      </c>
      <c r="CP346" s="1">
        <v>60003760</v>
      </c>
      <c r="CQ346" s="1">
        <v>-1</v>
      </c>
      <c r="CR346" s="1">
        <v>0</v>
      </c>
      <c r="DR346" s="1">
        <v>2878479849</v>
      </c>
      <c r="DS346" s="1">
        <v>17888</v>
      </c>
      <c r="DT346" s="1">
        <v>6000000</v>
      </c>
      <c r="DU346" s="1">
        <v>6000000</v>
      </c>
      <c r="DV346" s="1">
        <v>305.10000000000002</v>
      </c>
      <c r="DW346" s="1">
        <v>1</v>
      </c>
      <c r="DX346" s="1">
        <v>1</v>
      </c>
      <c r="DY346" s="1">
        <v>90</v>
      </c>
      <c r="DZ346" s="1">
        <v>60003760</v>
      </c>
      <c r="EA346" s="1">
        <v>-1</v>
      </c>
      <c r="EB346" s="1">
        <v>0</v>
      </c>
    </row>
    <row r="347" spans="2:132" x14ac:dyDescent="0.25">
      <c r="B347" s="1">
        <v>2863783945</v>
      </c>
      <c r="C347" s="1">
        <v>34</v>
      </c>
      <c r="D347" s="1">
        <v>1844638</v>
      </c>
      <c r="E347" s="1">
        <v>1844486</v>
      </c>
      <c r="F347" s="1">
        <v>5.76</v>
      </c>
      <c r="G347" s="1">
        <v>1</v>
      </c>
      <c r="H347" s="1">
        <v>0</v>
      </c>
      <c r="I347" s="1">
        <v>30</v>
      </c>
      <c r="J347" s="1">
        <v>60001648</v>
      </c>
      <c r="K347" s="1">
        <v>32767</v>
      </c>
      <c r="L347" s="1">
        <v>6</v>
      </c>
      <c r="N347" s="1">
        <v>2878702465</v>
      </c>
      <c r="O347" s="1">
        <v>35</v>
      </c>
      <c r="P347" s="1">
        <v>70066044</v>
      </c>
      <c r="Q347" s="1">
        <v>65912227</v>
      </c>
      <c r="R347" s="1">
        <v>14.92</v>
      </c>
      <c r="S347" s="1">
        <v>1</v>
      </c>
      <c r="T347" s="1">
        <v>0</v>
      </c>
      <c r="U347" s="1">
        <v>90</v>
      </c>
      <c r="V347" s="1">
        <v>60003760</v>
      </c>
      <c r="W347" s="1">
        <v>32767</v>
      </c>
      <c r="X347" s="1">
        <v>0</v>
      </c>
      <c r="Z347" s="1">
        <v>2848694841</v>
      </c>
      <c r="AA347" s="1">
        <v>36</v>
      </c>
      <c r="AB347" s="1">
        <v>1478</v>
      </c>
      <c r="AC347" s="1">
        <v>451</v>
      </c>
      <c r="AD347" s="16">
        <v>50</v>
      </c>
      <c r="AE347" s="1">
        <v>1</v>
      </c>
      <c r="AF347" s="1">
        <v>0</v>
      </c>
      <c r="AG347" s="1">
        <v>90</v>
      </c>
      <c r="AH347" s="1">
        <v>60000586</v>
      </c>
      <c r="AI347" s="1">
        <v>32767</v>
      </c>
      <c r="AJ347" s="1">
        <v>2</v>
      </c>
      <c r="CH347" s="1">
        <v>2330724845</v>
      </c>
      <c r="CI347" s="1">
        <v>29668</v>
      </c>
      <c r="CJ347" s="1">
        <v>1</v>
      </c>
      <c r="CK347" s="1">
        <v>1</v>
      </c>
      <c r="CL347" s="1">
        <v>478000</v>
      </c>
      <c r="CM347" s="1">
        <v>1</v>
      </c>
      <c r="CN347" s="1">
        <v>1</v>
      </c>
      <c r="CO347" s="1">
        <v>90</v>
      </c>
      <c r="CP347" s="1">
        <v>60003760</v>
      </c>
      <c r="CQ347" s="1">
        <v>40</v>
      </c>
      <c r="CR347" s="1">
        <v>0</v>
      </c>
      <c r="DR347" s="1">
        <v>2878487611</v>
      </c>
      <c r="DS347" s="1">
        <v>17888</v>
      </c>
      <c r="DT347" s="1">
        <v>88734</v>
      </c>
      <c r="DU347" s="1">
        <v>88734</v>
      </c>
      <c r="DV347" s="1">
        <v>305.24</v>
      </c>
      <c r="DW347" s="1">
        <v>1</v>
      </c>
      <c r="DX347" s="1">
        <v>1</v>
      </c>
      <c r="DY347" s="1">
        <v>90</v>
      </c>
      <c r="DZ347" s="1">
        <v>60003760</v>
      </c>
      <c r="EA347" s="1">
        <v>-1</v>
      </c>
      <c r="EB347" s="1">
        <v>0</v>
      </c>
    </row>
    <row r="348" spans="2:132" x14ac:dyDescent="0.25">
      <c r="B348" s="1">
        <v>2877245878</v>
      </c>
      <c r="C348" s="1">
        <v>34</v>
      </c>
      <c r="D348" s="1">
        <v>58866011</v>
      </c>
      <c r="E348" s="1">
        <v>39315641</v>
      </c>
      <c r="F348" s="1">
        <v>5.63</v>
      </c>
      <c r="G348" s="1">
        <v>1</v>
      </c>
      <c r="H348" s="1">
        <v>0</v>
      </c>
      <c r="I348" s="1">
        <v>7</v>
      </c>
      <c r="J348" s="1">
        <v>60002743</v>
      </c>
      <c r="K348" s="1">
        <v>32767</v>
      </c>
      <c r="L348" s="1">
        <v>6</v>
      </c>
      <c r="N348" s="1">
        <v>2878767353</v>
      </c>
      <c r="O348" s="1">
        <v>35</v>
      </c>
      <c r="P348" s="1">
        <v>212029</v>
      </c>
      <c r="Q348" s="1">
        <v>212029</v>
      </c>
      <c r="R348" s="1">
        <v>14.85</v>
      </c>
      <c r="S348" s="1">
        <v>1</v>
      </c>
      <c r="T348" s="1">
        <v>0</v>
      </c>
      <c r="U348" s="1">
        <v>3</v>
      </c>
      <c r="V348" s="1">
        <v>60000688</v>
      </c>
      <c r="W348" s="1">
        <v>32767</v>
      </c>
      <c r="X348" s="1">
        <v>1</v>
      </c>
      <c r="Z348" s="1">
        <v>2830919383</v>
      </c>
      <c r="AA348" s="1">
        <v>36</v>
      </c>
      <c r="AB348" s="1">
        <v>393989</v>
      </c>
      <c r="AC348" s="1">
        <v>393989</v>
      </c>
      <c r="AD348" s="16">
        <v>55</v>
      </c>
      <c r="AE348" s="1">
        <v>1</v>
      </c>
      <c r="AF348" s="1">
        <v>0</v>
      </c>
      <c r="AG348" s="1">
        <v>90</v>
      </c>
      <c r="AH348" s="1">
        <v>60000589</v>
      </c>
      <c r="AI348" s="1">
        <v>32767</v>
      </c>
      <c r="AJ348" s="1">
        <v>2</v>
      </c>
      <c r="CH348" s="1">
        <v>2328864060</v>
      </c>
      <c r="CI348" s="1">
        <v>29668</v>
      </c>
      <c r="CJ348" s="1">
        <v>2</v>
      </c>
      <c r="CK348" s="1">
        <v>2</v>
      </c>
      <c r="CL348" s="1">
        <v>401000000.00999999</v>
      </c>
      <c r="CM348" s="1">
        <v>1</v>
      </c>
      <c r="CN348" s="1">
        <v>1</v>
      </c>
      <c r="CO348" s="1">
        <v>90</v>
      </c>
      <c r="CP348" s="1">
        <v>60003760</v>
      </c>
      <c r="CQ348" s="1">
        <v>32767</v>
      </c>
      <c r="CR348" s="1">
        <v>0</v>
      </c>
      <c r="DR348" s="1">
        <v>2878159256</v>
      </c>
      <c r="DS348" s="1">
        <v>17888</v>
      </c>
      <c r="DT348" s="1">
        <v>5000000</v>
      </c>
      <c r="DU348" s="1">
        <v>2525890</v>
      </c>
      <c r="DV348" s="1">
        <v>305.26</v>
      </c>
      <c r="DW348" s="1">
        <v>1</v>
      </c>
      <c r="DX348" s="1">
        <v>1</v>
      </c>
      <c r="DY348" s="1">
        <v>90</v>
      </c>
      <c r="DZ348" s="1">
        <v>60003760</v>
      </c>
      <c r="EA348" s="1">
        <v>-1</v>
      </c>
      <c r="EB348" s="1">
        <v>0</v>
      </c>
    </row>
    <row r="349" spans="2:132" x14ac:dyDescent="0.25">
      <c r="B349" s="1">
        <v>2877484030</v>
      </c>
      <c r="C349" s="1">
        <v>34</v>
      </c>
      <c r="D349" s="1">
        <v>1327738</v>
      </c>
      <c r="E349" s="1">
        <v>1327738</v>
      </c>
      <c r="F349" s="1">
        <v>5.7</v>
      </c>
      <c r="G349" s="1">
        <v>1</v>
      </c>
      <c r="H349" s="1">
        <v>0</v>
      </c>
      <c r="I349" s="1">
        <v>7</v>
      </c>
      <c r="J349" s="1">
        <v>60001651</v>
      </c>
      <c r="K349" s="1">
        <v>32767</v>
      </c>
      <c r="L349" s="1">
        <v>6</v>
      </c>
      <c r="N349" s="1">
        <v>2878786227</v>
      </c>
      <c r="O349" s="1">
        <v>35</v>
      </c>
      <c r="P349" s="1">
        <v>16424035</v>
      </c>
      <c r="Q349" s="1">
        <v>16424035</v>
      </c>
      <c r="R349" s="1">
        <v>15.65</v>
      </c>
      <c r="S349" s="1">
        <v>1</v>
      </c>
      <c r="T349" s="1">
        <v>0</v>
      </c>
      <c r="U349" s="1">
        <v>90</v>
      </c>
      <c r="V349" s="1">
        <v>60003760</v>
      </c>
      <c r="W349" s="1">
        <v>32767</v>
      </c>
      <c r="X349" s="1">
        <v>0</v>
      </c>
      <c r="Z349" s="1">
        <v>2844065330</v>
      </c>
      <c r="AA349" s="1">
        <v>36</v>
      </c>
      <c r="AB349" s="1">
        <v>179926</v>
      </c>
      <c r="AC349" s="1">
        <v>179926</v>
      </c>
      <c r="AD349" s="16">
        <v>51.4</v>
      </c>
      <c r="AE349" s="1">
        <v>1</v>
      </c>
      <c r="AF349" s="1">
        <v>0</v>
      </c>
      <c r="AG349" s="1">
        <v>30</v>
      </c>
      <c r="AH349" s="1">
        <v>60000574</v>
      </c>
      <c r="AI349" s="1">
        <v>32767</v>
      </c>
      <c r="AJ349" s="1">
        <v>2</v>
      </c>
      <c r="CH349" s="1">
        <v>2327249673</v>
      </c>
      <c r="CI349" s="1">
        <v>29668</v>
      </c>
      <c r="CJ349" s="1">
        <v>11</v>
      </c>
      <c r="CK349" s="1">
        <v>11</v>
      </c>
      <c r="CL349" s="1">
        <v>375000000.00999999</v>
      </c>
      <c r="CM349" s="1">
        <v>1</v>
      </c>
      <c r="CN349" s="1">
        <v>1</v>
      </c>
      <c r="CO349" s="1">
        <v>90</v>
      </c>
      <c r="CP349" s="1">
        <v>60003760</v>
      </c>
      <c r="CQ349" s="1">
        <v>-1</v>
      </c>
      <c r="CR349" s="1">
        <v>0</v>
      </c>
      <c r="DR349" s="1">
        <v>2878481661</v>
      </c>
      <c r="DS349" s="1">
        <v>17888</v>
      </c>
      <c r="DT349" s="1">
        <v>5000000</v>
      </c>
      <c r="DU349" s="1">
        <v>5000000</v>
      </c>
      <c r="DV349" s="1">
        <v>305.58</v>
      </c>
      <c r="DW349" s="1">
        <v>1</v>
      </c>
      <c r="DX349" s="1">
        <v>1</v>
      </c>
      <c r="DY349" s="1">
        <v>90</v>
      </c>
      <c r="DZ349" s="1">
        <v>60003760</v>
      </c>
      <c r="EA349" s="1">
        <v>-1</v>
      </c>
      <c r="EB349" s="1">
        <v>0</v>
      </c>
    </row>
    <row r="350" spans="2:132" x14ac:dyDescent="0.25">
      <c r="B350" s="1">
        <v>2870183150</v>
      </c>
      <c r="C350" s="1">
        <v>34</v>
      </c>
      <c r="D350" s="1">
        <v>10696578</v>
      </c>
      <c r="E350" s="1">
        <v>2696578</v>
      </c>
      <c r="F350" s="1">
        <v>5.7</v>
      </c>
      <c r="G350" s="1">
        <v>1</v>
      </c>
      <c r="H350" s="1">
        <v>0</v>
      </c>
      <c r="I350" s="1">
        <v>30</v>
      </c>
      <c r="J350" s="1">
        <v>60002740</v>
      </c>
      <c r="K350" s="1">
        <v>32767</v>
      </c>
      <c r="L350" s="1">
        <v>7</v>
      </c>
      <c r="N350" s="1">
        <v>2878811964</v>
      </c>
      <c r="O350" s="1">
        <v>35</v>
      </c>
      <c r="P350" s="1">
        <v>104350432</v>
      </c>
      <c r="Q350" s="1">
        <v>104350432</v>
      </c>
      <c r="R350" s="1">
        <v>14.91</v>
      </c>
      <c r="S350" s="1">
        <v>1</v>
      </c>
      <c r="T350" s="1">
        <v>0</v>
      </c>
      <c r="U350" s="1">
        <v>90</v>
      </c>
      <c r="V350" s="1">
        <v>60003760</v>
      </c>
      <c r="W350" s="1">
        <v>32767</v>
      </c>
      <c r="X350" s="1">
        <v>0</v>
      </c>
      <c r="Z350" s="1">
        <v>2848695388</v>
      </c>
      <c r="AA350" s="1">
        <v>36</v>
      </c>
      <c r="AB350" s="1">
        <v>826</v>
      </c>
      <c r="AC350" s="1">
        <v>826</v>
      </c>
      <c r="AD350" s="16">
        <v>50</v>
      </c>
      <c r="AE350" s="1">
        <v>1</v>
      </c>
      <c r="AF350" s="1">
        <v>0</v>
      </c>
      <c r="AG350" s="1">
        <v>90</v>
      </c>
      <c r="AH350" s="1">
        <v>60001588</v>
      </c>
      <c r="AI350" s="1">
        <v>32767</v>
      </c>
      <c r="AJ350" s="1">
        <v>2</v>
      </c>
      <c r="CH350" s="1">
        <v>2324712762</v>
      </c>
      <c r="CI350" s="1">
        <v>29668</v>
      </c>
      <c r="CJ350" s="1">
        <v>2</v>
      </c>
      <c r="CK350" s="1">
        <v>2</v>
      </c>
      <c r="CL350" s="1">
        <v>479500.15</v>
      </c>
      <c r="CM350" s="1">
        <v>1</v>
      </c>
      <c r="CN350" s="1">
        <v>1</v>
      </c>
      <c r="CO350" s="1">
        <v>90</v>
      </c>
      <c r="CP350" s="1">
        <v>60003760</v>
      </c>
      <c r="CQ350" s="1">
        <v>40</v>
      </c>
      <c r="CR350" s="1">
        <v>0</v>
      </c>
      <c r="DR350" s="1">
        <v>2878631515</v>
      </c>
      <c r="DS350" s="1">
        <v>17888</v>
      </c>
      <c r="DT350" s="1">
        <v>702000</v>
      </c>
      <c r="DU350" s="1">
        <v>702000</v>
      </c>
      <c r="DV350" s="1">
        <v>315.70999999999998</v>
      </c>
      <c r="DW350" s="1">
        <v>1</v>
      </c>
      <c r="DX350" s="1">
        <v>1</v>
      </c>
      <c r="DY350" s="1">
        <v>14</v>
      </c>
      <c r="DZ350" s="1">
        <v>60003760</v>
      </c>
      <c r="EA350" s="1">
        <v>-1</v>
      </c>
      <c r="EB350" s="1">
        <v>0</v>
      </c>
    </row>
    <row r="351" spans="2:132" x14ac:dyDescent="0.25">
      <c r="B351" s="1">
        <v>2875327104</v>
      </c>
      <c r="C351" s="1">
        <v>34</v>
      </c>
      <c r="D351" s="1">
        <v>2126354</v>
      </c>
      <c r="E351" s="1">
        <v>154920</v>
      </c>
      <c r="F351" s="1">
        <v>5.64</v>
      </c>
      <c r="G351" s="1">
        <v>1</v>
      </c>
      <c r="H351" s="1">
        <v>0</v>
      </c>
      <c r="I351" s="1">
        <v>90</v>
      </c>
      <c r="J351" s="1">
        <v>60004051</v>
      </c>
      <c r="K351" s="1">
        <v>32767</v>
      </c>
      <c r="L351" s="1">
        <v>7</v>
      </c>
      <c r="N351" s="1">
        <v>2878819826</v>
      </c>
      <c r="O351" s="1">
        <v>35</v>
      </c>
      <c r="P351" s="1">
        <v>3803102</v>
      </c>
      <c r="Q351" s="1">
        <v>3803102</v>
      </c>
      <c r="R351" s="1">
        <v>14.6</v>
      </c>
      <c r="S351" s="1">
        <v>1</v>
      </c>
      <c r="T351" s="1">
        <v>0</v>
      </c>
      <c r="U351" s="1">
        <v>90</v>
      </c>
      <c r="V351" s="1">
        <v>60007591</v>
      </c>
      <c r="W351" s="1">
        <v>32767</v>
      </c>
      <c r="X351" s="1">
        <v>11</v>
      </c>
      <c r="Z351" s="1">
        <v>2869487169</v>
      </c>
      <c r="AA351" s="1">
        <v>36</v>
      </c>
      <c r="AB351" s="1">
        <v>425192</v>
      </c>
      <c r="AC351" s="1">
        <v>425192</v>
      </c>
      <c r="AD351" s="16">
        <v>48.34</v>
      </c>
      <c r="AE351" s="1">
        <v>1</v>
      </c>
      <c r="AF351" s="1">
        <v>0</v>
      </c>
      <c r="AG351" s="1">
        <v>90</v>
      </c>
      <c r="AH351" s="1">
        <v>60000574</v>
      </c>
      <c r="AI351" s="1">
        <v>32767</v>
      </c>
      <c r="AJ351" s="1">
        <v>2</v>
      </c>
      <c r="CH351" s="1">
        <v>2320804142</v>
      </c>
      <c r="CI351" s="1">
        <v>29668</v>
      </c>
      <c r="CJ351" s="1">
        <v>1</v>
      </c>
      <c r="CK351" s="1">
        <v>1</v>
      </c>
      <c r="CL351" s="1">
        <v>385001001.00999999</v>
      </c>
      <c r="CM351" s="1">
        <v>1</v>
      </c>
      <c r="CN351" s="1">
        <v>1</v>
      </c>
      <c r="CO351" s="1">
        <v>90</v>
      </c>
      <c r="CP351" s="1">
        <v>60003760</v>
      </c>
      <c r="CQ351" s="1">
        <v>-1</v>
      </c>
      <c r="CR351" s="1">
        <v>0</v>
      </c>
      <c r="DR351" s="1">
        <v>2878638366</v>
      </c>
      <c r="DS351" s="1">
        <v>17888</v>
      </c>
      <c r="DT351" s="1">
        <v>10000000</v>
      </c>
      <c r="DU351" s="1">
        <v>10000000</v>
      </c>
      <c r="DV351" s="1">
        <v>316.02</v>
      </c>
      <c r="DW351" s="1">
        <v>1</v>
      </c>
      <c r="DX351" s="1">
        <v>1</v>
      </c>
      <c r="DY351" s="1">
        <v>90</v>
      </c>
      <c r="DZ351" s="1">
        <v>60003760</v>
      </c>
      <c r="EA351" s="1">
        <v>-1</v>
      </c>
      <c r="EB351" s="1">
        <v>0</v>
      </c>
    </row>
    <row r="352" spans="2:132" x14ac:dyDescent="0.25">
      <c r="B352" s="1">
        <v>2817361074</v>
      </c>
      <c r="C352" s="1">
        <v>34</v>
      </c>
      <c r="D352" s="1">
        <v>1345210</v>
      </c>
      <c r="E352" s="1">
        <v>545210</v>
      </c>
      <c r="F352" s="1">
        <v>5.95</v>
      </c>
      <c r="G352" s="1">
        <v>1</v>
      </c>
      <c r="H352" s="1">
        <v>0</v>
      </c>
      <c r="I352" s="1">
        <v>90</v>
      </c>
      <c r="J352" s="1">
        <v>60000514</v>
      </c>
      <c r="K352" s="1">
        <v>32767</v>
      </c>
      <c r="L352" s="1">
        <v>7</v>
      </c>
      <c r="N352" s="1">
        <v>2878822645</v>
      </c>
      <c r="O352" s="1">
        <v>35</v>
      </c>
      <c r="P352" s="1">
        <v>10937238</v>
      </c>
      <c r="Q352" s="1">
        <v>10937238</v>
      </c>
      <c r="R352" s="1">
        <v>14.9</v>
      </c>
      <c r="S352" s="1">
        <v>1</v>
      </c>
      <c r="T352" s="1">
        <v>0</v>
      </c>
      <c r="U352" s="1">
        <v>30</v>
      </c>
      <c r="V352" s="1">
        <v>60003760</v>
      </c>
      <c r="W352" s="1">
        <v>32767</v>
      </c>
      <c r="X352" s="1">
        <v>0</v>
      </c>
      <c r="Z352" s="1">
        <v>2869882421</v>
      </c>
      <c r="AA352" s="1">
        <v>36</v>
      </c>
      <c r="AB352" s="1">
        <v>17100</v>
      </c>
      <c r="AC352" s="1">
        <v>14100</v>
      </c>
      <c r="AD352" s="16">
        <v>48.29</v>
      </c>
      <c r="AE352" s="1">
        <v>1</v>
      </c>
      <c r="AF352" s="1">
        <v>0</v>
      </c>
      <c r="AG352" s="1">
        <v>14</v>
      </c>
      <c r="AH352" s="1">
        <v>60000574</v>
      </c>
      <c r="AI352" s="1">
        <v>32767</v>
      </c>
      <c r="AJ352" s="1">
        <v>2</v>
      </c>
      <c r="CH352" s="1">
        <v>2307957846</v>
      </c>
      <c r="CI352" s="1">
        <v>29668</v>
      </c>
      <c r="CJ352" s="1">
        <v>1</v>
      </c>
      <c r="CK352" s="1">
        <v>1</v>
      </c>
      <c r="CL352" s="1">
        <v>365009789.00999999</v>
      </c>
      <c r="CM352" s="1">
        <v>1</v>
      </c>
      <c r="CN352" s="1">
        <v>1</v>
      </c>
      <c r="CO352" s="1">
        <v>90</v>
      </c>
      <c r="CP352" s="1">
        <v>60003760</v>
      </c>
      <c r="CQ352" s="1">
        <v>-1</v>
      </c>
      <c r="CR352" s="1">
        <v>0</v>
      </c>
      <c r="DR352" s="1">
        <v>2878657295</v>
      </c>
      <c r="DS352" s="1">
        <v>17888</v>
      </c>
      <c r="DT352" s="1">
        <v>5000000</v>
      </c>
      <c r="DU352" s="1">
        <v>4000000</v>
      </c>
      <c r="DV352" s="1">
        <v>316.14</v>
      </c>
      <c r="DW352" s="1">
        <v>1</v>
      </c>
      <c r="DX352" s="1">
        <v>1</v>
      </c>
      <c r="DY352" s="1">
        <v>90</v>
      </c>
      <c r="DZ352" s="1">
        <v>60003760</v>
      </c>
      <c r="EA352" s="1">
        <v>-1</v>
      </c>
      <c r="EB352" s="1">
        <v>0</v>
      </c>
    </row>
    <row r="353" spans="2:132" x14ac:dyDescent="0.25">
      <c r="B353" s="1">
        <v>2817361286</v>
      </c>
      <c r="C353" s="1">
        <v>34</v>
      </c>
      <c r="D353" s="1">
        <v>1260842</v>
      </c>
      <c r="E353" s="1">
        <v>760842</v>
      </c>
      <c r="F353" s="1">
        <v>5.95</v>
      </c>
      <c r="G353" s="1">
        <v>1</v>
      </c>
      <c r="H353" s="1">
        <v>0</v>
      </c>
      <c r="I353" s="1">
        <v>90</v>
      </c>
      <c r="J353" s="1">
        <v>60000646</v>
      </c>
      <c r="K353" s="1">
        <v>32767</v>
      </c>
      <c r="L353" s="1">
        <v>7</v>
      </c>
      <c r="N353" s="1">
        <v>2878836274</v>
      </c>
      <c r="O353" s="1">
        <v>35</v>
      </c>
      <c r="P353" s="1">
        <v>70682</v>
      </c>
      <c r="Q353" s="1">
        <v>70682</v>
      </c>
      <c r="R353" s="1">
        <v>14.8</v>
      </c>
      <c r="S353" s="1">
        <v>1</v>
      </c>
      <c r="T353" s="1">
        <v>0</v>
      </c>
      <c r="U353" s="1">
        <v>30</v>
      </c>
      <c r="V353" s="1">
        <v>60003937</v>
      </c>
      <c r="W353" s="1">
        <v>32767</v>
      </c>
      <c r="X353" s="1">
        <v>3</v>
      </c>
      <c r="Z353" s="1">
        <v>2869883447</v>
      </c>
      <c r="AA353" s="1">
        <v>36</v>
      </c>
      <c r="AB353" s="1">
        <v>220102</v>
      </c>
      <c r="AC353" s="1">
        <v>220102</v>
      </c>
      <c r="AD353" s="16">
        <v>48.29</v>
      </c>
      <c r="AE353" s="1">
        <v>1</v>
      </c>
      <c r="AF353" s="1">
        <v>0</v>
      </c>
      <c r="AG353" s="1">
        <v>14</v>
      </c>
      <c r="AH353" s="1">
        <v>60000574</v>
      </c>
      <c r="AI353" s="1">
        <v>32767</v>
      </c>
      <c r="AJ353" s="1">
        <v>2</v>
      </c>
      <c r="CH353" s="1">
        <v>2307959057</v>
      </c>
      <c r="CI353" s="1">
        <v>29668</v>
      </c>
      <c r="CJ353" s="1">
        <v>3</v>
      </c>
      <c r="CK353" s="1">
        <v>3</v>
      </c>
      <c r="CL353" s="1">
        <v>381000001.00999999</v>
      </c>
      <c r="CM353" s="1">
        <v>1</v>
      </c>
      <c r="CN353" s="1">
        <v>1</v>
      </c>
      <c r="CO353" s="1">
        <v>90</v>
      </c>
      <c r="CP353" s="1">
        <v>60003760</v>
      </c>
      <c r="CQ353" s="1">
        <v>-1</v>
      </c>
      <c r="CR353" s="1">
        <v>0</v>
      </c>
      <c r="DR353" s="1">
        <v>2878680251</v>
      </c>
      <c r="DS353" s="1">
        <v>17888</v>
      </c>
      <c r="DT353" s="1">
        <v>1000000</v>
      </c>
      <c r="DU353" s="1">
        <v>1000000</v>
      </c>
      <c r="DV353" s="1">
        <v>310</v>
      </c>
      <c r="DW353" s="1">
        <v>1</v>
      </c>
      <c r="DX353" s="1">
        <v>1</v>
      </c>
      <c r="DY353" s="1">
        <v>90</v>
      </c>
      <c r="DZ353" s="1">
        <v>60003760</v>
      </c>
      <c r="EA353" s="1">
        <v>-1</v>
      </c>
      <c r="EB353" s="1">
        <v>0</v>
      </c>
    </row>
    <row r="354" spans="2:132" x14ac:dyDescent="0.25">
      <c r="B354" s="1">
        <v>2834125816</v>
      </c>
      <c r="C354" s="1">
        <v>34</v>
      </c>
      <c r="D354" s="1">
        <v>2105449</v>
      </c>
      <c r="E354" s="1">
        <v>2105449</v>
      </c>
      <c r="F354" s="1">
        <v>15.9</v>
      </c>
      <c r="G354" s="1">
        <v>1</v>
      </c>
      <c r="H354" s="1">
        <v>0</v>
      </c>
      <c r="I354" s="1">
        <v>30</v>
      </c>
      <c r="J354" s="1">
        <v>60000646</v>
      </c>
      <c r="K354" s="1">
        <v>32767</v>
      </c>
      <c r="L354" s="1">
        <v>7</v>
      </c>
      <c r="N354" s="1">
        <v>2878847736</v>
      </c>
      <c r="O354" s="1">
        <v>35</v>
      </c>
      <c r="P354" s="1">
        <v>440558</v>
      </c>
      <c r="Q354" s="1">
        <v>440558</v>
      </c>
      <c r="R354" s="1">
        <v>15</v>
      </c>
      <c r="S354" s="1">
        <v>1</v>
      </c>
      <c r="T354" s="1">
        <v>0</v>
      </c>
      <c r="U354" s="1">
        <v>1</v>
      </c>
      <c r="V354" s="1">
        <v>60003037</v>
      </c>
      <c r="W354" s="1">
        <v>32767</v>
      </c>
      <c r="X354" s="1">
        <v>3</v>
      </c>
      <c r="Z354" s="1">
        <v>2867418758</v>
      </c>
      <c r="AA354" s="1">
        <v>36</v>
      </c>
      <c r="AB354" s="1">
        <v>338632</v>
      </c>
      <c r="AC354" s="1">
        <v>338632</v>
      </c>
      <c r="AD354" s="16">
        <v>48.49</v>
      </c>
      <c r="AE354" s="1">
        <v>1</v>
      </c>
      <c r="AF354" s="1">
        <v>0</v>
      </c>
      <c r="AG354" s="1">
        <v>30</v>
      </c>
      <c r="AH354" s="1">
        <v>60000574</v>
      </c>
      <c r="AI354" s="1">
        <v>32767</v>
      </c>
      <c r="AJ354" s="1">
        <v>2</v>
      </c>
      <c r="CH354" s="1">
        <v>2307964339</v>
      </c>
      <c r="CI354" s="1">
        <v>29668</v>
      </c>
      <c r="CJ354" s="1">
        <v>1</v>
      </c>
      <c r="CK354" s="1">
        <v>1</v>
      </c>
      <c r="CL354" s="1">
        <v>371009089.00999999</v>
      </c>
      <c r="CM354" s="1">
        <v>1</v>
      </c>
      <c r="CN354" s="1">
        <v>1</v>
      </c>
      <c r="CO354" s="1">
        <v>90</v>
      </c>
      <c r="CP354" s="1">
        <v>60003760</v>
      </c>
      <c r="CQ354" s="1">
        <v>-1</v>
      </c>
      <c r="CR354" s="1">
        <v>0</v>
      </c>
      <c r="DR354" s="1">
        <v>2879105979</v>
      </c>
      <c r="DS354" s="1">
        <v>17888</v>
      </c>
      <c r="DT354" s="1">
        <v>3000000</v>
      </c>
      <c r="DU354" s="1">
        <v>3000000</v>
      </c>
      <c r="DV354" s="1">
        <v>305.58999999999997</v>
      </c>
      <c r="DW354" s="1">
        <v>1</v>
      </c>
      <c r="DX354" s="1">
        <v>1</v>
      </c>
      <c r="DY354" s="1">
        <v>7</v>
      </c>
      <c r="DZ354" s="1">
        <v>60003760</v>
      </c>
      <c r="EA354" s="1">
        <v>-1</v>
      </c>
      <c r="EB354" s="1">
        <v>0</v>
      </c>
    </row>
    <row r="355" spans="2:132" x14ac:dyDescent="0.25">
      <c r="B355" s="1">
        <v>2848723847</v>
      </c>
      <c r="C355" s="1">
        <v>34</v>
      </c>
      <c r="D355" s="1">
        <v>3320570</v>
      </c>
      <c r="E355" s="1">
        <v>3320570</v>
      </c>
      <c r="F355" s="1">
        <v>8.35</v>
      </c>
      <c r="G355" s="1">
        <v>1</v>
      </c>
      <c r="H355" s="1">
        <v>0</v>
      </c>
      <c r="I355" s="1">
        <v>30</v>
      </c>
      <c r="J355" s="1">
        <v>60000646</v>
      </c>
      <c r="K355" s="1">
        <v>32767</v>
      </c>
      <c r="L355" s="1">
        <v>7</v>
      </c>
      <c r="N355" s="1">
        <v>2878857023</v>
      </c>
      <c r="O355" s="1">
        <v>35</v>
      </c>
      <c r="P355" s="1">
        <v>260611287</v>
      </c>
      <c r="Q355" s="1">
        <v>174162396</v>
      </c>
      <c r="R355" s="1">
        <v>14.89</v>
      </c>
      <c r="S355" s="1">
        <v>1</v>
      </c>
      <c r="T355" s="1">
        <v>0</v>
      </c>
      <c r="U355" s="1">
        <v>90</v>
      </c>
      <c r="V355" s="1">
        <v>60003760</v>
      </c>
      <c r="W355" s="1">
        <v>32767</v>
      </c>
      <c r="X355" s="1">
        <v>0</v>
      </c>
      <c r="Z355" s="1">
        <v>2877744093</v>
      </c>
      <c r="AA355" s="1">
        <v>36</v>
      </c>
      <c r="AB355" s="1">
        <v>225436</v>
      </c>
      <c r="AC355" s="1">
        <v>225436</v>
      </c>
      <c r="AD355" s="16">
        <v>47.9</v>
      </c>
      <c r="AE355" s="1">
        <v>1</v>
      </c>
      <c r="AF355" s="1">
        <v>0</v>
      </c>
      <c r="AG355" s="1">
        <v>90</v>
      </c>
      <c r="AH355" s="1">
        <v>60013144</v>
      </c>
      <c r="AI355" s="1">
        <v>32767</v>
      </c>
      <c r="AJ355" s="1">
        <v>2</v>
      </c>
      <c r="CH355" s="1">
        <v>2336037438</v>
      </c>
      <c r="CI355" s="1">
        <v>29668</v>
      </c>
      <c r="CJ355" s="1">
        <v>20</v>
      </c>
      <c r="CK355" s="1">
        <v>20</v>
      </c>
      <c r="CL355" s="1">
        <v>0.01</v>
      </c>
      <c r="CM355" s="1">
        <v>1</v>
      </c>
      <c r="CN355" s="1">
        <v>1</v>
      </c>
      <c r="CO355" s="1">
        <v>90</v>
      </c>
      <c r="CP355" s="1">
        <v>60003760</v>
      </c>
      <c r="CQ355" s="1">
        <v>32767</v>
      </c>
      <c r="CR355" s="1">
        <v>0</v>
      </c>
    </row>
    <row r="356" spans="2:132" x14ac:dyDescent="0.25">
      <c r="B356" s="1">
        <v>2860339921</v>
      </c>
      <c r="C356" s="1">
        <v>34</v>
      </c>
      <c r="D356" s="1">
        <v>13541355</v>
      </c>
      <c r="E356" s="1">
        <v>12641355</v>
      </c>
      <c r="F356" s="1">
        <v>5.83</v>
      </c>
      <c r="G356" s="1">
        <v>1</v>
      </c>
      <c r="H356" s="1">
        <v>0</v>
      </c>
      <c r="I356" s="1">
        <v>90</v>
      </c>
      <c r="J356" s="1">
        <v>60000646</v>
      </c>
      <c r="K356" s="1">
        <v>32767</v>
      </c>
      <c r="L356" s="1">
        <v>7</v>
      </c>
      <c r="N356" s="1">
        <v>2878894544</v>
      </c>
      <c r="O356" s="1">
        <v>35</v>
      </c>
      <c r="P356" s="1">
        <v>57004683</v>
      </c>
      <c r="Q356" s="1">
        <v>4506154</v>
      </c>
      <c r="R356" s="1">
        <v>14.88</v>
      </c>
      <c r="S356" s="1">
        <v>1</v>
      </c>
      <c r="T356" s="1">
        <v>0</v>
      </c>
      <c r="U356" s="1">
        <v>90</v>
      </c>
      <c r="V356" s="1">
        <v>60003760</v>
      </c>
      <c r="W356" s="1">
        <v>32767</v>
      </c>
      <c r="X356" s="1">
        <v>0</v>
      </c>
      <c r="Z356" s="1">
        <v>2851172624</v>
      </c>
      <c r="AA356" s="1">
        <v>36</v>
      </c>
      <c r="AB356" s="1">
        <v>21402</v>
      </c>
      <c r="AC356" s="1">
        <v>21402</v>
      </c>
      <c r="AD356" s="16">
        <v>55</v>
      </c>
      <c r="AE356" s="1">
        <v>1</v>
      </c>
      <c r="AF356" s="1">
        <v>0</v>
      </c>
      <c r="AG356" s="1">
        <v>90</v>
      </c>
      <c r="AH356" s="1">
        <v>60003172</v>
      </c>
      <c r="AI356" s="1">
        <v>32767</v>
      </c>
      <c r="AJ356" s="1">
        <v>14</v>
      </c>
      <c r="CH356" s="1">
        <v>2337366470</v>
      </c>
      <c r="CI356" s="1">
        <v>29668</v>
      </c>
      <c r="CJ356" s="1">
        <v>100</v>
      </c>
      <c r="CK356" s="1">
        <v>100</v>
      </c>
      <c r="CL356" s="1">
        <v>449000</v>
      </c>
      <c r="CM356" s="1">
        <v>1</v>
      </c>
      <c r="CN356" s="1">
        <v>1</v>
      </c>
      <c r="CO356" s="1">
        <v>90</v>
      </c>
      <c r="CP356" s="1">
        <v>60003760</v>
      </c>
      <c r="CQ356" s="1">
        <v>40</v>
      </c>
      <c r="CR356" s="1">
        <v>0</v>
      </c>
    </row>
    <row r="357" spans="2:132" x14ac:dyDescent="0.25">
      <c r="B357" s="1">
        <v>2876326835</v>
      </c>
      <c r="C357" s="1">
        <v>34</v>
      </c>
      <c r="D357" s="1">
        <v>11032786</v>
      </c>
      <c r="E357" s="1">
        <v>11032786</v>
      </c>
      <c r="F357" s="1">
        <v>5.8</v>
      </c>
      <c r="G357" s="1">
        <v>1</v>
      </c>
      <c r="H357" s="1">
        <v>0</v>
      </c>
      <c r="I357" s="1">
        <v>7</v>
      </c>
      <c r="J357" s="1">
        <v>60000655</v>
      </c>
      <c r="K357" s="1">
        <v>32767</v>
      </c>
      <c r="L357" s="1">
        <v>7</v>
      </c>
      <c r="N357" s="1">
        <v>2878899638</v>
      </c>
      <c r="O357" s="1">
        <v>35</v>
      </c>
      <c r="P357" s="1">
        <v>1315293</v>
      </c>
      <c r="Q357" s="1">
        <v>1315293</v>
      </c>
      <c r="R357" s="1">
        <v>14.9</v>
      </c>
      <c r="S357" s="1">
        <v>1</v>
      </c>
      <c r="T357" s="1">
        <v>0</v>
      </c>
      <c r="U357" s="1">
        <v>90</v>
      </c>
      <c r="V357" s="1">
        <v>60003934</v>
      </c>
      <c r="W357" s="1">
        <v>32767</v>
      </c>
      <c r="X357" s="1">
        <v>3</v>
      </c>
      <c r="Z357" s="1">
        <v>2877061134</v>
      </c>
      <c r="AA357" s="1">
        <v>36</v>
      </c>
      <c r="AB357" s="1">
        <v>57491</v>
      </c>
      <c r="AC357" s="1">
        <v>57491</v>
      </c>
      <c r="AD357" s="16">
        <v>48</v>
      </c>
      <c r="AE357" s="1">
        <v>1</v>
      </c>
      <c r="AF357" s="1">
        <v>0</v>
      </c>
      <c r="AG357" s="1">
        <v>90</v>
      </c>
      <c r="AH357" s="1">
        <v>60003172</v>
      </c>
      <c r="AI357" s="1">
        <v>32767</v>
      </c>
      <c r="AJ357" s="1">
        <v>14</v>
      </c>
      <c r="CH357" s="1">
        <v>2335747903</v>
      </c>
      <c r="CI357" s="1">
        <v>29668</v>
      </c>
      <c r="CJ357" s="1">
        <v>1</v>
      </c>
      <c r="CK357" s="1">
        <v>1</v>
      </c>
      <c r="CL357" s="1">
        <v>440.99</v>
      </c>
      <c r="CM357" s="1">
        <v>1</v>
      </c>
      <c r="CN357" s="1">
        <v>1</v>
      </c>
      <c r="CO357" s="1">
        <v>90</v>
      </c>
      <c r="CP357" s="1">
        <v>60003760</v>
      </c>
      <c r="CQ357" s="1">
        <v>-1</v>
      </c>
      <c r="CR357" s="1">
        <v>0</v>
      </c>
    </row>
    <row r="358" spans="2:132" x14ac:dyDescent="0.25">
      <c r="B358" s="1">
        <v>2872860545</v>
      </c>
      <c r="C358" s="1">
        <v>34</v>
      </c>
      <c r="D358" s="1">
        <v>28379979</v>
      </c>
      <c r="E358" s="1">
        <v>28379979</v>
      </c>
      <c r="F358" s="1">
        <v>5.8</v>
      </c>
      <c r="G358" s="1">
        <v>1</v>
      </c>
      <c r="H358" s="1">
        <v>0</v>
      </c>
      <c r="I358" s="1">
        <v>90</v>
      </c>
      <c r="J358" s="1">
        <v>60004222</v>
      </c>
      <c r="K358" s="1">
        <v>32767</v>
      </c>
      <c r="L358" s="1">
        <v>3</v>
      </c>
      <c r="N358" s="1">
        <v>2878910864</v>
      </c>
      <c r="O358" s="1">
        <v>35</v>
      </c>
      <c r="P358" s="1">
        <v>2587569</v>
      </c>
      <c r="Q358" s="1">
        <v>2587569</v>
      </c>
      <c r="R358" s="1">
        <v>14.98</v>
      </c>
      <c r="S358" s="1">
        <v>1</v>
      </c>
      <c r="T358" s="1">
        <v>0</v>
      </c>
      <c r="U358" s="1">
        <v>90</v>
      </c>
      <c r="V358" s="1">
        <v>60003760</v>
      </c>
      <c r="W358" s="1">
        <v>32767</v>
      </c>
      <c r="X358" s="1">
        <v>0</v>
      </c>
      <c r="Z358" s="1">
        <v>2750585366</v>
      </c>
      <c r="AA358" s="1">
        <v>36</v>
      </c>
      <c r="AB358" s="1">
        <v>404901</v>
      </c>
      <c r="AC358" s="1">
        <v>321</v>
      </c>
      <c r="AD358" s="16">
        <v>61.99</v>
      </c>
      <c r="AE358" s="1">
        <v>1</v>
      </c>
      <c r="AF358" s="1">
        <v>0</v>
      </c>
      <c r="AG358" s="1">
        <v>90</v>
      </c>
      <c r="AH358" s="1">
        <v>60002377</v>
      </c>
      <c r="AI358" s="1">
        <v>32767</v>
      </c>
      <c r="AJ358" s="1">
        <v>4</v>
      </c>
      <c r="CH358" s="1">
        <v>2335694792</v>
      </c>
      <c r="CI358" s="1">
        <v>29668</v>
      </c>
      <c r="CJ358" s="1">
        <v>10</v>
      </c>
      <c r="CK358" s="1">
        <v>10</v>
      </c>
      <c r="CL358" s="1">
        <v>480000</v>
      </c>
      <c r="CM358" s="1">
        <v>1</v>
      </c>
      <c r="CN358" s="1">
        <v>1</v>
      </c>
      <c r="CO358" s="1">
        <v>90</v>
      </c>
      <c r="CP358" s="1">
        <v>60003760</v>
      </c>
      <c r="CQ358" s="1">
        <v>40</v>
      </c>
      <c r="CR358" s="1">
        <v>0</v>
      </c>
    </row>
    <row r="359" spans="2:132" x14ac:dyDescent="0.25">
      <c r="B359" s="1">
        <v>2868905843</v>
      </c>
      <c r="C359" s="1">
        <v>34</v>
      </c>
      <c r="D359" s="1">
        <v>4097264</v>
      </c>
      <c r="E359" s="1">
        <v>3599264</v>
      </c>
      <c r="F359" s="1">
        <v>5.95</v>
      </c>
      <c r="G359" s="1">
        <v>1</v>
      </c>
      <c r="H359" s="1">
        <v>0</v>
      </c>
      <c r="I359" s="1">
        <v>90</v>
      </c>
      <c r="J359" s="1">
        <v>60003934</v>
      </c>
      <c r="K359" s="1">
        <v>32767</v>
      </c>
      <c r="L359" s="1">
        <v>3</v>
      </c>
      <c r="N359" s="1">
        <v>2878946305</v>
      </c>
      <c r="O359" s="1">
        <v>35</v>
      </c>
      <c r="P359" s="1">
        <v>8181</v>
      </c>
      <c r="Q359" s="1">
        <v>8181</v>
      </c>
      <c r="R359" s="1">
        <v>25</v>
      </c>
      <c r="S359" s="1">
        <v>1</v>
      </c>
      <c r="T359" s="1">
        <v>0</v>
      </c>
      <c r="U359" s="1">
        <v>1</v>
      </c>
      <c r="V359" s="1">
        <v>60015027</v>
      </c>
      <c r="W359" s="1">
        <v>32767</v>
      </c>
      <c r="X359" s="1">
        <v>4</v>
      </c>
      <c r="Z359" s="1">
        <v>2756404945</v>
      </c>
      <c r="AA359" s="1">
        <v>36</v>
      </c>
      <c r="AB359" s="1">
        <v>774</v>
      </c>
      <c r="AC359" s="1">
        <v>744</v>
      </c>
      <c r="AD359" s="16">
        <v>56</v>
      </c>
      <c r="AE359" s="1">
        <v>1</v>
      </c>
      <c r="AF359" s="1">
        <v>0</v>
      </c>
      <c r="AG359" s="1">
        <v>90</v>
      </c>
      <c r="AH359" s="1">
        <v>60004378</v>
      </c>
      <c r="AI359" s="1">
        <v>32767</v>
      </c>
      <c r="AJ359" s="1">
        <v>4</v>
      </c>
      <c r="CH359" s="1">
        <v>2335708263</v>
      </c>
      <c r="CI359" s="1">
        <v>29668</v>
      </c>
      <c r="CJ359" s="1">
        <v>1</v>
      </c>
      <c r="CK359" s="1">
        <v>1</v>
      </c>
      <c r="CL359" s="1">
        <v>100</v>
      </c>
      <c r="CM359" s="1">
        <v>1</v>
      </c>
      <c r="CN359" s="1">
        <v>1</v>
      </c>
      <c r="CO359" s="1">
        <v>90</v>
      </c>
      <c r="CP359" s="1">
        <v>60003760</v>
      </c>
      <c r="CQ359" s="1">
        <v>-1</v>
      </c>
      <c r="CR359" s="1">
        <v>0</v>
      </c>
    </row>
    <row r="360" spans="2:132" x14ac:dyDescent="0.25">
      <c r="B360" s="1">
        <v>2836933456</v>
      </c>
      <c r="C360" s="1">
        <v>34</v>
      </c>
      <c r="D360" s="1">
        <v>177793</v>
      </c>
      <c r="E360" s="1">
        <v>177793</v>
      </c>
      <c r="F360" s="1">
        <v>12.94</v>
      </c>
      <c r="G360" s="1">
        <v>1</v>
      </c>
      <c r="H360" s="1">
        <v>0</v>
      </c>
      <c r="I360" s="1">
        <v>90</v>
      </c>
      <c r="J360" s="1">
        <v>60002431</v>
      </c>
      <c r="K360" s="1">
        <v>32767</v>
      </c>
      <c r="L360" s="1">
        <v>2</v>
      </c>
      <c r="N360" s="1">
        <v>2878953377</v>
      </c>
      <c r="O360" s="1">
        <v>35</v>
      </c>
      <c r="P360" s="1">
        <v>4646591</v>
      </c>
      <c r="Q360" s="1">
        <v>4646591</v>
      </c>
      <c r="R360" s="1">
        <v>14.85</v>
      </c>
      <c r="S360" s="1">
        <v>1</v>
      </c>
      <c r="T360" s="1">
        <v>0</v>
      </c>
      <c r="U360" s="1">
        <v>90</v>
      </c>
      <c r="V360" s="1">
        <v>60003760</v>
      </c>
      <c r="W360" s="1">
        <v>32767</v>
      </c>
      <c r="X360" s="1">
        <v>0</v>
      </c>
      <c r="Z360" s="1">
        <v>2829753961</v>
      </c>
      <c r="AA360" s="1">
        <v>36</v>
      </c>
      <c r="AB360" s="1">
        <v>12007</v>
      </c>
      <c r="AC360" s="1">
        <v>12007</v>
      </c>
      <c r="AD360" s="16">
        <v>50.66</v>
      </c>
      <c r="AE360" s="1">
        <v>1</v>
      </c>
      <c r="AF360" s="1">
        <v>0</v>
      </c>
      <c r="AG360" s="1">
        <v>90</v>
      </c>
      <c r="AH360" s="1">
        <v>60002374</v>
      </c>
      <c r="AI360" s="1">
        <v>32767</v>
      </c>
      <c r="AJ360" s="1">
        <v>4</v>
      </c>
      <c r="CH360" s="1">
        <v>2335708585</v>
      </c>
      <c r="CI360" s="1">
        <v>29668</v>
      </c>
      <c r="CJ360" s="1">
        <v>100</v>
      </c>
      <c r="CK360" s="1">
        <v>100</v>
      </c>
      <c r="CL360" s="1">
        <v>10000</v>
      </c>
      <c r="CM360" s="1">
        <v>1</v>
      </c>
      <c r="CN360" s="1">
        <v>1</v>
      </c>
      <c r="CO360" s="1">
        <v>90</v>
      </c>
      <c r="CP360" s="1">
        <v>60003760</v>
      </c>
      <c r="CQ360" s="1">
        <v>-1</v>
      </c>
      <c r="CR360" s="1">
        <v>0</v>
      </c>
    </row>
    <row r="361" spans="2:132" x14ac:dyDescent="0.25">
      <c r="B361" s="1">
        <v>2878255410</v>
      </c>
      <c r="C361" s="1">
        <v>34</v>
      </c>
      <c r="D361" s="1">
        <v>7150000</v>
      </c>
      <c r="E361" s="1">
        <v>7150000</v>
      </c>
      <c r="F361" s="1">
        <v>7</v>
      </c>
      <c r="G361" s="1">
        <v>1</v>
      </c>
      <c r="H361" s="1">
        <v>0</v>
      </c>
      <c r="I361" s="1">
        <v>90</v>
      </c>
      <c r="J361" s="1">
        <v>60004219</v>
      </c>
      <c r="K361" s="1">
        <v>32767</v>
      </c>
      <c r="L361" s="1">
        <v>2</v>
      </c>
      <c r="N361" s="1">
        <v>2878969215</v>
      </c>
      <c r="O361" s="1">
        <v>35</v>
      </c>
      <c r="P361" s="1">
        <v>60081578</v>
      </c>
      <c r="Q361" s="1">
        <v>47615780</v>
      </c>
      <c r="R361" s="1">
        <v>14.84</v>
      </c>
      <c r="S361" s="1">
        <v>1</v>
      </c>
      <c r="T361" s="1">
        <v>0</v>
      </c>
      <c r="U361" s="1">
        <v>90</v>
      </c>
      <c r="V361" s="1">
        <v>60003760</v>
      </c>
      <c r="W361" s="1">
        <v>32767</v>
      </c>
      <c r="X361" s="1">
        <v>0</v>
      </c>
      <c r="Z361" s="1">
        <v>2829751705</v>
      </c>
      <c r="AA361" s="1">
        <v>36</v>
      </c>
      <c r="AB361" s="1">
        <v>170099</v>
      </c>
      <c r="AC361" s="1">
        <v>170099</v>
      </c>
      <c r="AD361" s="16">
        <v>50.66</v>
      </c>
      <c r="AE361" s="1">
        <v>1</v>
      </c>
      <c r="AF361" s="1">
        <v>0</v>
      </c>
      <c r="AG361" s="1">
        <v>90</v>
      </c>
      <c r="AH361" s="1">
        <v>60002374</v>
      </c>
      <c r="AI361" s="1">
        <v>32767</v>
      </c>
      <c r="AJ361" s="1">
        <v>4</v>
      </c>
      <c r="CH361" s="1">
        <v>2331297849</v>
      </c>
      <c r="CI361" s="1">
        <v>29668</v>
      </c>
      <c r="CJ361" s="1">
        <v>2</v>
      </c>
      <c r="CK361" s="1">
        <v>2</v>
      </c>
      <c r="CL361" s="1">
        <v>375000000</v>
      </c>
      <c r="CM361" s="1">
        <v>1</v>
      </c>
      <c r="CN361" s="1">
        <v>1</v>
      </c>
      <c r="CO361" s="1">
        <v>90</v>
      </c>
      <c r="CP361" s="1">
        <v>60003760</v>
      </c>
      <c r="CQ361" s="1">
        <v>-1</v>
      </c>
      <c r="CR361" s="1">
        <v>0</v>
      </c>
    </row>
    <row r="362" spans="2:132" x14ac:dyDescent="0.25">
      <c r="B362" s="1">
        <v>2878235489</v>
      </c>
      <c r="C362" s="1">
        <v>34</v>
      </c>
      <c r="D362" s="1">
        <v>2712926</v>
      </c>
      <c r="E362" s="1">
        <v>2712926</v>
      </c>
      <c r="F362" s="1">
        <v>7</v>
      </c>
      <c r="G362" s="1">
        <v>1</v>
      </c>
      <c r="H362" s="1">
        <v>0</v>
      </c>
      <c r="I362" s="1">
        <v>90</v>
      </c>
      <c r="J362" s="1">
        <v>60004219</v>
      </c>
      <c r="K362" s="1">
        <v>32767</v>
      </c>
      <c r="L362" s="1">
        <v>2</v>
      </c>
      <c r="N362" s="1">
        <v>2878978843</v>
      </c>
      <c r="O362" s="1">
        <v>35</v>
      </c>
      <c r="P362" s="1">
        <v>16920082</v>
      </c>
      <c r="Q362" s="1">
        <v>16920082</v>
      </c>
      <c r="R362" s="1">
        <v>15.01</v>
      </c>
      <c r="S362" s="1">
        <v>1</v>
      </c>
      <c r="T362" s="1">
        <v>0</v>
      </c>
      <c r="U362" s="1">
        <v>30</v>
      </c>
      <c r="V362" s="1">
        <v>60003760</v>
      </c>
      <c r="W362" s="1">
        <v>32767</v>
      </c>
      <c r="X362" s="1">
        <v>0</v>
      </c>
      <c r="Z362" s="1">
        <v>2843347189</v>
      </c>
      <c r="AA362" s="1">
        <v>36</v>
      </c>
      <c r="AB362" s="1">
        <v>67356</v>
      </c>
      <c r="AC362" s="1">
        <v>67356</v>
      </c>
      <c r="AD362" s="16">
        <v>51</v>
      </c>
      <c r="AE362" s="1">
        <v>1</v>
      </c>
      <c r="AF362" s="1">
        <v>0</v>
      </c>
      <c r="AG362" s="1">
        <v>90</v>
      </c>
      <c r="AH362" s="1">
        <v>60000499</v>
      </c>
      <c r="AI362" s="1">
        <v>32767</v>
      </c>
      <c r="AJ362" s="1">
        <v>4</v>
      </c>
      <c r="CH362" s="1">
        <v>2331313807</v>
      </c>
      <c r="CI362" s="1">
        <v>29668</v>
      </c>
      <c r="CJ362" s="1">
        <v>1</v>
      </c>
      <c r="CK362" s="1">
        <v>1</v>
      </c>
      <c r="CL362" s="1">
        <v>1000000</v>
      </c>
      <c r="CM362" s="1">
        <v>1</v>
      </c>
      <c r="CN362" s="1">
        <v>1</v>
      </c>
      <c r="CO362" s="1">
        <v>90</v>
      </c>
      <c r="CP362" s="1">
        <v>60003760</v>
      </c>
      <c r="CQ362" s="1">
        <v>40</v>
      </c>
      <c r="CR362" s="1">
        <v>0</v>
      </c>
    </row>
    <row r="363" spans="2:132" x14ac:dyDescent="0.25">
      <c r="B363" s="1">
        <v>2878276333</v>
      </c>
      <c r="C363" s="1">
        <v>34</v>
      </c>
      <c r="D363" s="1">
        <v>4000000</v>
      </c>
      <c r="E363" s="1">
        <v>4000000</v>
      </c>
      <c r="F363" s="1">
        <v>7</v>
      </c>
      <c r="G363" s="1">
        <v>1</v>
      </c>
      <c r="H363" s="1">
        <v>0</v>
      </c>
      <c r="I363" s="1">
        <v>90</v>
      </c>
      <c r="J363" s="1">
        <v>60004219</v>
      </c>
      <c r="K363" s="1">
        <v>32767</v>
      </c>
      <c r="L363" s="1">
        <v>2</v>
      </c>
      <c r="N363" s="1">
        <v>2878980181</v>
      </c>
      <c r="O363" s="1">
        <v>35</v>
      </c>
      <c r="P363" s="1">
        <v>2398463</v>
      </c>
      <c r="Q363" s="1">
        <v>2398463</v>
      </c>
      <c r="R363" s="1">
        <v>14.82</v>
      </c>
      <c r="S363" s="1">
        <v>1</v>
      </c>
      <c r="T363" s="1">
        <v>0</v>
      </c>
      <c r="U363" s="1">
        <v>7</v>
      </c>
      <c r="V363" s="1">
        <v>60003760</v>
      </c>
      <c r="W363" s="1">
        <v>32767</v>
      </c>
      <c r="X363" s="1">
        <v>0</v>
      </c>
      <c r="Z363" s="1">
        <v>2856763334</v>
      </c>
      <c r="AA363" s="1">
        <v>36</v>
      </c>
      <c r="AB363" s="1">
        <v>104830</v>
      </c>
      <c r="AC363" s="1">
        <v>104830</v>
      </c>
      <c r="AD363" s="16">
        <v>47.5</v>
      </c>
      <c r="AE363" s="1">
        <v>1</v>
      </c>
      <c r="AF363" s="1">
        <v>0</v>
      </c>
      <c r="AG363" s="1">
        <v>90</v>
      </c>
      <c r="AH363" s="1">
        <v>60000499</v>
      </c>
      <c r="AI363" s="1">
        <v>32767</v>
      </c>
      <c r="AJ363" s="1">
        <v>4</v>
      </c>
      <c r="CH363" s="1">
        <v>2331564118</v>
      </c>
      <c r="CI363" s="1">
        <v>29668</v>
      </c>
      <c r="CJ363" s="1">
        <v>3</v>
      </c>
      <c r="CK363" s="1">
        <v>3</v>
      </c>
      <c r="CL363" s="1">
        <v>396000001</v>
      </c>
      <c r="CM363" s="1">
        <v>1</v>
      </c>
      <c r="CN363" s="1">
        <v>1</v>
      </c>
      <c r="CO363" s="1">
        <v>90</v>
      </c>
      <c r="CP363" s="1">
        <v>60003760</v>
      </c>
      <c r="CQ363" s="1">
        <v>-1</v>
      </c>
      <c r="CR363" s="1">
        <v>0</v>
      </c>
    </row>
    <row r="364" spans="2:132" x14ac:dyDescent="0.25">
      <c r="B364" s="1">
        <v>2878276063</v>
      </c>
      <c r="C364" s="1">
        <v>34</v>
      </c>
      <c r="D364" s="1">
        <v>3150000</v>
      </c>
      <c r="E364" s="1">
        <v>3150000</v>
      </c>
      <c r="F364" s="1">
        <v>7</v>
      </c>
      <c r="G364" s="1">
        <v>1</v>
      </c>
      <c r="H364" s="1">
        <v>0</v>
      </c>
      <c r="I364" s="1">
        <v>90</v>
      </c>
      <c r="J364" s="1">
        <v>60004219</v>
      </c>
      <c r="K364" s="1">
        <v>32767</v>
      </c>
      <c r="L364" s="1">
        <v>2</v>
      </c>
      <c r="N364" s="1">
        <v>2877740536</v>
      </c>
      <c r="O364" s="1">
        <v>35</v>
      </c>
      <c r="P364" s="1">
        <v>62610610</v>
      </c>
      <c r="Q364" s="1">
        <v>59967910</v>
      </c>
      <c r="R364" s="1">
        <v>14.8</v>
      </c>
      <c r="S364" s="1">
        <v>1</v>
      </c>
      <c r="T364" s="1">
        <v>0</v>
      </c>
      <c r="U364" s="1">
        <v>90</v>
      </c>
      <c r="V364" s="1">
        <v>60003757</v>
      </c>
      <c r="W364" s="1">
        <v>32767</v>
      </c>
      <c r="X364" s="1">
        <v>0</v>
      </c>
      <c r="Z364" s="1">
        <v>2877062804</v>
      </c>
      <c r="AA364" s="1">
        <v>36</v>
      </c>
      <c r="AB364" s="1">
        <v>24123</v>
      </c>
      <c r="AC364" s="1">
        <v>24123</v>
      </c>
      <c r="AD364" s="16">
        <v>48</v>
      </c>
      <c r="AE364" s="1">
        <v>1</v>
      </c>
      <c r="AF364" s="1">
        <v>0</v>
      </c>
      <c r="AG364" s="1">
        <v>90</v>
      </c>
      <c r="AH364" s="1">
        <v>60004378</v>
      </c>
      <c r="AI364" s="1">
        <v>32767</v>
      </c>
      <c r="AJ364" s="1">
        <v>4</v>
      </c>
      <c r="CH364" s="1">
        <v>2332998618</v>
      </c>
      <c r="CI364" s="1">
        <v>29668</v>
      </c>
      <c r="CJ364" s="1">
        <v>1</v>
      </c>
      <c r="CK364" s="1">
        <v>1</v>
      </c>
      <c r="CL364" s="1">
        <v>0.01</v>
      </c>
      <c r="CM364" s="1">
        <v>1</v>
      </c>
      <c r="CN364" s="1">
        <v>1</v>
      </c>
      <c r="CO364" s="1">
        <v>90</v>
      </c>
      <c r="CP364" s="1">
        <v>60003760</v>
      </c>
      <c r="CQ364" s="1">
        <v>40</v>
      </c>
      <c r="CR364" s="1">
        <v>0</v>
      </c>
    </row>
    <row r="365" spans="2:132" x14ac:dyDescent="0.25">
      <c r="B365" s="1">
        <v>2853046762</v>
      </c>
      <c r="C365" s="1">
        <v>34</v>
      </c>
      <c r="D365" s="1">
        <v>100348666</v>
      </c>
      <c r="E365" s="1">
        <v>71900900</v>
      </c>
      <c r="F365" s="1">
        <v>5.95</v>
      </c>
      <c r="G365" s="1">
        <v>1</v>
      </c>
      <c r="H365" s="1">
        <v>0</v>
      </c>
      <c r="I365" s="1">
        <v>90</v>
      </c>
      <c r="J365" s="1">
        <v>60003037</v>
      </c>
      <c r="K365" s="1">
        <v>32767</v>
      </c>
      <c r="L365" s="1">
        <v>3</v>
      </c>
      <c r="N365" s="1">
        <v>2879002838</v>
      </c>
      <c r="O365" s="1">
        <v>35</v>
      </c>
      <c r="P365" s="1">
        <v>156129568</v>
      </c>
      <c r="Q365" s="1">
        <v>156129568</v>
      </c>
      <c r="R365" s="1">
        <v>15</v>
      </c>
      <c r="S365" s="1">
        <v>1</v>
      </c>
      <c r="T365" s="1">
        <v>0</v>
      </c>
      <c r="U365" s="1">
        <v>90</v>
      </c>
      <c r="V365" s="1">
        <v>60003757</v>
      </c>
      <c r="W365" s="1">
        <v>32767</v>
      </c>
      <c r="X365" s="1">
        <v>0</v>
      </c>
      <c r="Z365" s="1">
        <v>2877062979</v>
      </c>
      <c r="AA365" s="1">
        <v>36</v>
      </c>
      <c r="AB365" s="1">
        <v>51</v>
      </c>
      <c r="AC365" s="1">
        <v>51</v>
      </c>
      <c r="AD365" s="16">
        <v>48</v>
      </c>
      <c r="AE365" s="1">
        <v>1</v>
      </c>
      <c r="AF365" s="1">
        <v>0</v>
      </c>
      <c r="AG365" s="1">
        <v>90</v>
      </c>
      <c r="AH365" s="1">
        <v>60000499</v>
      </c>
      <c r="AI365" s="1">
        <v>32767</v>
      </c>
      <c r="AJ365" s="1">
        <v>4</v>
      </c>
      <c r="CH365" s="1">
        <v>2334190726</v>
      </c>
      <c r="CI365" s="1">
        <v>29668</v>
      </c>
      <c r="CJ365" s="1">
        <v>1</v>
      </c>
      <c r="CK365" s="1">
        <v>1</v>
      </c>
      <c r="CL365" s="1">
        <v>0.02</v>
      </c>
      <c r="CM365" s="1">
        <v>1</v>
      </c>
      <c r="CN365" s="1">
        <v>1</v>
      </c>
      <c r="CO365" s="1">
        <v>90</v>
      </c>
      <c r="CP365" s="1">
        <v>60003760</v>
      </c>
      <c r="CQ365" s="1">
        <v>-1</v>
      </c>
      <c r="CR365" s="1">
        <v>0</v>
      </c>
    </row>
    <row r="366" spans="2:132" x14ac:dyDescent="0.25">
      <c r="B366" s="1">
        <v>2857623584</v>
      </c>
      <c r="C366" s="1">
        <v>34</v>
      </c>
      <c r="D366" s="1">
        <v>517716</v>
      </c>
      <c r="E366" s="1">
        <v>517716</v>
      </c>
      <c r="F366" s="1">
        <v>5.9</v>
      </c>
      <c r="G366" s="1">
        <v>1</v>
      </c>
      <c r="H366" s="1">
        <v>0</v>
      </c>
      <c r="I366" s="1">
        <v>90</v>
      </c>
      <c r="J366" s="1">
        <v>60003034</v>
      </c>
      <c r="K366" s="1">
        <v>32767</v>
      </c>
      <c r="L366" s="1">
        <v>3</v>
      </c>
      <c r="N366" s="1">
        <v>2879012950</v>
      </c>
      <c r="O366" s="1">
        <v>35</v>
      </c>
      <c r="P366" s="1">
        <v>141247470</v>
      </c>
      <c r="Q366" s="1">
        <v>141247470</v>
      </c>
      <c r="R366" s="1">
        <v>14.88</v>
      </c>
      <c r="S366" s="1">
        <v>1</v>
      </c>
      <c r="T366" s="1">
        <v>0</v>
      </c>
      <c r="U366" s="1">
        <v>90</v>
      </c>
      <c r="V366" s="1">
        <v>60003760</v>
      </c>
      <c r="W366" s="1">
        <v>32767</v>
      </c>
      <c r="X366" s="1">
        <v>0</v>
      </c>
      <c r="Z366" s="1">
        <v>2877062491</v>
      </c>
      <c r="AA366" s="1">
        <v>36</v>
      </c>
      <c r="AB366" s="1">
        <v>4093</v>
      </c>
      <c r="AC366" s="1">
        <v>4093</v>
      </c>
      <c r="AD366" s="16">
        <v>48</v>
      </c>
      <c r="AE366" s="1">
        <v>1</v>
      </c>
      <c r="AF366" s="1">
        <v>0</v>
      </c>
      <c r="AG366" s="1">
        <v>90</v>
      </c>
      <c r="AH366" s="1">
        <v>60002374</v>
      </c>
      <c r="AI366" s="1">
        <v>32767</v>
      </c>
      <c r="AJ366" s="1">
        <v>4</v>
      </c>
      <c r="CH366" s="1">
        <v>2334190837</v>
      </c>
      <c r="CI366" s="1">
        <v>29668</v>
      </c>
      <c r="CJ366" s="1">
        <v>1</v>
      </c>
      <c r="CK366" s="1">
        <v>1</v>
      </c>
      <c r="CL366" s="1">
        <v>0.01</v>
      </c>
      <c r="CM366" s="1">
        <v>1</v>
      </c>
      <c r="CN366" s="1">
        <v>1</v>
      </c>
      <c r="CO366" s="1">
        <v>90</v>
      </c>
      <c r="CP366" s="1">
        <v>60003760</v>
      </c>
      <c r="CQ366" s="1">
        <v>-1</v>
      </c>
      <c r="CR366" s="1">
        <v>0</v>
      </c>
    </row>
    <row r="367" spans="2:132" x14ac:dyDescent="0.25">
      <c r="B367" s="1">
        <v>2874113189</v>
      </c>
      <c r="C367" s="1">
        <v>34</v>
      </c>
      <c r="D367" s="1">
        <v>5728831</v>
      </c>
      <c r="E367" s="1">
        <v>312956</v>
      </c>
      <c r="F367" s="1">
        <v>5.58</v>
      </c>
      <c r="G367" s="1">
        <v>1</v>
      </c>
      <c r="H367" s="1">
        <v>0</v>
      </c>
      <c r="I367" s="1">
        <v>7</v>
      </c>
      <c r="J367" s="1">
        <v>60003034</v>
      </c>
      <c r="K367" s="1">
        <v>32767</v>
      </c>
      <c r="L367" s="1">
        <v>3</v>
      </c>
      <c r="N367" s="1">
        <v>2879020635</v>
      </c>
      <c r="O367" s="1">
        <v>35</v>
      </c>
      <c r="P367" s="1">
        <v>4845967</v>
      </c>
      <c r="Q367" s="1">
        <v>3102810</v>
      </c>
      <c r="R367" s="1">
        <v>14.77</v>
      </c>
      <c r="S367" s="1">
        <v>1</v>
      </c>
      <c r="T367" s="1">
        <v>0</v>
      </c>
      <c r="U367" s="1">
        <v>1</v>
      </c>
      <c r="V367" s="1">
        <v>60003760</v>
      </c>
      <c r="W367" s="1">
        <v>32767</v>
      </c>
      <c r="X367" s="1">
        <v>0</v>
      </c>
      <c r="Z367" s="1">
        <v>2843346974</v>
      </c>
      <c r="AA367" s="1">
        <v>36</v>
      </c>
      <c r="AB367" s="1">
        <v>81535</v>
      </c>
      <c r="AC367" s="1">
        <v>81535</v>
      </c>
      <c r="AD367" s="16">
        <v>51</v>
      </c>
      <c r="AE367" s="1">
        <v>1</v>
      </c>
      <c r="AF367" s="1">
        <v>0</v>
      </c>
      <c r="AG367" s="1">
        <v>90</v>
      </c>
      <c r="AH367" s="1">
        <v>60000487</v>
      </c>
      <c r="AI367" s="1">
        <v>32767</v>
      </c>
      <c r="AJ367" s="1">
        <v>4</v>
      </c>
      <c r="CH367" s="1">
        <v>2334191513</v>
      </c>
      <c r="CI367" s="1">
        <v>29668</v>
      </c>
      <c r="CJ367" s="1">
        <v>1</v>
      </c>
      <c r="CK367" s="1">
        <v>1</v>
      </c>
      <c r="CL367" s="1">
        <v>0.01</v>
      </c>
      <c r="CM367" s="1">
        <v>1</v>
      </c>
      <c r="CN367" s="1">
        <v>1</v>
      </c>
      <c r="CO367" s="1">
        <v>90</v>
      </c>
      <c r="CP367" s="1">
        <v>60003760</v>
      </c>
      <c r="CQ367" s="1">
        <v>-1</v>
      </c>
      <c r="CR367" s="1">
        <v>0</v>
      </c>
    </row>
    <row r="368" spans="2:132" x14ac:dyDescent="0.25">
      <c r="B368" s="1">
        <v>2876904966</v>
      </c>
      <c r="C368" s="1">
        <v>34</v>
      </c>
      <c r="D368" s="1">
        <v>2635371</v>
      </c>
      <c r="E368" s="1">
        <v>2635371</v>
      </c>
      <c r="F368" s="1">
        <v>5.57</v>
      </c>
      <c r="G368" s="1">
        <v>1</v>
      </c>
      <c r="H368" s="1">
        <v>0</v>
      </c>
      <c r="I368" s="1">
        <v>30</v>
      </c>
      <c r="J368" s="1">
        <v>60003034</v>
      </c>
      <c r="K368" s="1">
        <v>32767</v>
      </c>
      <c r="L368" s="1">
        <v>3</v>
      </c>
      <c r="N368" s="1">
        <v>2879061231</v>
      </c>
      <c r="O368" s="1">
        <v>35</v>
      </c>
      <c r="P368" s="1">
        <v>21902652</v>
      </c>
      <c r="Q368" s="1">
        <v>18638180</v>
      </c>
      <c r="R368" s="1">
        <v>14.76</v>
      </c>
      <c r="S368" s="1">
        <v>1</v>
      </c>
      <c r="T368" s="1">
        <v>0</v>
      </c>
      <c r="U368" s="1">
        <v>90</v>
      </c>
      <c r="V368" s="1">
        <v>60003760</v>
      </c>
      <c r="W368" s="1">
        <v>32767</v>
      </c>
      <c r="X368" s="1">
        <v>0</v>
      </c>
      <c r="Z368" s="1">
        <v>2871084573</v>
      </c>
      <c r="AA368" s="1">
        <v>36</v>
      </c>
      <c r="AB368" s="1">
        <v>51206</v>
      </c>
      <c r="AC368" s="1">
        <v>51206</v>
      </c>
      <c r="AD368" s="16">
        <v>49</v>
      </c>
      <c r="AE368" s="1">
        <v>1</v>
      </c>
      <c r="AF368" s="1">
        <v>0</v>
      </c>
      <c r="AG368" s="1">
        <v>7</v>
      </c>
      <c r="AH368" s="1">
        <v>60015026</v>
      </c>
      <c r="AI368" s="1">
        <v>32767</v>
      </c>
      <c r="AJ368" s="1">
        <v>12</v>
      </c>
      <c r="CH368" s="1">
        <v>2334191556</v>
      </c>
      <c r="CI368" s="1">
        <v>29668</v>
      </c>
      <c r="CJ368" s="1">
        <v>1</v>
      </c>
      <c r="CK368" s="1">
        <v>1</v>
      </c>
      <c r="CL368" s="1">
        <v>0.01</v>
      </c>
      <c r="CM368" s="1">
        <v>1</v>
      </c>
      <c r="CN368" s="1">
        <v>1</v>
      </c>
      <c r="CO368" s="1">
        <v>90</v>
      </c>
      <c r="CP368" s="1">
        <v>60003760</v>
      </c>
      <c r="CQ368" s="1">
        <v>-1</v>
      </c>
      <c r="CR368" s="1">
        <v>0</v>
      </c>
    </row>
    <row r="369" spans="2:96" x14ac:dyDescent="0.25">
      <c r="B369" s="1">
        <v>2878339714</v>
      </c>
      <c r="C369" s="1">
        <v>34</v>
      </c>
      <c r="D369" s="1">
        <v>52370</v>
      </c>
      <c r="E369" s="1">
        <v>52370</v>
      </c>
      <c r="F369" s="1">
        <v>5.6</v>
      </c>
      <c r="G369" s="1">
        <v>1</v>
      </c>
      <c r="H369" s="1">
        <v>0</v>
      </c>
      <c r="I369" s="1">
        <v>1</v>
      </c>
      <c r="J369" s="1">
        <v>60002434</v>
      </c>
      <c r="K369" s="1">
        <v>32767</v>
      </c>
      <c r="L369" s="1">
        <v>3</v>
      </c>
      <c r="N369" s="1">
        <v>2878948451</v>
      </c>
      <c r="O369" s="1">
        <v>35</v>
      </c>
      <c r="P369" s="1">
        <v>224297</v>
      </c>
      <c r="Q369" s="1">
        <v>224297</v>
      </c>
      <c r="R369" s="1">
        <v>14.76</v>
      </c>
      <c r="S369" s="1">
        <v>1</v>
      </c>
      <c r="T369" s="1">
        <v>0</v>
      </c>
      <c r="U369" s="1">
        <v>90</v>
      </c>
      <c r="V369" s="1">
        <v>60003760</v>
      </c>
      <c r="W369" s="1">
        <v>32767</v>
      </c>
      <c r="X369" s="1">
        <v>0</v>
      </c>
      <c r="Z369" s="1">
        <v>2871086254</v>
      </c>
      <c r="AA369" s="1">
        <v>36</v>
      </c>
      <c r="AB369" s="1">
        <v>23695</v>
      </c>
      <c r="AC369" s="1">
        <v>15915</v>
      </c>
      <c r="AD369" s="16">
        <v>48.31</v>
      </c>
      <c r="AE369" s="1">
        <v>1</v>
      </c>
      <c r="AF369" s="1">
        <v>0</v>
      </c>
      <c r="AG369" s="1">
        <v>7</v>
      </c>
      <c r="AH369" s="1">
        <v>60015026</v>
      </c>
      <c r="AI369" s="1">
        <v>32767</v>
      </c>
      <c r="AJ369" s="1">
        <v>12</v>
      </c>
      <c r="CH369" s="1">
        <v>2342418975</v>
      </c>
      <c r="CI369" s="1">
        <v>29668</v>
      </c>
      <c r="CJ369" s="1">
        <v>10</v>
      </c>
      <c r="CK369" s="1">
        <v>10</v>
      </c>
      <c r="CL369" s="1">
        <v>44000</v>
      </c>
      <c r="CM369" s="1">
        <v>1</v>
      </c>
      <c r="CN369" s="1">
        <v>1</v>
      </c>
      <c r="CO369" s="1">
        <v>90</v>
      </c>
      <c r="CP369" s="1">
        <v>60003760</v>
      </c>
      <c r="CQ369" s="1">
        <v>40</v>
      </c>
      <c r="CR369" s="1">
        <v>0</v>
      </c>
    </row>
    <row r="370" spans="2:96" x14ac:dyDescent="0.25">
      <c r="B370" s="1">
        <v>2826542386</v>
      </c>
      <c r="C370" s="1">
        <v>34</v>
      </c>
      <c r="D370" s="1">
        <v>1941637</v>
      </c>
      <c r="E370" s="1">
        <v>1941637</v>
      </c>
      <c r="F370" s="1">
        <v>5.92</v>
      </c>
      <c r="G370" s="1">
        <v>1</v>
      </c>
      <c r="H370" s="1">
        <v>0</v>
      </c>
      <c r="I370" s="1">
        <v>90</v>
      </c>
      <c r="J370" s="1">
        <v>60004075</v>
      </c>
      <c r="K370" s="1">
        <v>32767</v>
      </c>
      <c r="L370" s="1">
        <v>8</v>
      </c>
      <c r="N370" s="1">
        <v>2878785321</v>
      </c>
      <c r="O370" s="1">
        <v>35</v>
      </c>
      <c r="P370" s="1">
        <v>664413</v>
      </c>
      <c r="Q370" s="1">
        <v>664413</v>
      </c>
      <c r="R370" s="1">
        <v>14.76</v>
      </c>
      <c r="S370" s="1">
        <v>1</v>
      </c>
      <c r="T370" s="1">
        <v>0</v>
      </c>
      <c r="U370" s="1">
        <v>90</v>
      </c>
      <c r="V370" s="1">
        <v>60003760</v>
      </c>
      <c r="W370" s="1">
        <v>32767</v>
      </c>
      <c r="X370" s="1">
        <v>0</v>
      </c>
      <c r="Z370" s="1">
        <v>2758859904</v>
      </c>
      <c r="AA370" s="1">
        <v>36</v>
      </c>
      <c r="AB370" s="1">
        <v>50000</v>
      </c>
      <c r="AC370" s="1">
        <v>50000</v>
      </c>
      <c r="AD370" s="16">
        <v>278.95</v>
      </c>
      <c r="AE370" s="1">
        <v>1</v>
      </c>
      <c r="AF370" s="1">
        <v>0</v>
      </c>
      <c r="AG370" s="1">
        <v>90</v>
      </c>
      <c r="AH370" s="1">
        <v>60015027</v>
      </c>
      <c r="AI370" s="1">
        <v>32767</v>
      </c>
      <c r="AJ370" s="1">
        <v>13</v>
      </c>
      <c r="CH370" s="1">
        <v>2342419818</v>
      </c>
      <c r="CI370" s="1">
        <v>29668</v>
      </c>
      <c r="CJ370" s="1">
        <v>10000</v>
      </c>
      <c r="CK370" s="1">
        <v>10000</v>
      </c>
      <c r="CL370" s="1">
        <v>0.1</v>
      </c>
      <c r="CM370" s="1">
        <v>1</v>
      </c>
      <c r="CN370" s="1">
        <v>1</v>
      </c>
      <c r="CO370" s="1">
        <v>90</v>
      </c>
      <c r="CP370" s="1">
        <v>60003760</v>
      </c>
      <c r="CQ370" s="1">
        <v>40</v>
      </c>
      <c r="CR370" s="1">
        <v>0</v>
      </c>
    </row>
    <row r="371" spans="2:96" x14ac:dyDescent="0.25">
      <c r="B371" s="1">
        <v>2827647019</v>
      </c>
      <c r="C371" s="1">
        <v>34</v>
      </c>
      <c r="D371" s="1">
        <v>7866168</v>
      </c>
      <c r="E371" s="1">
        <v>7866168</v>
      </c>
      <c r="F371" s="1">
        <v>5.95</v>
      </c>
      <c r="G371" s="1">
        <v>1</v>
      </c>
      <c r="H371" s="1">
        <v>0</v>
      </c>
      <c r="I371" s="1">
        <v>90</v>
      </c>
      <c r="J371" s="1">
        <v>60004075</v>
      </c>
      <c r="K371" s="1">
        <v>32767</v>
      </c>
      <c r="L371" s="1">
        <v>8</v>
      </c>
      <c r="N371" s="1">
        <v>2879097373</v>
      </c>
      <c r="O371" s="1">
        <v>35</v>
      </c>
      <c r="P371" s="1">
        <v>12986509</v>
      </c>
      <c r="Q371" s="1">
        <v>5310875</v>
      </c>
      <c r="R371" s="1">
        <v>14.75</v>
      </c>
      <c r="S371" s="1">
        <v>1</v>
      </c>
      <c r="T371" s="1">
        <v>0</v>
      </c>
      <c r="U371" s="1">
        <v>90</v>
      </c>
      <c r="V371" s="1">
        <v>60003760</v>
      </c>
      <c r="W371" s="1">
        <v>32767</v>
      </c>
      <c r="X371" s="1">
        <v>0</v>
      </c>
      <c r="Z371" s="1">
        <v>2758646535</v>
      </c>
      <c r="AA371" s="1">
        <v>36</v>
      </c>
      <c r="AB371" s="1">
        <v>3993160</v>
      </c>
      <c r="AC371" s="1">
        <v>3793381</v>
      </c>
      <c r="AD371" s="16">
        <v>55.79</v>
      </c>
      <c r="AE371" s="1">
        <v>1</v>
      </c>
      <c r="AF371" s="1">
        <v>0</v>
      </c>
      <c r="AG371" s="1">
        <v>90</v>
      </c>
      <c r="AH371" s="1">
        <v>60015027</v>
      </c>
      <c r="AI371" s="1">
        <v>32767</v>
      </c>
      <c r="AJ371" s="1">
        <v>13</v>
      </c>
      <c r="CH371" s="1">
        <v>2340425138</v>
      </c>
      <c r="CI371" s="1">
        <v>29668</v>
      </c>
      <c r="CJ371" s="1">
        <v>100</v>
      </c>
      <c r="CK371" s="1">
        <v>100</v>
      </c>
      <c r="CL371" s="1">
        <v>461</v>
      </c>
      <c r="CM371" s="1">
        <v>1</v>
      </c>
      <c r="CN371" s="1">
        <v>1</v>
      </c>
      <c r="CO371" s="1">
        <v>90</v>
      </c>
      <c r="CP371" s="1">
        <v>60003760</v>
      </c>
      <c r="CQ371" s="1">
        <v>40</v>
      </c>
      <c r="CR371" s="1">
        <v>0</v>
      </c>
    </row>
    <row r="372" spans="2:96" x14ac:dyDescent="0.25">
      <c r="B372" s="1">
        <v>2768228713</v>
      </c>
      <c r="C372" s="1">
        <v>34</v>
      </c>
      <c r="D372" s="1">
        <v>6827723</v>
      </c>
      <c r="E372" s="1">
        <v>2533827</v>
      </c>
      <c r="F372" s="1">
        <v>11.99</v>
      </c>
      <c r="G372" s="1">
        <v>1</v>
      </c>
      <c r="H372" s="1">
        <v>0</v>
      </c>
      <c r="I372" s="1">
        <v>90</v>
      </c>
      <c r="J372" s="1">
        <v>60010195</v>
      </c>
      <c r="K372" s="1">
        <v>32767</v>
      </c>
      <c r="L372" s="1">
        <v>8</v>
      </c>
      <c r="N372" s="1">
        <v>2861711186</v>
      </c>
      <c r="O372" s="1">
        <v>35</v>
      </c>
      <c r="P372" s="1">
        <v>8668837</v>
      </c>
      <c r="Q372" s="1">
        <v>8668837</v>
      </c>
      <c r="R372" s="1">
        <v>14.75</v>
      </c>
      <c r="S372" s="1">
        <v>1</v>
      </c>
      <c r="T372" s="1">
        <v>0</v>
      </c>
      <c r="U372" s="1">
        <v>90</v>
      </c>
      <c r="V372" s="1">
        <v>60003760</v>
      </c>
      <c r="W372" s="1">
        <v>32767</v>
      </c>
      <c r="X372" s="1">
        <v>0</v>
      </c>
      <c r="Z372" s="1">
        <v>2834841408</v>
      </c>
      <c r="AA372" s="1">
        <v>36</v>
      </c>
      <c r="AB372" s="1">
        <v>11185837</v>
      </c>
      <c r="AC372" s="1">
        <v>4375567</v>
      </c>
      <c r="AD372" s="16">
        <v>50.5</v>
      </c>
      <c r="AE372" s="1">
        <v>1</v>
      </c>
      <c r="AF372" s="1">
        <v>0</v>
      </c>
      <c r="AG372" s="1">
        <v>90</v>
      </c>
      <c r="AH372" s="1">
        <v>60015027</v>
      </c>
      <c r="AI372" s="1">
        <v>32767</v>
      </c>
      <c r="AJ372" s="1">
        <v>13</v>
      </c>
      <c r="CH372" s="1">
        <v>2338566370</v>
      </c>
      <c r="CI372" s="1">
        <v>29668</v>
      </c>
      <c r="CJ372" s="1">
        <v>10</v>
      </c>
      <c r="CK372" s="1">
        <v>10</v>
      </c>
      <c r="CL372" s="1">
        <v>449999.99</v>
      </c>
      <c r="CM372" s="1">
        <v>1</v>
      </c>
      <c r="CN372" s="1">
        <v>1</v>
      </c>
      <c r="CO372" s="1">
        <v>90</v>
      </c>
      <c r="CP372" s="1">
        <v>60003760</v>
      </c>
      <c r="CQ372" s="1">
        <v>32767</v>
      </c>
      <c r="CR372" s="1">
        <v>0</v>
      </c>
    </row>
    <row r="373" spans="2:96" x14ac:dyDescent="0.25">
      <c r="B373" s="1">
        <v>2851252389</v>
      </c>
      <c r="C373" s="1">
        <v>34</v>
      </c>
      <c r="D373" s="1">
        <v>27250071</v>
      </c>
      <c r="E373" s="1">
        <v>19195396</v>
      </c>
      <c r="F373" s="1">
        <v>5.7</v>
      </c>
      <c r="G373" s="1">
        <v>1</v>
      </c>
      <c r="H373" s="1">
        <v>0</v>
      </c>
      <c r="I373" s="1">
        <v>90</v>
      </c>
      <c r="J373" s="1">
        <v>60004075</v>
      </c>
      <c r="K373" s="1">
        <v>32767</v>
      </c>
      <c r="L373" s="1">
        <v>8</v>
      </c>
      <c r="N373" s="1">
        <v>2861670399</v>
      </c>
      <c r="O373" s="1">
        <v>35</v>
      </c>
      <c r="P373" s="1">
        <v>69580709</v>
      </c>
      <c r="Q373" s="1">
        <v>41430911</v>
      </c>
      <c r="R373" s="1">
        <v>14.75</v>
      </c>
      <c r="S373" s="1">
        <v>1</v>
      </c>
      <c r="T373" s="1">
        <v>0</v>
      </c>
      <c r="U373" s="1">
        <v>90</v>
      </c>
      <c r="V373" s="1">
        <v>60003760</v>
      </c>
      <c r="W373" s="1">
        <v>32767</v>
      </c>
      <c r="X373" s="1">
        <v>0</v>
      </c>
      <c r="Z373" s="1">
        <v>2878003051</v>
      </c>
      <c r="AA373" s="1">
        <v>36</v>
      </c>
      <c r="AB373" s="1">
        <v>42025</v>
      </c>
      <c r="AC373" s="1">
        <v>8306</v>
      </c>
      <c r="AD373" s="16">
        <v>47.1</v>
      </c>
      <c r="AE373" s="1">
        <v>1</v>
      </c>
      <c r="AF373" s="1">
        <v>0</v>
      </c>
      <c r="AG373" s="1">
        <v>14</v>
      </c>
      <c r="AH373" s="1">
        <v>60015027</v>
      </c>
      <c r="AI373" s="1">
        <v>32767</v>
      </c>
      <c r="AJ373" s="1">
        <v>13</v>
      </c>
      <c r="CH373" s="1">
        <v>2338631669</v>
      </c>
      <c r="CI373" s="1">
        <v>29668</v>
      </c>
      <c r="CJ373" s="1">
        <v>1</v>
      </c>
      <c r="CK373" s="1">
        <v>1</v>
      </c>
      <c r="CL373" s="1">
        <v>463000</v>
      </c>
      <c r="CM373" s="1">
        <v>1</v>
      </c>
      <c r="CN373" s="1">
        <v>1</v>
      </c>
      <c r="CO373" s="1">
        <v>90</v>
      </c>
      <c r="CP373" s="1">
        <v>60003760</v>
      </c>
      <c r="CQ373" s="1">
        <v>-1</v>
      </c>
      <c r="CR373" s="1">
        <v>0</v>
      </c>
    </row>
    <row r="374" spans="2:96" x14ac:dyDescent="0.25">
      <c r="B374" s="1">
        <v>2875965380</v>
      </c>
      <c r="C374" s="1">
        <v>34</v>
      </c>
      <c r="D374" s="1">
        <v>2679836</v>
      </c>
      <c r="E374" s="1">
        <v>2679836</v>
      </c>
      <c r="F374" s="1">
        <v>5.69</v>
      </c>
      <c r="G374" s="1">
        <v>1</v>
      </c>
      <c r="H374" s="1">
        <v>0</v>
      </c>
      <c r="I374" s="1">
        <v>90</v>
      </c>
      <c r="J374" s="1">
        <v>60004075</v>
      </c>
      <c r="K374" s="1">
        <v>32767</v>
      </c>
      <c r="L374" s="1">
        <v>8</v>
      </c>
      <c r="N374" s="1">
        <v>2877805889</v>
      </c>
      <c r="O374" s="1">
        <v>35</v>
      </c>
      <c r="P374" s="1">
        <v>39649363</v>
      </c>
      <c r="Q374" s="1">
        <v>5327813</v>
      </c>
      <c r="R374" s="1">
        <v>14.75</v>
      </c>
      <c r="S374" s="1">
        <v>1</v>
      </c>
      <c r="T374" s="1">
        <v>0</v>
      </c>
      <c r="U374" s="1">
        <v>90</v>
      </c>
      <c r="V374" s="1">
        <v>60003760</v>
      </c>
      <c r="W374" s="1">
        <v>32767</v>
      </c>
      <c r="X374" s="1">
        <v>0</v>
      </c>
      <c r="Z374" s="1">
        <v>2877074108</v>
      </c>
      <c r="AA374" s="1">
        <v>36</v>
      </c>
      <c r="AB374" s="1">
        <v>84</v>
      </c>
      <c r="AC374" s="1">
        <v>84</v>
      </c>
      <c r="AD374" s="16">
        <v>100</v>
      </c>
      <c r="AE374" s="1">
        <v>1</v>
      </c>
      <c r="AF374" s="1">
        <v>0</v>
      </c>
      <c r="AG374" s="1">
        <v>1</v>
      </c>
      <c r="AH374" s="1">
        <v>60015027</v>
      </c>
      <c r="AI374" s="1">
        <v>32767</v>
      </c>
      <c r="AJ374" s="1">
        <v>13</v>
      </c>
      <c r="CH374" s="1">
        <v>2338654746</v>
      </c>
      <c r="CI374" s="1">
        <v>29668</v>
      </c>
      <c r="CJ374" s="1">
        <v>1</v>
      </c>
      <c r="CK374" s="1">
        <v>1</v>
      </c>
      <c r="CL374" s="1">
        <v>0.01</v>
      </c>
      <c r="CM374" s="1">
        <v>1</v>
      </c>
      <c r="CN374" s="1">
        <v>1</v>
      </c>
      <c r="CO374" s="1">
        <v>90</v>
      </c>
      <c r="CP374" s="1">
        <v>60003760</v>
      </c>
      <c r="CQ374" s="1">
        <v>-1</v>
      </c>
      <c r="CR374" s="1">
        <v>0</v>
      </c>
    </row>
    <row r="375" spans="2:96" x14ac:dyDescent="0.25">
      <c r="B375" s="1">
        <v>2876344178</v>
      </c>
      <c r="C375" s="1">
        <v>34</v>
      </c>
      <c r="D375" s="1">
        <v>1737506</v>
      </c>
      <c r="E375" s="1">
        <v>208763</v>
      </c>
      <c r="F375" s="1">
        <v>5.6</v>
      </c>
      <c r="G375" s="1">
        <v>1</v>
      </c>
      <c r="H375" s="1">
        <v>0</v>
      </c>
      <c r="I375" s="1">
        <v>14</v>
      </c>
      <c r="J375" s="1">
        <v>60006856</v>
      </c>
      <c r="K375" s="1">
        <v>32767</v>
      </c>
      <c r="L375" s="1">
        <v>8</v>
      </c>
      <c r="N375" s="1">
        <v>2878754222</v>
      </c>
      <c r="O375" s="1">
        <v>35</v>
      </c>
      <c r="P375" s="1">
        <v>21829993</v>
      </c>
      <c r="Q375" s="1">
        <v>21829993</v>
      </c>
      <c r="R375" s="1">
        <v>14.75</v>
      </c>
      <c r="S375" s="1">
        <v>1</v>
      </c>
      <c r="T375" s="1">
        <v>0</v>
      </c>
      <c r="U375" s="1">
        <v>90</v>
      </c>
      <c r="V375" s="1">
        <v>60003760</v>
      </c>
      <c r="W375" s="1">
        <v>32767</v>
      </c>
      <c r="X375" s="1">
        <v>0</v>
      </c>
      <c r="Z375" s="1">
        <v>2875883413</v>
      </c>
      <c r="AA375" s="1">
        <v>36</v>
      </c>
      <c r="AB375" s="1">
        <v>2603888</v>
      </c>
      <c r="AC375" s="1">
        <v>2332362</v>
      </c>
      <c r="AD375" s="16">
        <v>50.49</v>
      </c>
      <c r="AE375" s="1">
        <v>1</v>
      </c>
      <c r="AF375" s="1">
        <v>0</v>
      </c>
      <c r="AG375" s="1">
        <v>90</v>
      </c>
      <c r="AH375" s="1">
        <v>60015027</v>
      </c>
      <c r="AI375" s="1">
        <v>32767</v>
      </c>
      <c r="AJ375" s="1">
        <v>13</v>
      </c>
      <c r="CH375" s="1">
        <v>2338088561</v>
      </c>
      <c r="CI375" s="1">
        <v>29668</v>
      </c>
      <c r="CJ375" s="1">
        <v>1</v>
      </c>
      <c r="CK375" s="1">
        <v>1</v>
      </c>
      <c r="CL375" s="1">
        <v>0.02</v>
      </c>
      <c r="CM375" s="1">
        <v>1</v>
      </c>
      <c r="CN375" s="1">
        <v>1</v>
      </c>
      <c r="CO375" s="1">
        <v>90</v>
      </c>
      <c r="CP375" s="1">
        <v>60003760</v>
      </c>
      <c r="CQ375" s="1">
        <v>-1</v>
      </c>
      <c r="CR375" s="1">
        <v>0</v>
      </c>
    </row>
    <row r="376" spans="2:96" x14ac:dyDescent="0.25">
      <c r="B376" s="1">
        <v>2877069576</v>
      </c>
      <c r="C376" s="1">
        <v>34</v>
      </c>
      <c r="D376" s="1">
        <v>864471</v>
      </c>
      <c r="E376" s="1">
        <v>864471</v>
      </c>
      <c r="F376" s="1">
        <v>6</v>
      </c>
      <c r="G376" s="1">
        <v>1</v>
      </c>
      <c r="H376" s="1">
        <v>0</v>
      </c>
      <c r="I376" s="1">
        <v>1</v>
      </c>
      <c r="J376" s="1">
        <v>60004075</v>
      </c>
      <c r="K376" s="1">
        <v>32767</v>
      </c>
      <c r="L376" s="1">
        <v>8</v>
      </c>
      <c r="N376" s="1">
        <v>2879107831</v>
      </c>
      <c r="O376" s="1">
        <v>35</v>
      </c>
      <c r="P376" s="1">
        <v>800460</v>
      </c>
      <c r="Q376" s="1">
        <v>800460</v>
      </c>
      <c r="R376" s="1">
        <v>14.5</v>
      </c>
      <c r="S376" s="1">
        <v>1</v>
      </c>
      <c r="T376" s="1">
        <v>0</v>
      </c>
      <c r="U376" s="1">
        <v>30</v>
      </c>
      <c r="V376" s="1">
        <v>60003934</v>
      </c>
      <c r="W376" s="1">
        <v>32767</v>
      </c>
      <c r="X376" s="1">
        <v>0</v>
      </c>
      <c r="Z376" s="1">
        <v>2878355254</v>
      </c>
      <c r="AA376" s="1">
        <v>36</v>
      </c>
      <c r="AB376" s="1">
        <v>103449</v>
      </c>
      <c r="AC376" s="1">
        <v>103449</v>
      </c>
      <c r="AD376" s="16">
        <v>61.51</v>
      </c>
      <c r="AE376" s="1">
        <v>1</v>
      </c>
      <c r="AF376" s="1">
        <v>0</v>
      </c>
      <c r="AG376" s="1">
        <v>1</v>
      </c>
      <c r="AH376" s="1">
        <v>60003760</v>
      </c>
      <c r="AI376" s="1">
        <v>32767</v>
      </c>
      <c r="AJ376" s="1">
        <v>11</v>
      </c>
      <c r="CH376" s="1">
        <v>2337896134</v>
      </c>
      <c r="CI376" s="1">
        <v>29668</v>
      </c>
      <c r="CJ376" s="1">
        <v>1000</v>
      </c>
      <c r="CK376" s="1">
        <v>1000</v>
      </c>
      <c r="CL376" s="1">
        <v>81</v>
      </c>
      <c r="CM376" s="1">
        <v>1</v>
      </c>
      <c r="CN376" s="1">
        <v>1</v>
      </c>
      <c r="CO376" s="1">
        <v>90</v>
      </c>
      <c r="CP376" s="1">
        <v>60003760</v>
      </c>
      <c r="CQ376" s="1">
        <v>40</v>
      </c>
      <c r="CR376" s="1">
        <v>0</v>
      </c>
    </row>
    <row r="377" spans="2:96" x14ac:dyDescent="0.25">
      <c r="B377" s="1">
        <v>2799894439</v>
      </c>
      <c r="C377" s="1">
        <v>34</v>
      </c>
      <c r="D377" s="1">
        <v>290454</v>
      </c>
      <c r="E377" s="1">
        <v>276153</v>
      </c>
      <c r="F377" s="1">
        <v>15.22</v>
      </c>
      <c r="G377" s="1">
        <v>1</v>
      </c>
      <c r="H377" s="1">
        <v>0</v>
      </c>
      <c r="I377" s="1">
        <v>90</v>
      </c>
      <c r="J377" s="1">
        <v>60010192</v>
      </c>
      <c r="K377" s="1">
        <v>32767</v>
      </c>
      <c r="L377" s="1">
        <v>9</v>
      </c>
      <c r="N377" s="1">
        <v>2879113859</v>
      </c>
      <c r="O377" s="1">
        <v>35</v>
      </c>
      <c r="P377" s="1">
        <v>9542596</v>
      </c>
      <c r="Q377" s="1">
        <v>2287510</v>
      </c>
      <c r="R377" s="1">
        <v>14.74</v>
      </c>
      <c r="S377" s="1">
        <v>1</v>
      </c>
      <c r="T377" s="1">
        <v>0</v>
      </c>
      <c r="U377" s="1">
        <v>30</v>
      </c>
      <c r="V377" s="1">
        <v>60003760</v>
      </c>
      <c r="W377" s="1">
        <v>32767</v>
      </c>
      <c r="X377" s="1">
        <v>0</v>
      </c>
      <c r="Z377" s="1">
        <v>2856302085</v>
      </c>
      <c r="AA377" s="1">
        <v>36</v>
      </c>
      <c r="AB377" s="1">
        <v>1213131</v>
      </c>
      <c r="AC377" s="1">
        <v>262997</v>
      </c>
      <c r="AD377" s="16">
        <v>47.9</v>
      </c>
      <c r="AE377" s="1">
        <v>1</v>
      </c>
      <c r="AF377" s="1">
        <v>0</v>
      </c>
      <c r="AG377" s="1">
        <v>30</v>
      </c>
      <c r="AH377" s="1">
        <v>60003064</v>
      </c>
      <c r="AI377" s="1">
        <v>32767</v>
      </c>
      <c r="AJ377" s="1">
        <v>14</v>
      </c>
      <c r="CH377" s="1">
        <v>2337991708</v>
      </c>
      <c r="CI377" s="1">
        <v>29668</v>
      </c>
      <c r="CJ377" s="1">
        <v>1</v>
      </c>
      <c r="CK377" s="1">
        <v>1</v>
      </c>
      <c r="CL377" s="1">
        <v>0.1</v>
      </c>
      <c r="CM377" s="1">
        <v>1</v>
      </c>
      <c r="CN377" s="1">
        <v>1</v>
      </c>
      <c r="CO377" s="1">
        <v>90</v>
      </c>
      <c r="CP377" s="1">
        <v>60003760</v>
      </c>
      <c r="CQ377" s="1">
        <v>32767</v>
      </c>
      <c r="CR377" s="1">
        <v>0</v>
      </c>
    </row>
    <row r="378" spans="2:96" x14ac:dyDescent="0.25">
      <c r="B378" s="1">
        <v>2825674510</v>
      </c>
      <c r="C378" s="1">
        <v>34</v>
      </c>
      <c r="D378" s="1">
        <v>50000</v>
      </c>
      <c r="E378" s="1">
        <v>30900</v>
      </c>
      <c r="F378" s="1">
        <v>12</v>
      </c>
      <c r="G378" s="1">
        <v>1</v>
      </c>
      <c r="H378" s="1">
        <v>0</v>
      </c>
      <c r="I378" s="1">
        <v>90</v>
      </c>
      <c r="J378" s="1">
        <v>60010192</v>
      </c>
      <c r="K378" s="1">
        <v>32767</v>
      </c>
      <c r="L378" s="1">
        <v>9</v>
      </c>
      <c r="N378" s="1">
        <v>2879118529</v>
      </c>
      <c r="O378" s="1">
        <v>35</v>
      </c>
      <c r="P378" s="1">
        <v>426231</v>
      </c>
      <c r="Q378" s="1">
        <v>426231</v>
      </c>
      <c r="R378" s="1">
        <v>14.6</v>
      </c>
      <c r="S378" s="1">
        <v>1</v>
      </c>
      <c r="T378" s="1">
        <v>0</v>
      </c>
      <c r="U378" s="1">
        <v>1</v>
      </c>
      <c r="V378" s="1">
        <v>60000517</v>
      </c>
      <c r="W378" s="1">
        <v>32767</v>
      </c>
      <c r="X378" s="1">
        <v>0</v>
      </c>
      <c r="Z378" s="1">
        <v>2878477805</v>
      </c>
      <c r="AA378" s="1">
        <v>36</v>
      </c>
      <c r="AB378" s="1">
        <v>199168</v>
      </c>
      <c r="AC378" s="1">
        <v>199168</v>
      </c>
      <c r="AD378" s="16">
        <v>55</v>
      </c>
      <c r="AE378" s="1">
        <v>1</v>
      </c>
      <c r="AF378" s="1">
        <v>0</v>
      </c>
      <c r="AG378" s="1">
        <v>30</v>
      </c>
      <c r="AH378" s="1">
        <v>60012718</v>
      </c>
      <c r="AI378" s="1">
        <v>32767</v>
      </c>
      <c r="AJ378" s="1">
        <v>3</v>
      </c>
      <c r="CH378" s="1">
        <v>2339043931</v>
      </c>
      <c r="CI378" s="1">
        <v>29668</v>
      </c>
      <c r="CJ378" s="1">
        <v>1</v>
      </c>
      <c r="CK378" s="1">
        <v>1</v>
      </c>
      <c r="CL378" s="1">
        <v>6.66</v>
      </c>
      <c r="CM378" s="1">
        <v>1</v>
      </c>
      <c r="CN378" s="1">
        <v>1</v>
      </c>
      <c r="CO378" s="1">
        <v>90</v>
      </c>
      <c r="CP378" s="1">
        <v>60003760</v>
      </c>
      <c r="CQ378" s="1">
        <v>32767</v>
      </c>
      <c r="CR378" s="1">
        <v>0</v>
      </c>
    </row>
    <row r="379" spans="2:96" x14ac:dyDescent="0.25">
      <c r="B379" s="1">
        <v>2874346890</v>
      </c>
      <c r="C379" s="1">
        <v>34</v>
      </c>
      <c r="D379" s="1">
        <v>169877</v>
      </c>
      <c r="E379" s="1">
        <v>72677</v>
      </c>
      <c r="F379" s="1">
        <v>11.9</v>
      </c>
      <c r="G379" s="1">
        <v>1</v>
      </c>
      <c r="H379" s="1">
        <v>0</v>
      </c>
      <c r="I379" s="1">
        <v>90</v>
      </c>
      <c r="J379" s="1">
        <v>60010192</v>
      </c>
      <c r="K379" s="1">
        <v>32767</v>
      </c>
      <c r="L379" s="1">
        <v>9</v>
      </c>
      <c r="N379" s="1">
        <v>2879098419</v>
      </c>
      <c r="O379" s="1">
        <v>35</v>
      </c>
      <c r="P379" s="1">
        <v>8512</v>
      </c>
      <c r="Q379" s="1">
        <v>8512</v>
      </c>
      <c r="R379" s="1">
        <v>13.98</v>
      </c>
      <c r="S379" s="1">
        <v>1</v>
      </c>
      <c r="T379" s="1">
        <v>0</v>
      </c>
      <c r="U379" s="1">
        <v>1</v>
      </c>
      <c r="V379" s="1">
        <v>60003034</v>
      </c>
      <c r="W379" s="1">
        <v>32767</v>
      </c>
      <c r="X379" s="1">
        <v>0</v>
      </c>
      <c r="Z379" s="1">
        <v>2860526557</v>
      </c>
      <c r="AA379" s="1">
        <v>36</v>
      </c>
      <c r="AB379" s="1">
        <v>19863399</v>
      </c>
      <c r="AC379" s="1">
        <v>18463399</v>
      </c>
      <c r="AD379" s="16">
        <v>50.06</v>
      </c>
      <c r="AE379" s="1">
        <v>1</v>
      </c>
      <c r="AF379" s="1">
        <v>0</v>
      </c>
      <c r="AG379" s="1">
        <v>90</v>
      </c>
      <c r="AH379" s="1">
        <v>60003760</v>
      </c>
      <c r="AI379" s="1">
        <v>32767</v>
      </c>
      <c r="AJ379" s="1">
        <v>11</v>
      </c>
      <c r="CH379" s="1">
        <v>2339516807</v>
      </c>
      <c r="CI379" s="1">
        <v>29668</v>
      </c>
      <c r="CJ379" s="1">
        <v>3</v>
      </c>
      <c r="CK379" s="1">
        <v>3</v>
      </c>
      <c r="CL379" s="1">
        <v>1000000</v>
      </c>
      <c r="CM379" s="1">
        <v>1</v>
      </c>
      <c r="CN379" s="1">
        <v>1</v>
      </c>
      <c r="CO379" s="1">
        <v>90</v>
      </c>
      <c r="CP379" s="1">
        <v>60003760</v>
      </c>
      <c r="CQ379" s="1">
        <v>-1</v>
      </c>
      <c r="CR379" s="1">
        <v>0</v>
      </c>
    </row>
    <row r="380" spans="2:96" x14ac:dyDescent="0.25">
      <c r="B380" s="1">
        <v>2817365259</v>
      </c>
      <c r="C380" s="1">
        <v>34</v>
      </c>
      <c r="D380" s="1">
        <v>1869878</v>
      </c>
      <c r="E380" s="1">
        <v>1809878</v>
      </c>
      <c r="F380" s="1">
        <v>5.98</v>
      </c>
      <c r="G380" s="1">
        <v>1</v>
      </c>
      <c r="H380" s="1">
        <v>0</v>
      </c>
      <c r="I380" s="1">
        <v>90</v>
      </c>
      <c r="J380" s="1">
        <v>60003145</v>
      </c>
      <c r="K380" s="1">
        <v>32767</v>
      </c>
      <c r="L380" s="1">
        <v>9</v>
      </c>
      <c r="N380" s="1">
        <v>2879122696</v>
      </c>
      <c r="O380" s="1">
        <v>35</v>
      </c>
      <c r="P380" s="1">
        <v>29736</v>
      </c>
      <c r="Q380" s="1">
        <v>29736</v>
      </c>
      <c r="R380" s="1">
        <v>25</v>
      </c>
      <c r="S380" s="1">
        <v>1</v>
      </c>
      <c r="T380" s="1">
        <v>0</v>
      </c>
      <c r="U380" s="1">
        <v>90</v>
      </c>
      <c r="V380" s="1">
        <v>60002842</v>
      </c>
      <c r="W380" s="1">
        <v>32767</v>
      </c>
      <c r="X380" s="1">
        <v>0</v>
      </c>
      <c r="Z380" s="1">
        <v>2878514751</v>
      </c>
      <c r="AA380" s="1">
        <v>36</v>
      </c>
      <c r="AB380" s="1">
        <v>57257364</v>
      </c>
      <c r="AC380" s="1">
        <v>57257364</v>
      </c>
      <c r="AD380" s="16">
        <v>50.06</v>
      </c>
      <c r="AE380" s="1">
        <v>1</v>
      </c>
      <c r="AF380" s="1">
        <v>0</v>
      </c>
      <c r="AG380" s="1">
        <v>90</v>
      </c>
      <c r="AH380" s="1">
        <v>60003760</v>
      </c>
      <c r="AI380" s="1">
        <v>32767</v>
      </c>
      <c r="AJ380" s="1">
        <v>11</v>
      </c>
      <c r="CH380" s="1">
        <v>2063053129</v>
      </c>
      <c r="CI380" s="1">
        <v>29668</v>
      </c>
      <c r="CJ380" s="1">
        <v>2</v>
      </c>
      <c r="CK380" s="1">
        <v>2</v>
      </c>
      <c r="CL380" s="1">
        <v>380000000</v>
      </c>
      <c r="CM380" s="1">
        <v>1</v>
      </c>
      <c r="CN380" s="1">
        <v>1</v>
      </c>
      <c r="CO380" s="1">
        <v>90</v>
      </c>
      <c r="CP380" s="1">
        <v>60003760</v>
      </c>
      <c r="CQ380" s="1">
        <v>-1</v>
      </c>
      <c r="CR380" s="1">
        <v>0</v>
      </c>
    </row>
    <row r="381" spans="2:96" x14ac:dyDescent="0.25">
      <c r="B381" s="1">
        <v>2755143408</v>
      </c>
      <c r="C381" s="1">
        <v>34</v>
      </c>
      <c r="D381" s="1">
        <v>7226263</v>
      </c>
      <c r="E381" s="1">
        <v>7226263</v>
      </c>
      <c r="F381" s="1">
        <v>6.1</v>
      </c>
      <c r="G381" s="1">
        <v>1</v>
      </c>
      <c r="H381" s="1">
        <v>0</v>
      </c>
      <c r="I381" s="1">
        <v>90</v>
      </c>
      <c r="J381" s="1">
        <v>60003046</v>
      </c>
      <c r="K381" s="1">
        <v>32767</v>
      </c>
      <c r="L381" s="1">
        <v>10</v>
      </c>
      <c r="N381" s="1">
        <v>2879123625</v>
      </c>
      <c r="O381" s="1">
        <v>35</v>
      </c>
      <c r="P381" s="1">
        <v>3300809</v>
      </c>
      <c r="Q381" s="1">
        <v>3300809</v>
      </c>
      <c r="R381" s="1">
        <v>14.75</v>
      </c>
      <c r="S381" s="1">
        <v>1</v>
      </c>
      <c r="T381" s="1">
        <v>0</v>
      </c>
      <c r="U381" s="1">
        <v>90</v>
      </c>
      <c r="V381" s="1">
        <v>60003760</v>
      </c>
      <c r="W381" s="1">
        <v>32767</v>
      </c>
      <c r="X381" s="1">
        <v>0</v>
      </c>
      <c r="Z381" s="1">
        <v>2878528282</v>
      </c>
      <c r="AA381" s="1">
        <v>36</v>
      </c>
      <c r="AB381" s="1">
        <v>645140</v>
      </c>
      <c r="AC381" s="1">
        <v>645140</v>
      </c>
      <c r="AD381" s="16">
        <v>48</v>
      </c>
      <c r="AE381" s="1">
        <v>1</v>
      </c>
      <c r="AF381" s="1">
        <v>0</v>
      </c>
      <c r="AG381" s="1">
        <v>1</v>
      </c>
      <c r="AH381" s="1">
        <v>60002842</v>
      </c>
      <c r="AI381" s="1">
        <v>32767</v>
      </c>
      <c r="AJ381" s="1">
        <v>5</v>
      </c>
      <c r="CH381" s="1">
        <v>2067710805</v>
      </c>
      <c r="CI381" s="1">
        <v>29668</v>
      </c>
      <c r="CJ381" s="1">
        <v>1</v>
      </c>
      <c r="CK381" s="1">
        <v>1</v>
      </c>
      <c r="CL381" s="1">
        <v>0.02</v>
      </c>
      <c r="CM381" s="1">
        <v>1</v>
      </c>
      <c r="CN381" s="1">
        <v>1</v>
      </c>
      <c r="CO381" s="1">
        <v>90</v>
      </c>
      <c r="CP381" s="1">
        <v>60003760</v>
      </c>
      <c r="CQ381" s="1">
        <v>32767</v>
      </c>
      <c r="CR381" s="1">
        <v>0</v>
      </c>
    </row>
    <row r="382" spans="2:96" x14ac:dyDescent="0.25">
      <c r="B382" s="1">
        <v>2767195806</v>
      </c>
      <c r="C382" s="1">
        <v>34</v>
      </c>
      <c r="D382" s="1">
        <v>8999797</v>
      </c>
      <c r="E382" s="1">
        <v>8499797</v>
      </c>
      <c r="F382" s="1">
        <v>6</v>
      </c>
      <c r="G382" s="1">
        <v>1</v>
      </c>
      <c r="H382" s="1">
        <v>0</v>
      </c>
      <c r="I382" s="1">
        <v>90</v>
      </c>
      <c r="J382" s="1">
        <v>60004081</v>
      </c>
      <c r="K382" s="1">
        <v>32767</v>
      </c>
      <c r="L382" s="1">
        <v>10</v>
      </c>
      <c r="N382" s="1">
        <v>2879124555</v>
      </c>
      <c r="O382" s="1">
        <v>35</v>
      </c>
      <c r="P382" s="1">
        <v>448114</v>
      </c>
      <c r="Q382" s="1">
        <v>448114</v>
      </c>
      <c r="R382" s="1">
        <v>25</v>
      </c>
      <c r="S382" s="1">
        <v>1</v>
      </c>
      <c r="T382" s="1">
        <v>0</v>
      </c>
      <c r="U382" s="1">
        <v>90</v>
      </c>
      <c r="V382" s="1">
        <v>60013144</v>
      </c>
      <c r="W382" s="1">
        <v>32767</v>
      </c>
      <c r="X382" s="1">
        <v>0</v>
      </c>
      <c r="Z382" s="1">
        <v>2878533272</v>
      </c>
      <c r="AA382" s="1">
        <v>36</v>
      </c>
      <c r="AB382" s="1">
        <v>2697926</v>
      </c>
      <c r="AC382" s="1">
        <v>2697926</v>
      </c>
      <c r="AD382" s="16">
        <v>47.86</v>
      </c>
      <c r="AE382" s="1">
        <v>1</v>
      </c>
      <c r="AF382" s="1">
        <v>0</v>
      </c>
      <c r="AG382" s="1">
        <v>7</v>
      </c>
      <c r="AH382" s="1">
        <v>60003064</v>
      </c>
      <c r="AI382" s="1">
        <v>32767</v>
      </c>
      <c r="AJ382" s="1">
        <v>14</v>
      </c>
      <c r="CH382" s="1">
        <v>2067711024</v>
      </c>
      <c r="CI382" s="1">
        <v>29668</v>
      </c>
      <c r="CJ382" s="1">
        <v>1</v>
      </c>
      <c r="CK382" s="1">
        <v>1</v>
      </c>
      <c r="CL382" s="1">
        <v>0.02</v>
      </c>
      <c r="CM382" s="1">
        <v>1</v>
      </c>
      <c r="CN382" s="1">
        <v>1</v>
      </c>
      <c r="CO382" s="1">
        <v>90</v>
      </c>
      <c r="CP382" s="1">
        <v>60003760</v>
      </c>
      <c r="CQ382" s="1">
        <v>32767</v>
      </c>
      <c r="CR382" s="1">
        <v>0</v>
      </c>
    </row>
    <row r="383" spans="2:96" x14ac:dyDescent="0.25">
      <c r="B383" s="1">
        <v>2826030076</v>
      </c>
      <c r="C383" s="1">
        <v>34</v>
      </c>
      <c r="D383" s="1">
        <v>363550</v>
      </c>
      <c r="E383" s="1">
        <v>363550</v>
      </c>
      <c r="F383" s="1">
        <v>5.86</v>
      </c>
      <c r="G383" s="1">
        <v>1</v>
      </c>
      <c r="H383" s="1">
        <v>0</v>
      </c>
      <c r="I383" s="1">
        <v>90</v>
      </c>
      <c r="J383" s="1">
        <v>60003142</v>
      </c>
      <c r="K383" s="1">
        <v>32767</v>
      </c>
      <c r="L383" s="1">
        <v>10</v>
      </c>
      <c r="N383" s="1">
        <v>2879125102</v>
      </c>
      <c r="O383" s="1">
        <v>35</v>
      </c>
      <c r="P383" s="1">
        <v>363877</v>
      </c>
      <c r="Q383" s="1">
        <v>363877</v>
      </c>
      <c r="R383" s="1">
        <v>25</v>
      </c>
      <c r="S383" s="1">
        <v>1</v>
      </c>
      <c r="T383" s="1">
        <v>0</v>
      </c>
      <c r="U383" s="1">
        <v>90</v>
      </c>
      <c r="V383" s="1">
        <v>60010816</v>
      </c>
      <c r="W383" s="1">
        <v>32767</v>
      </c>
      <c r="X383" s="1">
        <v>0</v>
      </c>
      <c r="Z383" s="1">
        <v>2878536515</v>
      </c>
      <c r="AA383" s="1">
        <v>36</v>
      </c>
      <c r="AB383" s="1">
        <v>591428</v>
      </c>
      <c r="AC383" s="1">
        <v>591428</v>
      </c>
      <c r="AD383" s="16">
        <v>47</v>
      </c>
      <c r="AE383" s="1">
        <v>1</v>
      </c>
      <c r="AF383" s="1">
        <v>0</v>
      </c>
      <c r="AG383" s="1">
        <v>3</v>
      </c>
      <c r="AH383" s="1">
        <v>60003193</v>
      </c>
      <c r="AI383" s="1">
        <v>32767</v>
      </c>
      <c r="AJ383" s="1">
        <v>8</v>
      </c>
      <c r="CH383" s="1">
        <v>2067711565</v>
      </c>
      <c r="CI383" s="1">
        <v>29668</v>
      </c>
      <c r="CJ383" s="1">
        <v>1</v>
      </c>
      <c r="CK383" s="1">
        <v>1</v>
      </c>
      <c r="CL383" s="1">
        <v>0.02</v>
      </c>
      <c r="CM383" s="1">
        <v>1</v>
      </c>
      <c r="CN383" s="1">
        <v>1</v>
      </c>
      <c r="CO383" s="1">
        <v>90</v>
      </c>
      <c r="CP383" s="1">
        <v>60003760</v>
      </c>
      <c r="CQ383" s="1">
        <v>32767</v>
      </c>
      <c r="CR383" s="1">
        <v>0</v>
      </c>
    </row>
    <row r="384" spans="2:96" x14ac:dyDescent="0.25">
      <c r="B384" s="1">
        <v>2825685646</v>
      </c>
      <c r="C384" s="1">
        <v>34</v>
      </c>
      <c r="D384" s="1">
        <v>4716239</v>
      </c>
      <c r="E384" s="1">
        <v>4716239</v>
      </c>
      <c r="F384" s="1">
        <v>5.96</v>
      </c>
      <c r="G384" s="1">
        <v>1</v>
      </c>
      <c r="H384" s="1">
        <v>0</v>
      </c>
      <c r="I384" s="1">
        <v>90</v>
      </c>
      <c r="J384" s="1">
        <v>60003046</v>
      </c>
      <c r="K384" s="1">
        <v>32767</v>
      </c>
      <c r="L384" s="1">
        <v>10</v>
      </c>
      <c r="N384" s="1">
        <v>2877820039</v>
      </c>
      <c r="O384" s="1">
        <v>35</v>
      </c>
      <c r="P384" s="1">
        <v>11154123</v>
      </c>
      <c r="Q384" s="1">
        <v>11154123</v>
      </c>
      <c r="R384" s="1">
        <v>14.74</v>
      </c>
      <c r="S384" s="1">
        <v>1</v>
      </c>
      <c r="T384" s="1">
        <v>0</v>
      </c>
      <c r="U384" s="1">
        <v>30</v>
      </c>
      <c r="V384" s="1">
        <v>60003760</v>
      </c>
      <c r="W384" s="1">
        <v>32767</v>
      </c>
      <c r="X384" s="1">
        <v>0</v>
      </c>
      <c r="Z384" s="1">
        <v>2878580701</v>
      </c>
      <c r="AA384" s="1">
        <v>36</v>
      </c>
      <c r="AB384" s="1">
        <v>243004</v>
      </c>
      <c r="AC384" s="1">
        <v>97199</v>
      </c>
      <c r="AD384" s="16">
        <v>47.09</v>
      </c>
      <c r="AE384" s="1">
        <v>1</v>
      </c>
      <c r="AF384" s="1">
        <v>0</v>
      </c>
      <c r="AG384" s="1">
        <v>1</v>
      </c>
      <c r="AH384" s="1">
        <v>60015027</v>
      </c>
      <c r="AI384" s="1">
        <v>32767</v>
      </c>
      <c r="AJ384" s="1">
        <v>0</v>
      </c>
      <c r="CH384" s="1">
        <v>2067711828</v>
      </c>
      <c r="CI384" s="1">
        <v>29668</v>
      </c>
      <c r="CJ384" s="1">
        <v>1</v>
      </c>
      <c r="CK384" s="1">
        <v>1</v>
      </c>
      <c r="CL384" s="1">
        <v>0.02</v>
      </c>
      <c r="CM384" s="1">
        <v>1</v>
      </c>
      <c r="CN384" s="1">
        <v>1</v>
      </c>
      <c r="CO384" s="1">
        <v>90</v>
      </c>
      <c r="CP384" s="1">
        <v>60003760</v>
      </c>
      <c r="CQ384" s="1">
        <v>32767</v>
      </c>
      <c r="CR384" s="1">
        <v>0</v>
      </c>
    </row>
    <row r="385" spans="2:96" x14ac:dyDescent="0.25">
      <c r="B385" s="1">
        <v>2817363415</v>
      </c>
      <c r="C385" s="1">
        <v>34</v>
      </c>
      <c r="D385" s="1">
        <v>1960657</v>
      </c>
      <c r="E385" s="1">
        <v>1960657</v>
      </c>
      <c r="F385" s="1">
        <v>5.95</v>
      </c>
      <c r="G385" s="1">
        <v>1</v>
      </c>
      <c r="H385" s="1">
        <v>0</v>
      </c>
      <c r="I385" s="1">
        <v>90</v>
      </c>
      <c r="J385" s="1">
        <v>60003142</v>
      </c>
      <c r="K385" s="1">
        <v>32767</v>
      </c>
      <c r="L385" s="1">
        <v>10</v>
      </c>
      <c r="N385" s="1">
        <v>2873596537</v>
      </c>
      <c r="O385" s="1">
        <v>35</v>
      </c>
      <c r="P385" s="1">
        <v>100000000</v>
      </c>
      <c r="Q385" s="1">
        <v>85843036</v>
      </c>
      <c r="R385" s="1">
        <v>13.62</v>
      </c>
      <c r="S385" s="1">
        <v>1</v>
      </c>
      <c r="T385" s="1">
        <v>1</v>
      </c>
      <c r="U385" s="1">
        <v>90</v>
      </c>
      <c r="V385" s="1">
        <v>60000283</v>
      </c>
      <c r="W385" s="1">
        <v>2</v>
      </c>
      <c r="X385" s="1">
        <v>0</v>
      </c>
      <c r="Z385" s="1">
        <v>2878672329</v>
      </c>
      <c r="AA385" s="1">
        <v>36</v>
      </c>
      <c r="AB385" s="1">
        <v>118188</v>
      </c>
      <c r="AC385" s="1">
        <v>118188</v>
      </c>
      <c r="AD385" s="16">
        <v>45</v>
      </c>
      <c r="AE385" s="1">
        <v>1</v>
      </c>
      <c r="AF385" s="1">
        <v>0</v>
      </c>
      <c r="AG385" s="1">
        <v>1</v>
      </c>
      <c r="AH385" s="1">
        <v>60012670</v>
      </c>
      <c r="AI385" s="1">
        <v>32767</v>
      </c>
      <c r="AJ385" s="1">
        <v>0</v>
      </c>
      <c r="CH385" s="1">
        <v>2067712067</v>
      </c>
      <c r="CI385" s="1">
        <v>29668</v>
      </c>
      <c r="CJ385" s="1">
        <v>1</v>
      </c>
      <c r="CK385" s="1">
        <v>1</v>
      </c>
      <c r="CL385" s="1">
        <v>0.02</v>
      </c>
      <c r="CM385" s="1">
        <v>1</v>
      </c>
      <c r="CN385" s="1">
        <v>1</v>
      </c>
      <c r="CO385" s="1">
        <v>90</v>
      </c>
      <c r="CP385" s="1">
        <v>60003760</v>
      </c>
      <c r="CQ385" s="1">
        <v>32767</v>
      </c>
      <c r="CR385" s="1">
        <v>0</v>
      </c>
    </row>
    <row r="386" spans="2:96" x14ac:dyDescent="0.25">
      <c r="B386" s="1">
        <v>2863669120</v>
      </c>
      <c r="C386" s="1">
        <v>34</v>
      </c>
      <c r="D386" s="1">
        <v>1414421</v>
      </c>
      <c r="E386" s="1">
        <v>1414421</v>
      </c>
      <c r="F386" s="1">
        <v>5.71</v>
      </c>
      <c r="G386" s="1">
        <v>1</v>
      </c>
      <c r="H386" s="1">
        <v>0</v>
      </c>
      <c r="I386" s="1">
        <v>90</v>
      </c>
      <c r="J386" s="1">
        <v>60004081</v>
      </c>
      <c r="K386" s="1">
        <v>32767</v>
      </c>
      <c r="L386" s="1">
        <v>10</v>
      </c>
      <c r="N386" s="1">
        <v>2769065483</v>
      </c>
      <c r="O386" s="1">
        <v>35</v>
      </c>
      <c r="P386" s="1">
        <v>26000000</v>
      </c>
      <c r="Q386" s="1">
        <v>26000000</v>
      </c>
      <c r="R386" s="1">
        <v>12.5</v>
      </c>
      <c r="S386" s="1">
        <v>1</v>
      </c>
      <c r="T386" s="1">
        <v>1</v>
      </c>
      <c r="U386" s="1">
        <v>90</v>
      </c>
      <c r="V386" s="1">
        <v>60003064</v>
      </c>
      <c r="W386" s="1">
        <v>-1</v>
      </c>
      <c r="X386" s="1">
        <v>0</v>
      </c>
      <c r="Z386" s="1">
        <v>2878675454</v>
      </c>
      <c r="AA386" s="1">
        <v>36</v>
      </c>
      <c r="AB386" s="1">
        <v>2681016</v>
      </c>
      <c r="AC386" s="1">
        <v>2681016</v>
      </c>
      <c r="AD386" s="16">
        <v>51</v>
      </c>
      <c r="AE386" s="1">
        <v>1</v>
      </c>
      <c r="AF386" s="1">
        <v>0</v>
      </c>
      <c r="AG386" s="1">
        <v>30</v>
      </c>
      <c r="AH386" s="1">
        <v>60003760</v>
      </c>
      <c r="AI386" s="1">
        <v>32767</v>
      </c>
      <c r="AJ386" s="1">
        <v>0</v>
      </c>
      <c r="CH386" s="1">
        <v>2067712780</v>
      </c>
      <c r="CI386" s="1">
        <v>29668</v>
      </c>
      <c r="CJ386" s="1">
        <v>1</v>
      </c>
      <c r="CK386" s="1">
        <v>1</v>
      </c>
      <c r="CL386" s="1">
        <v>0.01</v>
      </c>
      <c r="CM386" s="1">
        <v>1</v>
      </c>
      <c r="CN386" s="1">
        <v>1</v>
      </c>
      <c r="CO386" s="1">
        <v>90</v>
      </c>
      <c r="CP386" s="1">
        <v>60003760</v>
      </c>
      <c r="CQ386" s="1">
        <v>32767</v>
      </c>
      <c r="CR386" s="1">
        <v>0</v>
      </c>
    </row>
    <row r="387" spans="2:96" x14ac:dyDescent="0.25">
      <c r="B387" s="1">
        <v>2837551113</v>
      </c>
      <c r="C387" s="1">
        <v>34</v>
      </c>
      <c r="D387" s="1">
        <v>584007</v>
      </c>
      <c r="E387" s="1">
        <v>584007</v>
      </c>
      <c r="F387" s="1">
        <v>5.91</v>
      </c>
      <c r="G387" s="1">
        <v>1</v>
      </c>
      <c r="H387" s="1">
        <v>0</v>
      </c>
      <c r="I387" s="1">
        <v>90</v>
      </c>
      <c r="J387" s="1">
        <v>60000916</v>
      </c>
      <c r="K387" s="1">
        <v>32767</v>
      </c>
      <c r="L387" s="1">
        <v>10</v>
      </c>
      <c r="N387" s="1">
        <v>2876927961</v>
      </c>
      <c r="O387" s="1">
        <v>35</v>
      </c>
      <c r="P387" s="1">
        <v>4000000</v>
      </c>
      <c r="Q387" s="1">
        <v>1351649</v>
      </c>
      <c r="R387" s="1">
        <v>13.4</v>
      </c>
      <c r="S387" s="1">
        <v>1</v>
      </c>
      <c r="T387" s="1">
        <v>1</v>
      </c>
      <c r="U387" s="1">
        <v>90</v>
      </c>
      <c r="V387" s="1">
        <v>60003244</v>
      </c>
      <c r="W387" s="1">
        <v>0</v>
      </c>
      <c r="X387" s="1">
        <v>0</v>
      </c>
      <c r="Z387" s="1">
        <v>2878688301</v>
      </c>
      <c r="AA387" s="1">
        <v>36</v>
      </c>
      <c r="AB387" s="1">
        <v>918151</v>
      </c>
      <c r="AC387" s="1">
        <v>918151</v>
      </c>
      <c r="AD387" s="16">
        <v>47</v>
      </c>
      <c r="AE387" s="1">
        <v>1</v>
      </c>
      <c r="AF387" s="1">
        <v>0</v>
      </c>
      <c r="AG387" s="1">
        <v>14</v>
      </c>
      <c r="AH387" s="1">
        <v>60004210</v>
      </c>
      <c r="AI387" s="1">
        <v>32767</v>
      </c>
      <c r="AJ387" s="1">
        <v>0</v>
      </c>
      <c r="CH387" s="1">
        <v>1928471378</v>
      </c>
      <c r="CI387" s="1">
        <v>29668</v>
      </c>
      <c r="CJ387" s="1">
        <v>2</v>
      </c>
      <c r="CK387" s="1">
        <v>2</v>
      </c>
      <c r="CL387" s="1">
        <v>312008002.04000002</v>
      </c>
      <c r="CM387" s="1">
        <v>1</v>
      </c>
      <c r="CN387" s="1">
        <v>1</v>
      </c>
      <c r="CO387" s="1">
        <v>90</v>
      </c>
      <c r="CP387" s="1">
        <v>60003760</v>
      </c>
      <c r="CQ387" s="1">
        <v>0</v>
      </c>
      <c r="CR387" s="1">
        <v>0</v>
      </c>
    </row>
    <row r="388" spans="2:96" x14ac:dyDescent="0.25">
      <c r="B388" s="1">
        <v>2837551383</v>
      </c>
      <c r="C388" s="1">
        <v>34</v>
      </c>
      <c r="D388" s="1">
        <v>637196</v>
      </c>
      <c r="E388" s="1">
        <v>637196</v>
      </c>
      <c r="F388" s="1">
        <v>5.91</v>
      </c>
      <c r="G388" s="1">
        <v>1</v>
      </c>
      <c r="H388" s="1">
        <v>0</v>
      </c>
      <c r="I388" s="1">
        <v>90</v>
      </c>
      <c r="J388" s="1">
        <v>60003046</v>
      </c>
      <c r="K388" s="1">
        <v>32767</v>
      </c>
      <c r="L388" s="1">
        <v>10</v>
      </c>
      <c r="N388" s="1">
        <v>2873352205</v>
      </c>
      <c r="O388" s="1">
        <v>35</v>
      </c>
      <c r="P388" s="1">
        <v>500000000</v>
      </c>
      <c r="Q388" s="1">
        <v>497841812</v>
      </c>
      <c r="R388" s="1">
        <v>14</v>
      </c>
      <c r="S388" s="1">
        <v>1</v>
      </c>
      <c r="T388" s="1">
        <v>1</v>
      </c>
      <c r="U388" s="1">
        <v>90</v>
      </c>
      <c r="V388" s="1">
        <v>60004234</v>
      </c>
      <c r="W388" s="1">
        <v>-1</v>
      </c>
      <c r="X388" s="1">
        <v>0</v>
      </c>
      <c r="Z388" s="1">
        <v>2878708716</v>
      </c>
      <c r="AA388" s="1">
        <v>36</v>
      </c>
      <c r="AB388" s="1">
        <v>536069</v>
      </c>
      <c r="AC388" s="1">
        <v>5529</v>
      </c>
      <c r="AD388" s="16">
        <v>48.77</v>
      </c>
      <c r="AE388" s="1">
        <v>1</v>
      </c>
      <c r="AF388" s="1">
        <v>0</v>
      </c>
      <c r="AG388" s="1">
        <v>90</v>
      </c>
      <c r="AH388" s="1">
        <v>60003760</v>
      </c>
      <c r="AI388" s="1">
        <v>32767</v>
      </c>
      <c r="AJ388" s="1">
        <v>0</v>
      </c>
      <c r="CH388" s="1">
        <v>2307283478</v>
      </c>
      <c r="CI388" s="1">
        <v>29668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90</v>
      </c>
      <c r="CP388" s="1">
        <v>60003760</v>
      </c>
      <c r="CQ388" s="1">
        <v>-1</v>
      </c>
      <c r="CR388" s="1">
        <v>0</v>
      </c>
    </row>
    <row r="389" spans="2:96" x14ac:dyDescent="0.25">
      <c r="B389" s="1">
        <v>2751254971</v>
      </c>
      <c r="C389" s="1">
        <v>34</v>
      </c>
      <c r="D389" s="1">
        <v>8103857</v>
      </c>
      <c r="E389" s="1">
        <v>6894848</v>
      </c>
      <c r="F389" s="1">
        <v>6.1</v>
      </c>
      <c r="G389" s="1">
        <v>1</v>
      </c>
      <c r="H389" s="1">
        <v>0</v>
      </c>
      <c r="I389" s="1">
        <v>90</v>
      </c>
      <c r="J389" s="1">
        <v>60003046</v>
      </c>
      <c r="K389" s="1">
        <v>32767</v>
      </c>
      <c r="L389" s="1">
        <v>10</v>
      </c>
      <c r="N389" s="1">
        <v>2729729678</v>
      </c>
      <c r="O389" s="1">
        <v>35</v>
      </c>
      <c r="P389" s="1">
        <v>100000000</v>
      </c>
      <c r="Q389" s="1">
        <v>75202176</v>
      </c>
      <c r="R389" s="1">
        <v>12.96</v>
      </c>
      <c r="S389" s="1">
        <v>1</v>
      </c>
      <c r="T389" s="1">
        <v>1</v>
      </c>
      <c r="U389" s="1">
        <v>90</v>
      </c>
      <c r="V389" s="1">
        <v>60004240</v>
      </c>
      <c r="W389" s="1">
        <v>0</v>
      </c>
      <c r="X389" s="1">
        <v>0</v>
      </c>
      <c r="Z389" s="1">
        <v>2878756367</v>
      </c>
      <c r="AA389" s="1">
        <v>36</v>
      </c>
      <c r="AB389" s="1">
        <v>394336</v>
      </c>
      <c r="AC389" s="1">
        <v>394336</v>
      </c>
      <c r="AD389" s="16">
        <v>48.77</v>
      </c>
      <c r="AE389" s="1">
        <v>1</v>
      </c>
      <c r="AF389" s="1">
        <v>0</v>
      </c>
      <c r="AG389" s="1">
        <v>90</v>
      </c>
      <c r="AH389" s="1">
        <v>60003760</v>
      </c>
      <c r="AI389" s="1">
        <v>32767</v>
      </c>
      <c r="AJ389" s="1">
        <v>0</v>
      </c>
      <c r="CH389" s="1">
        <v>2307284045</v>
      </c>
      <c r="CI389" s="1">
        <v>29668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90</v>
      </c>
      <c r="CP389" s="1">
        <v>60003760</v>
      </c>
      <c r="CQ389" s="1">
        <v>-1</v>
      </c>
      <c r="CR389" s="1">
        <v>0</v>
      </c>
    </row>
    <row r="390" spans="2:96" x14ac:dyDescent="0.25">
      <c r="B390" s="1">
        <v>2876081310</v>
      </c>
      <c r="C390" s="1">
        <v>34</v>
      </c>
      <c r="D390" s="1">
        <v>12279390</v>
      </c>
      <c r="E390" s="1">
        <v>124593</v>
      </c>
      <c r="F390" s="1">
        <v>5.45</v>
      </c>
      <c r="G390" s="1">
        <v>1</v>
      </c>
      <c r="H390" s="1">
        <v>0</v>
      </c>
      <c r="I390" s="1">
        <v>90</v>
      </c>
      <c r="J390" s="1">
        <v>60003142</v>
      </c>
      <c r="K390" s="1">
        <v>32767</v>
      </c>
      <c r="L390" s="1">
        <v>10</v>
      </c>
      <c r="N390" s="1">
        <v>2873455422</v>
      </c>
      <c r="O390" s="1">
        <v>35</v>
      </c>
      <c r="P390" s="1">
        <v>20000000</v>
      </c>
      <c r="Q390" s="1">
        <v>1665863</v>
      </c>
      <c r="R390" s="1">
        <v>13.4</v>
      </c>
      <c r="S390" s="1">
        <v>1</v>
      </c>
      <c r="T390" s="1">
        <v>1</v>
      </c>
      <c r="U390" s="1">
        <v>90</v>
      </c>
      <c r="V390" s="1">
        <v>60006430</v>
      </c>
      <c r="W390" s="1">
        <v>1</v>
      </c>
      <c r="X390" s="1">
        <v>0</v>
      </c>
      <c r="Z390" s="1">
        <v>2878757328</v>
      </c>
      <c r="AA390" s="1">
        <v>36</v>
      </c>
      <c r="AB390" s="1">
        <v>35226</v>
      </c>
      <c r="AC390" s="1">
        <v>35225</v>
      </c>
      <c r="AD390" s="16">
        <v>48.72</v>
      </c>
      <c r="AE390" s="1">
        <v>1</v>
      </c>
      <c r="AF390" s="1">
        <v>0</v>
      </c>
      <c r="AG390" s="1">
        <v>3</v>
      </c>
      <c r="AH390" s="1">
        <v>60003760</v>
      </c>
      <c r="AI390" s="1">
        <v>32767</v>
      </c>
      <c r="AJ390" s="1">
        <v>0</v>
      </c>
      <c r="CH390" s="1">
        <v>2307284394</v>
      </c>
      <c r="CI390" s="1">
        <v>29668</v>
      </c>
      <c r="CJ390" s="1">
        <v>1</v>
      </c>
      <c r="CK390" s="1">
        <v>1</v>
      </c>
      <c r="CL390" s="1">
        <v>1.27</v>
      </c>
      <c r="CM390" s="1">
        <v>1</v>
      </c>
      <c r="CN390" s="1">
        <v>1</v>
      </c>
      <c r="CO390" s="1">
        <v>90</v>
      </c>
      <c r="CP390" s="1">
        <v>60003760</v>
      </c>
      <c r="CQ390" s="1">
        <v>-1</v>
      </c>
      <c r="CR390" s="1">
        <v>0</v>
      </c>
    </row>
    <row r="391" spans="2:96" x14ac:dyDescent="0.25">
      <c r="B391" s="1">
        <v>2817341244</v>
      </c>
      <c r="C391" s="1">
        <v>34</v>
      </c>
      <c r="D391" s="1">
        <v>3882122</v>
      </c>
      <c r="E391" s="1">
        <v>3620528</v>
      </c>
      <c r="F391" s="1">
        <v>5.95</v>
      </c>
      <c r="G391" s="1">
        <v>1</v>
      </c>
      <c r="H391" s="1">
        <v>0</v>
      </c>
      <c r="I391" s="1">
        <v>90</v>
      </c>
      <c r="J391" s="1">
        <v>60000922</v>
      </c>
      <c r="K391" s="1">
        <v>32767</v>
      </c>
      <c r="L391" s="1">
        <v>10</v>
      </c>
      <c r="N391" s="1">
        <v>2878253771</v>
      </c>
      <c r="O391" s="1">
        <v>35</v>
      </c>
      <c r="P391" s="1">
        <v>150000000</v>
      </c>
      <c r="Q391" s="1">
        <v>148582243</v>
      </c>
      <c r="R391" s="1">
        <v>13.41</v>
      </c>
      <c r="S391" s="1">
        <v>10000</v>
      </c>
      <c r="T391" s="1">
        <v>1</v>
      </c>
      <c r="U391" s="1">
        <v>90</v>
      </c>
      <c r="V391" s="1">
        <v>60006433</v>
      </c>
      <c r="W391" s="1">
        <v>2</v>
      </c>
      <c r="X391" s="1">
        <v>0</v>
      </c>
      <c r="Z391" s="1">
        <v>2878703849</v>
      </c>
      <c r="AA391" s="1">
        <v>36</v>
      </c>
      <c r="AB391" s="1">
        <v>22728175</v>
      </c>
      <c r="AC391" s="1">
        <v>20386164</v>
      </c>
      <c r="AD391" s="16">
        <v>48.71</v>
      </c>
      <c r="AE391" s="1">
        <v>1</v>
      </c>
      <c r="AF391" s="1">
        <v>0</v>
      </c>
      <c r="AG391" s="1">
        <v>90</v>
      </c>
      <c r="AH391" s="1">
        <v>60003760</v>
      </c>
      <c r="AI391" s="1">
        <v>32767</v>
      </c>
      <c r="AJ391" s="1">
        <v>0</v>
      </c>
      <c r="CH391" s="1">
        <v>2304707856</v>
      </c>
      <c r="CI391" s="1">
        <v>29668</v>
      </c>
      <c r="CJ391" s="1">
        <v>1</v>
      </c>
      <c r="CK391" s="1">
        <v>1</v>
      </c>
      <c r="CL391" s="1">
        <v>45000000</v>
      </c>
      <c r="CM391" s="1">
        <v>1</v>
      </c>
      <c r="CN391" s="1">
        <v>1</v>
      </c>
      <c r="CO391" s="1">
        <v>90</v>
      </c>
      <c r="CP391" s="1">
        <v>60003760</v>
      </c>
      <c r="CQ391" s="1">
        <v>32767</v>
      </c>
      <c r="CR391" s="1">
        <v>0</v>
      </c>
    </row>
    <row r="392" spans="2:96" x14ac:dyDescent="0.25">
      <c r="B392" s="1">
        <v>2833928706</v>
      </c>
      <c r="C392" s="1">
        <v>34</v>
      </c>
      <c r="D392" s="1">
        <v>3325752</v>
      </c>
      <c r="E392" s="1">
        <v>3325752</v>
      </c>
      <c r="F392" s="1">
        <v>6</v>
      </c>
      <c r="G392" s="1">
        <v>1</v>
      </c>
      <c r="H392" s="1">
        <v>0</v>
      </c>
      <c r="I392" s="1">
        <v>30</v>
      </c>
      <c r="J392" s="1">
        <v>60003043</v>
      </c>
      <c r="K392" s="1">
        <v>32767</v>
      </c>
      <c r="L392" s="1">
        <v>10</v>
      </c>
      <c r="N392" s="1">
        <v>2353837912</v>
      </c>
      <c r="O392" s="1">
        <v>35</v>
      </c>
      <c r="P392" s="1">
        <v>200000000</v>
      </c>
      <c r="Q392" s="1">
        <v>193669651</v>
      </c>
      <c r="R392" s="1">
        <v>4.16</v>
      </c>
      <c r="S392" s="1">
        <v>1</v>
      </c>
      <c r="T392" s="1">
        <v>1</v>
      </c>
      <c r="U392" s="1">
        <v>90</v>
      </c>
      <c r="V392" s="1">
        <v>60004072</v>
      </c>
      <c r="W392" s="1">
        <v>20</v>
      </c>
      <c r="X392" s="1">
        <v>0</v>
      </c>
      <c r="Z392" s="1">
        <v>2878765022</v>
      </c>
      <c r="AA392" s="1">
        <v>36</v>
      </c>
      <c r="AB392" s="1">
        <v>66205</v>
      </c>
      <c r="AC392" s="1">
        <v>66205</v>
      </c>
      <c r="AD392" s="16">
        <v>52.58</v>
      </c>
      <c r="AE392" s="1">
        <v>1</v>
      </c>
      <c r="AF392" s="1">
        <v>0</v>
      </c>
      <c r="AG392" s="1">
        <v>14</v>
      </c>
      <c r="AH392" s="1">
        <v>60003760</v>
      </c>
      <c r="AI392" s="1">
        <v>32767</v>
      </c>
      <c r="AJ392" s="1">
        <v>0</v>
      </c>
      <c r="CH392" s="1">
        <v>2304506664</v>
      </c>
      <c r="CI392" s="1">
        <v>29668</v>
      </c>
      <c r="CJ392" s="1">
        <v>2</v>
      </c>
      <c r="CK392" s="1">
        <v>2</v>
      </c>
      <c r="CL392" s="1">
        <v>362300003.93000001</v>
      </c>
      <c r="CM392" s="1">
        <v>1</v>
      </c>
      <c r="CN392" s="1">
        <v>1</v>
      </c>
      <c r="CO392" s="1">
        <v>90</v>
      </c>
      <c r="CP392" s="1">
        <v>60003760</v>
      </c>
      <c r="CQ392" s="1">
        <v>-1</v>
      </c>
      <c r="CR392" s="1">
        <v>0</v>
      </c>
    </row>
    <row r="393" spans="2:96" x14ac:dyDescent="0.25">
      <c r="B393" s="1">
        <v>2751258359</v>
      </c>
      <c r="C393" s="1">
        <v>34</v>
      </c>
      <c r="D393" s="1">
        <v>1177902</v>
      </c>
      <c r="E393" s="1">
        <v>1047692</v>
      </c>
      <c r="F393" s="1">
        <v>6.29</v>
      </c>
      <c r="G393" s="1">
        <v>1</v>
      </c>
      <c r="H393" s="1">
        <v>0</v>
      </c>
      <c r="I393" s="1">
        <v>90</v>
      </c>
      <c r="J393" s="1">
        <v>60003241</v>
      </c>
      <c r="K393" s="1">
        <v>32767</v>
      </c>
      <c r="L393" s="1">
        <v>10</v>
      </c>
      <c r="N393" s="1">
        <v>2874896367</v>
      </c>
      <c r="O393" s="1">
        <v>35</v>
      </c>
      <c r="P393" s="1">
        <v>4170000</v>
      </c>
      <c r="Q393" s="1">
        <v>2351739</v>
      </c>
      <c r="R393" s="1">
        <v>13.63</v>
      </c>
      <c r="S393" s="1">
        <v>1</v>
      </c>
      <c r="T393" s="1">
        <v>1</v>
      </c>
      <c r="U393" s="1">
        <v>90</v>
      </c>
      <c r="V393" s="1">
        <v>60003454</v>
      </c>
      <c r="W393" s="1">
        <v>0</v>
      </c>
      <c r="X393" s="1">
        <v>0</v>
      </c>
      <c r="Z393" s="1">
        <v>2878766041</v>
      </c>
      <c r="AA393" s="1">
        <v>36</v>
      </c>
      <c r="AB393" s="1">
        <v>106014</v>
      </c>
      <c r="AC393" s="1">
        <v>106014</v>
      </c>
      <c r="AD393" s="16">
        <v>48.7</v>
      </c>
      <c r="AE393" s="1">
        <v>1</v>
      </c>
      <c r="AF393" s="1">
        <v>0</v>
      </c>
      <c r="AG393" s="1">
        <v>3</v>
      </c>
      <c r="AH393" s="1">
        <v>60000688</v>
      </c>
      <c r="AI393" s="1">
        <v>32767</v>
      </c>
      <c r="AJ393" s="1">
        <v>0</v>
      </c>
      <c r="CH393" s="1">
        <v>2284039379</v>
      </c>
      <c r="CI393" s="1">
        <v>29668</v>
      </c>
      <c r="CJ393" s="1">
        <v>2</v>
      </c>
      <c r="CK393" s="1">
        <v>2</v>
      </c>
      <c r="CL393" s="1">
        <v>375000000</v>
      </c>
      <c r="CM393" s="1">
        <v>1</v>
      </c>
      <c r="CN393" s="1">
        <v>1</v>
      </c>
      <c r="CO393" s="1">
        <v>90</v>
      </c>
      <c r="CP393" s="1">
        <v>60003760</v>
      </c>
      <c r="CQ393" s="1">
        <v>-1</v>
      </c>
      <c r="CR393" s="1">
        <v>0</v>
      </c>
    </row>
    <row r="394" spans="2:96" x14ac:dyDescent="0.25">
      <c r="B394" s="1">
        <v>2819360019</v>
      </c>
      <c r="C394" s="1">
        <v>34</v>
      </c>
      <c r="D394" s="1">
        <v>5259716</v>
      </c>
      <c r="E394" s="1">
        <v>259716</v>
      </c>
      <c r="F394" s="1">
        <v>5.86</v>
      </c>
      <c r="G394" s="1">
        <v>1</v>
      </c>
      <c r="H394" s="1">
        <v>0</v>
      </c>
      <c r="I394" s="1">
        <v>90</v>
      </c>
      <c r="J394" s="1">
        <v>60010201</v>
      </c>
      <c r="K394" s="1">
        <v>32767</v>
      </c>
      <c r="L394" s="1">
        <v>11</v>
      </c>
      <c r="N394" s="1">
        <v>2874415266</v>
      </c>
      <c r="O394" s="1">
        <v>35</v>
      </c>
      <c r="P394" s="1">
        <v>3600000</v>
      </c>
      <c r="Q394" s="1">
        <v>3578675</v>
      </c>
      <c r="R394" s="1">
        <v>13.64</v>
      </c>
      <c r="S394" s="1">
        <v>1</v>
      </c>
      <c r="T394" s="1">
        <v>1</v>
      </c>
      <c r="U394" s="1">
        <v>90</v>
      </c>
      <c r="V394" s="1">
        <v>60003763</v>
      </c>
      <c r="W394" s="1">
        <v>-1</v>
      </c>
      <c r="X394" s="1">
        <v>0</v>
      </c>
      <c r="Z394" s="1">
        <v>2878781892</v>
      </c>
      <c r="AA394" s="1">
        <v>36</v>
      </c>
      <c r="AB394" s="1">
        <v>3276352</v>
      </c>
      <c r="AC394" s="1">
        <v>3276352</v>
      </c>
      <c r="AD394" s="16">
        <v>51.55</v>
      </c>
      <c r="AE394" s="1">
        <v>1</v>
      </c>
      <c r="AF394" s="1">
        <v>0</v>
      </c>
      <c r="AG394" s="1">
        <v>90</v>
      </c>
      <c r="AH394" s="1">
        <v>60003760</v>
      </c>
      <c r="AI394" s="1">
        <v>32767</v>
      </c>
      <c r="AJ394" s="1">
        <v>0</v>
      </c>
      <c r="CH394" s="1">
        <v>2290272621</v>
      </c>
      <c r="CI394" s="1">
        <v>29668</v>
      </c>
      <c r="CJ394" s="1">
        <v>5</v>
      </c>
      <c r="CK394" s="1">
        <v>2</v>
      </c>
      <c r="CL394" s="1">
        <v>425133202.01999998</v>
      </c>
      <c r="CM394" s="1">
        <v>1</v>
      </c>
      <c r="CN394" s="1">
        <v>1</v>
      </c>
      <c r="CO394" s="1">
        <v>90</v>
      </c>
      <c r="CP394" s="1">
        <v>60003760</v>
      </c>
      <c r="CQ394" s="1">
        <v>-1</v>
      </c>
      <c r="CR394" s="1">
        <v>0</v>
      </c>
    </row>
    <row r="395" spans="2:96" x14ac:dyDescent="0.25">
      <c r="B395" s="1">
        <v>2850159444</v>
      </c>
      <c r="C395" s="1">
        <v>34</v>
      </c>
      <c r="D395" s="1">
        <v>7430709</v>
      </c>
      <c r="E395" s="1">
        <v>7430709</v>
      </c>
      <c r="F395" s="1">
        <v>5.8</v>
      </c>
      <c r="G395" s="1">
        <v>1</v>
      </c>
      <c r="H395" s="1">
        <v>0</v>
      </c>
      <c r="I395" s="1">
        <v>90</v>
      </c>
      <c r="J395" s="1">
        <v>60010201</v>
      </c>
      <c r="K395" s="1">
        <v>32767</v>
      </c>
      <c r="L395" s="1">
        <v>11</v>
      </c>
      <c r="N395" s="1">
        <v>2758977296</v>
      </c>
      <c r="O395" s="1">
        <v>35</v>
      </c>
      <c r="P395" s="1">
        <v>100000000</v>
      </c>
      <c r="Q395" s="1">
        <v>16617633</v>
      </c>
      <c r="R395" s="1">
        <v>13.37</v>
      </c>
      <c r="S395" s="1">
        <v>1</v>
      </c>
      <c r="T395" s="1">
        <v>1</v>
      </c>
      <c r="U395" s="1">
        <v>90</v>
      </c>
      <c r="V395" s="1">
        <v>60003760</v>
      </c>
      <c r="W395" s="1">
        <v>-1</v>
      </c>
      <c r="X395" s="1">
        <v>0</v>
      </c>
      <c r="Z395" s="1">
        <v>2878729591</v>
      </c>
      <c r="AA395" s="1">
        <v>36</v>
      </c>
      <c r="AB395" s="1">
        <v>30000000</v>
      </c>
      <c r="AC395" s="1">
        <v>8416616</v>
      </c>
      <c r="AD395" s="16">
        <v>48.7</v>
      </c>
      <c r="AE395" s="1">
        <v>1</v>
      </c>
      <c r="AF395" s="1">
        <v>0</v>
      </c>
      <c r="AG395" s="1">
        <v>90</v>
      </c>
      <c r="AH395" s="1">
        <v>60003760</v>
      </c>
      <c r="AI395" s="1">
        <v>32767</v>
      </c>
      <c r="AJ395" s="1">
        <v>0</v>
      </c>
      <c r="CH395" s="1">
        <v>2289513388</v>
      </c>
      <c r="CI395" s="1">
        <v>29668</v>
      </c>
      <c r="CJ395" s="1">
        <v>2</v>
      </c>
      <c r="CK395" s="1">
        <v>2</v>
      </c>
      <c r="CL395" s="1">
        <v>420000000</v>
      </c>
      <c r="CM395" s="1">
        <v>1</v>
      </c>
      <c r="CN395" s="1">
        <v>1</v>
      </c>
      <c r="CO395" s="1">
        <v>90</v>
      </c>
      <c r="CP395" s="1">
        <v>60003760</v>
      </c>
      <c r="CQ395" s="1">
        <v>-1</v>
      </c>
      <c r="CR395" s="1">
        <v>0</v>
      </c>
    </row>
    <row r="396" spans="2:96" x14ac:dyDescent="0.25">
      <c r="B396" s="1">
        <v>2829617890</v>
      </c>
      <c r="C396" s="1">
        <v>34</v>
      </c>
      <c r="D396" s="1">
        <v>3502975</v>
      </c>
      <c r="E396" s="1">
        <v>3502975</v>
      </c>
      <c r="F396" s="1">
        <v>5.96</v>
      </c>
      <c r="G396" s="1">
        <v>1</v>
      </c>
      <c r="H396" s="1">
        <v>0</v>
      </c>
      <c r="I396" s="1">
        <v>90</v>
      </c>
      <c r="J396" s="1">
        <v>60010201</v>
      </c>
      <c r="K396" s="1">
        <v>32767</v>
      </c>
      <c r="L396" s="1">
        <v>11</v>
      </c>
      <c r="N396" s="1">
        <v>2758615773</v>
      </c>
      <c r="O396" s="1">
        <v>35</v>
      </c>
      <c r="P396" s="1">
        <v>6144240</v>
      </c>
      <c r="Q396" s="1">
        <v>6144240</v>
      </c>
      <c r="R396" s="1">
        <v>13.25</v>
      </c>
      <c r="S396" s="1">
        <v>1</v>
      </c>
      <c r="T396" s="1">
        <v>1</v>
      </c>
      <c r="U396" s="1">
        <v>90</v>
      </c>
      <c r="V396" s="1">
        <v>60003760</v>
      </c>
      <c r="W396" s="1">
        <v>-1</v>
      </c>
      <c r="X396" s="1">
        <v>0</v>
      </c>
      <c r="Z396" s="1">
        <v>2878811334</v>
      </c>
      <c r="AA396" s="1">
        <v>36</v>
      </c>
      <c r="AB396" s="1">
        <v>1558112</v>
      </c>
      <c r="AC396" s="1">
        <v>1558112</v>
      </c>
      <c r="AD396" s="16">
        <v>48.69</v>
      </c>
      <c r="AE396" s="1">
        <v>1</v>
      </c>
      <c r="AF396" s="1">
        <v>0</v>
      </c>
      <c r="AG396" s="1">
        <v>7</v>
      </c>
      <c r="AH396" s="1">
        <v>60003760</v>
      </c>
      <c r="AI396" s="1">
        <v>32767</v>
      </c>
      <c r="AJ396" s="1">
        <v>0</v>
      </c>
      <c r="CH396" s="1">
        <v>2210151003</v>
      </c>
      <c r="CI396" s="1">
        <v>29668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90</v>
      </c>
      <c r="CP396" s="1">
        <v>60003760</v>
      </c>
      <c r="CQ396" s="1">
        <v>-1</v>
      </c>
      <c r="CR396" s="1">
        <v>0</v>
      </c>
    </row>
    <row r="397" spans="2:96" x14ac:dyDescent="0.25">
      <c r="B397" s="1">
        <v>2814476094</v>
      </c>
      <c r="C397" s="1">
        <v>34</v>
      </c>
      <c r="D397" s="1">
        <v>1563174</v>
      </c>
      <c r="E397" s="1">
        <v>1563174</v>
      </c>
      <c r="F397" s="1">
        <v>8.9</v>
      </c>
      <c r="G397" s="1">
        <v>1</v>
      </c>
      <c r="H397" s="1">
        <v>0</v>
      </c>
      <c r="I397" s="1">
        <v>90</v>
      </c>
      <c r="J397" s="1">
        <v>60002425</v>
      </c>
      <c r="K397" s="1">
        <v>32767</v>
      </c>
      <c r="L397" s="1">
        <v>6</v>
      </c>
      <c r="N397" s="1">
        <v>2762574216</v>
      </c>
      <c r="O397" s="1">
        <v>35</v>
      </c>
      <c r="P397" s="1">
        <v>50000000</v>
      </c>
      <c r="Q397" s="1">
        <v>50000000</v>
      </c>
      <c r="R397" s="1">
        <v>5.01</v>
      </c>
      <c r="S397" s="1">
        <v>1</v>
      </c>
      <c r="T397" s="1">
        <v>1</v>
      </c>
      <c r="U397" s="1">
        <v>90</v>
      </c>
      <c r="V397" s="1">
        <v>60003760</v>
      </c>
      <c r="W397" s="1">
        <v>-1</v>
      </c>
      <c r="X397" s="1">
        <v>0</v>
      </c>
      <c r="Z397" s="1">
        <v>2878811589</v>
      </c>
      <c r="AA397" s="1">
        <v>36</v>
      </c>
      <c r="AB397" s="1">
        <v>16618701</v>
      </c>
      <c r="AC397" s="1">
        <v>16618701</v>
      </c>
      <c r="AD397" s="16">
        <v>48.68</v>
      </c>
      <c r="AE397" s="1">
        <v>1</v>
      </c>
      <c r="AF397" s="1">
        <v>0</v>
      </c>
      <c r="AG397" s="1">
        <v>90</v>
      </c>
      <c r="AH397" s="1">
        <v>60003760</v>
      </c>
      <c r="AI397" s="1">
        <v>32767</v>
      </c>
      <c r="AJ397" s="1">
        <v>0</v>
      </c>
      <c r="CH397" s="1">
        <v>2069586946</v>
      </c>
      <c r="CI397" s="1">
        <v>29668</v>
      </c>
      <c r="CJ397" s="1">
        <v>1</v>
      </c>
      <c r="CK397" s="1">
        <v>1</v>
      </c>
      <c r="CL397" s="1">
        <v>0.01</v>
      </c>
      <c r="CM397" s="1">
        <v>1</v>
      </c>
      <c r="CN397" s="1">
        <v>1</v>
      </c>
      <c r="CO397" s="1">
        <v>90</v>
      </c>
      <c r="CP397" s="1">
        <v>60003760</v>
      </c>
      <c r="CQ397" s="1">
        <v>-1</v>
      </c>
      <c r="CR397" s="1">
        <v>0</v>
      </c>
    </row>
    <row r="398" spans="2:96" x14ac:dyDescent="0.25">
      <c r="B398" s="1">
        <v>2827647344</v>
      </c>
      <c r="C398" s="1">
        <v>34</v>
      </c>
      <c r="D398" s="1">
        <v>2746597</v>
      </c>
      <c r="E398" s="1">
        <v>2736697</v>
      </c>
      <c r="F398" s="1">
        <v>5.95</v>
      </c>
      <c r="G398" s="1">
        <v>1</v>
      </c>
      <c r="H398" s="1">
        <v>0</v>
      </c>
      <c r="I398" s="1">
        <v>90</v>
      </c>
      <c r="J398" s="1">
        <v>60003349</v>
      </c>
      <c r="K398" s="1">
        <v>32767</v>
      </c>
      <c r="L398" s="1">
        <v>6</v>
      </c>
      <c r="N398" s="1">
        <v>2772792476</v>
      </c>
      <c r="O398" s="1">
        <v>35</v>
      </c>
      <c r="P398" s="1">
        <v>5000000</v>
      </c>
      <c r="Q398" s="1">
        <v>5000000</v>
      </c>
      <c r="R398" s="1">
        <v>12.51</v>
      </c>
      <c r="S398" s="1">
        <v>1</v>
      </c>
      <c r="T398" s="1">
        <v>1</v>
      </c>
      <c r="U398" s="1">
        <v>90</v>
      </c>
      <c r="V398" s="1">
        <v>60003760</v>
      </c>
      <c r="W398" s="1">
        <v>-1</v>
      </c>
      <c r="X398" s="1">
        <v>0</v>
      </c>
      <c r="Z398" s="1">
        <v>2878813254</v>
      </c>
      <c r="AA398" s="1">
        <v>36</v>
      </c>
      <c r="AB398" s="1">
        <v>850282</v>
      </c>
      <c r="AC398" s="1">
        <v>850282</v>
      </c>
      <c r="AD398" s="16">
        <v>47.54</v>
      </c>
      <c r="AE398" s="1">
        <v>1</v>
      </c>
      <c r="AF398" s="1">
        <v>0</v>
      </c>
      <c r="AG398" s="1">
        <v>1</v>
      </c>
      <c r="AH398" s="1">
        <v>60000535</v>
      </c>
      <c r="AI398" s="1">
        <v>32767</v>
      </c>
      <c r="AJ398" s="1">
        <v>0</v>
      </c>
      <c r="CH398" s="1">
        <v>2244116470</v>
      </c>
      <c r="CI398" s="1">
        <v>29668</v>
      </c>
      <c r="CJ398" s="1">
        <v>100</v>
      </c>
      <c r="CK398" s="1">
        <v>100</v>
      </c>
      <c r="CL398" s="1">
        <v>456375.55</v>
      </c>
      <c r="CM398" s="1">
        <v>1</v>
      </c>
      <c r="CN398" s="1">
        <v>1</v>
      </c>
      <c r="CO398" s="1">
        <v>90</v>
      </c>
      <c r="CP398" s="1">
        <v>60003760</v>
      </c>
      <c r="CQ398" s="1">
        <v>32767</v>
      </c>
      <c r="CR398" s="1">
        <v>0</v>
      </c>
    </row>
    <row r="399" spans="2:96" x14ac:dyDescent="0.25">
      <c r="B399" s="1">
        <v>2869355989</v>
      </c>
      <c r="C399" s="1">
        <v>34</v>
      </c>
      <c r="D399" s="1">
        <v>140864</v>
      </c>
      <c r="E399" s="1">
        <v>140864</v>
      </c>
      <c r="F399" s="1">
        <v>6</v>
      </c>
      <c r="G399" s="1">
        <v>1</v>
      </c>
      <c r="H399" s="1">
        <v>0</v>
      </c>
      <c r="I399" s="1">
        <v>30</v>
      </c>
      <c r="J399" s="1">
        <v>60002425</v>
      </c>
      <c r="K399" s="1">
        <v>32767</v>
      </c>
      <c r="L399" s="1">
        <v>6</v>
      </c>
      <c r="N399" s="1">
        <v>2781922014</v>
      </c>
      <c r="O399" s="1">
        <v>35</v>
      </c>
      <c r="P399" s="1">
        <v>444444444</v>
      </c>
      <c r="Q399" s="1">
        <v>322562095</v>
      </c>
      <c r="R399" s="1">
        <v>13.44</v>
      </c>
      <c r="S399" s="1">
        <v>1</v>
      </c>
      <c r="T399" s="1">
        <v>1</v>
      </c>
      <c r="U399" s="1">
        <v>90</v>
      </c>
      <c r="V399" s="1">
        <v>60003760</v>
      </c>
      <c r="W399" s="1">
        <v>-1</v>
      </c>
      <c r="X399" s="1">
        <v>0</v>
      </c>
      <c r="Z399" s="1">
        <v>2878814191</v>
      </c>
      <c r="AA399" s="1">
        <v>36</v>
      </c>
      <c r="AB399" s="1">
        <v>2857308</v>
      </c>
      <c r="AC399" s="1">
        <v>2857308</v>
      </c>
      <c r="AD399" s="16">
        <v>48.6</v>
      </c>
      <c r="AE399" s="1">
        <v>1</v>
      </c>
      <c r="AF399" s="1">
        <v>0</v>
      </c>
      <c r="AG399" s="1">
        <v>3</v>
      </c>
      <c r="AH399" s="1">
        <v>60003760</v>
      </c>
      <c r="AI399" s="1">
        <v>32767</v>
      </c>
      <c r="AJ399" s="1">
        <v>0</v>
      </c>
      <c r="CH399" s="1">
        <v>2237654441</v>
      </c>
      <c r="CI399" s="1">
        <v>29668</v>
      </c>
      <c r="CJ399" s="1">
        <v>10</v>
      </c>
      <c r="CK399" s="1">
        <v>10</v>
      </c>
      <c r="CL399" s="1">
        <v>350000300.01999998</v>
      </c>
      <c r="CM399" s="1">
        <v>1</v>
      </c>
      <c r="CN399" s="1">
        <v>1</v>
      </c>
      <c r="CO399" s="1">
        <v>90</v>
      </c>
      <c r="CP399" s="1">
        <v>60003760</v>
      </c>
      <c r="CQ399" s="1">
        <v>-1</v>
      </c>
      <c r="CR399" s="1">
        <v>0</v>
      </c>
    </row>
    <row r="400" spans="2:96" x14ac:dyDescent="0.25">
      <c r="B400" s="1">
        <v>2789845745</v>
      </c>
      <c r="C400" s="1">
        <v>34</v>
      </c>
      <c r="D400" s="1">
        <v>69822156</v>
      </c>
      <c r="E400" s="1">
        <v>2113871</v>
      </c>
      <c r="F400" s="1">
        <v>6.3</v>
      </c>
      <c r="G400" s="1">
        <v>1</v>
      </c>
      <c r="H400" s="1">
        <v>0</v>
      </c>
      <c r="I400" s="1">
        <v>90</v>
      </c>
      <c r="J400" s="1">
        <v>60004435</v>
      </c>
      <c r="K400" s="1">
        <v>32767</v>
      </c>
      <c r="L400" s="1">
        <v>7</v>
      </c>
      <c r="N400" s="1">
        <v>2781577598</v>
      </c>
      <c r="O400" s="1">
        <v>35</v>
      </c>
      <c r="P400" s="1">
        <v>444444444</v>
      </c>
      <c r="Q400" s="1">
        <v>444444444</v>
      </c>
      <c r="R400" s="1">
        <v>12.64</v>
      </c>
      <c r="S400" s="1">
        <v>1</v>
      </c>
      <c r="T400" s="1">
        <v>1</v>
      </c>
      <c r="U400" s="1">
        <v>90</v>
      </c>
      <c r="V400" s="1">
        <v>60003760</v>
      </c>
      <c r="W400" s="1">
        <v>-1</v>
      </c>
      <c r="X400" s="1">
        <v>0</v>
      </c>
      <c r="Z400" s="1">
        <v>2878816893</v>
      </c>
      <c r="AA400" s="1">
        <v>36</v>
      </c>
      <c r="AB400" s="1">
        <v>30848</v>
      </c>
      <c r="AC400" s="1">
        <v>30848</v>
      </c>
      <c r="AD400" s="16">
        <v>47.2</v>
      </c>
      <c r="AE400" s="1">
        <v>1</v>
      </c>
      <c r="AF400" s="1">
        <v>0</v>
      </c>
      <c r="AG400" s="1">
        <v>14</v>
      </c>
      <c r="AH400" s="1">
        <v>60015027</v>
      </c>
      <c r="AI400" s="1">
        <v>32767</v>
      </c>
      <c r="AJ400" s="1">
        <v>0</v>
      </c>
      <c r="CH400" s="1">
        <v>2255187395</v>
      </c>
      <c r="CI400" s="1">
        <v>29668</v>
      </c>
      <c r="CJ400" s="1">
        <v>1</v>
      </c>
      <c r="CK400" s="1">
        <v>1</v>
      </c>
      <c r="CL400" s="1">
        <v>400000000</v>
      </c>
      <c r="CM400" s="1">
        <v>1</v>
      </c>
      <c r="CN400" s="1">
        <v>1</v>
      </c>
      <c r="CO400" s="1">
        <v>90</v>
      </c>
      <c r="CP400" s="1">
        <v>60003760</v>
      </c>
      <c r="CQ400" s="1">
        <v>-1</v>
      </c>
      <c r="CR400" s="1">
        <v>0</v>
      </c>
    </row>
    <row r="401" spans="2:96" x14ac:dyDescent="0.25">
      <c r="B401" s="1">
        <v>2853702883</v>
      </c>
      <c r="C401" s="1">
        <v>34</v>
      </c>
      <c r="D401" s="1">
        <v>662457</v>
      </c>
      <c r="E401" s="1">
        <v>28277</v>
      </c>
      <c r="F401" s="1">
        <v>5.8</v>
      </c>
      <c r="G401" s="1">
        <v>1</v>
      </c>
      <c r="H401" s="1">
        <v>0</v>
      </c>
      <c r="I401" s="1">
        <v>90</v>
      </c>
      <c r="J401" s="1">
        <v>60002284</v>
      </c>
      <c r="K401" s="1">
        <v>32767</v>
      </c>
      <c r="L401" s="1">
        <v>7</v>
      </c>
      <c r="N401" s="1">
        <v>2781578666</v>
      </c>
      <c r="O401" s="1">
        <v>35</v>
      </c>
      <c r="P401" s="1">
        <v>444444444</v>
      </c>
      <c r="Q401" s="1">
        <v>444444444</v>
      </c>
      <c r="R401" s="1">
        <v>12.44</v>
      </c>
      <c r="S401" s="1">
        <v>1</v>
      </c>
      <c r="T401" s="1">
        <v>1</v>
      </c>
      <c r="U401" s="1">
        <v>90</v>
      </c>
      <c r="V401" s="1">
        <v>60003760</v>
      </c>
      <c r="W401" s="1">
        <v>-1</v>
      </c>
      <c r="X401" s="1">
        <v>0</v>
      </c>
      <c r="Z401" s="1">
        <v>2878837268</v>
      </c>
      <c r="AA401" s="1">
        <v>36</v>
      </c>
      <c r="AB401" s="1">
        <v>143676</v>
      </c>
      <c r="AC401" s="1">
        <v>143676</v>
      </c>
      <c r="AD401" s="16">
        <v>48</v>
      </c>
      <c r="AE401" s="1">
        <v>1</v>
      </c>
      <c r="AF401" s="1">
        <v>0</v>
      </c>
      <c r="AG401" s="1">
        <v>30</v>
      </c>
      <c r="AH401" s="1">
        <v>60003937</v>
      </c>
      <c r="AI401" s="1">
        <v>32767</v>
      </c>
      <c r="AJ401" s="1">
        <v>0</v>
      </c>
      <c r="CH401" s="1">
        <v>2357076270</v>
      </c>
      <c r="CI401" s="1">
        <v>29668</v>
      </c>
      <c r="CJ401" s="1">
        <v>1</v>
      </c>
      <c r="CK401" s="1">
        <v>1</v>
      </c>
      <c r="CL401" s="1">
        <v>0.01</v>
      </c>
      <c r="CM401" s="1">
        <v>1</v>
      </c>
      <c r="CN401" s="1">
        <v>1</v>
      </c>
      <c r="CO401" s="1">
        <v>90</v>
      </c>
      <c r="CP401" s="1">
        <v>60003760</v>
      </c>
      <c r="CQ401" s="1">
        <v>-1</v>
      </c>
      <c r="CR401" s="1">
        <v>0</v>
      </c>
    </row>
    <row r="402" spans="2:96" x14ac:dyDescent="0.25">
      <c r="B402" s="1">
        <v>2856800446</v>
      </c>
      <c r="C402" s="1">
        <v>34</v>
      </c>
      <c r="D402" s="1">
        <v>2309760</v>
      </c>
      <c r="E402" s="1">
        <v>2309759</v>
      </c>
      <c r="F402" s="1">
        <v>6.42</v>
      </c>
      <c r="G402" s="1">
        <v>1</v>
      </c>
      <c r="H402" s="1">
        <v>0</v>
      </c>
      <c r="I402" s="1">
        <v>90</v>
      </c>
      <c r="J402" s="1">
        <v>60002281</v>
      </c>
      <c r="K402" s="1">
        <v>32767</v>
      </c>
      <c r="L402" s="1">
        <v>8</v>
      </c>
      <c r="N402" s="1">
        <v>2792759069</v>
      </c>
      <c r="O402" s="1">
        <v>35</v>
      </c>
      <c r="P402" s="1">
        <v>307968</v>
      </c>
      <c r="Q402" s="1">
        <v>307968</v>
      </c>
      <c r="R402" s="1">
        <v>0.01</v>
      </c>
      <c r="S402" s="1">
        <v>1</v>
      </c>
      <c r="T402" s="1">
        <v>1</v>
      </c>
      <c r="U402" s="1">
        <v>90</v>
      </c>
      <c r="V402" s="1">
        <v>60003760</v>
      </c>
      <c r="W402" s="1">
        <v>-1</v>
      </c>
      <c r="X402" s="1">
        <v>0</v>
      </c>
      <c r="Z402" s="1">
        <v>2877837452</v>
      </c>
      <c r="AA402" s="1">
        <v>36</v>
      </c>
      <c r="AB402" s="1">
        <v>27990307</v>
      </c>
      <c r="AC402" s="1">
        <v>27990277</v>
      </c>
      <c r="AD402" s="16">
        <v>48.59</v>
      </c>
      <c r="AE402" s="1">
        <v>1</v>
      </c>
      <c r="AF402" s="1">
        <v>0</v>
      </c>
      <c r="AG402" s="1">
        <v>90</v>
      </c>
      <c r="AH402" s="1">
        <v>60003760</v>
      </c>
      <c r="AI402" s="1">
        <v>32767</v>
      </c>
      <c r="AJ402" s="1">
        <v>11</v>
      </c>
      <c r="CH402" s="1">
        <v>2357696687</v>
      </c>
      <c r="CI402" s="1">
        <v>29668</v>
      </c>
      <c r="CJ402" s="1">
        <v>1000</v>
      </c>
      <c r="CK402" s="1">
        <v>1000</v>
      </c>
      <c r="CL402" s="1">
        <v>0.01</v>
      </c>
      <c r="CM402" s="1">
        <v>1</v>
      </c>
      <c r="CN402" s="1">
        <v>1</v>
      </c>
      <c r="CO402" s="1">
        <v>90</v>
      </c>
      <c r="CP402" s="1">
        <v>60003760</v>
      </c>
      <c r="CQ402" s="1">
        <v>40</v>
      </c>
      <c r="CR402" s="1">
        <v>0</v>
      </c>
    </row>
    <row r="403" spans="2:96" x14ac:dyDescent="0.25">
      <c r="B403" s="1">
        <v>2855081168</v>
      </c>
      <c r="C403" s="1">
        <v>34</v>
      </c>
      <c r="D403" s="1">
        <v>11437</v>
      </c>
      <c r="E403" s="1">
        <v>11437</v>
      </c>
      <c r="F403" s="1">
        <v>10</v>
      </c>
      <c r="G403" s="1">
        <v>1</v>
      </c>
      <c r="H403" s="1">
        <v>0</v>
      </c>
      <c r="I403" s="1">
        <v>30</v>
      </c>
      <c r="J403" s="1">
        <v>60002287</v>
      </c>
      <c r="K403" s="1">
        <v>32767</v>
      </c>
      <c r="L403" s="1">
        <v>8</v>
      </c>
      <c r="N403" s="1">
        <v>2838602466</v>
      </c>
      <c r="O403" s="1">
        <v>35</v>
      </c>
      <c r="P403" s="1">
        <v>10000000</v>
      </c>
      <c r="Q403" s="1">
        <v>10000000</v>
      </c>
      <c r="R403" s="1">
        <v>0.01</v>
      </c>
      <c r="S403" s="1">
        <v>1</v>
      </c>
      <c r="T403" s="1">
        <v>1</v>
      </c>
      <c r="U403" s="1">
        <v>90</v>
      </c>
      <c r="V403" s="1">
        <v>60003760</v>
      </c>
      <c r="W403" s="1">
        <v>40</v>
      </c>
      <c r="X403" s="1">
        <v>0</v>
      </c>
      <c r="Z403" s="1">
        <v>2878848280</v>
      </c>
      <c r="AA403" s="1">
        <v>36</v>
      </c>
      <c r="AB403" s="1">
        <v>1113515</v>
      </c>
      <c r="AC403" s="1">
        <v>1113515</v>
      </c>
      <c r="AD403" s="16">
        <v>49.2</v>
      </c>
      <c r="AE403" s="1">
        <v>1</v>
      </c>
      <c r="AF403" s="1">
        <v>0</v>
      </c>
      <c r="AG403" s="1">
        <v>90</v>
      </c>
      <c r="AH403" s="1">
        <v>60003760</v>
      </c>
      <c r="AI403" s="1">
        <v>32767</v>
      </c>
      <c r="AJ403" s="1">
        <v>0</v>
      </c>
      <c r="CH403" s="1">
        <v>2357903650</v>
      </c>
      <c r="CI403" s="1">
        <v>29668</v>
      </c>
      <c r="CJ403" s="1">
        <v>20</v>
      </c>
      <c r="CK403" s="1">
        <v>20</v>
      </c>
      <c r="CL403" s="1">
        <v>486000</v>
      </c>
      <c r="CM403" s="1">
        <v>1</v>
      </c>
      <c r="CN403" s="1">
        <v>1</v>
      </c>
      <c r="CO403" s="1">
        <v>90</v>
      </c>
      <c r="CP403" s="1">
        <v>60003760</v>
      </c>
      <c r="CQ403" s="1">
        <v>10</v>
      </c>
      <c r="CR403" s="1">
        <v>0</v>
      </c>
    </row>
    <row r="404" spans="2:96" x14ac:dyDescent="0.25">
      <c r="B404" s="1">
        <v>2853563224</v>
      </c>
      <c r="C404" s="1">
        <v>34</v>
      </c>
      <c r="D404" s="1">
        <v>710072</v>
      </c>
      <c r="E404" s="1">
        <v>690972</v>
      </c>
      <c r="F404" s="1">
        <v>6</v>
      </c>
      <c r="G404" s="1">
        <v>1</v>
      </c>
      <c r="H404" s="1">
        <v>0</v>
      </c>
      <c r="I404" s="1">
        <v>90</v>
      </c>
      <c r="J404" s="1">
        <v>60002287</v>
      </c>
      <c r="K404" s="1">
        <v>32767</v>
      </c>
      <c r="L404" s="1">
        <v>8</v>
      </c>
      <c r="N404" s="1">
        <v>2840535052</v>
      </c>
      <c r="O404" s="1">
        <v>35</v>
      </c>
      <c r="P404" s="1">
        <v>89262000</v>
      </c>
      <c r="Q404" s="1">
        <v>89262000</v>
      </c>
      <c r="R404" s="1">
        <v>0.01</v>
      </c>
      <c r="S404" s="1">
        <v>1</v>
      </c>
      <c r="T404" s="1">
        <v>1</v>
      </c>
      <c r="U404" s="1">
        <v>90</v>
      </c>
      <c r="V404" s="1">
        <v>60003760</v>
      </c>
      <c r="W404" s="1">
        <v>-1</v>
      </c>
      <c r="X404" s="1">
        <v>0</v>
      </c>
      <c r="Z404" s="1">
        <v>2878855760</v>
      </c>
      <c r="AA404" s="1">
        <v>36</v>
      </c>
      <c r="AB404" s="1">
        <v>12256327</v>
      </c>
      <c r="AC404" s="1">
        <v>5302619</v>
      </c>
      <c r="AD404" s="16">
        <v>48.58</v>
      </c>
      <c r="AE404" s="1">
        <v>1</v>
      </c>
      <c r="AF404" s="1">
        <v>0</v>
      </c>
      <c r="AG404" s="1">
        <v>90</v>
      </c>
      <c r="AH404" s="1">
        <v>60003760</v>
      </c>
      <c r="AI404" s="1">
        <v>32767</v>
      </c>
      <c r="AJ404" s="1">
        <v>0</v>
      </c>
      <c r="CH404" s="1">
        <v>2359731775</v>
      </c>
      <c r="CI404" s="1">
        <v>29668</v>
      </c>
      <c r="CJ404" s="1">
        <v>1</v>
      </c>
      <c r="CK404" s="1">
        <v>1</v>
      </c>
      <c r="CL404" s="1">
        <v>485000</v>
      </c>
      <c r="CM404" s="1">
        <v>1</v>
      </c>
      <c r="CN404" s="1">
        <v>1</v>
      </c>
      <c r="CO404" s="1">
        <v>90</v>
      </c>
      <c r="CP404" s="1">
        <v>60003760</v>
      </c>
      <c r="CQ404" s="1">
        <v>32767</v>
      </c>
      <c r="CR404" s="1">
        <v>0</v>
      </c>
    </row>
    <row r="405" spans="2:96" x14ac:dyDescent="0.25">
      <c r="B405" s="1">
        <v>2877086053</v>
      </c>
      <c r="C405" s="1">
        <v>34</v>
      </c>
      <c r="D405" s="1">
        <v>41057</v>
      </c>
      <c r="E405" s="1">
        <v>41057</v>
      </c>
      <c r="F405" s="1">
        <v>5.63</v>
      </c>
      <c r="G405" s="1">
        <v>1</v>
      </c>
      <c r="H405" s="1">
        <v>0</v>
      </c>
      <c r="I405" s="1">
        <v>1</v>
      </c>
      <c r="J405" s="1">
        <v>60002287</v>
      </c>
      <c r="K405" s="1">
        <v>32767</v>
      </c>
      <c r="L405" s="1">
        <v>8</v>
      </c>
      <c r="N405" s="1">
        <v>2353748822</v>
      </c>
      <c r="O405" s="1">
        <v>35</v>
      </c>
      <c r="P405" s="1">
        <v>400000000</v>
      </c>
      <c r="Q405" s="1">
        <v>400000000</v>
      </c>
      <c r="R405" s="1">
        <v>5.0999999999999996</v>
      </c>
      <c r="S405" s="1">
        <v>1</v>
      </c>
      <c r="T405" s="1">
        <v>1</v>
      </c>
      <c r="U405" s="1">
        <v>90</v>
      </c>
      <c r="V405" s="1">
        <v>60003760</v>
      </c>
      <c r="W405" s="1">
        <v>-1</v>
      </c>
      <c r="X405" s="1">
        <v>0</v>
      </c>
      <c r="Z405" s="1">
        <v>2878874310</v>
      </c>
      <c r="AA405" s="1">
        <v>36</v>
      </c>
      <c r="AB405" s="1">
        <v>3007658</v>
      </c>
      <c r="AC405" s="1">
        <v>3007658</v>
      </c>
      <c r="AD405" s="16">
        <v>47.54</v>
      </c>
      <c r="AE405" s="1">
        <v>1</v>
      </c>
      <c r="AF405" s="1">
        <v>0</v>
      </c>
      <c r="AG405" s="1">
        <v>90</v>
      </c>
      <c r="AH405" s="1">
        <v>60003073</v>
      </c>
      <c r="AI405" s="1">
        <v>32767</v>
      </c>
      <c r="AJ405" s="1">
        <v>0</v>
      </c>
      <c r="CH405" s="1">
        <v>2358660903</v>
      </c>
      <c r="CI405" s="1">
        <v>29668</v>
      </c>
      <c r="CJ405" s="1">
        <v>2</v>
      </c>
      <c r="CK405" s="1">
        <v>2</v>
      </c>
      <c r="CL405" s="1">
        <v>0.01</v>
      </c>
      <c r="CM405" s="1">
        <v>1</v>
      </c>
      <c r="CN405" s="1">
        <v>1</v>
      </c>
      <c r="CO405" s="1">
        <v>90</v>
      </c>
      <c r="CP405" s="1">
        <v>60003760</v>
      </c>
      <c r="CQ405" s="1">
        <v>32767</v>
      </c>
      <c r="CR405" s="1">
        <v>0</v>
      </c>
    </row>
    <row r="406" spans="2:96" x14ac:dyDescent="0.25">
      <c r="B406" s="1">
        <v>2810544907</v>
      </c>
      <c r="C406" s="1">
        <v>34</v>
      </c>
      <c r="D406" s="1">
        <v>65176</v>
      </c>
      <c r="E406" s="1">
        <v>33276</v>
      </c>
      <c r="F406" s="1">
        <v>5.95</v>
      </c>
      <c r="G406" s="1">
        <v>1</v>
      </c>
      <c r="H406" s="1">
        <v>0</v>
      </c>
      <c r="I406" s="1">
        <v>90</v>
      </c>
      <c r="J406" s="1">
        <v>60003208</v>
      </c>
      <c r="K406" s="1">
        <v>32767</v>
      </c>
      <c r="L406" s="1">
        <v>9</v>
      </c>
      <c r="N406" s="1">
        <v>2380424170</v>
      </c>
      <c r="O406" s="1">
        <v>35</v>
      </c>
      <c r="P406" s="1">
        <v>90000000</v>
      </c>
      <c r="Q406" s="1">
        <v>37008769</v>
      </c>
      <c r="R406" s="1">
        <v>9.75</v>
      </c>
      <c r="S406" s="1">
        <v>3250000</v>
      </c>
      <c r="T406" s="1">
        <v>1</v>
      </c>
      <c r="U406" s="1">
        <v>90</v>
      </c>
      <c r="V406" s="1">
        <v>60003760</v>
      </c>
      <c r="W406" s="1">
        <v>32767</v>
      </c>
      <c r="X406" s="1">
        <v>0</v>
      </c>
      <c r="Z406" s="1">
        <v>2878877821</v>
      </c>
      <c r="AA406" s="1">
        <v>36</v>
      </c>
      <c r="AB406" s="1">
        <v>8563987</v>
      </c>
      <c r="AC406" s="1">
        <v>8563987</v>
      </c>
      <c r="AD406" s="16">
        <v>48.58</v>
      </c>
      <c r="AE406" s="1">
        <v>1</v>
      </c>
      <c r="AF406" s="1">
        <v>0</v>
      </c>
      <c r="AG406" s="1">
        <v>90</v>
      </c>
      <c r="AH406" s="1">
        <v>60003760</v>
      </c>
      <c r="AI406" s="1">
        <v>32767</v>
      </c>
      <c r="AJ406" s="1">
        <v>0</v>
      </c>
      <c r="CH406" s="1">
        <v>2359058017</v>
      </c>
      <c r="CI406" s="1">
        <v>29668</v>
      </c>
      <c r="CJ406" s="1">
        <v>1</v>
      </c>
      <c r="CK406" s="1">
        <v>1</v>
      </c>
      <c r="CL406" s="1">
        <v>0.01</v>
      </c>
      <c r="CM406" s="1">
        <v>1</v>
      </c>
      <c r="CN406" s="1">
        <v>1</v>
      </c>
      <c r="CO406" s="1">
        <v>90</v>
      </c>
      <c r="CP406" s="1">
        <v>60003760</v>
      </c>
      <c r="CQ406" s="1">
        <v>32767</v>
      </c>
      <c r="CR406" s="1">
        <v>0</v>
      </c>
    </row>
    <row r="407" spans="2:96" x14ac:dyDescent="0.25">
      <c r="B407" s="1">
        <v>2837548291</v>
      </c>
      <c r="C407" s="1">
        <v>34</v>
      </c>
      <c r="D407" s="1">
        <v>965881</v>
      </c>
      <c r="E407" s="1">
        <v>364081</v>
      </c>
      <c r="F407" s="1">
        <v>5.91</v>
      </c>
      <c r="G407" s="1">
        <v>1</v>
      </c>
      <c r="H407" s="1">
        <v>0</v>
      </c>
      <c r="I407" s="1">
        <v>90</v>
      </c>
      <c r="J407" s="1">
        <v>60001876</v>
      </c>
      <c r="K407" s="1">
        <v>32767</v>
      </c>
      <c r="L407" s="1">
        <v>9</v>
      </c>
      <c r="N407" s="1">
        <v>2725960815</v>
      </c>
      <c r="O407" s="1">
        <v>35</v>
      </c>
      <c r="P407" s="1">
        <v>50000000</v>
      </c>
      <c r="Q407" s="1">
        <v>48973916</v>
      </c>
      <c r="R407" s="1">
        <v>4.5199999999999996</v>
      </c>
      <c r="S407" s="1">
        <v>1</v>
      </c>
      <c r="T407" s="1">
        <v>1</v>
      </c>
      <c r="U407" s="1">
        <v>90</v>
      </c>
      <c r="V407" s="1">
        <v>60003760</v>
      </c>
      <c r="W407" s="1">
        <v>32767</v>
      </c>
      <c r="X407" s="1">
        <v>0</v>
      </c>
      <c r="Z407" s="1">
        <v>2878900138</v>
      </c>
      <c r="AA407" s="1">
        <v>36</v>
      </c>
      <c r="AB407" s="1">
        <v>249244</v>
      </c>
      <c r="AC407" s="1">
        <v>249244</v>
      </c>
      <c r="AD407" s="16">
        <v>49.4</v>
      </c>
      <c r="AE407" s="1">
        <v>1</v>
      </c>
      <c r="AF407" s="1">
        <v>0</v>
      </c>
      <c r="AG407" s="1">
        <v>90</v>
      </c>
      <c r="AH407" s="1">
        <v>60003934</v>
      </c>
      <c r="AI407" s="1">
        <v>32767</v>
      </c>
      <c r="AJ407" s="1">
        <v>0</v>
      </c>
      <c r="CH407" s="1">
        <v>2353373091</v>
      </c>
      <c r="CI407" s="1">
        <v>29668</v>
      </c>
      <c r="CJ407" s="1">
        <v>100</v>
      </c>
      <c r="CK407" s="1">
        <v>100</v>
      </c>
      <c r="CL407" s="1">
        <v>495000</v>
      </c>
      <c r="CM407" s="1">
        <v>1</v>
      </c>
      <c r="CN407" s="1">
        <v>1</v>
      </c>
      <c r="CO407" s="1">
        <v>90</v>
      </c>
      <c r="CP407" s="1">
        <v>60003760</v>
      </c>
      <c r="CQ407" s="1">
        <v>40</v>
      </c>
      <c r="CR407" s="1">
        <v>0</v>
      </c>
    </row>
    <row r="408" spans="2:96" x14ac:dyDescent="0.25">
      <c r="B408" s="1">
        <v>2817350228</v>
      </c>
      <c r="C408" s="1">
        <v>34</v>
      </c>
      <c r="D408" s="1">
        <v>2257217</v>
      </c>
      <c r="E408" s="1">
        <v>1480917</v>
      </c>
      <c r="F408" s="1">
        <v>5.97</v>
      </c>
      <c r="G408" s="1">
        <v>1</v>
      </c>
      <c r="H408" s="1">
        <v>0</v>
      </c>
      <c r="I408" s="1">
        <v>90</v>
      </c>
      <c r="J408" s="1">
        <v>60003211</v>
      </c>
      <c r="K408" s="1">
        <v>32767</v>
      </c>
      <c r="L408" s="1">
        <v>8</v>
      </c>
      <c r="N408" s="1">
        <v>2751155672</v>
      </c>
      <c r="O408" s="1">
        <v>35</v>
      </c>
      <c r="P408" s="1">
        <v>27846010</v>
      </c>
      <c r="Q408" s="1">
        <v>27846010</v>
      </c>
      <c r="R408" s="1">
        <v>1</v>
      </c>
      <c r="S408" s="1">
        <v>1</v>
      </c>
      <c r="T408" s="1">
        <v>1</v>
      </c>
      <c r="U408" s="1">
        <v>90</v>
      </c>
      <c r="V408" s="1">
        <v>60003760</v>
      </c>
      <c r="W408" s="1">
        <v>32767</v>
      </c>
      <c r="X408" s="1">
        <v>0</v>
      </c>
      <c r="Z408" s="1">
        <v>2878938735</v>
      </c>
      <c r="AA408" s="1">
        <v>36</v>
      </c>
      <c r="AB408" s="1">
        <v>34023848</v>
      </c>
      <c r="AC408" s="1">
        <v>11255219</v>
      </c>
      <c r="AD408" s="16">
        <v>48.57</v>
      </c>
      <c r="AE408" s="1">
        <v>1</v>
      </c>
      <c r="AF408" s="1">
        <v>0</v>
      </c>
      <c r="AG408" s="1">
        <v>90</v>
      </c>
      <c r="AH408" s="1">
        <v>60003760</v>
      </c>
      <c r="AI408" s="1">
        <v>32767</v>
      </c>
      <c r="AJ408" s="1">
        <v>0</v>
      </c>
      <c r="CH408" s="1">
        <v>2353150751</v>
      </c>
      <c r="CI408" s="1">
        <v>29668</v>
      </c>
      <c r="CJ408" s="1">
        <v>2</v>
      </c>
      <c r="CK408" s="1">
        <v>2</v>
      </c>
      <c r="CL408" s="1">
        <v>100</v>
      </c>
      <c r="CM408" s="1">
        <v>1</v>
      </c>
      <c r="CN408" s="1">
        <v>1</v>
      </c>
      <c r="CO408" s="1">
        <v>90</v>
      </c>
      <c r="CP408" s="1">
        <v>60003760</v>
      </c>
      <c r="CQ408" s="1">
        <v>32767</v>
      </c>
      <c r="CR408" s="1">
        <v>0</v>
      </c>
    </row>
    <row r="409" spans="2:96" x14ac:dyDescent="0.25">
      <c r="B409" s="1">
        <v>2843830239</v>
      </c>
      <c r="C409" s="1">
        <v>34</v>
      </c>
      <c r="D409" s="1">
        <v>3315744</v>
      </c>
      <c r="E409" s="1">
        <v>3314843</v>
      </c>
      <c r="F409" s="1">
        <v>5.9</v>
      </c>
      <c r="G409" s="1">
        <v>1</v>
      </c>
      <c r="H409" s="1">
        <v>0</v>
      </c>
      <c r="I409" s="1">
        <v>30</v>
      </c>
      <c r="J409" s="1">
        <v>60003211</v>
      </c>
      <c r="K409" s="1">
        <v>32767</v>
      </c>
      <c r="L409" s="1">
        <v>8</v>
      </c>
      <c r="N409" s="1">
        <v>2870821506</v>
      </c>
      <c r="O409" s="1">
        <v>35</v>
      </c>
      <c r="P409" s="1">
        <v>10000000</v>
      </c>
      <c r="Q409" s="1">
        <v>9347710</v>
      </c>
      <c r="R409" s="1">
        <v>11</v>
      </c>
      <c r="S409" s="1">
        <v>1</v>
      </c>
      <c r="T409" s="1">
        <v>1</v>
      </c>
      <c r="U409" s="1">
        <v>30</v>
      </c>
      <c r="V409" s="1">
        <v>60003760</v>
      </c>
      <c r="W409" s="1">
        <v>5</v>
      </c>
      <c r="X409" s="1">
        <v>0</v>
      </c>
      <c r="Z409" s="1">
        <v>2878945121</v>
      </c>
      <c r="AA409" s="1">
        <v>36</v>
      </c>
      <c r="AB409" s="1">
        <v>5771</v>
      </c>
      <c r="AC409" s="1">
        <v>5771</v>
      </c>
      <c r="AD409" s="16">
        <v>278</v>
      </c>
      <c r="AE409" s="1">
        <v>1</v>
      </c>
      <c r="AF409" s="1">
        <v>0</v>
      </c>
      <c r="AG409" s="1">
        <v>1</v>
      </c>
      <c r="AH409" s="1">
        <v>60015027</v>
      </c>
      <c r="AI409" s="1">
        <v>32767</v>
      </c>
      <c r="AJ409" s="1">
        <v>0</v>
      </c>
      <c r="CH409" s="1">
        <v>2352783758</v>
      </c>
      <c r="CI409" s="1">
        <v>29668</v>
      </c>
      <c r="CJ409" s="1">
        <v>1</v>
      </c>
      <c r="CK409" s="1">
        <v>1</v>
      </c>
      <c r="CL409" s="1">
        <v>0.01</v>
      </c>
      <c r="CM409" s="1">
        <v>1</v>
      </c>
      <c r="CN409" s="1">
        <v>1</v>
      </c>
      <c r="CO409" s="1">
        <v>90</v>
      </c>
      <c r="CP409" s="1">
        <v>60003469</v>
      </c>
      <c r="CQ409" s="1">
        <v>32767</v>
      </c>
      <c r="CR409" s="1">
        <v>0</v>
      </c>
    </row>
    <row r="410" spans="2:96" x14ac:dyDescent="0.25">
      <c r="B410" s="1">
        <v>2851935795</v>
      </c>
      <c r="C410" s="1">
        <v>34</v>
      </c>
      <c r="D410" s="1">
        <v>5014840</v>
      </c>
      <c r="E410" s="1">
        <v>934629</v>
      </c>
      <c r="F410" s="1">
        <v>5.95</v>
      </c>
      <c r="G410" s="1">
        <v>1</v>
      </c>
      <c r="H410" s="1">
        <v>0</v>
      </c>
      <c r="I410" s="1">
        <v>90</v>
      </c>
      <c r="J410" s="1">
        <v>60003346</v>
      </c>
      <c r="K410" s="1">
        <v>32767</v>
      </c>
      <c r="L410" s="1">
        <v>9</v>
      </c>
      <c r="N410" s="1">
        <v>2872379659</v>
      </c>
      <c r="O410" s="1">
        <v>35</v>
      </c>
      <c r="P410" s="1">
        <v>253877540</v>
      </c>
      <c r="Q410" s="1">
        <v>253877540</v>
      </c>
      <c r="R410" s="1">
        <v>14.5</v>
      </c>
      <c r="S410" s="1">
        <v>1</v>
      </c>
      <c r="T410" s="1">
        <v>1</v>
      </c>
      <c r="U410" s="1">
        <v>90</v>
      </c>
      <c r="V410" s="1">
        <v>60003760</v>
      </c>
      <c r="W410" s="1">
        <v>-1</v>
      </c>
      <c r="X410" s="1">
        <v>0</v>
      </c>
      <c r="Z410" s="1">
        <v>2878967984</v>
      </c>
      <c r="AA410" s="1">
        <v>36</v>
      </c>
      <c r="AB410" s="1">
        <v>1341265</v>
      </c>
      <c r="AC410" s="1">
        <v>1341265</v>
      </c>
      <c r="AD410" s="16">
        <v>47.04</v>
      </c>
      <c r="AE410" s="1">
        <v>1</v>
      </c>
      <c r="AF410" s="1">
        <v>0</v>
      </c>
      <c r="AG410" s="1">
        <v>7</v>
      </c>
      <c r="AH410" s="1">
        <v>60012667</v>
      </c>
      <c r="AI410" s="1">
        <v>32767</v>
      </c>
      <c r="AJ410" s="1">
        <v>0</v>
      </c>
      <c r="CH410" s="1">
        <v>2354565734</v>
      </c>
      <c r="CI410" s="1">
        <v>29668</v>
      </c>
      <c r="CJ410" s="1">
        <v>3</v>
      </c>
      <c r="CK410" s="1">
        <v>3</v>
      </c>
      <c r="CL410" s="1">
        <v>360000000</v>
      </c>
      <c r="CM410" s="1">
        <v>1</v>
      </c>
      <c r="CN410" s="1">
        <v>1</v>
      </c>
      <c r="CO410" s="1">
        <v>90</v>
      </c>
      <c r="CP410" s="1">
        <v>60003760</v>
      </c>
      <c r="CQ410" s="1">
        <v>-1</v>
      </c>
      <c r="CR410" s="1">
        <v>0</v>
      </c>
    </row>
    <row r="411" spans="2:96" x14ac:dyDescent="0.25">
      <c r="B411" s="1">
        <v>2871505723</v>
      </c>
      <c r="C411" s="1">
        <v>34</v>
      </c>
      <c r="D411" s="1">
        <v>25327</v>
      </c>
      <c r="E411" s="1">
        <v>22527</v>
      </c>
      <c r="F411" s="1">
        <v>7</v>
      </c>
      <c r="G411" s="1">
        <v>1</v>
      </c>
      <c r="H411" s="1">
        <v>0</v>
      </c>
      <c r="I411" s="1">
        <v>30</v>
      </c>
      <c r="J411" s="1">
        <v>60002290</v>
      </c>
      <c r="K411" s="1">
        <v>32767</v>
      </c>
      <c r="L411" s="1">
        <v>9</v>
      </c>
      <c r="N411" s="1">
        <v>2872429103</v>
      </c>
      <c r="O411" s="1">
        <v>35</v>
      </c>
      <c r="P411" s="1">
        <v>1000000000</v>
      </c>
      <c r="Q411" s="1">
        <v>1000000000</v>
      </c>
      <c r="R411" s="1">
        <v>11.01</v>
      </c>
      <c r="S411" s="1">
        <v>2500000</v>
      </c>
      <c r="T411" s="1">
        <v>1</v>
      </c>
      <c r="U411" s="1">
        <v>90</v>
      </c>
      <c r="V411" s="1">
        <v>60003760</v>
      </c>
      <c r="W411" s="1">
        <v>32767</v>
      </c>
      <c r="X411" s="1">
        <v>0</v>
      </c>
      <c r="Z411" s="1">
        <v>2878969620</v>
      </c>
      <c r="AA411" s="1">
        <v>36</v>
      </c>
      <c r="AB411" s="1">
        <v>33733969</v>
      </c>
      <c r="AC411" s="1">
        <v>30839455</v>
      </c>
      <c r="AD411" s="16">
        <v>48.56</v>
      </c>
      <c r="AE411" s="1">
        <v>1</v>
      </c>
      <c r="AF411" s="1">
        <v>0</v>
      </c>
      <c r="AG411" s="1">
        <v>90</v>
      </c>
      <c r="AH411" s="1">
        <v>60003760</v>
      </c>
      <c r="AI411" s="1">
        <v>32767</v>
      </c>
      <c r="AJ411" s="1">
        <v>0</v>
      </c>
      <c r="CH411" s="1">
        <v>2354577154</v>
      </c>
      <c r="CI411" s="1">
        <v>29668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90</v>
      </c>
      <c r="CP411" s="1">
        <v>60003760</v>
      </c>
      <c r="CQ411" s="1">
        <v>40</v>
      </c>
      <c r="CR411" s="1">
        <v>0</v>
      </c>
    </row>
    <row r="412" spans="2:96" x14ac:dyDescent="0.25">
      <c r="B412" s="1">
        <v>2870857076</v>
      </c>
      <c r="C412" s="1">
        <v>34</v>
      </c>
      <c r="D412" s="1">
        <v>115919</v>
      </c>
      <c r="E412" s="1">
        <v>115919</v>
      </c>
      <c r="F412" s="1">
        <v>5.7</v>
      </c>
      <c r="G412" s="1">
        <v>1</v>
      </c>
      <c r="H412" s="1">
        <v>0</v>
      </c>
      <c r="I412" s="1">
        <v>30</v>
      </c>
      <c r="J412" s="1">
        <v>60003346</v>
      </c>
      <c r="K412" s="1">
        <v>32767</v>
      </c>
      <c r="L412" s="1">
        <v>9</v>
      </c>
      <c r="N412" s="1">
        <v>2872557505</v>
      </c>
      <c r="O412" s="1">
        <v>35</v>
      </c>
      <c r="P412" s="1">
        <v>50000000</v>
      </c>
      <c r="Q412" s="1">
        <v>27285852</v>
      </c>
      <c r="R412" s="1">
        <v>12.96</v>
      </c>
      <c r="S412" s="1">
        <v>1000000</v>
      </c>
      <c r="T412" s="1">
        <v>1</v>
      </c>
      <c r="U412" s="1">
        <v>90</v>
      </c>
      <c r="V412" s="1">
        <v>60003760</v>
      </c>
      <c r="W412" s="1">
        <v>32767</v>
      </c>
      <c r="X412" s="1">
        <v>0</v>
      </c>
      <c r="Z412" s="1">
        <v>2878984271</v>
      </c>
      <c r="AA412" s="1">
        <v>36</v>
      </c>
      <c r="AB412" s="1">
        <v>6224153</v>
      </c>
      <c r="AC412" s="1">
        <v>6224153</v>
      </c>
      <c r="AD412" s="16">
        <v>51</v>
      </c>
      <c r="AE412" s="1">
        <v>1</v>
      </c>
      <c r="AF412" s="1">
        <v>0</v>
      </c>
      <c r="AG412" s="1">
        <v>90</v>
      </c>
      <c r="AH412" s="1">
        <v>60003760</v>
      </c>
      <c r="AI412" s="1">
        <v>32767</v>
      </c>
      <c r="AJ412" s="1">
        <v>0</v>
      </c>
      <c r="CH412" s="1">
        <v>2354577738</v>
      </c>
      <c r="CI412" s="1">
        <v>29668</v>
      </c>
      <c r="CJ412" s="1">
        <v>1</v>
      </c>
      <c r="CK412" s="1">
        <v>1</v>
      </c>
      <c r="CL412" s="1">
        <v>489000</v>
      </c>
      <c r="CM412" s="1">
        <v>1</v>
      </c>
      <c r="CN412" s="1">
        <v>1</v>
      </c>
      <c r="CO412" s="1">
        <v>90</v>
      </c>
      <c r="CP412" s="1">
        <v>60003760</v>
      </c>
      <c r="CQ412" s="1">
        <v>40</v>
      </c>
      <c r="CR412" s="1">
        <v>0</v>
      </c>
    </row>
    <row r="413" spans="2:96" x14ac:dyDescent="0.25">
      <c r="B413" s="1">
        <v>2817350810</v>
      </c>
      <c r="C413" s="1">
        <v>34</v>
      </c>
      <c r="D413" s="1">
        <v>2198264</v>
      </c>
      <c r="E413" s="1">
        <v>2198264</v>
      </c>
      <c r="F413" s="1">
        <v>5.98</v>
      </c>
      <c r="G413" s="1">
        <v>1</v>
      </c>
      <c r="H413" s="1">
        <v>0</v>
      </c>
      <c r="I413" s="1">
        <v>90</v>
      </c>
      <c r="J413" s="1">
        <v>60003364</v>
      </c>
      <c r="K413" s="1">
        <v>32767</v>
      </c>
      <c r="L413" s="1">
        <v>9</v>
      </c>
      <c r="N413" s="1">
        <v>2872825964</v>
      </c>
      <c r="O413" s="1">
        <v>35</v>
      </c>
      <c r="P413" s="1">
        <v>500000000</v>
      </c>
      <c r="Q413" s="1">
        <v>453202036</v>
      </c>
      <c r="R413" s="1">
        <v>13.55</v>
      </c>
      <c r="S413" s="1">
        <v>1</v>
      </c>
      <c r="T413" s="1">
        <v>1</v>
      </c>
      <c r="U413" s="1">
        <v>90</v>
      </c>
      <c r="V413" s="1">
        <v>60003760</v>
      </c>
      <c r="W413" s="1">
        <v>-1</v>
      </c>
      <c r="X413" s="1">
        <v>0</v>
      </c>
      <c r="Z413" s="1">
        <v>2878990288</v>
      </c>
      <c r="AA413" s="1">
        <v>36</v>
      </c>
      <c r="AB413" s="1">
        <v>791828</v>
      </c>
      <c r="AC413" s="1">
        <v>791828</v>
      </c>
      <c r="AD413" s="16">
        <v>45.5</v>
      </c>
      <c r="AE413" s="1">
        <v>1</v>
      </c>
      <c r="AF413" s="1">
        <v>0</v>
      </c>
      <c r="AG413" s="1">
        <v>90</v>
      </c>
      <c r="AH413" s="1">
        <v>60000589</v>
      </c>
      <c r="AI413" s="1">
        <v>32767</v>
      </c>
      <c r="AJ413" s="1">
        <v>0</v>
      </c>
      <c r="CH413" s="1">
        <v>2354582087</v>
      </c>
      <c r="CI413" s="1">
        <v>29668</v>
      </c>
      <c r="CJ413" s="1">
        <v>20</v>
      </c>
      <c r="CK413" s="1">
        <v>20</v>
      </c>
      <c r="CL413" s="1">
        <v>490</v>
      </c>
      <c r="CM413" s="1">
        <v>1</v>
      </c>
      <c r="CN413" s="1">
        <v>1</v>
      </c>
      <c r="CO413" s="1">
        <v>90</v>
      </c>
      <c r="CP413" s="1">
        <v>60003760</v>
      </c>
      <c r="CQ413" s="1">
        <v>-1</v>
      </c>
      <c r="CR413" s="1">
        <v>0</v>
      </c>
    </row>
    <row r="414" spans="2:96" x14ac:dyDescent="0.25">
      <c r="B414" s="1">
        <v>2828132929</v>
      </c>
      <c r="C414" s="1">
        <v>34</v>
      </c>
      <c r="D414" s="1">
        <v>8524079</v>
      </c>
      <c r="E414" s="1">
        <v>8524079</v>
      </c>
      <c r="F414" s="1">
        <v>5.95</v>
      </c>
      <c r="G414" s="1">
        <v>1</v>
      </c>
      <c r="H414" s="1">
        <v>0</v>
      </c>
      <c r="I414" s="1">
        <v>90</v>
      </c>
      <c r="J414" s="1">
        <v>60004063</v>
      </c>
      <c r="K414" s="1">
        <v>32767</v>
      </c>
      <c r="L414" s="1">
        <v>9</v>
      </c>
      <c r="N414" s="1">
        <v>2873033360</v>
      </c>
      <c r="O414" s="1">
        <v>35</v>
      </c>
      <c r="P414" s="1">
        <v>12382000</v>
      </c>
      <c r="Q414" s="1">
        <v>12382000</v>
      </c>
      <c r="R414" s="1">
        <v>13.56</v>
      </c>
      <c r="S414" s="1">
        <v>1</v>
      </c>
      <c r="T414" s="1">
        <v>1</v>
      </c>
      <c r="U414" s="1">
        <v>7</v>
      </c>
      <c r="V414" s="1">
        <v>60003760</v>
      </c>
      <c r="W414" s="1">
        <v>-1</v>
      </c>
      <c r="X414" s="1">
        <v>0</v>
      </c>
      <c r="Z414" s="1">
        <v>2878204777</v>
      </c>
      <c r="AA414" s="1">
        <v>36</v>
      </c>
      <c r="AB414" s="1">
        <v>16432191</v>
      </c>
      <c r="AC414" s="1">
        <v>16432191</v>
      </c>
      <c r="AD414" s="16">
        <v>48.6</v>
      </c>
      <c r="AE414" s="1">
        <v>1</v>
      </c>
      <c r="AF414" s="1">
        <v>0</v>
      </c>
      <c r="AG414" s="1">
        <v>90</v>
      </c>
      <c r="AH414" s="1">
        <v>60003757</v>
      </c>
      <c r="AI414" s="1">
        <v>32767</v>
      </c>
      <c r="AJ414" s="1">
        <v>11</v>
      </c>
      <c r="CH414" s="1">
        <v>2356138196</v>
      </c>
      <c r="CI414" s="1">
        <v>29668</v>
      </c>
      <c r="CJ414" s="1">
        <v>1</v>
      </c>
      <c r="CK414" s="1">
        <v>1</v>
      </c>
      <c r="CL414" s="1">
        <v>0.01</v>
      </c>
      <c r="CM414" s="1">
        <v>1</v>
      </c>
      <c r="CN414" s="1">
        <v>1</v>
      </c>
      <c r="CO414" s="1">
        <v>90</v>
      </c>
      <c r="CP414" s="1">
        <v>60003760</v>
      </c>
      <c r="CQ414" s="1">
        <v>-1</v>
      </c>
      <c r="CR414" s="1">
        <v>0</v>
      </c>
    </row>
    <row r="415" spans="2:96" x14ac:dyDescent="0.25">
      <c r="B415" s="1">
        <v>2828133542</v>
      </c>
      <c r="C415" s="1">
        <v>34</v>
      </c>
      <c r="D415" s="1">
        <v>1755790</v>
      </c>
      <c r="E415" s="1">
        <v>1755790</v>
      </c>
      <c r="F415" s="1">
        <v>5.95</v>
      </c>
      <c r="G415" s="1">
        <v>1</v>
      </c>
      <c r="H415" s="1">
        <v>0</v>
      </c>
      <c r="I415" s="1">
        <v>90</v>
      </c>
      <c r="J415" s="1">
        <v>60004057</v>
      </c>
      <c r="K415" s="1">
        <v>32767</v>
      </c>
      <c r="L415" s="1">
        <v>9</v>
      </c>
      <c r="N415" s="1">
        <v>2873195099</v>
      </c>
      <c r="O415" s="1">
        <v>35</v>
      </c>
      <c r="P415" s="1">
        <v>22857</v>
      </c>
      <c r="Q415" s="1">
        <v>22857</v>
      </c>
      <c r="R415" s="1">
        <v>13.95</v>
      </c>
      <c r="S415" s="1">
        <v>1</v>
      </c>
      <c r="T415" s="1">
        <v>1</v>
      </c>
      <c r="U415" s="1">
        <v>90</v>
      </c>
      <c r="V415" s="1">
        <v>60003760</v>
      </c>
      <c r="W415" s="1">
        <v>-1</v>
      </c>
      <c r="X415" s="1">
        <v>0</v>
      </c>
      <c r="Z415" s="1">
        <v>2879004040</v>
      </c>
      <c r="AA415" s="1">
        <v>36</v>
      </c>
      <c r="AB415" s="1">
        <v>46739624</v>
      </c>
      <c r="AC415" s="1">
        <v>46739624</v>
      </c>
      <c r="AD415" s="16">
        <v>48.8</v>
      </c>
      <c r="AE415" s="1">
        <v>1</v>
      </c>
      <c r="AF415" s="1">
        <v>0</v>
      </c>
      <c r="AG415" s="1">
        <v>90</v>
      </c>
      <c r="AH415" s="1">
        <v>60003757</v>
      </c>
      <c r="AI415" s="1">
        <v>32767</v>
      </c>
      <c r="AJ415" s="1">
        <v>0</v>
      </c>
      <c r="CH415" s="1">
        <v>2354857608</v>
      </c>
      <c r="CI415" s="1">
        <v>29668</v>
      </c>
      <c r="CJ415" s="1">
        <v>6</v>
      </c>
      <c r="CK415" s="1">
        <v>6</v>
      </c>
      <c r="CL415" s="1">
        <v>1110000</v>
      </c>
      <c r="CM415" s="1">
        <v>1</v>
      </c>
      <c r="CN415" s="1">
        <v>1</v>
      </c>
      <c r="CO415" s="1">
        <v>90</v>
      </c>
      <c r="CP415" s="1">
        <v>60003760</v>
      </c>
      <c r="CQ415" s="1">
        <v>-1</v>
      </c>
      <c r="CR415" s="1">
        <v>0</v>
      </c>
    </row>
    <row r="416" spans="2:96" x14ac:dyDescent="0.25">
      <c r="B416" s="1">
        <v>2826544586</v>
      </c>
      <c r="C416" s="1">
        <v>34</v>
      </c>
      <c r="D416" s="1">
        <v>5319984</v>
      </c>
      <c r="E416" s="1">
        <v>319984</v>
      </c>
      <c r="F416" s="1">
        <v>5.95</v>
      </c>
      <c r="G416" s="1">
        <v>1</v>
      </c>
      <c r="H416" s="1">
        <v>0</v>
      </c>
      <c r="I416" s="1">
        <v>90</v>
      </c>
      <c r="J416" s="1">
        <v>60004063</v>
      </c>
      <c r="K416" s="1">
        <v>32767</v>
      </c>
      <c r="L416" s="1">
        <v>9</v>
      </c>
      <c r="N416" s="1">
        <v>2874823637</v>
      </c>
      <c r="O416" s="1">
        <v>35</v>
      </c>
      <c r="P416" s="1">
        <v>6108210</v>
      </c>
      <c r="Q416" s="1">
        <v>5590307</v>
      </c>
      <c r="R416" s="1">
        <v>14.17</v>
      </c>
      <c r="S416" s="1">
        <v>1</v>
      </c>
      <c r="T416" s="1">
        <v>1</v>
      </c>
      <c r="U416" s="1">
        <v>90</v>
      </c>
      <c r="V416" s="1">
        <v>60003760</v>
      </c>
      <c r="W416" s="1">
        <v>-1</v>
      </c>
      <c r="X416" s="1">
        <v>0</v>
      </c>
      <c r="Z416" s="1">
        <v>2879021592</v>
      </c>
      <c r="AA416" s="1">
        <v>36</v>
      </c>
      <c r="AB416" s="1">
        <v>1981598</v>
      </c>
      <c r="AC416" s="1">
        <v>682079</v>
      </c>
      <c r="AD416" s="16">
        <v>48.53</v>
      </c>
      <c r="AE416" s="1">
        <v>1</v>
      </c>
      <c r="AF416" s="1">
        <v>0</v>
      </c>
      <c r="AG416" s="1">
        <v>1</v>
      </c>
      <c r="AH416" s="1">
        <v>60003760</v>
      </c>
      <c r="AI416" s="1">
        <v>32767</v>
      </c>
      <c r="AJ416" s="1">
        <v>0</v>
      </c>
      <c r="CH416" s="1">
        <v>2355214053</v>
      </c>
      <c r="CI416" s="1">
        <v>29668</v>
      </c>
      <c r="CJ416" s="1">
        <v>2</v>
      </c>
      <c r="CK416" s="1">
        <v>2</v>
      </c>
      <c r="CL416" s="1">
        <v>4000000</v>
      </c>
      <c r="CM416" s="1">
        <v>1</v>
      </c>
      <c r="CN416" s="1">
        <v>1</v>
      </c>
      <c r="CO416" s="1">
        <v>90</v>
      </c>
      <c r="CP416" s="1">
        <v>60003760</v>
      </c>
      <c r="CQ416" s="1">
        <v>40</v>
      </c>
      <c r="CR416" s="1">
        <v>0</v>
      </c>
    </row>
    <row r="417" spans="2:96" x14ac:dyDescent="0.25">
      <c r="B417" s="1">
        <v>2826545176</v>
      </c>
      <c r="C417" s="1">
        <v>34</v>
      </c>
      <c r="D417" s="1">
        <v>698699</v>
      </c>
      <c r="E417" s="1">
        <v>697699</v>
      </c>
      <c r="F417" s="1">
        <v>5.95</v>
      </c>
      <c r="G417" s="1">
        <v>1</v>
      </c>
      <c r="H417" s="1">
        <v>0</v>
      </c>
      <c r="I417" s="1">
        <v>90</v>
      </c>
      <c r="J417" s="1">
        <v>60004057</v>
      </c>
      <c r="K417" s="1">
        <v>32767</v>
      </c>
      <c r="L417" s="1">
        <v>9</v>
      </c>
      <c r="N417" s="1">
        <v>2874631792</v>
      </c>
      <c r="O417" s="1">
        <v>35</v>
      </c>
      <c r="P417" s="1">
        <v>93750000</v>
      </c>
      <c r="Q417" s="1">
        <v>93750000</v>
      </c>
      <c r="R417" s="1">
        <v>13.7</v>
      </c>
      <c r="S417" s="1">
        <v>1</v>
      </c>
      <c r="T417" s="1">
        <v>1</v>
      </c>
      <c r="U417" s="1">
        <v>30</v>
      </c>
      <c r="V417" s="1">
        <v>60003760</v>
      </c>
      <c r="W417" s="1">
        <v>-1</v>
      </c>
      <c r="X417" s="1">
        <v>0</v>
      </c>
      <c r="Z417" s="1">
        <v>2879065569</v>
      </c>
      <c r="AA417" s="1">
        <v>36</v>
      </c>
      <c r="AB417" s="1">
        <v>752136</v>
      </c>
      <c r="AC417" s="1">
        <v>752136</v>
      </c>
      <c r="AD417" s="16">
        <v>48</v>
      </c>
      <c r="AE417" s="1">
        <v>1</v>
      </c>
      <c r="AF417" s="1">
        <v>0</v>
      </c>
      <c r="AG417" s="1">
        <v>14</v>
      </c>
      <c r="AH417" s="1">
        <v>60001795</v>
      </c>
      <c r="AI417" s="1">
        <v>32767</v>
      </c>
      <c r="AJ417" s="1">
        <v>0</v>
      </c>
      <c r="CH417" s="1">
        <v>2348693209</v>
      </c>
      <c r="CI417" s="1">
        <v>29668</v>
      </c>
      <c r="CJ417" s="1">
        <v>3</v>
      </c>
      <c r="CK417" s="1">
        <v>3</v>
      </c>
      <c r="CL417" s="1">
        <v>44.78</v>
      </c>
      <c r="CM417" s="1">
        <v>1</v>
      </c>
      <c r="CN417" s="1">
        <v>1</v>
      </c>
      <c r="CO417" s="1">
        <v>90</v>
      </c>
      <c r="CP417" s="1">
        <v>60003469</v>
      </c>
      <c r="CQ417" s="1">
        <v>0</v>
      </c>
      <c r="CR417" s="1">
        <v>0</v>
      </c>
    </row>
    <row r="418" spans="2:96" x14ac:dyDescent="0.25">
      <c r="B418" s="1">
        <v>2836992979</v>
      </c>
      <c r="C418" s="1">
        <v>34</v>
      </c>
      <c r="D418" s="1">
        <v>12500701</v>
      </c>
      <c r="E418" s="1">
        <v>3845587</v>
      </c>
      <c r="F418" s="1">
        <v>5.94</v>
      </c>
      <c r="G418" s="1">
        <v>1</v>
      </c>
      <c r="H418" s="1">
        <v>0</v>
      </c>
      <c r="I418" s="1">
        <v>90</v>
      </c>
      <c r="J418" s="1">
        <v>60004057</v>
      </c>
      <c r="K418" s="1">
        <v>32767</v>
      </c>
      <c r="L418" s="1">
        <v>9</v>
      </c>
      <c r="N418" s="1">
        <v>2874637568</v>
      </c>
      <c r="O418" s="1">
        <v>35</v>
      </c>
      <c r="P418" s="1">
        <v>300000000</v>
      </c>
      <c r="Q418" s="1">
        <v>14844054</v>
      </c>
      <c r="R418" s="1">
        <v>14.5</v>
      </c>
      <c r="S418" s="1">
        <v>1</v>
      </c>
      <c r="T418" s="1">
        <v>1</v>
      </c>
      <c r="U418" s="1">
        <v>90</v>
      </c>
      <c r="V418" s="1">
        <v>60003760</v>
      </c>
      <c r="W418" s="1">
        <v>-1</v>
      </c>
      <c r="X418" s="1">
        <v>0</v>
      </c>
      <c r="Z418" s="1">
        <v>2877805290</v>
      </c>
      <c r="AA418" s="1">
        <v>36</v>
      </c>
      <c r="AB418" s="1">
        <v>13760161</v>
      </c>
      <c r="AC418" s="1">
        <v>1560739</v>
      </c>
      <c r="AD418" s="16">
        <v>48.52</v>
      </c>
      <c r="AE418" s="1">
        <v>1</v>
      </c>
      <c r="AF418" s="1">
        <v>0</v>
      </c>
      <c r="AG418" s="1">
        <v>90</v>
      </c>
      <c r="AH418" s="1">
        <v>60003760</v>
      </c>
      <c r="AI418" s="1">
        <v>32767</v>
      </c>
      <c r="AJ418" s="1">
        <v>11</v>
      </c>
      <c r="CH418" s="1">
        <v>2349170073</v>
      </c>
      <c r="CI418" s="1">
        <v>29668</v>
      </c>
      <c r="CJ418" s="1">
        <v>2</v>
      </c>
      <c r="CK418" s="1">
        <v>2</v>
      </c>
      <c r="CL418" s="1">
        <v>100000000</v>
      </c>
      <c r="CM418" s="1">
        <v>1</v>
      </c>
      <c r="CN418" s="1">
        <v>1</v>
      </c>
      <c r="CO418" s="1">
        <v>90</v>
      </c>
      <c r="CP418" s="1">
        <v>60003469</v>
      </c>
      <c r="CQ418" s="1">
        <v>32767</v>
      </c>
      <c r="CR418" s="1">
        <v>0</v>
      </c>
    </row>
    <row r="419" spans="2:96" x14ac:dyDescent="0.25">
      <c r="B419" s="1">
        <v>2866978438</v>
      </c>
      <c r="C419" s="1">
        <v>34</v>
      </c>
      <c r="D419" s="1">
        <v>3452428</v>
      </c>
      <c r="E419" s="1">
        <v>3452428</v>
      </c>
      <c r="F419" s="1">
        <v>5.92</v>
      </c>
      <c r="G419" s="1">
        <v>1</v>
      </c>
      <c r="H419" s="1">
        <v>0</v>
      </c>
      <c r="I419" s="1">
        <v>90</v>
      </c>
      <c r="J419" s="1">
        <v>60004057</v>
      </c>
      <c r="K419" s="1">
        <v>32767</v>
      </c>
      <c r="L419" s="1">
        <v>9</v>
      </c>
      <c r="N419" s="1">
        <v>2877650533</v>
      </c>
      <c r="O419" s="1">
        <v>35</v>
      </c>
      <c r="P419" s="1">
        <v>40000000</v>
      </c>
      <c r="Q419" s="1">
        <v>39444371</v>
      </c>
      <c r="R419" s="1">
        <v>13</v>
      </c>
      <c r="S419" s="1">
        <v>500000</v>
      </c>
      <c r="T419" s="1">
        <v>1</v>
      </c>
      <c r="U419" s="1">
        <v>90</v>
      </c>
      <c r="V419" s="1">
        <v>60003760</v>
      </c>
      <c r="W419" s="1">
        <v>5</v>
      </c>
      <c r="X419" s="1">
        <v>0</v>
      </c>
      <c r="Z419" s="1">
        <v>2879115214</v>
      </c>
      <c r="AA419" s="1">
        <v>36</v>
      </c>
      <c r="AB419" s="1">
        <v>5085705</v>
      </c>
      <c r="AC419" s="1">
        <v>5085705</v>
      </c>
      <c r="AD419" s="16">
        <v>48.52</v>
      </c>
      <c r="AE419" s="1">
        <v>1</v>
      </c>
      <c r="AF419" s="1">
        <v>0</v>
      </c>
      <c r="AG419" s="1">
        <v>30</v>
      </c>
      <c r="AH419" s="1">
        <v>60003760</v>
      </c>
      <c r="AI419" s="1">
        <v>32767</v>
      </c>
      <c r="AJ419" s="1">
        <v>0</v>
      </c>
      <c r="CH419" s="1">
        <v>2349537178</v>
      </c>
      <c r="CI419" s="1">
        <v>29668</v>
      </c>
      <c r="CJ419" s="1">
        <v>10</v>
      </c>
      <c r="CK419" s="1">
        <v>10</v>
      </c>
      <c r="CL419" s="1">
        <v>498998</v>
      </c>
      <c r="CM419" s="1">
        <v>1</v>
      </c>
      <c r="CN419" s="1">
        <v>1</v>
      </c>
      <c r="CO419" s="1">
        <v>90</v>
      </c>
      <c r="CP419" s="1">
        <v>60003760</v>
      </c>
      <c r="CQ419" s="1">
        <v>-1</v>
      </c>
      <c r="CR419" s="1">
        <v>0</v>
      </c>
    </row>
    <row r="420" spans="2:96" x14ac:dyDescent="0.25">
      <c r="B420" s="1">
        <v>2858223702</v>
      </c>
      <c r="C420" s="1">
        <v>34</v>
      </c>
      <c r="D420" s="1">
        <v>1524156</v>
      </c>
      <c r="E420" s="1">
        <v>54156</v>
      </c>
      <c r="F420" s="1">
        <v>5.7</v>
      </c>
      <c r="G420" s="1">
        <v>1</v>
      </c>
      <c r="H420" s="1">
        <v>0</v>
      </c>
      <c r="I420" s="1">
        <v>30</v>
      </c>
      <c r="J420" s="1">
        <v>60004060</v>
      </c>
      <c r="K420" s="1">
        <v>32767</v>
      </c>
      <c r="L420" s="1">
        <v>10</v>
      </c>
      <c r="N420" s="1">
        <v>2878236556</v>
      </c>
      <c r="O420" s="1">
        <v>35</v>
      </c>
      <c r="P420" s="1">
        <v>12382000</v>
      </c>
      <c r="Q420" s="1">
        <v>12382000</v>
      </c>
      <c r="R420" s="1">
        <v>14.26</v>
      </c>
      <c r="S420" s="1">
        <v>1</v>
      </c>
      <c r="T420" s="1">
        <v>1</v>
      </c>
      <c r="U420" s="1">
        <v>7</v>
      </c>
      <c r="V420" s="1">
        <v>60003760</v>
      </c>
      <c r="W420" s="1">
        <v>-1</v>
      </c>
      <c r="X420" s="1">
        <v>0</v>
      </c>
      <c r="Z420" s="1">
        <v>2879115792</v>
      </c>
      <c r="AA420" s="1">
        <v>36</v>
      </c>
      <c r="AB420" s="1">
        <v>2601324</v>
      </c>
      <c r="AC420" s="1">
        <v>2601324</v>
      </c>
      <c r="AD420" s="16">
        <v>48.55</v>
      </c>
      <c r="AE420" s="1">
        <v>1</v>
      </c>
      <c r="AF420" s="1">
        <v>0</v>
      </c>
      <c r="AG420" s="1">
        <v>90</v>
      </c>
      <c r="AH420" s="1">
        <v>60003760</v>
      </c>
      <c r="AI420" s="1">
        <v>32767</v>
      </c>
      <c r="AJ420" s="1">
        <v>0</v>
      </c>
      <c r="CH420" s="1">
        <v>2352619403</v>
      </c>
      <c r="CI420" s="1">
        <v>29668</v>
      </c>
      <c r="CJ420" s="1">
        <v>50</v>
      </c>
      <c r="CK420" s="1">
        <v>50</v>
      </c>
      <c r="CL420" s="1">
        <v>0.01</v>
      </c>
      <c r="CM420" s="1">
        <v>1</v>
      </c>
      <c r="CN420" s="1">
        <v>1</v>
      </c>
      <c r="CO420" s="1">
        <v>90</v>
      </c>
      <c r="CP420" s="1">
        <v>60003466</v>
      </c>
      <c r="CQ420" s="1">
        <v>-1</v>
      </c>
      <c r="CR420" s="1">
        <v>0</v>
      </c>
    </row>
    <row r="421" spans="2:96" x14ac:dyDescent="0.25">
      <c r="B421" s="1">
        <v>2846896834</v>
      </c>
      <c r="C421" s="1">
        <v>34</v>
      </c>
      <c r="D421" s="1">
        <v>22456801</v>
      </c>
      <c r="E421" s="1">
        <v>6887801</v>
      </c>
      <c r="F421" s="1">
        <v>5.8</v>
      </c>
      <c r="G421" s="1">
        <v>1</v>
      </c>
      <c r="H421" s="1">
        <v>0</v>
      </c>
      <c r="I421" s="1">
        <v>30</v>
      </c>
      <c r="J421" s="1">
        <v>60002278</v>
      </c>
      <c r="K421" s="1">
        <v>32767</v>
      </c>
      <c r="L421" s="1">
        <v>10</v>
      </c>
      <c r="N421" s="1">
        <v>2876400075</v>
      </c>
      <c r="O421" s="1">
        <v>35</v>
      </c>
      <c r="P421" s="1">
        <v>30000000</v>
      </c>
      <c r="Q421" s="1">
        <v>163524</v>
      </c>
      <c r="R421" s="1">
        <v>13.41</v>
      </c>
      <c r="S421" s="1">
        <v>1</v>
      </c>
      <c r="T421" s="1">
        <v>1</v>
      </c>
      <c r="U421" s="1">
        <v>90</v>
      </c>
      <c r="V421" s="1">
        <v>60003760</v>
      </c>
      <c r="W421" s="1">
        <v>0</v>
      </c>
      <c r="X421" s="1">
        <v>0</v>
      </c>
      <c r="Z421" s="1">
        <v>2879119034</v>
      </c>
      <c r="AA421" s="1">
        <v>36</v>
      </c>
      <c r="AB421" s="1">
        <v>202369</v>
      </c>
      <c r="AC421" s="1">
        <v>202369</v>
      </c>
      <c r="AD421" s="16">
        <v>47</v>
      </c>
      <c r="AE421" s="1">
        <v>1</v>
      </c>
      <c r="AF421" s="1">
        <v>0</v>
      </c>
      <c r="AG421" s="1">
        <v>1</v>
      </c>
      <c r="AH421" s="1">
        <v>60000517</v>
      </c>
      <c r="AI421" s="1">
        <v>32767</v>
      </c>
      <c r="AJ421" s="1">
        <v>0</v>
      </c>
      <c r="CH421" s="1">
        <v>2350843203</v>
      </c>
      <c r="CI421" s="1">
        <v>29668</v>
      </c>
      <c r="CJ421" s="1">
        <v>1</v>
      </c>
      <c r="CK421" s="1">
        <v>1</v>
      </c>
      <c r="CL421" s="1">
        <v>330000000</v>
      </c>
      <c r="CM421" s="1">
        <v>1</v>
      </c>
      <c r="CN421" s="1">
        <v>1</v>
      </c>
      <c r="CO421" s="1">
        <v>90</v>
      </c>
      <c r="CP421" s="1">
        <v>60003760</v>
      </c>
      <c r="CQ421" s="1">
        <v>0</v>
      </c>
      <c r="CR421" s="1">
        <v>0</v>
      </c>
    </row>
    <row r="422" spans="2:96" x14ac:dyDescent="0.25">
      <c r="B422" s="1">
        <v>2878206839</v>
      </c>
      <c r="C422" s="1">
        <v>34</v>
      </c>
      <c r="D422" s="1">
        <v>77392</v>
      </c>
      <c r="E422" s="1">
        <v>77392</v>
      </c>
      <c r="F422" s="1">
        <v>5.5</v>
      </c>
      <c r="G422" s="1">
        <v>1</v>
      </c>
      <c r="H422" s="1">
        <v>0</v>
      </c>
      <c r="I422" s="1">
        <v>3</v>
      </c>
      <c r="J422" s="1">
        <v>60002278</v>
      </c>
      <c r="K422" s="1">
        <v>32767</v>
      </c>
      <c r="L422" s="1">
        <v>10</v>
      </c>
      <c r="N422" s="1">
        <v>2877412625</v>
      </c>
      <c r="O422" s="1">
        <v>35</v>
      </c>
      <c r="P422" s="1">
        <v>100000000</v>
      </c>
      <c r="Q422" s="1">
        <v>99277437</v>
      </c>
      <c r="R422" s="1">
        <v>12.98</v>
      </c>
      <c r="S422" s="1">
        <v>1</v>
      </c>
      <c r="T422" s="1">
        <v>1</v>
      </c>
      <c r="U422" s="1">
        <v>90</v>
      </c>
      <c r="V422" s="1">
        <v>60003760</v>
      </c>
      <c r="W422" s="1">
        <v>4</v>
      </c>
      <c r="X422" s="1">
        <v>0</v>
      </c>
      <c r="Z422" s="1">
        <v>2843737582</v>
      </c>
      <c r="AA422" s="1">
        <v>36</v>
      </c>
      <c r="AB422" s="1">
        <v>37346402</v>
      </c>
      <c r="AC422" s="1">
        <v>30156178</v>
      </c>
      <c r="AD422" s="16">
        <v>50</v>
      </c>
      <c r="AE422" s="1">
        <v>1</v>
      </c>
      <c r="AF422" s="1">
        <v>0</v>
      </c>
      <c r="AG422" s="1">
        <v>90</v>
      </c>
      <c r="AH422" s="1">
        <v>60003760</v>
      </c>
      <c r="AI422" s="1">
        <v>32767</v>
      </c>
      <c r="AJ422" s="1">
        <v>11</v>
      </c>
      <c r="CH422" s="1">
        <v>2351358097</v>
      </c>
      <c r="CI422" s="1">
        <v>29668</v>
      </c>
      <c r="CJ422" s="1">
        <v>2</v>
      </c>
      <c r="CK422" s="1">
        <v>2</v>
      </c>
      <c r="CL422" s="1">
        <v>390000000</v>
      </c>
      <c r="CM422" s="1">
        <v>1</v>
      </c>
      <c r="CN422" s="1">
        <v>1</v>
      </c>
      <c r="CO422" s="1">
        <v>90</v>
      </c>
      <c r="CP422" s="1">
        <v>60003760</v>
      </c>
      <c r="CQ422" s="1">
        <v>0</v>
      </c>
      <c r="CR422" s="1">
        <v>0</v>
      </c>
    </row>
    <row r="423" spans="2:96" x14ac:dyDescent="0.25">
      <c r="B423" s="1">
        <v>2877796992</v>
      </c>
      <c r="C423" s="1">
        <v>34</v>
      </c>
      <c r="D423" s="1">
        <v>95226</v>
      </c>
      <c r="E423" s="1">
        <v>14226</v>
      </c>
      <c r="F423" s="1">
        <v>5.62</v>
      </c>
      <c r="G423" s="1">
        <v>1</v>
      </c>
      <c r="H423" s="1">
        <v>0</v>
      </c>
      <c r="I423" s="1">
        <v>3</v>
      </c>
      <c r="J423" s="1">
        <v>60002278</v>
      </c>
      <c r="K423" s="1">
        <v>32767</v>
      </c>
      <c r="L423" s="1">
        <v>10</v>
      </c>
      <c r="N423" s="1">
        <v>2876896780</v>
      </c>
      <c r="O423" s="1">
        <v>35</v>
      </c>
      <c r="P423" s="1">
        <v>300000000</v>
      </c>
      <c r="Q423" s="1">
        <v>300000000</v>
      </c>
      <c r="R423" s="1">
        <v>14.41</v>
      </c>
      <c r="S423" s="1">
        <v>1</v>
      </c>
      <c r="T423" s="1">
        <v>1</v>
      </c>
      <c r="U423" s="1">
        <v>90</v>
      </c>
      <c r="V423" s="1">
        <v>60003760</v>
      </c>
      <c r="W423" s="1">
        <v>-1</v>
      </c>
      <c r="X423" s="1">
        <v>0</v>
      </c>
      <c r="Z423" s="1">
        <v>2879122198</v>
      </c>
      <c r="AA423" s="1">
        <v>36</v>
      </c>
      <c r="AB423" s="1">
        <v>8828</v>
      </c>
      <c r="AC423" s="1">
        <v>8828</v>
      </c>
      <c r="AD423" s="16">
        <v>55</v>
      </c>
      <c r="AE423" s="1">
        <v>1</v>
      </c>
      <c r="AF423" s="1">
        <v>0</v>
      </c>
      <c r="AG423" s="1">
        <v>90</v>
      </c>
      <c r="AH423" s="1">
        <v>60004369</v>
      </c>
      <c r="AI423" s="1">
        <v>32767</v>
      </c>
      <c r="AJ423" s="1">
        <v>0</v>
      </c>
      <c r="CH423" s="1">
        <v>2347628056</v>
      </c>
      <c r="CI423" s="1">
        <v>29668</v>
      </c>
      <c r="CJ423" s="1">
        <v>1</v>
      </c>
      <c r="CK423" s="1">
        <v>1</v>
      </c>
      <c r="CL423" s="1">
        <v>499000</v>
      </c>
      <c r="CM423" s="1">
        <v>1</v>
      </c>
      <c r="CN423" s="1">
        <v>1</v>
      </c>
      <c r="CO423" s="1">
        <v>90</v>
      </c>
      <c r="CP423" s="1">
        <v>60003469</v>
      </c>
      <c r="CQ423" s="1">
        <v>40</v>
      </c>
      <c r="CR423" s="1">
        <v>0</v>
      </c>
    </row>
    <row r="424" spans="2:96" x14ac:dyDescent="0.25">
      <c r="B424" s="1">
        <v>2860034331</v>
      </c>
      <c r="C424" s="1">
        <v>34</v>
      </c>
      <c r="D424" s="1">
        <v>2611</v>
      </c>
      <c r="E424" s="1">
        <v>2611</v>
      </c>
      <c r="F424" s="1">
        <v>5.7</v>
      </c>
      <c r="G424" s="1">
        <v>1</v>
      </c>
      <c r="H424" s="1">
        <v>0</v>
      </c>
      <c r="I424" s="1">
        <v>30</v>
      </c>
      <c r="J424" s="1">
        <v>60002845</v>
      </c>
      <c r="K424" s="1">
        <v>32767</v>
      </c>
      <c r="L424" s="1">
        <v>11</v>
      </c>
      <c r="N424" s="1">
        <v>2255636369</v>
      </c>
      <c r="O424" s="1">
        <v>35</v>
      </c>
      <c r="P424" s="1">
        <v>10000000</v>
      </c>
      <c r="Q424" s="1">
        <v>9957166</v>
      </c>
      <c r="R424" s="1">
        <v>0.18</v>
      </c>
      <c r="S424" s="1">
        <v>1</v>
      </c>
      <c r="T424" s="1">
        <v>1</v>
      </c>
      <c r="U424" s="1">
        <v>90</v>
      </c>
      <c r="V424" s="1">
        <v>60003724</v>
      </c>
      <c r="W424" s="1">
        <v>10</v>
      </c>
      <c r="X424" s="1">
        <v>0</v>
      </c>
      <c r="Z424" s="1">
        <v>2879122440</v>
      </c>
      <c r="AA424" s="1">
        <v>36</v>
      </c>
      <c r="AB424" s="1">
        <v>18364</v>
      </c>
      <c r="AC424" s="1">
        <v>18314</v>
      </c>
      <c r="AD424" s="16">
        <v>46.98</v>
      </c>
      <c r="AE424" s="1">
        <v>1</v>
      </c>
      <c r="AF424" s="1">
        <v>0</v>
      </c>
      <c r="AG424" s="1">
        <v>30</v>
      </c>
      <c r="AH424" s="1">
        <v>60015027</v>
      </c>
      <c r="AI424" s="1">
        <v>32767</v>
      </c>
      <c r="AJ424" s="1">
        <v>0</v>
      </c>
      <c r="CH424" s="1">
        <v>2347289152</v>
      </c>
      <c r="CI424" s="1">
        <v>29668</v>
      </c>
      <c r="CJ424" s="1">
        <v>1</v>
      </c>
      <c r="CK424" s="1">
        <v>1</v>
      </c>
      <c r="CL424" s="1">
        <v>460000</v>
      </c>
      <c r="CM424" s="1">
        <v>1</v>
      </c>
      <c r="CN424" s="1">
        <v>1</v>
      </c>
      <c r="CO424" s="1">
        <v>90</v>
      </c>
      <c r="CP424" s="1">
        <v>60003760</v>
      </c>
      <c r="CQ424" s="1">
        <v>40</v>
      </c>
      <c r="CR424" s="1">
        <v>0</v>
      </c>
    </row>
    <row r="425" spans="2:96" x14ac:dyDescent="0.25">
      <c r="B425" s="1">
        <v>2837549928</v>
      </c>
      <c r="C425" s="1">
        <v>34</v>
      </c>
      <c r="D425" s="1">
        <v>717059</v>
      </c>
      <c r="E425" s="1">
        <v>717057</v>
      </c>
      <c r="F425" s="1">
        <v>5.91</v>
      </c>
      <c r="G425" s="1">
        <v>1</v>
      </c>
      <c r="H425" s="1">
        <v>0</v>
      </c>
      <c r="I425" s="1">
        <v>90</v>
      </c>
      <c r="J425" s="1">
        <v>60002845</v>
      </c>
      <c r="K425" s="1">
        <v>32767</v>
      </c>
      <c r="L425" s="1">
        <v>11</v>
      </c>
      <c r="N425" s="1">
        <v>2845035020</v>
      </c>
      <c r="O425" s="1">
        <v>35</v>
      </c>
      <c r="P425" s="1">
        <v>1000000</v>
      </c>
      <c r="Q425" s="1">
        <v>538340</v>
      </c>
      <c r="R425" s="1">
        <v>13.34</v>
      </c>
      <c r="S425" s="1">
        <v>1</v>
      </c>
      <c r="T425" s="1">
        <v>1</v>
      </c>
      <c r="U425" s="1">
        <v>90</v>
      </c>
      <c r="V425" s="1">
        <v>60004054</v>
      </c>
      <c r="W425" s="1">
        <v>-1</v>
      </c>
      <c r="X425" s="1">
        <v>0</v>
      </c>
      <c r="Z425" s="1">
        <v>2875680887</v>
      </c>
      <c r="AA425" s="1">
        <v>36</v>
      </c>
      <c r="AB425" s="1">
        <v>30000000</v>
      </c>
      <c r="AC425" s="1">
        <v>28936742</v>
      </c>
      <c r="AD425" s="16">
        <v>38.15</v>
      </c>
      <c r="AE425" s="1">
        <v>1</v>
      </c>
      <c r="AF425" s="1">
        <v>1</v>
      </c>
      <c r="AG425" s="1">
        <v>90</v>
      </c>
      <c r="AH425" s="1">
        <v>60000283</v>
      </c>
      <c r="AI425" s="1">
        <v>2</v>
      </c>
      <c r="AJ425" s="1">
        <v>0</v>
      </c>
      <c r="CH425" s="1">
        <v>2346184239</v>
      </c>
      <c r="CI425" s="1">
        <v>29668</v>
      </c>
      <c r="CJ425" s="1">
        <v>2</v>
      </c>
      <c r="CK425" s="1">
        <v>2</v>
      </c>
      <c r="CL425" s="1">
        <v>45030955</v>
      </c>
      <c r="CM425" s="1">
        <v>1</v>
      </c>
      <c r="CN425" s="1">
        <v>1</v>
      </c>
      <c r="CO425" s="1">
        <v>90</v>
      </c>
      <c r="CP425" s="1">
        <v>60003760</v>
      </c>
      <c r="CQ425" s="1">
        <v>40</v>
      </c>
      <c r="CR425" s="1">
        <v>0</v>
      </c>
    </row>
    <row r="426" spans="2:96" x14ac:dyDescent="0.25">
      <c r="B426" s="1">
        <v>2756393183</v>
      </c>
      <c r="C426" s="1">
        <v>34</v>
      </c>
      <c r="D426" s="1">
        <v>5698837</v>
      </c>
      <c r="E426" s="1">
        <v>5698837</v>
      </c>
      <c r="F426" s="1">
        <v>6.25</v>
      </c>
      <c r="G426" s="1">
        <v>1</v>
      </c>
      <c r="H426" s="1">
        <v>0</v>
      </c>
      <c r="I426" s="1">
        <v>90</v>
      </c>
      <c r="J426" s="1">
        <v>60002848</v>
      </c>
      <c r="K426" s="1">
        <v>32767</v>
      </c>
      <c r="L426" s="1">
        <v>12</v>
      </c>
      <c r="N426" s="1">
        <v>2873322205</v>
      </c>
      <c r="O426" s="1">
        <v>35</v>
      </c>
      <c r="P426" s="1">
        <v>5000000</v>
      </c>
      <c r="Q426" s="1">
        <v>166961</v>
      </c>
      <c r="R426" s="1">
        <v>13.4</v>
      </c>
      <c r="S426" s="1">
        <v>1</v>
      </c>
      <c r="T426" s="1">
        <v>1</v>
      </c>
      <c r="U426" s="1">
        <v>90</v>
      </c>
      <c r="V426" s="1">
        <v>60002743</v>
      </c>
      <c r="W426" s="1">
        <v>1</v>
      </c>
      <c r="X426" s="1">
        <v>0</v>
      </c>
      <c r="Z426" s="1">
        <v>2876927115</v>
      </c>
      <c r="AA426" s="1">
        <v>36</v>
      </c>
      <c r="AB426" s="1">
        <v>3000000</v>
      </c>
      <c r="AC426" s="1">
        <v>2571127</v>
      </c>
      <c r="AD426" s="16">
        <v>37.47</v>
      </c>
      <c r="AE426" s="1">
        <v>1</v>
      </c>
      <c r="AF426" s="1">
        <v>1</v>
      </c>
      <c r="AG426" s="1">
        <v>90</v>
      </c>
      <c r="AH426" s="1">
        <v>60003244</v>
      </c>
      <c r="AI426" s="1">
        <v>0</v>
      </c>
      <c r="AJ426" s="1">
        <v>0</v>
      </c>
      <c r="CH426" s="1">
        <v>2411830597</v>
      </c>
      <c r="CI426" s="1">
        <v>29668</v>
      </c>
      <c r="CJ426" s="1">
        <v>3</v>
      </c>
      <c r="CK426" s="1">
        <v>3</v>
      </c>
      <c r="CL426" s="1">
        <v>100000</v>
      </c>
      <c r="CM426" s="1">
        <v>1</v>
      </c>
      <c r="CN426" s="1">
        <v>1</v>
      </c>
      <c r="CO426" s="1">
        <v>90</v>
      </c>
      <c r="CP426" s="1">
        <v>60003760</v>
      </c>
      <c r="CQ426" s="1">
        <v>0</v>
      </c>
      <c r="CR426" s="1">
        <v>0</v>
      </c>
    </row>
    <row r="427" spans="2:96" x14ac:dyDescent="0.25">
      <c r="B427" s="1">
        <v>2875327768</v>
      </c>
      <c r="C427" s="1">
        <v>34</v>
      </c>
      <c r="D427" s="1">
        <v>2184803</v>
      </c>
      <c r="E427" s="1">
        <v>2184803</v>
      </c>
      <c r="F427" s="1">
        <v>5.64</v>
      </c>
      <c r="G427" s="1">
        <v>1</v>
      </c>
      <c r="H427" s="1">
        <v>0</v>
      </c>
      <c r="I427" s="1">
        <v>90</v>
      </c>
      <c r="J427" s="1">
        <v>60002842</v>
      </c>
      <c r="K427" s="1">
        <v>32767</v>
      </c>
      <c r="L427" s="1">
        <v>12</v>
      </c>
      <c r="N427" s="1">
        <v>2782645777</v>
      </c>
      <c r="O427" s="1">
        <v>35</v>
      </c>
      <c r="P427" s="1">
        <v>1000000</v>
      </c>
      <c r="Q427" s="1">
        <v>1000000</v>
      </c>
      <c r="R427" s="1">
        <v>12</v>
      </c>
      <c r="S427" s="1">
        <v>1</v>
      </c>
      <c r="T427" s="1">
        <v>1</v>
      </c>
      <c r="U427" s="1">
        <v>90</v>
      </c>
      <c r="V427" s="1">
        <v>60002740</v>
      </c>
      <c r="W427" s="1">
        <v>0</v>
      </c>
      <c r="X427" s="1">
        <v>0</v>
      </c>
      <c r="Z427" s="1">
        <v>2873331609</v>
      </c>
      <c r="AA427" s="1">
        <v>36</v>
      </c>
      <c r="AB427" s="1">
        <v>100000000</v>
      </c>
      <c r="AC427" s="1">
        <v>22157131</v>
      </c>
      <c r="AD427" s="16">
        <v>47</v>
      </c>
      <c r="AE427" s="1">
        <v>1</v>
      </c>
      <c r="AF427" s="1">
        <v>1</v>
      </c>
      <c r="AG427" s="1">
        <v>90</v>
      </c>
      <c r="AH427" s="1">
        <v>60004234</v>
      </c>
      <c r="AI427" s="1">
        <v>-1</v>
      </c>
      <c r="AJ427" s="1">
        <v>0</v>
      </c>
      <c r="CH427" s="1">
        <v>2411104032</v>
      </c>
      <c r="CI427" s="1">
        <v>29668</v>
      </c>
      <c r="CJ427" s="1">
        <v>7</v>
      </c>
      <c r="CK427" s="1">
        <v>7</v>
      </c>
      <c r="CL427" s="1">
        <v>495125</v>
      </c>
      <c r="CM427" s="1">
        <v>1</v>
      </c>
      <c r="CN427" s="1">
        <v>1</v>
      </c>
      <c r="CO427" s="1">
        <v>90</v>
      </c>
      <c r="CP427" s="1">
        <v>60003760</v>
      </c>
      <c r="CQ427" s="1">
        <v>2</v>
      </c>
      <c r="CR427" s="1">
        <v>0</v>
      </c>
    </row>
    <row r="428" spans="2:96" x14ac:dyDescent="0.25">
      <c r="B428" s="1">
        <v>2877002708</v>
      </c>
      <c r="C428" s="1">
        <v>34</v>
      </c>
      <c r="D428" s="1">
        <v>2530872</v>
      </c>
      <c r="E428" s="1">
        <v>2530872</v>
      </c>
      <c r="F428" s="1">
        <v>5.6</v>
      </c>
      <c r="G428" s="1">
        <v>1</v>
      </c>
      <c r="H428" s="1">
        <v>0</v>
      </c>
      <c r="I428" s="1">
        <v>1</v>
      </c>
      <c r="J428" s="1">
        <v>60002842</v>
      </c>
      <c r="K428" s="1">
        <v>32767</v>
      </c>
      <c r="L428" s="1">
        <v>12</v>
      </c>
      <c r="N428" s="1">
        <v>2859134695</v>
      </c>
      <c r="O428" s="1">
        <v>35</v>
      </c>
      <c r="P428" s="1">
        <v>10000000</v>
      </c>
      <c r="Q428" s="1">
        <v>10000000</v>
      </c>
      <c r="R428" s="1">
        <v>5</v>
      </c>
      <c r="S428" s="1">
        <v>1</v>
      </c>
      <c r="T428" s="1">
        <v>1</v>
      </c>
      <c r="U428" s="1">
        <v>30</v>
      </c>
      <c r="V428" s="1">
        <v>60000655</v>
      </c>
      <c r="W428" s="1">
        <v>-1</v>
      </c>
      <c r="X428" s="1">
        <v>0</v>
      </c>
      <c r="Z428" s="1">
        <v>2878254286</v>
      </c>
      <c r="AA428" s="1">
        <v>36</v>
      </c>
      <c r="AB428" s="1">
        <v>15000000</v>
      </c>
      <c r="AC428" s="1">
        <v>14909016</v>
      </c>
      <c r="AD428" s="16">
        <v>38.18</v>
      </c>
      <c r="AE428" s="1">
        <v>1000</v>
      </c>
      <c r="AF428" s="1">
        <v>1</v>
      </c>
      <c r="AG428" s="1">
        <v>90</v>
      </c>
      <c r="AH428" s="1">
        <v>60006433</v>
      </c>
      <c r="AI428" s="1">
        <v>2</v>
      </c>
      <c r="AJ428" s="1">
        <v>0</v>
      </c>
      <c r="CH428" s="1">
        <v>2411090566</v>
      </c>
      <c r="CI428" s="1">
        <v>29668</v>
      </c>
      <c r="CJ428" s="1">
        <v>1</v>
      </c>
      <c r="CK428" s="1">
        <v>1</v>
      </c>
      <c r="CL428" s="1">
        <v>690000</v>
      </c>
      <c r="CM428" s="1">
        <v>1</v>
      </c>
      <c r="CN428" s="1">
        <v>1</v>
      </c>
      <c r="CO428" s="1">
        <v>7</v>
      </c>
      <c r="CP428" s="1">
        <v>60004423</v>
      </c>
      <c r="CQ428" s="1">
        <v>-1</v>
      </c>
      <c r="CR428" s="1">
        <v>0</v>
      </c>
    </row>
    <row r="429" spans="2:96" x14ac:dyDescent="0.25">
      <c r="B429" s="1">
        <v>2827649894</v>
      </c>
      <c r="C429" s="1">
        <v>34</v>
      </c>
      <c r="D429" s="1">
        <v>8371536</v>
      </c>
      <c r="E429" s="1">
        <v>4489146</v>
      </c>
      <c r="F429" s="1">
        <v>5.95</v>
      </c>
      <c r="G429" s="1">
        <v>1</v>
      </c>
      <c r="H429" s="1">
        <v>0</v>
      </c>
      <c r="I429" s="1">
        <v>90</v>
      </c>
      <c r="J429" s="1">
        <v>60002851</v>
      </c>
      <c r="K429" s="1">
        <v>32767</v>
      </c>
      <c r="L429" s="1">
        <v>11</v>
      </c>
      <c r="N429" s="1">
        <v>2773308062</v>
      </c>
      <c r="O429" s="1">
        <v>35</v>
      </c>
      <c r="P429" s="1">
        <v>50000000</v>
      </c>
      <c r="Q429" s="1">
        <v>38328717</v>
      </c>
      <c r="R429" s="1">
        <v>13.24</v>
      </c>
      <c r="S429" s="1">
        <v>1</v>
      </c>
      <c r="T429" s="1">
        <v>1</v>
      </c>
      <c r="U429" s="1">
        <v>90</v>
      </c>
      <c r="V429" s="1">
        <v>60004213</v>
      </c>
      <c r="W429" s="1">
        <v>0</v>
      </c>
      <c r="X429" s="1">
        <v>0</v>
      </c>
      <c r="Z429" s="1">
        <v>2877349340</v>
      </c>
      <c r="AA429" s="1">
        <v>36</v>
      </c>
      <c r="AB429" s="1">
        <v>1000000</v>
      </c>
      <c r="AC429" s="1">
        <v>253754</v>
      </c>
      <c r="AD429" s="16">
        <v>44</v>
      </c>
      <c r="AE429" s="1">
        <v>1</v>
      </c>
      <c r="AF429" s="1">
        <v>1</v>
      </c>
      <c r="AG429" s="1">
        <v>90</v>
      </c>
      <c r="AH429" s="1">
        <v>60004369</v>
      </c>
      <c r="AI429" s="1">
        <v>0</v>
      </c>
      <c r="AJ429" s="1">
        <v>0</v>
      </c>
      <c r="CH429" s="1">
        <v>2410983972</v>
      </c>
      <c r="CI429" s="1">
        <v>29668</v>
      </c>
      <c r="CJ429" s="1">
        <v>10000</v>
      </c>
      <c r="CK429" s="1">
        <v>10000</v>
      </c>
      <c r="CL429" s="1">
        <v>1</v>
      </c>
      <c r="CM429" s="1">
        <v>1</v>
      </c>
      <c r="CN429" s="1">
        <v>1</v>
      </c>
      <c r="CO429" s="1">
        <v>90</v>
      </c>
      <c r="CP429" s="1">
        <v>60003760</v>
      </c>
      <c r="CQ429" s="1">
        <v>32767</v>
      </c>
      <c r="CR429" s="1">
        <v>0</v>
      </c>
    </row>
    <row r="430" spans="2:96" x14ac:dyDescent="0.25">
      <c r="B430" s="1">
        <v>2820378148</v>
      </c>
      <c r="C430" s="1">
        <v>34</v>
      </c>
      <c r="D430" s="1">
        <v>5882390</v>
      </c>
      <c r="E430" s="1">
        <v>3882390</v>
      </c>
      <c r="F430" s="1">
        <v>5.96</v>
      </c>
      <c r="G430" s="1">
        <v>1</v>
      </c>
      <c r="H430" s="1">
        <v>0</v>
      </c>
      <c r="I430" s="1">
        <v>90</v>
      </c>
      <c r="J430" s="1">
        <v>60002851</v>
      </c>
      <c r="K430" s="1">
        <v>32767</v>
      </c>
      <c r="L430" s="1">
        <v>11</v>
      </c>
      <c r="N430" s="1">
        <v>2749656665</v>
      </c>
      <c r="O430" s="1">
        <v>35</v>
      </c>
      <c r="P430" s="1">
        <v>100000000</v>
      </c>
      <c r="Q430" s="1">
        <v>17201115</v>
      </c>
      <c r="R430" s="1">
        <v>12.95</v>
      </c>
      <c r="S430" s="1">
        <v>1</v>
      </c>
      <c r="T430" s="1">
        <v>1</v>
      </c>
      <c r="U430" s="1">
        <v>90</v>
      </c>
      <c r="V430" s="1">
        <v>60002431</v>
      </c>
      <c r="W430" s="1">
        <v>5</v>
      </c>
      <c r="X430" s="1">
        <v>0</v>
      </c>
      <c r="Z430" s="1">
        <v>2835541903</v>
      </c>
      <c r="AA430" s="1">
        <v>36</v>
      </c>
      <c r="AB430" s="1">
        <v>20000000</v>
      </c>
      <c r="AC430" s="1">
        <v>7822719</v>
      </c>
      <c r="AD430" s="16">
        <v>22.17</v>
      </c>
      <c r="AE430" s="1">
        <v>1</v>
      </c>
      <c r="AF430" s="1">
        <v>1</v>
      </c>
      <c r="AG430" s="1">
        <v>90</v>
      </c>
      <c r="AH430" s="1">
        <v>60004069</v>
      </c>
      <c r="AI430" s="1">
        <v>20</v>
      </c>
      <c r="AJ430" s="1">
        <v>0</v>
      </c>
      <c r="CH430" s="1">
        <v>2410903461</v>
      </c>
      <c r="CI430" s="1">
        <v>29668</v>
      </c>
      <c r="CJ430" s="1">
        <v>10</v>
      </c>
      <c r="CK430" s="1">
        <v>10</v>
      </c>
      <c r="CL430" s="1">
        <v>1000000</v>
      </c>
      <c r="CM430" s="1">
        <v>1</v>
      </c>
      <c r="CN430" s="1">
        <v>1</v>
      </c>
      <c r="CO430" s="1">
        <v>90</v>
      </c>
      <c r="CP430" s="1">
        <v>60003469</v>
      </c>
      <c r="CQ430" s="1">
        <v>40</v>
      </c>
      <c r="CR430" s="1">
        <v>0</v>
      </c>
    </row>
    <row r="431" spans="2:96" x14ac:dyDescent="0.25">
      <c r="B431" s="1">
        <v>2781900686</v>
      </c>
      <c r="C431" s="1">
        <v>34</v>
      </c>
      <c r="D431" s="1">
        <v>1034594</v>
      </c>
      <c r="E431" s="1">
        <v>902094</v>
      </c>
      <c r="F431" s="1">
        <v>12.86</v>
      </c>
      <c r="G431" s="1">
        <v>1</v>
      </c>
      <c r="H431" s="1">
        <v>0</v>
      </c>
      <c r="I431" s="1">
        <v>90</v>
      </c>
      <c r="J431" s="1">
        <v>60002275</v>
      </c>
      <c r="K431" s="1">
        <v>32767</v>
      </c>
      <c r="L431" s="1">
        <v>11</v>
      </c>
      <c r="N431" s="1">
        <v>2831871356</v>
      </c>
      <c r="O431" s="1">
        <v>35</v>
      </c>
      <c r="P431" s="1">
        <v>1000000</v>
      </c>
      <c r="Q431" s="1">
        <v>747303</v>
      </c>
      <c r="R431" s="1">
        <v>8.01</v>
      </c>
      <c r="S431" s="1">
        <v>1</v>
      </c>
      <c r="T431" s="1">
        <v>1</v>
      </c>
      <c r="U431" s="1">
        <v>30</v>
      </c>
      <c r="V431" s="1">
        <v>60004210</v>
      </c>
      <c r="W431" s="1">
        <v>3</v>
      </c>
      <c r="X431" s="1">
        <v>0</v>
      </c>
      <c r="Z431" s="1">
        <v>2864881751</v>
      </c>
      <c r="AA431" s="1">
        <v>36</v>
      </c>
      <c r="AB431" s="1">
        <v>45000000</v>
      </c>
      <c r="AC431" s="1">
        <v>32055506</v>
      </c>
      <c r="AD431" s="16">
        <v>36.51</v>
      </c>
      <c r="AE431" s="1">
        <v>1</v>
      </c>
      <c r="AF431" s="1">
        <v>1</v>
      </c>
      <c r="AG431" s="1">
        <v>90</v>
      </c>
      <c r="AH431" s="1">
        <v>60003337</v>
      </c>
      <c r="AI431" s="1">
        <v>10</v>
      </c>
      <c r="AJ431" s="1">
        <v>0</v>
      </c>
      <c r="CH431" s="1">
        <v>2411692429</v>
      </c>
      <c r="CI431" s="1">
        <v>29668</v>
      </c>
      <c r="CJ431" s="1">
        <v>1</v>
      </c>
      <c r="CK431" s="1">
        <v>1</v>
      </c>
      <c r="CL431" s="1">
        <v>468406500</v>
      </c>
      <c r="CM431" s="1">
        <v>1</v>
      </c>
      <c r="CN431" s="1">
        <v>1</v>
      </c>
      <c r="CO431" s="1">
        <v>90</v>
      </c>
      <c r="CP431" s="1">
        <v>60003760</v>
      </c>
      <c r="CQ431" s="1">
        <v>40</v>
      </c>
      <c r="CR431" s="1">
        <v>0</v>
      </c>
    </row>
    <row r="432" spans="2:96" x14ac:dyDescent="0.25">
      <c r="B432" s="1">
        <v>2793781320</v>
      </c>
      <c r="C432" s="1">
        <v>34</v>
      </c>
      <c r="D432" s="1">
        <v>1875282</v>
      </c>
      <c r="E432" s="1">
        <v>1578082</v>
      </c>
      <c r="F432" s="1">
        <v>11.86</v>
      </c>
      <c r="G432" s="1">
        <v>1</v>
      </c>
      <c r="H432" s="1">
        <v>0</v>
      </c>
      <c r="I432" s="1">
        <v>90</v>
      </c>
      <c r="J432" s="1">
        <v>60002275</v>
      </c>
      <c r="K432" s="1">
        <v>32767</v>
      </c>
      <c r="L432" s="1">
        <v>11</v>
      </c>
      <c r="N432" s="1">
        <v>2760523527</v>
      </c>
      <c r="O432" s="1">
        <v>35</v>
      </c>
      <c r="P432" s="1">
        <v>10000000</v>
      </c>
      <c r="Q432" s="1">
        <v>10000000</v>
      </c>
      <c r="R432" s="1">
        <v>12.71</v>
      </c>
      <c r="S432" s="1">
        <v>1</v>
      </c>
      <c r="T432" s="1">
        <v>1</v>
      </c>
      <c r="U432" s="1">
        <v>90</v>
      </c>
      <c r="V432" s="1">
        <v>60004075</v>
      </c>
      <c r="W432" s="1">
        <v>-1</v>
      </c>
      <c r="X432" s="1">
        <v>0</v>
      </c>
      <c r="Z432" s="1">
        <v>2876992788</v>
      </c>
      <c r="AA432" s="1">
        <v>36</v>
      </c>
      <c r="AB432" s="1">
        <v>823046</v>
      </c>
      <c r="AC432" s="1">
        <v>719879</v>
      </c>
      <c r="AD432" s="16">
        <v>44.16</v>
      </c>
      <c r="AE432" s="1">
        <v>1</v>
      </c>
      <c r="AF432" s="1">
        <v>1</v>
      </c>
      <c r="AG432" s="1">
        <v>90</v>
      </c>
      <c r="AH432" s="1">
        <v>60003763</v>
      </c>
      <c r="AI432" s="1">
        <v>-1</v>
      </c>
      <c r="AJ432" s="1">
        <v>0</v>
      </c>
      <c r="CH432" s="1">
        <v>2411589571</v>
      </c>
      <c r="CI432" s="1">
        <v>29668</v>
      </c>
      <c r="CJ432" s="1">
        <v>1</v>
      </c>
      <c r="CK432" s="1">
        <v>1</v>
      </c>
      <c r="CL432" s="1">
        <v>468303000.38999999</v>
      </c>
      <c r="CM432" s="1">
        <v>1</v>
      </c>
      <c r="CN432" s="1">
        <v>1</v>
      </c>
      <c r="CO432" s="1">
        <v>90</v>
      </c>
      <c r="CP432" s="1">
        <v>60003760</v>
      </c>
      <c r="CQ432" s="1">
        <v>32767</v>
      </c>
      <c r="CR432" s="1">
        <v>0</v>
      </c>
    </row>
    <row r="433" spans="2:96" x14ac:dyDescent="0.25">
      <c r="B433" s="1">
        <v>2831139460</v>
      </c>
      <c r="C433" s="1">
        <v>34</v>
      </c>
      <c r="D433" s="1">
        <v>1342545</v>
      </c>
      <c r="E433" s="1">
        <v>216549</v>
      </c>
      <c r="F433" s="1">
        <v>5.92</v>
      </c>
      <c r="G433" s="1">
        <v>1</v>
      </c>
      <c r="H433" s="1">
        <v>0</v>
      </c>
      <c r="I433" s="1">
        <v>90</v>
      </c>
      <c r="J433" s="1">
        <v>60002275</v>
      </c>
      <c r="K433" s="1">
        <v>32767</v>
      </c>
      <c r="L433" s="1">
        <v>11</v>
      </c>
      <c r="N433" s="1">
        <v>2854883477</v>
      </c>
      <c r="O433" s="1">
        <v>35</v>
      </c>
      <c r="P433" s="1">
        <v>125000000</v>
      </c>
      <c r="Q433" s="1">
        <v>44898734</v>
      </c>
      <c r="R433" s="1">
        <v>13.77</v>
      </c>
      <c r="S433" s="1">
        <v>1</v>
      </c>
      <c r="T433" s="1">
        <v>1</v>
      </c>
      <c r="U433" s="1">
        <v>30</v>
      </c>
      <c r="V433" s="1">
        <v>60010195</v>
      </c>
      <c r="W433" s="1">
        <v>1</v>
      </c>
      <c r="X433" s="1">
        <v>0</v>
      </c>
      <c r="Z433" s="1">
        <v>2759008613</v>
      </c>
      <c r="AA433" s="1">
        <v>36</v>
      </c>
      <c r="AB433" s="1">
        <v>200000000</v>
      </c>
      <c r="AC433" s="1">
        <v>200000000</v>
      </c>
      <c r="AD433" s="16">
        <v>39.01</v>
      </c>
      <c r="AE433" s="1">
        <v>1</v>
      </c>
      <c r="AF433" s="1">
        <v>1</v>
      </c>
      <c r="AG433" s="1">
        <v>90</v>
      </c>
      <c r="AH433" s="1">
        <v>60003760</v>
      </c>
      <c r="AI433" s="1">
        <v>-1</v>
      </c>
      <c r="AJ433" s="1">
        <v>0</v>
      </c>
      <c r="CH433" s="1">
        <v>2411587156</v>
      </c>
      <c r="CI433" s="1">
        <v>29668</v>
      </c>
      <c r="CJ433" s="1">
        <v>10</v>
      </c>
      <c r="CK433" s="1">
        <v>10</v>
      </c>
      <c r="CL433" s="1">
        <v>489140.11</v>
      </c>
      <c r="CM433" s="1">
        <v>1</v>
      </c>
      <c r="CN433" s="1">
        <v>1</v>
      </c>
      <c r="CO433" s="1">
        <v>90</v>
      </c>
      <c r="CP433" s="1">
        <v>60003760</v>
      </c>
      <c r="CQ433" s="1">
        <v>32767</v>
      </c>
      <c r="CR433" s="1">
        <v>0</v>
      </c>
    </row>
    <row r="434" spans="2:96" x14ac:dyDescent="0.25">
      <c r="B434" s="1">
        <v>2831139704</v>
      </c>
      <c r="C434" s="1">
        <v>34</v>
      </c>
      <c r="D434" s="1">
        <v>1327281</v>
      </c>
      <c r="E434" s="1">
        <v>1327281</v>
      </c>
      <c r="F434" s="1">
        <v>5.92</v>
      </c>
      <c r="G434" s="1">
        <v>1</v>
      </c>
      <c r="H434" s="1">
        <v>0</v>
      </c>
      <c r="I434" s="1">
        <v>90</v>
      </c>
      <c r="J434" s="1">
        <v>60003367</v>
      </c>
      <c r="K434" s="1">
        <v>32767</v>
      </c>
      <c r="L434" s="1">
        <v>11</v>
      </c>
      <c r="N434" s="1">
        <v>2850500451</v>
      </c>
      <c r="O434" s="1">
        <v>35</v>
      </c>
      <c r="P434" s="1">
        <v>20000000</v>
      </c>
      <c r="Q434" s="1">
        <v>19962128</v>
      </c>
      <c r="R434" s="1">
        <v>4.6900000000000004</v>
      </c>
      <c r="S434" s="1">
        <v>1</v>
      </c>
      <c r="T434" s="1">
        <v>1</v>
      </c>
      <c r="U434" s="1">
        <v>90</v>
      </c>
      <c r="V434" s="1">
        <v>60003346</v>
      </c>
      <c r="W434" s="1">
        <v>2</v>
      </c>
      <c r="X434" s="1">
        <v>0</v>
      </c>
      <c r="Z434" s="1">
        <v>2760839450</v>
      </c>
      <c r="AA434" s="1">
        <v>36</v>
      </c>
      <c r="AB434" s="1">
        <v>20000000</v>
      </c>
      <c r="AC434" s="1">
        <v>20000000</v>
      </c>
      <c r="AD434" s="16">
        <v>39</v>
      </c>
      <c r="AE434" s="1">
        <v>1</v>
      </c>
      <c r="AF434" s="1">
        <v>1</v>
      </c>
      <c r="AG434" s="1">
        <v>90</v>
      </c>
      <c r="AH434" s="1">
        <v>60003760</v>
      </c>
      <c r="AI434" s="1">
        <v>-1</v>
      </c>
      <c r="AJ434" s="1">
        <v>0</v>
      </c>
      <c r="CH434" s="1">
        <v>2411607722</v>
      </c>
      <c r="CI434" s="1">
        <v>29668</v>
      </c>
      <c r="CJ434" s="1">
        <v>4</v>
      </c>
      <c r="CK434" s="1">
        <v>4</v>
      </c>
      <c r="CL434" s="1">
        <v>478000000</v>
      </c>
      <c r="CM434" s="1">
        <v>1</v>
      </c>
      <c r="CN434" s="1">
        <v>1</v>
      </c>
      <c r="CO434" s="1">
        <v>90</v>
      </c>
      <c r="CP434" s="1">
        <v>60003760</v>
      </c>
      <c r="CQ434" s="1">
        <v>-1</v>
      </c>
      <c r="CR434" s="1">
        <v>0</v>
      </c>
    </row>
    <row r="435" spans="2:96" x14ac:dyDescent="0.25">
      <c r="B435" s="1">
        <v>2852512861</v>
      </c>
      <c r="C435" s="1">
        <v>34</v>
      </c>
      <c r="D435" s="1">
        <v>1075875</v>
      </c>
      <c r="E435" s="1">
        <v>1075875</v>
      </c>
      <c r="F435" s="1">
        <v>5.8</v>
      </c>
      <c r="G435" s="1">
        <v>1</v>
      </c>
      <c r="H435" s="1">
        <v>0</v>
      </c>
      <c r="I435" s="1">
        <v>90</v>
      </c>
      <c r="J435" s="1">
        <v>60002851</v>
      </c>
      <c r="K435" s="1">
        <v>32767</v>
      </c>
      <c r="L435" s="1">
        <v>11</v>
      </c>
      <c r="N435" s="1">
        <v>2874740189</v>
      </c>
      <c r="O435" s="1">
        <v>35</v>
      </c>
      <c r="P435" s="1">
        <v>5000000</v>
      </c>
      <c r="Q435" s="1">
        <v>1208604</v>
      </c>
      <c r="R435" s="1">
        <v>11.02</v>
      </c>
      <c r="S435" s="1">
        <v>1</v>
      </c>
      <c r="T435" s="1">
        <v>1</v>
      </c>
      <c r="U435" s="1">
        <v>30</v>
      </c>
      <c r="V435" s="1">
        <v>60004063</v>
      </c>
      <c r="W435" s="1">
        <v>2</v>
      </c>
      <c r="X435" s="1">
        <v>0</v>
      </c>
      <c r="Z435" s="1">
        <v>2836527710</v>
      </c>
      <c r="AA435" s="1">
        <v>36</v>
      </c>
      <c r="AB435" s="1">
        <v>1000000</v>
      </c>
      <c r="AC435" s="1">
        <v>1000000</v>
      </c>
      <c r="AD435" s="16">
        <v>21.91</v>
      </c>
      <c r="AE435" s="1">
        <v>100</v>
      </c>
      <c r="AF435" s="1">
        <v>1</v>
      </c>
      <c r="AG435" s="1">
        <v>30</v>
      </c>
      <c r="AH435" s="1">
        <v>60003760</v>
      </c>
      <c r="AI435" s="1">
        <v>10</v>
      </c>
      <c r="AJ435" s="1">
        <v>0</v>
      </c>
      <c r="CH435" s="1">
        <v>2411607842</v>
      </c>
      <c r="CI435" s="1">
        <v>29668</v>
      </c>
      <c r="CJ435" s="1">
        <v>4</v>
      </c>
      <c r="CK435" s="1">
        <v>4</v>
      </c>
      <c r="CL435" s="1">
        <v>479000000</v>
      </c>
      <c r="CM435" s="1">
        <v>1</v>
      </c>
      <c r="CN435" s="1">
        <v>1</v>
      </c>
      <c r="CO435" s="1">
        <v>90</v>
      </c>
      <c r="CP435" s="1">
        <v>60003760</v>
      </c>
      <c r="CQ435" s="1">
        <v>-1</v>
      </c>
      <c r="CR435" s="1">
        <v>0</v>
      </c>
    </row>
    <row r="436" spans="2:96" x14ac:dyDescent="0.25">
      <c r="B436" s="1">
        <v>2852407320</v>
      </c>
      <c r="C436" s="1">
        <v>34</v>
      </c>
      <c r="D436" s="1">
        <v>1091550</v>
      </c>
      <c r="E436" s="1">
        <v>531549</v>
      </c>
      <c r="F436" s="1">
        <v>5.8</v>
      </c>
      <c r="G436" s="1">
        <v>1</v>
      </c>
      <c r="H436" s="1">
        <v>0</v>
      </c>
      <c r="I436" s="1">
        <v>90</v>
      </c>
      <c r="J436" s="1">
        <v>60002851</v>
      </c>
      <c r="K436" s="1">
        <v>32767</v>
      </c>
      <c r="L436" s="1">
        <v>11</v>
      </c>
      <c r="N436" s="1">
        <v>2858216580</v>
      </c>
      <c r="O436" s="1">
        <v>35</v>
      </c>
      <c r="P436" s="1">
        <v>50000000</v>
      </c>
      <c r="Q436" s="1">
        <v>39424253</v>
      </c>
      <c r="R436" s="1">
        <v>13.38</v>
      </c>
      <c r="S436" s="1">
        <v>1</v>
      </c>
      <c r="T436" s="1">
        <v>1</v>
      </c>
      <c r="U436" s="1">
        <v>90</v>
      </c>
      <c r="V436" s="1">
        <v>60004060</v>
      </c>
      <c r="W436" s="1">
        <v>0</v>
      </c>
      <c r="X436" s="1">
        <v>0</v>
      </c>
      <c r="Z436" s="1">
        <v>2838606481</v>
      </c>
      <c r="AA436" s="1">
        <v>36</v>
      </c>
      <c r="AB436" s="1">
        <v>10000000</v>
      </c>
      <c r="AC436" s="1">
        <v>10000000</v>
      </c>
      <c r="AD436" s="16">
        <v>0.01</v>
      </c>
      <c r="AE436" s="1">
        <v>1</v>
      </c>
      <c r="AF436" s="1">
        <v>1</v>
      </c>
      <c r="AG436" s="1">
        <v>90</v>
      </c>
      <c r="AH436" s="1">
        <v>60003760</v>
      </c>
      <c r="AI436" s="1">
        <v>40</v>
      </c>
      <c r="AJ436" s="1">
        <v>0</v>
      </c>
      <c r="CH436" s="1">
        <v>2411523595</v>
      </c>
      <c r="CI436" s="1">
        <v>29668</v>
      </c>
      <c r="CJ436" s="1">
        <v>7</v>
      </c>
      <c r="CK436" s="1">
        <v>7</v>
      </c>
      <c r="CL436" s="1">
        <v>475000000</v>
      </c>
      <c r="CM436" s="1">
        <v>1</v>
      </c>
      <c r="CN436" s="1">
        <v>1</v>
      </c>
      <c r="CO436" s="1">
        <v>90</v>
      </c>
      <c r="CP436" s="1">
        <v>60003760</v>
      </c>
      <c r="CQ436" s="1">
        <v>-1</v>
      </c>
      <c r="CR436" s="1">
        <v>0</v>
      </c>
    </row>
    <row r="437" spans="2:96" x14ac:dyDescent="0.25">
      <c r="B437" s="1">
        <v>2669392615</v>
      </c>
      <c r="C437" s="1">
        <v>34</v>
      </c>
      <c r="D437" s="1">
        <v>471800</v>
      </c>
      <c r="E437" s="1">
        <v>355600</v>
      </c>
      <c r="F437" s="1">
        <v>13.99</v>
      </c>
      <c r="G437" s="1">
        <v>1</v>
      </c>
      <c r="H437" s="1">
        <v>0</v>
      </c>
      <c r="I437" s="1">
        <v>90</v>
      </c>
      <c r="J437" s="1">
        <v>60002275</v>
      </c>
      <c r="K437" s="1">
        <v>32767</v>
      </c>
      <c r="L437" s="1">
        <v>11</v>
      </c>
      <c r="N437" s="1">
        <v>2873012673</v>
      </c>
      <c r="O437" s="1">
        <v>35</v>
      </c>
      <c r="P437" s="1">
        <v>11020</v>
      </c>
      <c r="Q437" s="1">
        <v>11020</v>
      </c>
      <c r="R437" s="1">
        <v>13</v>
      </c>
      <c r="S437" s="1">
        <v>1</v>
      </c>
      <c r="T437" s="1">
        <v>1</v>
      </c>
      <c r="U437" s="1">
        <v>30</v>
      </c>
      <c r="V437" s="1">
        <v>60002275</v>
      </c>
      <c r="W437" s="1">
        <v>-1</v>
      </c>
      <c r="X437" s="1">
        <v>0</v>
      </c>
      <c r="Z437" s="1">
        <v>2840237484</v>
      </c>
      <c r="AA437" s="1">
        <v>36</v>
      </c>
      <c r="AB437" s="1">
        <v>20000000</v>
      </c>
      <c r="AC437" s="1">
        <v>20000000</v>
      </c>
      <c r="AD437" s="16">
        <v>1.01</v>
      </c>
      <c r="AE437" s="1">
        <v>1</v>
      </c>
      <c r="AF437" s="1">
        <v>1</v>
      </c>
      <c r="AG437" s="1">
        <v>90</v>
      </c>
      <c r="AH437" s="1">
        <v>60003760</v>
      </c>
      <c r="AI437" s="1">
        <v>32767</v>
      </c>
      <c r="AJ437" s="1">
        <v>0</v>
      </c>
      <c r="CH437" s="1">
        <v>2411560496</v>
      </c>
      <c r="CI437" s="1">
        <v>29668</v>
      </c>
      <c r="CJ437" s="1">
        <v>2</v>
      </c>
      <c r="CK437" s="1">
        <v>1</v>
      </c>
      <c r="CL437" s="1">
        <v>470000600</v>
      </c>
      <c r="CM437" s="1">
        <v>1</v>
      </c>
      <c r="CN437" s="1">
        <v>1</v>
      </c>
      <c r="CO437" s="1">
        <v>90</v>
      </c>
      <c r="CP437" s="1">
        <v>60003760</v>
      </c>
      <c r="CQ437" s="1">
        <v>-1</v>
      </c>
      <c r="CR437" s="1">
        <v>0</v>
      </c>
    </row>
    <row r="438" spans="2:96" x14ac:dyDescent="0.25">
      <c r="B438" s="1">
        <v>2873244947</v>
      </c>
      <c r="C438" s="1">
        <v>34</v>
      </c>
      <c r="D438" s="1">
        <v>2954896</v>
      </c>
      <c r="E438" s="1">
        <v>2954896</v>
      </c>
      <c r="F438" s="1">
        <v>5.72</v>
      </c>
      <c r="G438" s="1">
        <v>1</v>
      </c>
      <c r="H438" s="1">
        <v>0</v>
      </c>
      <c r="I438" s="1">
        <v>14</v>
      </c>
      <c r="J438" s="1">
        <v>60002851</v>
      </c>
      <c r="K438" s="1">
        <v>32767</v>
      </c>
      <c r="L438" s="1">
        <v>11</v>
      </c>
      <c r="N438" s="1">
        <v>2762377128</v>
      </c>
      <c r="O438" s="1">
        <v>35</v>
      </c>
      <c r="P438" s="1">
        <v>10000000</v>
      </c>
      <c r="Q438" s="1">
        <v>3281885</v>
      </c>
      <c r="R438" s="1">
        <v>13.4</v>
      </c>
      <c r="S438" s="1">
        <v>1</v>
      </c>
      <c r="T438" s="1">
        <v>1</v>
      </c>
      <c r="U438" s="1">
        <v>90</v>
      </c>
      <c r="V438" s="1">
        <v>60004459</v>
      </c>
      <c r="W438" s="1">
        <v>-1</v>
      </c>
      <c r="X438" s="1">
        <v>0</v>
      </c>
      <c r="Z438" s="1">
        <v>2844145296</v>
      </c>
      <c r="AA438" s="1">
        <v>36</v>
      </c>
      <c r="AB438" s="1">
        <v>25000000</v>
      </c>
      <c r="AC438" s="1">
        <v>2568714</v>
      </c>
      <c r="AD438" s="16">
        <v>33.5</v>
      </c>
      <c r="AE438" s="1">
        <v>200000</v>
      </c>
      <c r="AF438" s="1">
        <v>1</v>
      </c>
      <c r="AG438" s="1">
        <v>90</v>
      </c>
      <c r="AH438" s="1">
        <v>60003760</v>
      </c>
      <c r="AI438" s="1">
        <v>32767</v>
      </c>
      <c r="AJ438" s="1">
        <v>0</v>
      </c>
      <c r="CH438" s="1">
        <v>2411296281</v>
      </c>
      <c r="CI438" s="1">
        <v>29668</v>
      </c>
      <c r="CJ438" s="1">
        <v>1</v>
      </c>
      <c r="CK438" s="1">
        <v>1</v>
      </c>
      <c r="CL438" s="1">
        <v>451000000</v>
      </c>
      <c r="CM438" s="1">
        <v>1</v>
      </c>
      <c r="CN438" s="1">
        <v>1</v>
      </c>
      <c r="CO438" s="1">
        <v>90</v>
      </c>
      <c r="CP438" s="1">
        <v>60003760</v>
      </c>
      <c r="CQ438" s="1">
        <v>-1</v>
      </c>
      <c r="CR438" s="1">
        <v>0</v>
      </c>
    </row>
    <row r="439" spans="2:96" x14ac:dyDescent="0.25">
      <c r="B439" s="1">
        <v>2868710305</v>
      </c>
      <c r="C439" s="1">
        <v>34</v>
      </c>
      <c r="D439" s="1">
        <v>16577972</v>
      </c>
      <c r="E439" s="1">
        <v>16577972</v>
      </c>
      <c r="F439" s="1">
        <v>5.89</v>
      </c>
      <c r="G439" s="1">
        <v>1</v>
      </c>
      <c r="H439" s="1">
        <v>0</v>
      </c>
      <c r="I439" s="1">
        <v>90</v>
      </c>
      <c r="J439" s="1">
        <v>60003367</v>
      </c>
      <c r="K439" s="1">
        <v>32767</v>
      </c>
      <c r="L439" s="1">
        <v>11</v>
      </c>
      <c r="N439" s="1">
        <v>2850374515</v>
      </c>
      <c r="O439" s="1">
        <v>35</v>
      </c>
      <c r="P439" s="1">
        <v>70000000</v>
      </c>
      <c r="Q439" s="1">
        <v>17723289</v>
      </c>
      <c r="R439" s="1">
        <v>13.5</v>
      </c>
      <c r="S439" s="1">
        <v>1</v>
      </c>
      <c r="T439" s="1">
        <v>1</v>
      </c>
      <c r="U439" s="1">
        <v>90</v>
      </c>
      <c r="V439" s="1">
        <v>60004459</v>
      </c>
      <c r="W439" s="1">
        <v>0</v>
      </c>
      <c r="X439" s="1">
        <v>0</v>
      </c>
      <c r="Z439" s="1">
        <v>2859332517</v>
      </c>
      <c r="AA439" s="1">
        <v>36</v>
      </c>
      <c r="AB439" s="1">
        <v>100000000</v>
      </c>
      <c r="AC439" s="1">
        <v>22879237</v>
      </c>
      <c r="AD439" s="16">
        <v>44.4</v>
      </c>
      <c r="AE439" s="1">
        <v>1</v>
      </c>
      <c r="AF439" s="1">
        <v>1</v>
      </c>
      <c r="AG439" s="1">
        <v>90</v>
      </c>
      <c r="AH439" s="1">
        <v>60003760</v>
      </c>
      <c r="AI439" s="1">
        <v>-1</v>
      </c>
      <c r="AJ439" s="1">
        <v>0</v>
      </c>
      <c r="CH439" s="1">
        <v>2404591478</v>
      </c>
      <c r="CI439" s="1">
        <v>29668</v>
      </c>
      <c r="CJ439" s="1">
        <v>10</v>
      </c>
      <c r="CK439" s="1">
        <v>10</v>
      </c>
      <c r="CL439" s="1">
        <v>50000000</v>
      </c>
      <c r="CM439" s="1">
        <v>1</v>
      </c>
      <c r="CN439" s="1">
        <v>1</v>
      </c>
      <c r="CO439" s="1">
        <v>90</v>
      </c>
      <c r="CP439" s="1">
        <v>60003760</v>
      </c>
      <c r="CQ439" s="1">
        <v>-1</v>
      </c>
      <c r="CR439" s="1">
        <v>0</v>
      </c>
    </row>
    <row r="440" spans="2:96" x14ac:dyDescent="0.25">
      <c r="B440" s="1">
        <v>2826151616</v>
      </c>
      <c r="C440" s="1">
        <v>34</v>
      </c>
      <c r="D440" s="1">
        <v>86400000</v>
      </c>
      <c r="E440" s="1">
        <v>46784382</v>
      </c>
      <c r="F440" s="1">
        <v>5.95</v>
      </c>
      <c r="G440" s="1">
        <v>1</v>
      </c>
      <c r="H440" s="1">
        <v>0</v>
      </c>
      <c r="I440" s="1">
        <v>90</v>
      </c>
      <c r="J440" s="1">
        <v>60000535</v>
      </c>
      <c r="K440" s="1">
        <v>32767</v>
      </c>
      <c r="L440" s="1">
        <v>6</v>
      </c>
      <c r="N440" s="1">
        <v>2877455738</v>
      </c>
      <c r="O440" s="1">
        <v>35</v>
      </c>
      <c r="P440" s="1">
        <v>100000000</v>
      </c>
      <c r="Q440" s="1">
        <v>81826146</v>
      </c>
      <c r="R440" s="1">
        <v>12.98</v>
      </c>
      <c r="S440" s="1">
        <v>1</v>
      </c>
      <c r="T440" s="1">
        <v>1</v>
      </c>
      <c r="U440" s="1">
        <v>90</v>
      </c>
      <c r="V440" s="1">
        <v>60002359</v>
      </c>
      <c r="W440" s="1">
        <v>3</v>
      </c>
      <c r="X440" s="1">
        <v>0</v>
      </c>
      <c r="Z440" s="1">
        <v>2751153364</v>
      </c>
      <c r="AA440" s="1">
        <v>36</v>
      </c>
      <c r="AB440" s="1">
        <v>10843970</v>
      </c>
      <c r="AC440" s="1">
        <v>10816830</v>
      </c>
      <c r="AD440" s="16">
        <v>1</v>
      </c>
      <c r="AE440" s="1">
        <v>1</v>
      </c>
      <c r="AF440" s="1">
        <v>1</v>
      </c>
      <c r="AG440" s="1">
        <v>90</v>
      </c>
      <c r="AH440" s="1">
        <v>60003760</v>
      </c>
      <c r="AI440" s="1">
        <v>32767</v>
      </c>
      <c r="AJ440" s="1">
        <v>0</v>
      </c>
      <c r="CH440" s="1">
        <v>2404177962</v>
      </c>
      <c r="CI440" s="1">
        <v>29668</v>
      </c>
      <c r="CJ440" s="1">
        <v>10</v>
      </c>
      <c r="CK440" s="1">
        <v>10</v>
      </c>
      <c r="CL440" s="1">
        <v>4000.01</v>
      </c>
      <c r="CM440" s="1">
        <v>1</v>
      </c>
      <c r="CN440" s="1">
        <v>1</v>
      </c>
      <c r="CO440" s="1">
        <v>90</v>
      </c>
      <c r="CP440" s="1">
        <v>60003760</v>
      </c>
      <c r="CQ440" s="1">
        <v>32767</v>
      </c>
      <c r="CR440" s="1">
        <v>0</v>
      </c>
    </row>
    <row r="441" spans="2:96" x14ac:dyDescent="0.25">
      <c r="B441" s="1">
        <v>2862759398</v>
      </c>
      <c r="C441" s="1">
        <v>34</v>
      </c>
      <c r="D441" s="1">
        <v>48720800</v>
      </c>
      <c r="E441" s="1">
        <v>35352618</v>
      </c>
      <c r="F441" s="1">
        <v>5.95</v>
      </c>
      <c r="G441" s="1">
        <v>1</v>
      </c>
      <c r="H441" s="1">
        <v>0</v>
      </c>
      <c r="I441" s="1">
        <v>30</v>
      </c>
      <c r="J441" s="1">
        <v>60004459</v>
      </c>
      <c r="K441" s="1">
        <v>32767</v>
      </c>
      <c r="L441" s="1">
        <v>6</v>
      </c>
      <c r="N441" s="1">
        <v>2877369747</v>
      </c>
      <c r="O441" s="1">
        <v>35</v>
      </c>
      <c r="P441" s="1">
        <v>50000000</v>
      </c>
      <c r="Q441" s="1">
        <v>45249524</v>
      </c>
      <c r="R441" s="1">
        <v>13.54</v>
      </c>
      <c r="S441" s="1">
        <v>1</v>
      </c>
      <c r="T441" s="1">
        <v>1</v>
      </c>
      <c r="U441" s="1">
        <v>90</v>
      </c>
      <c r="V441" s="1">
        <v>60004459</v>
      </c>
      <c r="W441" s="1">
        <v>0</v>
      </c>
      <c r="X441" s="1">
        <v>0</v>
      </c>
      <c r="Z441" s="1">
        <v>2866789265</v>
      </c>
      <c r="AA441" s="1">
        <v>36</v>
      </c>
      <c r="AB441" s="1">
        <v>50000</v>
      </c>
      <c r="AC441" s="1">
        <v>50000</v>
      </c>
      <c r="AD441" s="16">
        <v>35</v>
      </c>
      <c r="AE441" s="1">
        <v>1</v>
      </c>
      <c r="AF441" s="1">
        <v>1</v>
      </c>
      <c r="AG441" s="1">
        <v>90</v>
      </c>
      <c r="AH441" s="1">
        <v>60003760</v>
      </c>
      <c r="AI441" s="1">
        <v>5</v>
      </c>
      <c r="AJ441" s="1">
        <v>0</v>
      </c>
      <c r="CH441" s="1">
        <v>2404148920</v>
      </c>
      <c r="CI441" s="1">
        <v>29668</v>
      </c>
      <c r="CJ441" s="1">
        <v>10</v>
      </c>
      <c r="CK441" s="1">
        <v>10</v>
      </c>
      <c r="CL441" s="1">
        <v>0.01</v>
      </c>
      <c r="CM441" s="1">
        <v>1</v>
      </c>
      <c r="CN441" s="1">
        <v>1</v>
      </c>
      <c r="CO441" s="1">
        <v>30</v>
      </c>
      <c r="CP441" s="1">
        <v>60003760</v>
      </c>
      <c r="CQ441" s="1">
        <v>32767</v>
      </c>
      <c r="CR441" s="1">
        <v>0</v>
      </c>
    </row>
    <row r="442" spans="2:96" x14ac:dyDescent="0.25">
      <c r="B442" s="1">
        <v>2838213491</v>
      </c>
      <c r="C442" s="1">
        <v>34</v>
      </c>
      <c r="D442" s="1">
        <v>2608722</v>
      </c>
      <c r="E442" s="1">
        <v>1608722</v>
      </c>
      <c r="F442" s="1">
        <v>6</v>
      </c>
      <c r="G442" s="1">
        <v>1</v>
      </c>
      <c r="H442" s="1">
        <v>0</v>
      </c>
      <c r="I442" s="1">
        <v>90</v>
      </c>
      <c r="J442" s="1">
        <v>60002359</v>
      </c>
      <c r="K442" s="1">
        <v>32767</v>
      </c>
      <c r="L442" s="1">
        <v>6</v>
      </c>
      <c r="N442" s="1">
        <v>2877335730</v>
      </c>
      <c r="O442" s="1">
        <v>35</v>
      </c>
      <c r="P442" s="1">
        <v>5000000</v>
      </c>
      <c r="Q442" s="1">
        <v>4975247</v>
      </c>
      <c r="R442" s="1">
        <v>13.53</v>
      </c>
      <c r="S442" s="1">
        <v>1</v>
      </c>
      <c r="T442" s="1">
        <v>1</v>
      </c>
      <c r="U442" s="1">
        <v>90</v>
      </c>
      <c r="V442" s="1">
        <v>60012667</v>
      </c>
      <c r="W442" s="1">
        <v>0</v>
      </c>
      <c r="X442" s="1">
        <v>0</v>
      </c>
      <c r="Z442" s="1">
        <v>2866194438</v>
      </c>
      <c r="AA442" s="1">
        <v>36</v>
      </c>
      <c r="AB442" s="1">
        <v>50000000</v>
      </c>
      <c r="AC442" s="1">
        <v>50000000</v>
      </c>
      <c r="AD442" s="16">
        <v>40</v>
      </c>
      <c r="AE442" s="1">
        <v>1</v>
      </c>
      <c r="AF442" s="1">
        <v>1</v>
      </c>
      <c r="AG442" s="1">
        <v>90</v>
      </c>
      <c r="AH442" s="1">
        <v>60003760</v>
      </c>
      <c r="AI442" s="1">
        <v>-1</v>
      </c>
      <c r="AJ442" s="1">
        <v>0</v>
      </c>
      <c r="CH442" s="1">
        <v>2403643457</v>
      </c>
      <c r="CI442" s="1">
        <v>29668</v>
      </c>
      <c r="CJ442" s="1">
        <v>3</v>
      </c>
      <c r="CK442" s="1">
        <v>3</v>
      </c>
      <c r="CL442" s="1">
        <v>456000001</v>
      </c>
      <c r="CM442" s="1">
        <v>1</v>
      </c>
      <c r="CN442" s="1">
        <v>1</v>
      </c>
      <c r="CO442" s="1">
        <v>90</v>
      </c>
      <c r="CP442" s="1">
        <v>60003760</v>
      </c>
      <c r="CQ442" s="1">
        <v>32767</v>
      </c>
      <c r="CR442" s="1">
        <v>0</v>
      </c>
    </row>
    <row r="443" spans="2:96" x14ac:dyDescent="0.25">
      <c r="B443" s="1">
        <v>2878255126</v>
      </c>
      <c r="C443" s="1">
        <v>34</v>
      </c>
      <c r="D443" s="1">
        <v>19916266</v>
      </c>
      <c r="E443" s="1">
        <v>9916266</v>
      </c>
      <c r="F443" s="1">
        <v>5.6</v>
      </c>
      <c r="G443" s="1">
        <v>1</v>
      </c>
      <c r="H443" s="1">
        <v>0</v>
      </c>
      <c r="I443" s="1">
        <v>1</v>
      </c>
      <c r="J443" s="1">
        <v>60000535</v>
      </c>
      <c r="K443" s="1">
        <v>32767</v>
      </c>
      <c r="L443" s="1">
        <v>6</v>
      </c>
      <c r="N443" s="1">
        <v>2804694734</v>
      </c>
      <c r="O443" s="1">
        <v>35</v>
      </c>
      <c r="P443" s="1">
        <v>10000000</v>
      </c>
      <c r="Q443" s="1">
        <v>4307862</v>
      </c>
      <c r="R443" s="1">
        <v>13.37</v>
      </c>
      <c r="S443" s="1">
        <v>1</v>
      </c>
      <c r="T443" s="1">
        <v>1</v>
      </c>
      <c r="U443" s="1">
        <v>90</v>
      </c>
      <c r="V443" s="1">
        <v>60013291</v>
      </c>
      <c r="W443" s="1">
        <v>-1</v>
      </c>
      <c r="X443" s="1">
        <v>0</v>
      </c>
      <c r="Z443" s="1">
        <v>2866182062</v>
      </c>
      <c r="AA443" s="1">
        <v>36</v>
      </c>
      <c r="AB443" s="1">
        <v>10000000</v>
      </c>
      <c r="AC443" s="1">
        <v>4884256</v>
      </c>
      <c r="AD443" s="16">
        <v>37.01</v>
      </c>
      <c r="AE443" s="1">
        <v>1</v>
      </c>
      <c r="AF443" s="1">
        <v>1</v>
      </c>
      <c r="AG443" s="1">
        <v>90</v>
      </c>
      <c r="AH443" s="1">
        <v>60003760</v>
      </c>
      <c r="AI443" s="1">
        <v>1</v>
      </c>
      <c r="AJ443" s="1">
        <v>0</v>
      </c>
      <c r="CH443" s="1">
        <v>2405327873</v>
      </c>
      <c r="CI443" s="1">
        <v>29668</v>
      </c>
      <c r="CJ443" s="1">
        <v>4</v>
      </c>
      <c r="CK443" s="1">
        <v>4</v>
      </c>
      <c r="CL443" s="1">
        <v>50000000</v>
      </c>
      <c r="CM443" s="1">
        <v>1</v>
      </c>
      <c r="CN443" s="1">
        <v>1</v>
      </c>
      <c r="CO443" s="1">
        <v>90</v>
      </c>
      <c r="CP443" s="1">
        <v>60003760</v>
      </c>
      <c r="CQ443" s="1">
        <v>32767</v>
      </c>
      <c r="CR443" s="1">
        <v>0</v>
      </c>
    </row>
    <row r="444" spans="2:96" x14ac:dyDescent="0.25">
      <c r="B444" s="1">
        <v>2877219863</v>
      </c>
      <c r="C444" s="1">
        <v>34</v>
      </c>
      <c r="D444" s="1">
        <v>7216923</v>
      </c>
      <c r="E444" s="1">
        <v>7216923</v>
      </c>
      <c r="F444" s="1">
        <v>5.7</v>
      </c>
      <c r="G444" s="1">
        <v>1</v>
      </c>
      <c r="H444" s="1">
        <v>0</v>
      </c>
      <c r="I444" s="1">
        <v>7</v>
      </c>
      <c r="J444" s="1">
        <v>60000535</v>
      </c>
      <c r="K444" s="1">
        <v>32767</v>
      </c>
      <c r="L444" s="1">
        <v>6</v>
      </c>
      <c r="N444" s="1">
        <v>2769955456</v>
      </c>
      <c r="O444" s="1">
        <v>35</v>
      </c>
      <c r="P444" s="1">
        <v>50000000</v>
      </c>
      <c r="Q444" s="1">
        <v>49628354</v>
      </c>
      <c r="R444" s="1">
        <v>9.02</v>
      </c>
      <c r="S444" s="1">
        <v>1</v>
      </c>
      <c r="T444" s="1">
        <v>1</v>
      </c>
      <c r="U444" s="1">
        <v>90</v>
      </c>
      <c r="V444" s="1">
        <v>60003076</v>
      </c>
      <c r="W444" s="1">
        <v>0</v>
      </c>
      <c r="X444" s="1">
        <v>0</v>
      </c>
      <c r="Z444" s="1">
        <v>2872431013</v>
      </c>
      <c r="AA444" s="1">
        <v>36</v>
      </c>
      <c r="AB444" s="1">
        <v>200000000</v>
      </c>
      <c r="AC444" s="1">
        <v>177484043</v>
      </c>
      <c r="AD444" s="16">
        <v>36.54</v>
      </c>
      <c r="AE444" s="1">
        <v>1000000</v>
      </c>
      <c r="AF444" s="1">
        <v>1</v>
      </c>
      <c r="AG444" s="1">
        <v>90</v>
      </c>
      <c r="AH444" s="1">
        <v>60003760</v>
      </c>
      <c r="AI444" s="1">
        <v>32767</v>
      </c>
      <c r="AJ444" s="1">
        <v>0</v>
      </c>
      <c r="CH444" s="1">
        <v>2405897859</v>
      </c>
      <c r="CI444" s="1">
        <v>29668</v>
      </c>
      <c r="CJ444" s="1">
        <v>1</v>
      </c>
      <c r="CK444" s="1">
        <v>1</v>
      </c>
      <c r="CL444" s="1">
        <v>484178</v>
      </c>
      <c r="CM444" s="1">
        <v>1</v>
      </c>
      <c r="CN444" s="1">
        <v>1</v>
      </c>
      <c r="CO444" s="1">
        <v>90</v>
      </c>
      <c r="CP444" s="1">
        <v>60003760</v>
      </c>
      <c r="CQ444" s="1">
        <v>-1</v>
      </c>
      <c r="CR444" s="1">
        <v>0</v>
      </c>
    </row>
    <row r="445" spans="2:96" x14ac:dyDescent="0.25">
      <c r="B445" s="1">
        <v>2877501420</v>
      </c>
      <c r="C445" s="1">
        <v>34</v>
      </c>
      <c r="D445" s="1">
        <v>69442071</v>
      </c>
      <c r="E445" s="1">
        <v>69442071</v>
      </c>
      <c r="F445" s="1">
        <v>5.95</v>
      </c>
      <c r="G445" s="1">
        <v>1</v>
      </c>
      <c r="H445" s="1">
        <v>0</v>
      </c>
      <c r="I445" s="1">
        <v>90</v>
      </c>
      <c r="J445" s="1">
        <v>60012667</v>
      </c>
      <c r="K445" s="1">
        <v>32767</v>
      </c>
      <c r="L445" s="1">
        <v>6</v>
      </c>
      <c r="N445" s="1">
        <v>2808851234</v>
      </c>
      <c r="O445" s="1">
        <v>35</v>
      </c>
      <c r="P445" s="1">
        <v>10000000</v>
      </c>
      <c r="Q445" s="1">
        <v>1861348</v>
      </c>
      <c r="R445" s="1">
        <v>13.25</v>
      </c>
      <c r="S445" s="1">
        <v>1</v>
      </c>
      <c r="T445" s="1">
        <v>1</v>
      </c>
      <c r="U445" s="1">
        <v>90</v>
      </c>
      <c r="V445" s="1">
        <v>60001591</v>
      </c>
      <c r="W445" s="1">
        <v>0</v>
      </c>
      <c r="X445" s="1">
        <v>0</v>
      </c>
      <c r="Z445" s="1">
        <v>2874999984</v>
      </c>
      <c r="AA445" s="1">
        <v>36</v>
      </c>
      <c r="AB445" s="1">
        <v>1000000</v>
      </c>
      <c r="AC445" s="1">
        <v>158104</v>
      </c>
      <c r="AD445" s="16">
        <v>46.66</v>
      </c>
      <c r="AE445" s="1">
        <v>1</v>
      </c>
      <c r="AF445" s="1">
        <v>1</v>
      </c>
      <c r="AG445" s="1">
        <v>90</v>
      </c>
      <c r="AH445" s="1">
        <v>60003760</v>
      </c>
      <c r="AI445" s="1">
        <v>-1</v>
      </c>
      <c r="AJ445" s="1">
        <v>0</v>
      </c>
      <c r="CH445" s="1">
        <v>2405639969</v>
      </c>
      <c r="CI445" s="1">
        <v>29668</v>
      </c>
      <c r="CJ445" s="1">
        <v>1</v>
      </c>
      <c r="CK445" s="1">
        <v>1</v>
      </c>
      <c r="CL445" s="1">
        <v>123</v>
      </c>
      <c r="CM445" s="1">
        <v>1</v>
      </c>
      <c r="CN445" s="1">
        <v>1</v>
      </c>
      <c r="CO445" s="1">
        <v>90</v>
      </c>
      <c r="CP445" s="1">
        <v>60003760</v>
      </c>
      <c r="CQ445" s="1">
        <v>-1</v>
      </c>
      <c r="CR445" s="1">
        <v>0</v>
      </c>
    </row>
    <row r="446" spans="2:96" x14ac:dyDescent="0.25">
      <c r="B446" s="1">
        <v>2877556259</v>
      </c>
      <c r="C446" s="1">
        <v>34</v>
      </c>
      <c r="D446" s="1">
        <v>113702</v>
      </c>
      <c r="E446" s="1">
        <v>113702</v>
      </c>
      <c r="F446" s="1">
        <v>5.65</v>
      </c>
      <c r="G446" s="1">
        <v>1</v>
      </c>
      <c r="H446" s="1">
        <v>0</v>
      </c>
      <c r="I446" s="1">
        <v>90</v>
      </c>
      <c r="J446" s="1">
        <v>60012667</v>
      </c>
      <c r="K446" s="1">
        <v>32767</v>
      </c>
      <c r="L446" s="1">
        <v>6</v>
      </c>
      <c r="N446" s="1">
        <v>2876779486</v>
      </c>
      <c r="O446" s="1">
        <v>35</v>
      </c>
      <c r="P446" s="1">
        <v>30000000</v>
      </c>
      <c r="Q446" s="1">
        <v>17165260</v>
      </c>
      <c r="R446" s="1">
        <v>13.5</v>
      </c>
      <c r="S446" s="1">
        <v>1</v>
      </c>
      <c r="T446" s="1">
        <v>1</v>
      </c>
      <c r="U446" s="1">
        <v>14</v>
      </c>
      <c r="V446" s="1">
        <v>60004474</v>
      </c>
      <c r="W446" s="1">
        <v>0</v>
      </c>
      <c r="X446" s="1">
        <v>0</v>
      </c>
      <c r="Z446" s="1">
        <v>2875007799</v>
      </c>
      <c r="AA446" s="1">
        <v>36</v>
      </c>
      <c r="AB446" s="1">
        <v>5000000</v>
      </c>
      <c r="AC446" s="1">
        <v>3194738</v>
      </c>
      <c r="AD446" s="16">
        <v>46.56</v>
      </c>
      <c r="AE446" s="1">
        <v>1</v>
      </c>
      <c r="AF446" s="1">
        <v>1</v>
      </c>
      <c r="AG446" s="1">
        <v>30</v>
      </c>
      <c r="AH446" s="1">
        <v>60003760</v>
      </c>
      <c r="AI446" s="1">
        <v>-1</v>
      </c>
      <c r="AJ446" s="1">
        <v>0</v>
      </c>
      <c r="CH446" s="1">
        <v>2405640776</v>
      </c>
      <c r="CI446" s="1">
        <v>29668</v>
      </c>
      <c r="CJ446" s="1">
        <v>1</v>
      </c>
      <c r="CK446" s="1">
        <v>1</v>
      </c>
      <c r="CL446" s="1">
        <v>123</v>
      </c>
      <c r="CM446" s="1">
        <v>1</v>
      </c>
      <c r="CN446" s="1">
        <v>1</v>
      </c>
      <c r="CO446" s="1">
        <v>90</v>
      </c>
      <c r="CP446" s="1">
        <v>60003760</v>
      </c>
      <c r="CQ446" s="1">
        <v>32767</v>
      </c>
      <c r="CR446" s="1">
        <v>0</v>
      </c>
    </row>
    <row r="447" spans="2:96" x14ac:dyDescent="0.25">
      <c r="B447" s="1">
        <v>2876822560</v>
      </c>
      <c r="C447" s="1">
        <v>34</v>
      </c>
      <c r="D447" s="1">
        <v>4126000</v>
      </c>
      <c r="E447" s="1">
        <v>4126000</v>
      </c>
      <c r="F447" s="1">
        <v>5.9</v>
      </c>
      <c r="G447" s="1">
        <v>1</v>
      </c>
      <c r="H447" s="1">
        <v>0</v>
      </c>
      <c r="I447" s="1">
        <v>90</v>
      </c>
      <c r="J447" s="1">
        <v>60012667</v>
      </c>
      <c r="K447" s="1">
        <v>32767</v>
      </c>
      <c r="L447" s="1">
        <v>6</v>
      </c>
      <c r="N447" s="1">
        <v>2754203532</v>
      </c>
      <c r="O447" s="1">
        <v>35</v>
      </c>
      <c r="P447" s="1">
        <v>10000000</v>
      </c>
      <c r="Q447" s="1">
        <v>5599036</v>
      </c>
      <c r="R447" s="1">
        <v>12.79</v>
      </c>
      <c r="S447" s="1">
        <v>1</v>
      </c>
      <c r="T447" s="1">
        <v>1</v>
      </c>
      <c r="U447" s="1">
        <v>90</v>
      </c>
      <c r="V447" s="1">
        <v>60002239</v>
      </c>
      <c r="W447" s="1">
        <v>0</v>
      </c>
      <c r="X447" s="1">
        <v>0</v>
      </c>
      <c r="Z447" s="1">
        <v>2875675003</v>
      </c>
      <c r="AA447" s="1">
        <v>36</v>
      </c>
      <c r="AB447" s="1">
        <v>10000000</v>
      </c>
      <c r="AC447" s="1">
        <v>10000000</v>
      </c>
      <c r="AD447" s="16">
        <v>44.45</v>
      </c>
      <c r="AE447" s="1">
        <v>1</v>
      </c>
      <c r="AF447" s="1">
        <v>1</v>
      </c>
      <c r="AG447" s="1">
        <v>90</v>
      </c>
      <c r="AH447" s="1">
        <v>60003760</v>
      </c>
      <c r="AI447" s="1">
        <v>-1</v>
      </c>
      <c r="AJ447" s="1">
        <v>0</v>
      </c>
      <c r="CH447" s="1">
        <v>2405641487</v>
      </c>
      <c r="CI447" s="1">
        <v>29668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90</v>
      </c>
      <c r="CP447" s="1">
        <v>60003760</v>
      </c>
      <c r="CQ447" s="1">
        <v>40</v>
      </c>
      <c r="CR447" s="1">
        <v>0</v>
      </c>
    </row>
    <row r="448" spans="2:96" x14ac:dyDescent="0.25">
      <c r="B448" s="1">
        <v>2853785673</v>
      </c>
      <c r="C448" s="1">
        <v>34</v>
      </c>
      <c r="D448" s="1">
        <v>806983</v>
      </c>
      <c r="E448" s="1">
        <v>790783</v>
      </c>
      <c r="F448" s="1">
        <v>7.89</v>
      </c>
      <c r="G448" s="1">
        <v>1</v>
      </c>
      <c r="H448" s="1">
        <v>0</v>
      </c>
      <c r="I448" s="1">
        <v>90</v>
      </c>
      <c r="J448" s="1">
        <v>60003070</v>
      </c>
      <c r="K448" s="1">
        <v>32767</v>
      </c>
      <c r="L448" s="1">
        <v>7</v>
      </c>
      <c r="N448" s="1">
        <v>2843655480</v>
      </c>
      <c r="O448" s="1">
        <v>35</v>
      </c>
      <c r="P448" s="1">
        <v>30000</v>
      </c>
      <c r="Q448" s="1">
        <v>30000</v>
      </c>
      <c r="R448" s="1">
        <v>13.33</v>
      </c>
      <c r="S448" s="1">
        <v>1</v>
      </c>
      <c r="T448" s="1">
        <v>1</v>
      </c>
      <c r="U448" s="1">
        <v>90</v>
      </c>
      <c r="V448" s="1">
        <v>60015027</v>
      </c>
      <c r="W448" s="1">
        <v>-1</v>
      </c>
      <c r="X448" s="1">
        <v>0</v>
      </c>
      <c r="Z448" s="1">
        <v>2876767780</v>
      </c>
      <c r="AA448" s="1">
        <v>36</v>
      </c>
      <c r="AB448" s="1">
        <v>30000000</v>
      </c>
      <c r="AC448" s="1">
        <v>22012561</v>
      </c>
      <c r="AD448" s="16">
        <v>46.68</v>
      </c>
      <c r="AE448" s="1">
        <v>1</v>
      </c>
      <c r="AF448" s="1">
        <v>1</v>
      </c>
      <c r="AG448" s="1">
        <v>3</v>
      </c>
      <c r="AH448" s="1">
        <v>60003760</v>
      </c>
      <c r="AI448" s="1">
        <v>-1</v>
      </c>
      <c r="AJ448" s="1">
        <v>0</v>
      </c>
      <c r="CH448" s="1">
        <v>2406049670</v>
      </c>
      <c r="CI448" s="1">
        <v>29668</v>
      </c>
      <c r="CJ448" s="1">
        <v>2</v>
      </c>
      <c r="CK448" s="1">
        <v>2</v>
      </c>
      <c r="CL448" s="1">
        <v>456200001</v>
      </c>
      <c r="CM448" s="1">
        <v>1</v>
      </c>
      <c r="CN448" s="1">
        <v>1</v>
      </c>
      <c r="CO448" s="1">
        <v>30</v>
      </c>
      <c r="CP448" s="1">
        <v>60003760</v>
      </c>
      <c r="CQ448" s="1">
        <v>-1</v>
      </c>
      <c r="CR448" s="1">
        <v>0</v>
      </c>
    </row>
    <row r="449" spans="2:96" x14ac:dyDescent="0.25">
      <c r="B449" s="1">
        <v>2853784748</v>
      </c>
      <c r="C449" s="1">
        <v>34</v>
      </c>
      <c r="D449" s="1">
        <v>5618687</v>
      </c>
      <c r="E449" s="1">
        <v>1137289</v>
      </c>
      <c r="F449" s="1">
        <v>7.97</v>
      </c>
      <c r="G449" s="1">
        <v>1</v>
      </c>
      <c r="H449" s="1">
        <v>0</v>
      </c>
      <c r="I449" s="1">
        <v>90</v>
      </c>
      <c r="J449" s="1">
        <v>60004444</v>
      </c>
      <c r="K449" s="1">
        <v>32767</v>
      </c>
      <c r="L449" s="1">
        <v>7</v>
      </c>
      <c r="N449" s="1">
        <v>2844972671</v>
      </c>
      <c r="O449" s="1">
        <v>35</v>
      </c>
      <c r="P449" s="1">
        <v>20000</v>
      </c>
      <c r="Q449" s="1">
        <v>20000</v>
      </c>
      <c r="R449" s="1">
        <v>13.32</v>
      </c>
      <c r="S449" s="1">
        <v>1</v>
      </c>
      <c r="T449" s="1">
        <v>1</v>
      </c>
      <c r="U449" s="1">
        <v>90</v>
      </c>
      <c r="V449" s="1">
        <v>60015027</v>
      </c>
      <c r="W449" s="1">
        <v>-1</v>
      </c>
      <c r="X449" s="1">
        <v>0</v>
      </c>
      <c r="Z449" s="1">
        <v>2877480259</v>
      </c>
      <c r="AA449" s="1">
        <v>36</v>
      </c>
      <c r="AB449" s="1">
        <v>25000000</v>
      </c>
      <c r="AC449" s="1">
        <v>24336824</v>
      </c>
      <c r="AD449" s="16">
        <v>38</v>
      </c>
      <c r="AE449" s="1">
        <v>1</v>
      </c>
      <c r="AF449" s="1">
        <v>1</v>
      </c>
      <c r="AG449" s="1">
        <v>90</v>
      </c>
      <c r="AH449" s="1">
        <v>60003760</v>
      </c>
      <c r="AI449" s="1">
        <v>4</v>
      </c>
      <c r="AJ449" s="1">
        <v>0</v>
      </c>
      <c r="CH449" s="1">
        <v>2406025632</v>
      </c>
      <c r="CI449" s="1">
        <v>29668</v>
      </c>
      <c r="CJ449" s="1">
        <v>10</v>
      </c>
      <c r="CK449" s="1">
        <v>10</v>
      </c>
      <c r="CL449" s="1">
        <v>482999.94</v>
      </c>
      <c r="CM449" s="1">
        <v>1</v>
      </c>
      <c r="CN449" s="1">
        <v>1</v>
      </c>
      <c r="CO449" s="1">
        <v>90</v>
      </c>
      <c r="CP449" s="1">
        <v>60003760</v>
      </c>
      <c r="CQ449" s="1">
        <v>-1</v>
      </c>
      <c r="CR449" s="1">
        <v>0</v>
      </c>
    </row>
    <row r="450" spans="2:96" x14ac:dyDescent="0.25">
      <c r="B450" s="1">
        <v>2853782176</v>
      </c>
      <c r="C450" s="1">
        <v>34</v>
      </c>
      <c r="D450" s="1">
        <v>2237333</v>
      </c>
      <c r="E450" s="1">
        <v>2237333</v>
      </c>
      <c r="F450" s="1">
        <v>8.73</v>
      </c>
      <c r="G450" s="1">
        <v>1</v>
      </c>
      <c r="H450" s="1">
        <v>0</v>
      </c>
      <c r="I450" s="1">
        <v>90</v>
      </c>
      <c r="J450" s="1">
        <v>60000874</v>
      </c>
      <c r="K450" s="1">
        <v>32767</v>
      </c>
      <c r="L450" s="1">
        <v>7</v>
      </c>
      <c r="N450" s="1">
        <v>2872091106</v>
      </c>
      <c r="O450" s="1">
        <v>35</v>
      </c>
      <c r="P450" s="1">
        <v>5000000</v>
      </c>
      <c r="Q450" s="1">
        <v>299637</v>
      </c>
      <c r="R450" s="1">
        <v>13.55</v>
      </c>
      <c r="S450" s="1">
        <v>1</v>
      </c>
      <c r="T450" s="1">
        <v>1</v>
      </c>
      <c r="U450" s="1">
        <v>90</v>
      </c>
      <c r="V450" s="1">
        <v>60015027</v>
      </c>
      <c r="W450" s="1">
        <v>-1</v>
      </c>
      <c r="X450" s="1">
        <v>0</v>
      </c>
      <c r="Z450" s="1">
        <v>2877335097</v>
      </c>
      <c r="AA450" s="1">
        <v>36</v>
      </c>
      <c r="AB450" s="1">
        <v>15000000</v>
      </c>
      <c r="AC450" s="1">
        <v>12962719</v>
      </c>
      <c r="AD450" s="16">
        <v>43.51</v>
      </c>
      <c r="AE450" s="1">
        <v>150000</v>
      </c>
      <c r="AF450" s="1">
        <v>1</v>
      </c>
      <c r="AG450" s="1">
        <v>90</v>
      </c>
      <c r="AH450" s="1">
        <v>60003760</v>
      </c>
      <c r="AI450" s="1">
        <v>3</v>
      </c>
      <c r="AJ450" s="1">
        <v>0</v>
      </c>
      <c r="CH450" s="1">
        <v>2399890998</v>
      </c>
      <c r="CI450" s="1">
        <v>29668</v>
      </c>
      <c r="CJ450" s="1">
        <v>1</v>
      </c>
      <c r="CK450" s="1">
        <v>1</v>
      </c>
      <c r="CL450" s="1">
        <v>450900900.10000002</v>
      </c>
      <c r="CM450" s="1">
        <v>1</v>
      </c>
      <c r="CN450" s="1">
        <v>1</v>
      </c>
      <c r="CO450" s="1">
        <v>30</v>
      </c>
      <c r="CP450" s="1">
        <v>60003760</v>
      </c>
      <c r="CQ450" s="1">
        <v>0</v>
      </c>
      <c r="CR450" s="1">
        <v>0</v>
      </c>
    </row>
    <row r="451" spans="2:96" x14ac:dyDescent="0.25">
      <c r="B451" s="1">
        <v>2853490717</v>
      </c>
      <c r="C451" s="1">
        <v>34</v>
      </c>
      <c r="D451" s="1">
        <v>11044141</v>
      </c>
      <c r="E451" s="1">
        <v>10591041</v>
      </c>
      <c r="F451" s="1">
        <v>9.9499999999999993</v>
      </c>
      <c r="G451" s="1">
        <v>1</v>
      </c>
      <c r="H451" s="1">
        <v>0</v>
      </c>
      <c r="I451" s="1">
        <v>90</v>
      </c>
      <c r="J451" s="1">
        <v>60002353</v>
      </c>
      <c r="K451" s="1">
        <v>32767</v>
      </c>
      <c r="L451" s="1">
        <v>7</v>
      </c>
      <c r="N451" s="1">
        <v>2877007911</v>
      </c>
      <c r="O451" s="1">
        <v>35</v>
      </c>
      <c r="P451" s="1">
        <v>1000000</v>
      </c>
      <c r="Q451" s="1">
        <v>57127</v>
      </c>
      <c r="R451" s="1">
        <v>13.57</v>
      </c>
      <c r="S451" s="1">
        <v>1</v>
      </c>
      <c r="T451" s="1">
        <v>1</v>
      </c>
      <c r="U451" s="1">
        <v>90</v>
      </c>
      <c r="V451" s="1">
        <v>60015027</v>
      </c>
      <c r="W451" s="1">
        <v>-1</v>
      </c>
      <c r="X451" s="1">
        <v>0</v>
      </c>
      <c r="Z451" s="1">
        <v>2877336170</v>
      </c>
      <c r="AA451" s="1">
        <v>36</v>
      </c>
      <c r="AB451" s="1">
        <v>15000000</v>
      </c>
      <c r="AC451" s="1">
        <v>12511413</v>
      </c>
      <c r="AD451" s="16">
        <v>38.159999999999997</v>
      </c>
      <c r="AE451" s="1">
        <v>150000</v>
      </c>
      <c r="AF451" s="1">
        <v>1</v>
      </c>
      <c r="AG451" s="1">
        <v>90</v>
      </c>
      <c r="AH451" s="1">
        <v>60003760</v>
      </c>
      <c r="AI451" s="1">
        <v>5</v>
      </c>
      <c r="AJ451" s="1">
        <v>0</v>
      </c>
      <c r="CH451" s="1">
        <v>2400562647</v>
      </c>
      <c r="CI451" s="1">
        <v>29668</v>
      </c>
      <c r="CJ451" s="1">
        <v>1</v>
      </c>
      <c r="CK451" s="1">
        <v>1</v>
      </c>
      <c r="CL451" s="1">
        <v>450000000</v>
      </c>
      <c r="CM451" s="1">
        <v>1</v>
      </c>
      <c r="CN451" s="1">
        <v>1</v>
      </c>
      <c r="CO451" s="1">
        <v>30</v>
      </c>
      <c r="CP451" s="1">
        <v>60003760</v>
      </c>
      <c r="CQ451" s="1">
        <v>-1</v>
      </c>
      <c r="CR451" s="1">
        <v>0</v>
      </c>
    </row>
    <row r="452" spans="2:96" x14ac:dyDescent="0.25">
      <c r="B452" s="1">
        <v>2669376069</v>
      </c>
      <c r="C452" s="1">
        <v>34</v>
      </c>
      <c r="D452" s="1">
        <v>670400</v>
      </c>
      <c r="E452" s="1">
        <v>646101</v>
      </c>
      <c r="F452" s="1">
        <v>12.91</v>
      </c>
      <c r="G452" s="1">
        <v>1</v>
      </c>
      <c r="H452" s="1">
        <v>0</v>
      </c>
      <c r="I452" s="1">
        <v>90</v>
      </c>
      <c r="J452" s="1">
        <v>60002353</v>
      </c>
      <c r="K452" s="1">
        <v>32767</v>
      </c>
      <c r="L452" s="1">
        <v>7</v>
      </c>
      <c r="N452" s="1">
        <v>2878280721</v>
      </c>
      <c r="O452" s="1">
        <v>35</v>
      </c>
      <c r="P452" s="1">
        <v>10000000</v>
      </c>
      <c r="Q452" s="1">
        <v>7358397</v>
      </c>
      <c r="R452" s="1">
        <v>13.39</v>
      </c>
      <c r="S452" s="1">
        <v>1</v>
      </c>
      <c r="T452" s="1">
        <v>1</v>
      </c>
      <c r="U452" s="1">
        <v>90</v>
      </c>
      <c r="V452" s="1">
        <v>60004057</v>
      </c>
      <c r="W452" s="1">
        <v>3</v>
      </c>
      <c r="X452" s="1">
        <v>0</v>
      </c>
      <c r="Z452" s="1">
        <v>2762590731</v>
      </c>
      <c r="AA452" s="1">
        <v>36</v>
      </c>
      <c r="AB452" s="1">
        <v>1000000</v>
      </c>
      <c r="AC452" s="1">
        <v>209092</v>
      </c>
      <c r="AD452" s="16">
        <v>43.06</v>
      </c>
      <c r="AE452" s="1">
        <v>1</v>
      </c>
      <c r="AF452" s="1">
        <v>1</v>
      </c>
      <c r="AG452" s="1">
        <v>90</v>
      </c>
      <c r="AH452" s="1">
        <v>60003754</v>
      </c>
      <c r="AI452" s="1">
        <v>0</v>
      </c>
      <c r="AJ452" s="1">
        <v>0</v>
      </c>
      <c r="CH452" s="1">
        <v>2400722889</v>
      </c>
      <c r="CI452" s="1">
        <v>29668</v>
      </c>
      <c r="CJ452" s="1">
        <v>2</v>
      </c>
      <c r="CK452" s="1">
        <v>2</v>
      </c>
      <c r="CL452" s="1">
        <v>450000000</v>
      </c>
      <c r="CM452" s="1">
        <v>1</v>
      </c>
      <c r="CN452" s="1">
        <v>1</v>
      </c>
      <c r="CO452" s="1">
        <v>90</v>
      </c>
      <c r="CP452" s="1">
        <v>60003760</v>
      </c>
      <c r="CQ452" s="1">
        <v>-1</v>
      </c>
      <c r="CR452" s="1">
        <v>0</v>
      </c>
    </row>
    <row r="453" spans="2:96" x14ac:dyDescent="0.25">
      <c r="B453" s="1">
        <v>2875752952</v>
      </c>
      <c r="C453" s="1">
        <v>34</v>
      </c>
      <c r="D453" s="1">
        <v>9509737</v>
      </c>
      <c r="E453" s="1">
        <v>9509737</v>
      </c>
      <c r="F453" s="1">
        <v>5.6</v>
      </c>
      <c r="G453" s="1">
        <v>1</v>
      </c>
      <c r="H453" s="1">
        <v>0</v>
      </c>
      <c r="I453" s="1">
        <v>7</v>
      </c>
      <c r="J453" s="1">
        <v>60004444</v>
      </c>
      <c r="K453" s="1">
        <v>32767</v>
      </c>
      <c r="L453" s="1">
        <v>7</v>
      </c>
      <c r="N453" s="1">
        <v>2872560617</v>
      </c>
      <c r="O453" s="1">
        <v>35</v>
      </c>
      <c r="P453" s="1">
        <v>12500000</v>
      </c>
      <c r="Q453" s="1">
        <v>11325975</v>
      </c>
      <c r="R453" s="1">
        <v>14.02</v>
      </c>
      <c r="S453" s="1">
        <v>1</v>
      </c>
      <c r="T453" s="1">
        <v>1</v>
      </c>
      <c r="U453" s="1">
        <v>90</v>
      </c>
      <c r="V453" s="1">
        <v>60003763</v>
      </c>
      <c r="W453" s="1">
        <v>0</v>
      </c>
      <c r="X453" s="1">
        <v>0</v>
      </c>
      <c r="Z453" s="1">
        <v>2873324159</v>
      </c>
      <c r="AA453" s="1">
        <v>36</v>
      </c>
      <c r="AB453" s="1">
        <v>5000000</v>
      </c>
      <c r="AC453" s="1">
        <v>2637329</v>
      </c>
      <c r="AD453" s="16">
        <v>37</v>
      </c>
      <c r="AE453" s="1">
        <v>1</v>
      </c>
      <c r="AF453" s="1">
        <v>1</v>
      </c>
      <c r="AG453" s="1">
        <v>90</v>
      </c>
      <c r="AH453" s="1">
        <v>60002743</v>
      </c>
      <c r="AI453" s="1">
        <v>1</v>
      </c>
      <c r="AJ453" s="1">
        <v>0</v>
      </c>
      <c r="CH453" s="1">
        <v>2400294268</v>
      </c>
      <c r="CI453" s="1">
        <v>29668</v>
      </c>
      <c r="CJ453" s="1">
        <v>2</v>
      </c>
      <c r="CK453" s="1">
        <v>2</v>
      </c>
      <c r="CL453" s="1">
        <v>455019509</v>
      </c>
      <c r="CM453" s="1">
        <v>1</v>
      </c>
      <c r="CN453" s="1">
        <v>1</v>
      </c>
      <c r="CO453" s="1">
        <v>90</v>
      </c>
      <c r="CP453" s="1">
        <v>60003760</v>
      </c>
      <c r="CQ453" s="1">
        <v>-1</v>
      </c>
      <c r="CR453" s="1">
        <v>0</v>
      </c>
    </row>
    <row r="454" spans="2:96" x14ac:dyDescent="0.25">
      <c r="B454" s="1">
        <v>2785667006</v>
      </c>
      <c r="C454" s="1">
        <v>34</v>
      </c>
      <c r="D454" s="1">
        <v>8941526</v>
      </c>
      <c r="E454" s="1">
        <v>5004622</v>
      </c>
      <c r="F454" s="1">
        <v>6</v>
      </c>
      <c r="G454" s="1">
        <v>1</v>
      </c>
      <c r="H454" s="1">
        <v>0</v>
      </c>
      <c r="I454" s="1">
        <v>90</v>
      </c>
      <c r="J454" s="1">
        <v>60003193</v>
      </c>
      <c r="K454" s="1">
        <v>32767</v>
      </c>
      <c r="L454" s="1">
        <v>7</v>
      </c>
      <c r="N454" s="1">
        <v>2878551556</v>
      </c>
      <c r="O454" s="1">
        <v>35</v>
      </c>
      <c r="P454" s="1">
        <v>10000000</v>
      </c>
      <c r="Q454" s="1">
        <v>10000000</v>
      </c>
      <c r="R454" s="1">
        <v>13.52</v>
      </c>
      <c r="S454" s="1">
        <v>1</v>
      </c>
      <c r="T454" s="1">
        <v>1</v>
      </c>
      <c r="U454" s="1">
        <v>90</v>
      </c>
      <c r="V454" s="1">
        <v>60004231</v>
      </c>
      <c r="W454" s="1">
        <v>-1</v>
      </c>
      <c r="X454" s="1">
        <v>0</v>
      </c>
      <c r="Z454" s="1">
        <v>2859132500</v>
      </c>
      <c r="AA454" s="1">
        <v>36</v>
      </c>
      <c r="AB454" s="1">
        <v>1000000</v>
      </c>
      <c r="AC454" s="1">
        <v>1000000</v>
      </c>
      <c r="AD454" s="16">
        <v>30</v>
      </c>
      <c r="AE454" s="1">
        <v>1</v>
      </c>
      <c r="AF454" s="1">
        <v>1</v>
      </c>
      <c r="AG454" s="1">
        <v>30</v>
      </c>
      <c r="AH454" s="1">
        <v>60000655</v>
      </c>
      <c r="AI454" s="1">
        <v>-1</v>
      </c>
      <c r="AJ454" s="1">
        <v>0</v>
      </c>
      <c r="CH454" s="1">
        <v>2400268467</v>
      </c>
      <c r="CI454" s="1">
        <v>29668</v>
      </c>
      <c r="CJ454" s="1">
        <v>1</v>
      </c>
      <c r="CK454" s="1">
        <v>1</v>
      </c>
      <c r="CL454" s="1">
        <v>455019500</v>
      </c>
      <c r="CM454" s="1">
        <v>1</v>
      </c>
      <c r="CN454" s="1">
        <v>1</v>
      </c>
      <c r="CO454" s="1">
        <v>90</v>
      </c>
      <c r="CP454" s="1">
        <v>60003760</v>
      </c>
      <c r="CQ454" s="1">
        <v>-1</v>
      </c>
      <c r="CR454" s="1">
        <v>0</v>
      </c>
    </row>
    <row r="455" spans="2:96" x14ac:dyDescent="0.25">
      <c r="B455" s="1">
        <v>2804170729</v>
      </c>
      <c r="C455" s="1">
        <v>34</v>
      </c>
      <c r="D455" s="1">
        <v>4830045</v>
      </c>
      <c r="E455" s="1">
        <v>1750841</v>
      </c>
      <c r="F455" s="1">
        <v>5.6</v>
      </c>
      <c r="G455" s="1">
        <v>1</v>
      </c>
      <c r="H455" s="1">
        <v>0</v>
      </c>
      <c r="I455" s="1">
        <v>90</v>
      </c>
      <c r="J455" s="1">
        <v>60003193</v>
      </c>
      <c r="K455" s="1">
        <v>32767</v>
      </c>
      <c r="L455" s="1">
        <v>7</v>
      </c>
      <c r="N455" s="1">
        <v>2878559547</v>
      </c>
      <c r="O455" s="1">
        <v>35</v>
      </c>
      <c r="P455" s="1">
        <v>7000000</v>
      </c>
      <c r="Q455" s="1">
        <v>4981676</v>
      </c>
      <c r="R455" s="1">
        <v>14.51</v>
      </c>
      <c r="S455" s="1">
        <v>1</v>
      </c>
      <c r="T455" s="1">
        <v>1</v>
      </c>
      <c r="U455" s="1">
        <v>7</v>
      </c>
      <c r="V455" s="1">
        <v>60003760</v>
      </c>
      <c r="W455" s="1">
        <v>-1</v>
      </c>
      <c r="X455" s="1">
        <v>0</v>
      </c>
      <c r="Z455" s="1">
        <v>2859125311</v>
      </c>
      <c r="AA455" s="1">
        <v>36</v>
      </c>
      <c r="AB455" s="1">
        <v>3000000</v>
      </c>
      <c r="AC455" s="1">
        <v>2282387</v>
      </c>
      <c r="AD455" s="16">
        <v>45</v>
      </c>
      <c r="AE455" s="1">
        <v>1</v>
      </c>
      <c r="AF455" s="1">
        <v>1</v>
      </c>
      <c r="AG455" s="1">
        <v>90</v>
      </c>
      <c r="AH455" s="1">
        <v>60004219</v>
      </c>
      <c r="AI455" s="1">
        <v>-1</v>
      </c>
      <c r="AJ455" s="1">
        <v>0</v>
      </c>
      <c r="CH455" s="1">
        <v>2401356054</v>
      </c>
      <c r="CI455" s="1">
        <v>29668</v>
      </c>
      <c r="CJ455" s="1">
        <v>1000</v>
      </c>
      <c r="CK455" s="1">
        <v>1000</v>
      </c>
      <c r="CL455" s="1">
        <v>1000.99</v>
      </c>
      <c r="CM455" s="1">
        <v>1</v>
      </c>
      <c r="CN455" s="1">
        <v>1</v>
      </c>
      <c r="CO455" s="1">
        <v>90</v>
      </c>
      <c r="CP455" s="1">
        <v>60003760</v>
      </c>
      <c r="CQ455" s="1">
        <v>32767</v>
      </c>
      <c r="CR455" s="1">
        <v>0</v>
      </c>
    </row>
    <row r="456" spans="2:96" x14ac:dyDescent="0.25">
      <c r="B456" s="1">
        <v>2837548874</v>
      </c>
      <c r="C456" s="1">
        <v>34</v>
      </c>
      <c r="D456" s="1">
        <v>541962</v>
      </c>
      <c r="E456" s="1">
        <v>541962</v>
      </c>
      <c r="F456" s="1">
        <v>5.91</v>
      </c>
      <c r="G456" s="1">
        <v>1</v>
      </c>
      <c r="H456" s="1">
        <v>0</v>
      </c>
      <c r="I456" s="1">
        <v>90</v>
      </c>
      <c r="J456" s="1">
        <v>60003193</v>
      </c>
      <c r="K456" s="1">
        <v>32767</v>
      </c>
      <c r="L456" s="1">
        <v>7</v>
      </c>
      <c r="N456" s="1">
        <v>2878579470</v>
      </c>
      <c r="O456" s="1">
        <v>35</v>
      </c>
      <c r="P456" s="1">
        <v>46100097</v>
      </c>
      <c r="Q456" s="1">
        <v>45729981</v>
      </c>
      <c r="R456" s="1">
        <v>14.52</v>
      </c>
      <c r="S456" s="1">
        <v>1</v>
      </c>
      <c r="T456" s="1">
        <v>1</v>
      </c>
      <c r="U456" s="1">
        <v>90</v>
      </c>
      <c r="V456" s="1">
        <v>60003760</v>
      </c>
      <c r="W456" s="1">
        <v>-1</v>
      </c>
      <c r="X456" s="1">
        <v>0</v>
      </c>
      <c r="Z456" s="1">
        <v>2871205402</v>
      </c>
      <c r="AA456" s="1">
        <v>36</v>
      </c>
      <c r="AB456" s="1">
        <v>10000000</v>
      </c>
      <c r="AC456" s="1">
        <v>7341696</v>
      </c>
      <c r="AD456" s="16">
        <v>36.549999999999997</v>
      </c>
      <c r="AE456" s="1">
        <v>1</v>
      </c>
      <c r="AF456" s="1">
        <v>1</v>
      </c>
      <c r="AG456" s="1">
        <v>90</v>
      </c>
      <c r="AH456" s="1">
        <v>60002425</v>
      </c>
      <c r="AI456" s="1">
        <v>2</v>
      </c>
      <c r="AJ456" s="1">
        <v>0</v>
      </c>
      <c r="CH456" s="1">
        <v>2401290890</v>
      </c>
      <c r="CI456" s="1">
        <v>29668</v>
      </c>
      <c r="CJ456" s="1">
        <v>7</v>
      </c>
      <c r="CK456" s="1">
        <v>7</v>
      </c>
      <c r="CL456" s="1">
        <v>400000000</v>
      </c>
      <c r="CM456" s="1">
        <v>1</v>
      </c>
      <c r="CN456" s="1">
        <v>1</v>
      </c>
      <c r="CO456" s="1">
        <v>90</v>
      </c>
      <c r="CP456" s="1">
        <v>60003760</v>
      </c>
      <c r="CQ456" s="1">
        <v>-1</v>
      </c>
      <c r="CR456" s="1">
        <v>0</v>
      </c>
    </row>
    <row r="457" spans="2:96" x14ac:dyDescent="0.25">
      <c r="B457" s="1">
        <v>2837552495</v>
      </c>
      <c r="C457" s="1">
        <v>34</v>
      </c>
      <c r="D457" s="1">
        <v>632595</v>
      </c>
      <c r="E457" s="1">
        <v>624162</v>
      </c>
      <c r="F457" s="1">
        <v>5.91</v>
      </c>
      <c r="G457" s="1">
        <v>1</v>
      </c>
      <c r="H457" s="1">
        <v>0</v>
      </c>
      <c r="I457" s="1">
        <v>90</v>
      </c>
      <c r="J457" s="1">
        <v>60000523</v>
      </c>
      <c r="K457" s="1">
        <v>32767</v>
      </c>
      <c r="L457" s="1">
        <v>8</v>
      </c>
      <c r="N457" s="1">
        <v>2875775037</v>
      </c>
      <c r="O457" s="1">
        <v>35</v>
      </c>
      <c r="P457" s="1">
        <v>859000000</v>
      </c>
      <c r="Q457" s="1">
        <v>833195822</v>
      </c>
      <c r="R457" s="1">
        <v>14.53</v>
      </c>
      <c r="S457" s="1">
        <v>1</v>
      </c>
      <c r="T457" s="1">
        <v>1</v>
      </c>
      <c r="U457" s="1">
        <v>90</v>
      </c>
      <c r="V457" s="1">
        <v>60003760</v>
      </c>
      <c r="W457" s="1">
        <v>-1</v>
      </c>
      <c r="X457" s="1">
        <v>0</v>
      </c>
      <c r="Z457" s="1">
        <v>2873201477</v>
      </c>
      <c r="AA457" s="1">
        <v>36</v>
      </c>
      <c r="AB457" s="1">
        <v>1000000</v>
      </c>
      <c r="AC457" s="1">
        <v>551808</v>
      </c>
      <c r="AD457" s="16">
        <v>22.18</v>
      </c>
      <c r="AE457" s="1">
        <v>1000</v>
      </c>
      <c r="AF457" s="1">
        <v>1</v>
      </c>
      <c r="AG457" s="1">
        <v>30</v>
      </c>
      <c r="AH457" s="1">
        <v>60004063</v>
      </c>
      <c r="AI457" s="1">
        <v>3</v>
      </c>
      <c r="AJ457" s="1">
        <v>0</v>
      </c>
      <c r="CH457" s="1">
        <v>2403237602</v>
      </c>
      <c r="CI457" s="1">
        <v>29668</v>
      </c>
      <c r="CJ457" s="1">
        <v>2</v>
      </c>
      <c r="CK457" s="1">
        <v>2</v>
      </c>
      <c r="CL457" s="1">
        <v>445000000</v>
      </c>
      <c r="CM457" s="1">
        <v>1</v>
      </c>
      <c r="CN457" s="1">
        <v>1</v>
      </c>
      <c r="CO457" s="1">
        <v>90</v>
      </c>
      <c r="CP457" s="1">
        <v>60003760</v>
      </c>
      <c r="CQ457" s="1">
        <v>-1</v>
      </c>
      <c r="CR457" s="1">
        <v>0</v>
      </c>
    </row>
    <row r="458" spans="2:96" x14ac:dyDescent="0.25">
      <c r="B458" s="1">
        <v>2817368332</v>
      </c>
      <c r="C458" s="1">
        <v>34</v>
      </c>
      <c r="D458" s="1">
        <v>1312932</v>
      </c>
      <c r="E458" s="1">
        <v>1312932</v>
      </c>
      <c r="F458" s="1">
        <v>5.98</v>
      </c>
      <c r="G458" s="1">
        <v>1</v>
      </c>
      <c r="H458" s="1">
        <v>0</v>
      </c>
      <c r="I458" s="1">
        <v>90</v>
      </c>
      <c r="J458" s="1">
        <v>60000532</v>
      </c>
      <c r="K458" s="1">
        <v>32767</v>
      </c>
      <c r="L458" s="1">
        <v>8</v>
      </c>
      <c r="N458" s="1">
        <v>2878619549</v>
      </c>
      <c r="O458" s="1">
        <v>35</v>
      </c>
      <c r="P458" s="1">
        <v>12600000</v>
      </c>
      <c r="Q458" s="1">
        <v>12595126</v>
      </c>
      <c r="R458" s="1">
        <v>14.55</v>
      </c>
      <c r="S458" s="1">
        <v>1</v>
      </c>
      <c r="T458" s="1">
        <v>1</v>
      </c>
      <c r="U458" s="1">
        <v>90</v>
      </c>
      <c r="V458" s="1">
        <v>60003760</v>
      </c>
      <c r="W458" s="1">
        <v>-1</v>
      </c>
      <c r="X458" s="1">
        <v>0</v>
      </c>
      <c r="Z458" s="1">
        <v>2876149705</v>
      </c>
      <c r="AA458" s="1">
        <v>36</v>
      </c>
      <c r="AB458" s="1">
        <v>2000000</v>
      </c>
      <c r="AC458" s="1">
        <v>2000000</v>
      </c>
      <c r="AD458" s="16">
        <v>33.51</v>
      </c>
      <c r="AE458" s="1">
        <v>200000</v>
      </c>
      <c r="AF458" s="1">
        <v>1</v>
      </c>
      <c r="AG458" s="1">
        <v>30</v>
      </c>
      <c r="AH458" s="1">
        <v>60004063</v>
      </c>
      <c r="AI458" s="1">
        <v>2</v>
      </c>
      <c r="AJ458" s="1">
        <v>0</v>
      </c>
      <c r="CH458" s="1">
        <v>2403237635</v>
      </c>
      <c r="CI458" s="1">
        <v>29668</v>
      </c>
      <c r="CJ458" s="1">
        <v>10</v>
      </c>
      <c r="CK458" s="1">
        <v>10</v>
      </c>
      <c r="CL458" s="1">
        <v>463000000</v>
      </c>
      <c r="CM458" s="1">
        <v>1</v>
      </c>
      <c r="CN458" s="1">
        <v>1</v>
      </c>
      <c r="CO458" s="1">
        <v>90</v>
      </c>
      <c r="CP458" s="1">
        <v>60003760</v>
      </c>
      <c r="CQ458" s="1">
        <v>-1</v>
      </c>
      <c r="CR458" s="1">
        <v>0</v>
      </c>
    </row>
    <row r="459" spans="2:96" x14ac:dyDescent="0.25">
      <c r="B459" s="1">
        <v>2817349051</v>
      </c>
      <c r="C459" s="1">
        <v>34</v>
      </c>
      <c r="D459" s="1">
        <v>2403058</v>
      </c>
      <c r="E459" s="1">
        <v>2403058</v>
      </c>
      <c r="F459" s="1">
        <v>5.95</v>
      </c>
      <c r="G459" s="1">
        <v>1</v>
      </c>
      <c r="H459" s="1">
        <v>0</v>
      </c>
      <c r="I459" s="1">
        <v>90</v>
      </c>
      <c r="J459" s="1">
        <v>60000520</v>
      </c>
      <c r="K459" s="1">
        <v>32767</v>
      </c>
      <c r="L459" s="1">
        <v>8</v>
      </c>
      <c r="N459" s="1">
        <v>2878631445</v>
      </c>
      <c r="O459" s="1">
        <v>35</v>
      </c>
      <c r="P459" s="1">
        <v>5000000</v>
      </c>
      <c r="Q459" s="1">
        <v>1276386</v>
      </c>
      <c r="R459" s="1">
        <v>14.6</v>
      </c>
      <c r="S459" s="1">
        <v>1</v>
      </c>
      <c r="T459" s="1">
        <v>1</v>
      </c>
      <c r="U459" s="1">
        <v>3</v>
      </c>
      <c r="V459" s="1">
        <v>60004219</v>
      </c>
      <c r="W459" s="1">
        <v>-1</v>
      </c>
      <c r="X459" s="1">
        <v>0</v>
      </c>
      <c r="Z459" s="1">
        <v>2875216917</v>
      </c>
      <c r="AA459" s="1">
        <v>36</v>
      </c>
      <c r="AB459" s="1">
        <v>3000000</v>
      </c>
      <c r="AC459" s="1">
        <v>1889238</v>
      </c>
      <c r="AD459" s="16">
        <v>46.75</v>
      </c>
      <c r="AE459" s="1">
        <v>1</v>
      </c>
      <c r="AF459" s="1">
        <v>1</v>
      </c>
      <c r="AG459" s="1">
        <v>90</v>
      </c>
      <c r="AH459" s="1">
        <v>60002269</v>
      </c>
      <c r="AI459" s="1">
        <v>-1</v>
      </c>
      <c r="AJ459" s="1">
        <v>0</v>
      </c>
      <c r="CH459" s="1">
        <v>2402915124</v>
      </c>
      <c r="CI459" s="1">
        <v>29668</v>
      </c>
      <c r="CJ459" s="1">
        <v>10</v>
      </c>
      <c r="CK459" s="1">
        <v>10</v>
      </c>
      <c r="CL459" s="1">
        <v>445000000</v>
      </c>
      <c r="CM459" s="1">
        <v>1</v>
      </c>
      <c r="CN459" s="1">
        <v>1</v>
      </c>
      <c r="CO459" s="1">
        <v>90</v>
      </c>
      <c r="CP459" s="1">
        <v>60003760</v>
      </c>
      <c r="CQ459" s="1">
        <v>0</v>
      </c>
      <c r="CR459" s="1">
        <v>0</v>
      </c>
    </row>
    <row r="460" spans="2:96" x14ac:dyDescent="0.25">
      <c r="B460" s="1">
        <v>2860993249</v>
      </c>
      <c r="C460" s="1">
        <v>34</v>
      </c>
      <c r="D460" s="1">
        <v>1470633</v>
      </c>
      <c r="E460" s="1">
        <v>1470633</v>
      </c>
      <c r="F460" s="1">
        <v>5.9</v>
      </c>
      <c r="G460" s="1">
        <v>1</v>
      </c>
      <c r="H460" s="1">
        <v>0</v>
      </c>
      <c r="I460" s="1">
        <v>30</v>
      </c>
      <c r="J460" s="1">
        <v>60000520</v>
      </c>
      <c r="K460" s="1">
        <v>32767</v>
      </c>
      <c r="L460" s="1">
        <v>8</v>
      </c>
      <c r="N460" s="1">
        <v>2878725362</v>
      </c>
      <c r="O460" s="1">
        <v>35</v>
      </c>
      <c r="P460" s="1">
        <v>1000000</v>
      </c>
      <c r="Q460" s="1">
        <v>1000000</v>
      </c>
      <c r="R460" s="1">
        <v>14.51</v>
      </c>
      <c r="S460" s="1">
        <v>1</v>
      </c>
      <c r="T460" s="1">
        <v>1</v>
      </c>
      <c r="U460" s="1">
        <v>90</v>
      </c>
      <c r="V460" s="1">
        <v>60003760</v>
      </c>
      <c r="W460" s="1">
        <v>-1</v>
      </c>
      <c r="X460" s="1">
        <v>0</v>
      </c>
      <c r="Z460" s="1">
        <v>2873011507</v>
      </c>
      <c r="AA460" s="1">
        <v>36</v>
      </c>
      <c r="AB460" s="1">
        <v>2620</v>
      </c>
      <c r="AC460" s="1">
        <v>2620</v>
      </c>
      <c r="AD460" s="16">
        <v>45</v>
      </c>
      <c r="AE460" s="1">
        <v>1</v>
      </c>
      <c r="AF460" s="1">
        <v>1</v>
      </c>
      <c r="AG460" s="1">
        <v>30</v>
      </c>
      <c r="AH460" s="1">
        <v>60002275</v>
      </c>
      <c r="AI460" s="1">
        <v>-1</v>
      </c>
      <c r="AJ460" s="1">
        <v>0</v>
      </c>
      <c r="CH460" s="1">
        <v>2402792006</v>
      </c>
      <c r="CI460" s="1">
        <v>29668</v>
      </c>
      <c r="CJ460" s="1">
        <v>45</v>
      </c>
      <c r="CK460" s="1">
        <v>45</v>
      </c>
      <c r="CL460" s="1">
        <v>440000000</v>
      </c>
      <c r="CM460" s="1">
        <v>1</v>
      </c>
      <c r="CN460" s="1">
        <v>1</v>
      </c>
      <c r="CO460" s="1">
        <v>90</v>
      </c>
      <c r="CP460" s="1">
        <v>60003760</v>
      </c>
      <c r="CQ460" s="1">
        <v>-1</v>
      </c>
      <c r="CR460" s="1">
        <v>0</v>
      </c>
    </row>
    <row r="461" spans="2:96" x14ac:dyDescent="0.25">
      <c r="B461" s="1">
        <v>2830098486</v>
      </c>
      <c r="C461" s="1">
        <v>34</v>
      </c>
      <c r="D461" s="1">
        <v>219922</v>
      </c>
      <c r="E461" s="1">
        <v>219922</v>
      </c>
      <c r="F461" s="1">
        <v>5.9</v>
      </c>
      <c r="G461" s="1">
        <v>1</v>
      </c>
      <c r="H461" s="1">
        <v>0</v>
      </c>
      <c r="I461" s="1">
        <v>90</v>
      </c>
      <c r="J461" s="1">
        <v>60000871</v>
      </c>
      <c r="K461" s="1">
        <v>32767</v>
      </c>
      <c r="L461" s="1">
        <v>8</v>
      </c>
      <c r="N461" s="1">
        <v>2878735218</v>
      </c>
      <c r="O461" s="1">
        <v>35</v>
      </c>
      <c r="P461" s="1">
        <v>100000000</v>
      </c>
      <c r="Q461" s="1">
        <v>6427974</v>
      </c>
      <c r="R461" s="1">
        <v>14.57</v>
      </c>
      <c r="S461" s="1">
        <v>1</v>
      </c>
      <c r="T461" s="1">
        <v>1</v>
      </c>
      <c r="U461" s="1">
        <v>7</v>
      </c>
      <c r="V461" s="1">
        <v>60003760</v>
      </c>
      <c r="W461" s="1">
        <v>-1</v>
      </c>
      <c r="X461" s="1">
        <v>0</v>
      </c>
      <c r="Z461" s="1">
        <v>2861125714</v>
      </c>
      <c r="AA461" s="1">
        <v>36</v>
      </c>
      <c r="AB461" s="1">
        <v>10000000</v>
      </c>
      <c r="AC461" s="1">
        <v>6852325</v>
      </c>
      <c r="AD461" s="16">
        <v>46.01</v>
      </c>
      <c r="AE461" s="1">
        <v>1</v>
      </c>
      <c r="AF461" s="1">
        <v>1</v>
      </c>
      <c r="AG461" s="1">
        <v>90</v>
      </c>
      <c r="AH461" s="1">
        <v>60004459</v>
      </c>
      <c r="AI461" s="1">
        <v>0</v>
      </c>
      <c r="AJ461" s="1">
        <v>0</v>
      </c>
      <c r="CH461" s="1">
        <v>2402792989</v>
      </c>
      <c r="CI461" s="1">
        <v>29668</v>
      </c>
      <c r="CJ461" s="1">
        <v>45</v>
      </c>
      <c r="CK461" s="1">
        <v>45</v>
      </c>
      <c r="CL461" s="1">
        <v>438000000</v>
      </c>
      <c r="CM461" s="1">
        <v>1</v>
      </c>
      <c r="CN461" s="1">
        <v>1</v>
      </c>
      <c r="CO461" s="1">
        <v>90</v>
      </c>
      <c r="CP461" s="1">
        <v>60003760</v>
      </c>
      <c r="CQ461" s="1">
        <v>-1</v>
      </c>
      <c r="CR461" s="1">
        <v>0</v>
      </c>
    </row>
    <row r="462" spans="2:96" x14ac:dyDescent="0.25">
      <c r="B462" s="1">
        <v>2837555657</v>
      </c>
      <c r="C462" s="1">
        <v>34</v>
      </c>
      <c r="D462" s="1">
        <v>926831</v>
      </c>
      <c r="E462" s="1">
        <v>926711</v>
      </c>
      <c r="F462" s="1">
        <v>5.91</v>
      </c>
      <c r="G462" s="1">
        <v>1</v>
      </c>
      <c r="H462" s="1">
        <v>0</v>
      </c>
      <c r="I462" s="1">
        <v>90</v>
      </c>
      <c r="J462" s="1">
        <v>60000868</v>
      </c>
      <c r="K462" s="1">
        <v>32767</v>
      </c>
      <c r="L462" s="1">
        <v>8</v>
      </c>
      <c r="N462" s="1">
        <v>2878744328</v>
      </c>
      <c r="O462" s="1">
        <v>35</v>
      </c>
      <c r="P462" s="1">
        <v>1000000</v>
      </c>
      <c r="Q462" s="1">
        <v>890481</v>
      </c>
      <c r="R462" s="1">
        <v>13.6</v>
      </c>
      <c r="S462" s="1">
        <v>1</v>
      </c>
      <c r="T462" s="1">
        <v>1</v>
      </c>
      <c r="U462" s="1">
        <v>1</v>
      </c>
      <c r="V462" s="1">
        <v>60015027</v>
      </c>
      <c r="W462" s="1">
        <v>-1</v>
      </c>
      <c r="X462" s="1">
        <v>0</v>
      </c>
      <c r="Z462" s="1">
        <v>2855017777</v>
      </c>
      <c r="AA462" s="1">
        <v>36</v>
      </c>
      <c r="AB462" s="1">
        <v>15000000</v>
      </c>
      <c r="AC462" s="1">
        <v>13815090</v>
      </c>
      <c r="AD462" s="16">
        <v>44.03</v>
      </c>
      <c r="AE462" s="1">
        <v>1</v>
      </c>
      <c r="AF462" s="1">
        <v>1</v>
      </c>
      <c r="AG462" s="1">
        <v>90</v>
      </c>
      <c r="AH462" s="1">
        <v>60012667</v>
      </c>
      <c r="AI462" s="1">
        <v>-1</v>
      </c>
      <c r="AJ462" s="1">
        <v>0</v>
      </c>
      <c r="CH462" s="1">
        <v>2402797343</v>
      </c>
      <c r="CI462" s="1">
        <v>29668</v>
      </c>
      <c r="CJ462" s="1">
        <v>10</v>
      </c>
      <c r="CK462" s="1">
        <v>10</v>
      </c>
      <c r="CL462" s="1">
        <v>470000.01</v>
      </c>
      <c r="CM462" s="1">
        <v>1</v>
      </c>
      <c r="CN462" s="1">
        <v>1</v>
      </c>
      <c r="CO462" s="1">
        <v>90</v>
      </c>
      <c r="CP462" s="1">
        <v>60003760</v>
      </c>
      <c r="CQ462" s="1">
        <v>40</v>
      </c>
      <c r="CR462" s="1">
        <v>0</v>
      </c>
    </row>
    <row r="463" spans="2:96" x14ac:dyDescent="0.25">
      <c r="B463" s="1">
        <v>2875570843</v>
      </c>
      <c r="C463" s="1">
        <v>34</v>
      </c>
      <c r="D463" s="1">
        <v>42690</v>
      </c>
      <c r="E463" s="1">
        <v>42690</v>
      </c>
      <c r="F463" s="1">
        <v>7</v>
      </c>
      <c r="G463" s="1">
        <v>1</v>
      </c>
      <c r="H463" s="1">
        <v>0</v>
      </c>
      <c r="I463" s="1">
        <v>30</v>
      </c>
      <c r="J463" s="1">
        <v>60012673</v>
      </c>
      <c r="K463" s="1">
        <v>32767</v>
      </c>
      <c r="L463" s="1">
        <v>8</v>
      </c>
      <c r="N463" s="1">
        <v>2876281334</v>
      </c>
      <c r="O463" s="1">
        <v>35</v>
      </c>
      <c r="P463" s="1">
        <v>900000</v>
      </c>
      <c r="Q463" s="1">
        <v>537888</v>
      </c>
      <c r="R463" s="1">
        <v>13.61</v>
      </c>
      <c r="S463" s="1">
        <v>1</v>
      </c>
      <c r="T463" s="1">
        <v>1</v>
      </c>
      <c r="U463" s="1">
        <v>7</v>
      </c>
      <c r="V463" s="1">
        <v>60015027</v>
      </c>
      <c r="W463" s="1">
        <v>-1</v>
      </c>
      <c r="X463" s="1">
        <v>0</v>
      </c>
      <c r="Z463" s="1">
        <v>2831238939</v>
      </c>
      <c r="AA463" s="1">
        <v>36</v>
      </c>
      <c r="AB463" s="1">
        <v>11000000</v>
      </c>
      <c r="AC463" s="1">
        <v>4916532</v>
      </c>
      <c r="AD463" s="16">
        <v>46.03</v>
      </c>
      <c r="AE463" s="1">
        <v>1</v>
      </c>
      <c r="AF463" s="1">
        <v>1</v>
      </c>
      <c r="AG463" s="1">
        <v>90</v>
      </c>
      <c r="AH463" s="1">
        <v>60012667</v>
      </c>
      <c r="AI463" s="1">
        <v>0</v>
      </c>
      <c r="AJ463" s="1">
        <v>0</v>
      </c>
      <c r="CH463" s="1">
        <v>2403149007</v>
      </c>
      <c r="CI463" s="1">
        <v>29668</v>
      </c>
      <c r="CJ463" s="1">
        <v>1</v>
      </c>
      <c r="CK463" s="1">
        <v>1</v>
      </c>
      <c r="CL463" s="1">
        <v>467000000.00999999</v>
      </c>
      <c r="CM463" s="1">
        <v>1</v>
      </c>
      <c r="CN463" s="1">
        <v>1</v>
      </c>
      <c r="CO463" s="1">
        <v>90</v>
      </c>
      <c r="CP463" s="1">
        <v>60003760</v>
      </c>
      <c r="CQ463" s="1">
        <v>-1</v>
      </c>
      <c r="CR463" s="1">
        <v>0</v>
      </c>
    </row>
    <row r="464" spans="2:96" x14ac:dyDescent="0.25">
      <c r="B464" s="1">
        <v>2877096012</v>
      </c>
      <c r="C464" s="1">
        <v>34</v>
      </c>
      <c r="D464" s="1">
        <v>22626</v>
      </c>
      <c r="E464" s="1">
        <v>22626</v>
      </c>
      <c r="F464" s="1">
        <v>6.4</v>
      </c>
      <c r="G464" s="1">
        <v>1</v>
      </c>
      <c r="H464" s="1">
        <v>0</v>
      </c>
      <c r="I464" s="1">
        <v>1</v>
      </c>
      <c r="J464" s="1">
        <v>60012670</v>
      </c>
      <c r="K464" s="1">
        <v>32767</v>
      </c>
      <c r="L464" s="1">
        <v>8</v>
      </c>
      <c r="N464" s="1">
        <v>2879038078</v>
      </c>
      <c r="O464" s="1">
        <v>35</v>
      </c>
      <c r="P464" s="1">
        <v>15000000</v>
      </c>
      <c r="Q464" s="1">
        <v>14955690</v>
      </c>
      <c r="R464" s="1">
        <v>13.62</v>
      </c>
      <c r="S464" s="1">
        <v>1</v>
      </c>
      <c r="T464" s="1">
        <v>1</v>
      </c>
      <c r="U464" s="1">
        <v>90</v>
      </c>
      <c r="V464" s="1">
        <v>60015026</v>
      </c>
      <c r="W464" s="1">
        <v>3</v>
      </c>
      <c r="X464" s="1">
        <v>0</v>
      </c>
      <c r="Z464" s="1">
        <v>2877456468</v>
      </c>
      <c r="AA464" s="1">
        <v>36</v>
      </c>
      <c r="AB464" s="1">
        <v>25000000</v>
      </c>
      <c r="AC464" s="1">
        <v>14541815</v>
      </c>
      <c r="AD464" s="16">
        <v>38</v>
      </c>
      <c r="AE464" s="1">
        <v>1</v>
      </c>
      <c r="AF464" s="1">
        <v>1</v>
      </c>
      <c r="AG464" s="1">
        <v>90</v>
      </c>
      <c r="AH464" s="1">
        <v>60002359</v>
      </c>
      <c r="AI464" s="1">
        <v>3</v>
      </c>
      <c r="AJ464" s="1">
        <v>0</v>
      </c>
      <c r="CH464" s="1">
        <v>2402227415</v>
      </c>
      <c r="CI464" s="1">
        <v>29668</v>
      </c>
      <c r="CJ464" s="1">
        <v>1</v>
      </c>
      <c r="CK464" s="1">
        <v>1</v>
      </c>
      <c r="CL464" s="1">
        <v>451200000.17000002</v>
      </c>
      <c r="CM464" s="1">
        <v>1</v>
      </c>
      <c r="CN464" s="1">
        <v>1</v>
      </c>
      <c r="CO464" s="1">
        <v>90</v>
      </c>
      <c r="CP464" s="1">
        <v>60003760</v>
      </c>
      <c r="CQ464" s="1">
        <v>32767</v>
      </c>
      <c r="CR464" s="1">
        <v>0</v>
      </c>
    </row>
    <row r="465" spans="2:96" x14ac:dyDescent="0.25">
      <c r="B465" s="1">
        <v>2878197184</v>
      </c>
      <c r="C465" s="1">
        <v>34</v>
      </c>
      <c r="D465" s="1">
        <v>13907228</v>
      </c>
      <c r="E465" s="1">
        <v>13907228</v>
      </c>
      <c r="F465" s="1">
        <v>5.64</v>
      </c>
      <c r="G465" s="1">
        <v>1</v>
      </c>
      <c r="H465" s="1">
        <v>0</v>
      </c>
      <c r="I465" s="1">
        <v>90</v>
      </c>
      <c r="J465" s="1">
        <v>60012670</v>
      </c>
      <c r="K465" s="1">
        <v>32767</v>
      </c>
      <c r="L465" s="1">
        <v>8</v>
      </c>
      <c r="N465" s="1">
        <v>2845623910</v>
      </c>
      <c r="O465" s="1">
        <v>35</v>
      </c>
      <c r="P465" s="1">
        <v>60000000</v>
      </c>
      <c r="Q465" s="1">
        <v>26672120</v>
      </c>
      <c r="R465" s="1">
        <v>13.42</v>
      </c>
      <c r="S465" s="1">
        <v>400000</v>
      </c>
      <c r="T465" s="1">
        <v>1</v>
      </c>
      <c r="U465" s="1">
        <v>90</v>
      </c>
      <c r="V465" s="1">
        <v>60003760</v>
      </c>
      <c r="W465" s="1">
        <v>4</v>
      </c>
      <c r="X465" s="1">
        <v>0</v>
      </c>
      <c r="Z465" s="1">
        <v>2002678495</v>
      </c>
      <c r="AA465" s="1">
        <v>36</v>
      </c>
      <c r="AB465" s="1">
        <v>10000000</v>
      </c>
      <c r="AC465" s="1">
        <v>8702412</v>
      </c>
      <c r="AD465" s="16">
        <v>1.1100000000000001</v>
      </c>
      <c r="AE465" s="1">
        <v>1</v>
      </c>
      <c r="AF465" s="1">
        <v>1</v>
      </c>
      <c r="AG465" s="1">
        <v>90</v>
      </c>
      <c r="AH465" s="1">
        <v>60003190</v>
      </c>
      <c r="AI465" s="1">
        <v>10</v>
      </c>
      <c r="AJ465" s="1">
        <v>0</v>
      </c>
      <c r="CH465" s="1">
        <v>2402207328</v>
      </c>
      <c r="CI465" s="1">
        <v>29668</v>
      </c>
      <c r="CJ465" s="1">
        <v>3</v>
      </c>
      <c r="CK465" s="1">
        <v>3</v>
      </c>
      <c r="CL465" s="1">
        <v>430000000</v>
      </c>
      <c r="CM465" s="1">
        <v>1</v>
      </c>
      <c r="CN465" s="1">
        <v>1</v>
      </c>
      <c r="CO465" s="1">
        <v>90</v>
      </c>
      <c r="CP465" s="1">
        <v>60003760</v>
      </c>
      <c r="CQ465" s="1">
        <v>32767</v>
      </c>
      <c r="CR465" s="1">
        <v>0</v>
      </c>
    </row>
    <row r="466" spans="2:96" x14ac:dyDescent="0.25">
      <c r="B466" s="1">
        <v>2877953629</v>
      </c>
      <c r="C466" s="1">
        <v>34</v>
      </c>
      <c r="D466" s="1">
        <v>21980</v>
      </c>
      <c r="E466" s="1">
        <v>21980</v>
      </c>
      <c r="F466" s="1">
        <v>5.6</v>
      </c>
      <c r="G466" s="1">
        <v>1</v>
      </c>
      <c r="H466" s="1">
        <v>0</v>
      </c>
      <c r="I466" s="1">
        <v>30</v>
      </c>
      <c r="J466" s="1">
        <v>60012670</v>
      </c>
      <c r="K466" s="1">
        <v>32767</v>
      </c>
      <c r="L466" s="1">
        <v>8</v>
      </c>
      <c r="N466" s="1">
        <v>2879114883</v>
      </c>
      <c r="O466" s="1">
        <v>35</v>
      </c>
      <c r="P466" s="1">
        <v>6861060</v>
      </c>
      <c r="Q466" s="1">
        <v>2178684</v>
      </c>
      <c r="R466" s="1">
        <v>14.58</v>
      </c>
      <c r="S466" s="1">
        <v>1</v>
      </c>
      <c r="T466" s="1">
        <v>1</v>
      </c>
      <c r="U466" s="1">
        <v>90</v>
      </c>
      <c r="V466" s="1">
        <v>60003760</v>
      </c>
      <c r="W466" s="1">
        <v>-1</v>
      </c>
      <c r="X466" s="1">
        <v>0</v>
      </c>
      <c r="Z466" s="1">
        <v>2769953647</v>
      </c>
      <c r="AA466" s="1">
        <v>36</v>
      </c>
      <c r="AB466" s="1">
        <v>10000000</v>
      </c>
      <c r="AC466" s="1">
        <v>1764738</v>
      </c>
      <c r="AD466" s="16">
        <v>36.520000000000003</v>
      </c>
      <c r="AE466" s="1">
        <v>1</v>
      </c>
      <c r="AF466" s="1">
        <v>1</v>
      </c>
      <c r="AG466" s="1">
        <v>90</v>
      </c>
      <c r="AH466" s="1">
        <v>60003076</v>
      </c>
      <c r="AI466" s="1">
        <v>0</v>
      </c>
      <c r="AJ466" s="1">
        <v>0</v>
      </c>
      <c r="CH466" s="1">
        <v>2402208323</v>
      </c>
      <c r="CI466" s="1">
        <v>29668</v>
      </c>
      <c r="CJ466" s="1">
        <v>3</v>
      </c>
      <c r="CK466" s="1">
        <v>3</v>
      </c>
      <c r="CL466" s="1">
        <v>439000000</v>
      </c>
      <c r="CM466" s="1">
        <v>1</v>
      </c>
      <c r="CN466" s="1">
        <v>1</v>
      </c>
      <c r="CO466" s="1">
        <v>90</v>
      </c>
      <c r="CP466" s="1">
        <v>60003760</v>
      </c>
      <c r="CQ466" s="1">
        <v>32767</v>
      </c>
      <c r="CR466" s="1">
        <v>0</v>
      </c>
    </row>
    <row r="467" spans="2:96" x14ac:dyDescent="0.25">
      <c r="B467" s="1">
        <v>2823152327</v>
      </c>
      <c r="C467" s="1">
        <v>34</v>
      </c>
      <c r="D467" s="1">
        <v>4510550</v>
      </c>
      <c r="E467" s="1">
        <v>510550</v>
      </c>
      <c r="F467" s="1">
        <v>5.6</v>
      </c>
      <c r="G467" s="1">
        <v>1</v>
      </c>
      <c r="H467" s="1">
        <v>0</v>
      </c>
      <c r="I467" s="1">
        <v>90</v>
      </c>
      <c r="J467" s="1">
        <v>60001786</v>
      </c>
      <c r="K467" s="1">
        <v>32767</v>
      </c>
      <c r="L467" s="1">
        <v>8</v>
      </c>
      <c r="Z467" s="1">
        <v>2876778156</v>
      </c>
      <c r="AA467" s="1">
        <v>36</v>
      </c>
      <c r="AB467" s="1">
        <v>10000000</v>
      </c>
      <c r="AC467" s="1">
        <v>2028132</v>
      </c>
      <c r="AD467" s="16">
        <v>47.5</v>
      </c>
      <c r="AE467" s="1">
        <v>1</v>
      </c>
      <c r="AF467" s="1">
        <v>1</v>
      </c>
      <c r="AG467" s="1">
        <v>14</v>
      </c>
      <c r="AH467" s="1">
        <v>60004474</v>
      </c>
      <c r="AI467" s="1">
        <v>0</v>
      </c>
      <c r="AJ467" s="1">
        <v>0</v>
      </c>
      <c r="CH467" s="1">
        <v>2402726724</v>
      </c>
      <c r="CI467" s="1">
        <v>29668</v>
      </c>
      <c r="CJ467" s="1">
        <v>1</v>
      </c>
      <c r="CK467" s="1">
        <v>1</v>
      </c>
      <c r="CL467" s="1">
        <v>420000000.00999999</v>
      </c>
      <c r="CM467" s="1">
        <v>1</v>
      </c>
      <c r="CN467" s="1">
        <v>1</v>
      </c>
      <c r="CO467" s="1">
        <v>90</v>
      </c>
      <c r="CP467" s="1">
        <v>60003760</v>
      </c>
      <c r="CQ467" s="1">
        <v>32767</v>
      </c>
      <c r="CR467" s="1">
        <v>0</v>
      </c>
    </row>
    <row r="468" spans="2:96" x14ac:dyDescent="0.25">
      <c r="B468" s="1">
        <v>2817369724</v>
      </c>
      <c r="C468" s="1">
        <v>34</v>
      </c>
      <c r="D468" s="1">
        <v>1442978</v>
      </c>
      <c r="E468" s="1">
        <v>1410917</v>
      </c>
      <c r="F468" s="1">
        <v>5.98</v>
      </c>
      <c r="G468" s="1">
        <v>1</v>
      </c>
      <c r="H468" s="1">
        <v>0</v>
      </c>
      <c r="I468" s="1">
        <v>90</v>
      </c>
      <c r="J468" s="1">
        <v>60000526</v>
      </c>
      <c r="K468" s="1">
        <v>32767</v>
      </c>
      <c r="L468" s="1">
        <v>8</v>
      </c>
      <c r="Z468" s="1">
        <v>2878094705</v>
      </c>
      <c r="AA468" s="1">
        <v>36</v>
      </c>
      <c r="AB468" s="1">
        <v>1000000</v>
      </c>
      <c r="AC468" s="1">
        <v>591554</v>
      </c>
      <c r="AD468" s="16">
        <v>47.51</v>
      </c>
      <c r="AE468" s="1">
        <v>1</v>
      </c>
      <c r="AF468" s="1">
        <v>1</v>
      </c>
      <c r="AG468" s="1">
        <v>90</v>
      </c>
      <c r="AH468" s="1">
        <v>60001591</v>
      </c>
      <c r="AI468" s="1">
        <v>-1</v>
      </c>
      <c r="AJ468" s="1">
        <v>0</v>
      </c>
      <c r="CH468" s="1">
        <v>2402296569</v>
      </c>
      <c r="CI468" s="1">
        <v>29668</v>
      </c>
      <c r="CJ468" s="1">
        <v>1</v>
      </c>
      <c r="CK468" s="1">
        <v>1</v>
      </c>
      <c r="CL468" s="1">
        <v>0.01</v>
      </c>
      <c r="CM468" s="1">
        <v>1</v>
      </c>
      <c r="CN468" s="1">
        <v>1</v>
      </c>
      <c r="CO468" s="1">
        <v>90</v>
      </c>
      <c r="CP468" s="1">
        <v>60003760</v>
      </c>
      <c r="CQ468" s="1">
        <v>-1</v>
      </c>
      <c r="CR468" s="1">
        <v>0</v>
      </c>
    </row>
    <row r="469" spans="2:96" x14ac:dyDescent="0.25">
      <c r="B469" s="1">
        <v>2837556464</v>
      </c>
      <c r="C469" s="1">
        <v>34</v>
      </c>
      <c r="D469" s="1">
        <v>621223</v>
      </c>
      <c r="E469" s="1">
        <v>594723</v>
      </c>
      <c r="F469" s="1">
        <v>5.91</v>
      </c>
      <c r="G469" s="1">
        <v>1</v>
      </c>
      <c r="H469" s="1">
        <v>0</v>
      </c>
      <c r="I469" s="1">
        <v>90</v>
      </c>
      <c r="J469" s="1">
        <v>60001786</v>
      </c>
      <c r="K469" s="1">
        <v>32767</v>
      </c>
      <c r="L469" s="1">
        <v>8</v>
      </c>
      <c r="Z469" s="1">
        <v>2844971172</v>
      </c>
      <c r="AA469" s="1">
        <v>36</v>
      </c>
      <c r="AB469" s="1">
        <v>10000</v>
      </c>
      <c r="AC469" s="1">
        <v>3949</v>
      </c>
      <c r="AD469" s="16">
        <v>43.58</v>
      </c>
      <c r="AE469" s="1">
        <v>1</v>
      </c>
      <c r="AF469" s="1">
        <v>1</v>
      </c>
      <c r="AG469" s="1">
        <v>90</v>
      </c>
      <c r="AH469" s="1">
        <v>60015027</v>
      </c>
      <c r="AI469" s="1">
        <v>-1</v>
      </c>
      <c r="AJ469" s="1">
        <v>0</v>
      </c>
      <c r="CH469" s="1">
        <v>2402404493</v>
      </c>
      <c r="CI469" s="1">
        <v>29668</v>
      </c>
      <c r="CJ469" s="1">
        <v>20</v>
      </c>
      <c r="CK469" s="1">
        <v>20</v>
      </c>
      <c r="CL469" s="1">
        <v>4890</v>
      </c>
      <c r="CM469" s="1">
        <v>1</v>
      </c>
      <c r="CN469" s="1">
        <v>1</v>
      </c>
      <c r="CO469" s="1">
        <v>90</v>
      </c>
      <c r="CP469" s="1">
        <v>60003760</v>
      </c>
      <c r="CQ469" s="1">
        <v>32767</v>
      </c>
      <c r="CR469" s="1">
        <v>0</v>
      </c>
    </row>
    <row r="470" spans="2:96" x14ac:dyDescent="0.25">
      <c r="B470" s="1">
        <v>2817606025</v>
      </c>
      <c r="C470" s="1">
        <v>34</v>
      </c>
      <c r="D470" s="1">
        <v>55768198</v>
      </c>
      <c r="E470" s="1">
        <v>55768198</v>
      </c>
      <c r="F470" s="1">
        <v>10.71</v>
      </c>
      <c r="G470" s="1">
        <v>1</v>
      </c>
      <c r="H470" s="1">
        <v>0</v>
      </c>
      <c r="I470" s="1">
        <v>90</v>
      </c>
      <c r="J470" s="1">
        <v>60004474</v>
      </c>
      <c r="K470" s="1">
        <v>32767</v>
      </c>
      <c r="L470" s="1">
        <v>11</v>
      </c>
      <c r="Z470" s="1">
        <v>2846850564</v>
      </c>
      <c r="AA470" s="1">
        <v>36</v>
      </c>
      <c r="AB470" s="1">
        <v>5000000</v>
      </c>
      <c r="AC470" s="1">
        <v>4963836</v>
      </c>
      <c r="AD470" s="16">
        <v>43.57</v>
      </c>
      <c r="AE470" s="1">
        <v>1</v>
      </c>
      <c r="AF470" s="1">
        <v>1</v>
      </c>
      <c r="AG470" s="1">
        <v>30</v>
      </c>
      <c r="AH470" s="1">
        <v>60015027</v>
      </c>
      <c r="AI470" s="1">
        <v>0</v>
      </c>
      <c r="AJ470" s="1">
        <v>0</v>
      </c>
      <c r="CH470" s="1">
        <v>2402476716</v>
      </c>
      <c r="CI470" s="1">
        <v>29668</v>
      </c>
      <c r="CJ470" s="1">
        <v>3</v>
      </c>
      <c r="CK470" s="1">
        <v>3</v>
      </c>
      <c r="CL470" s="1">
        <v>450000000</v>
      </c>
      <c r="CM470" s="1">
        <v>1</v>
      </c>
      <c r="CN470" s="1">
        <v>1</v>
      </c>
      <c r="CO470" s="1">
        <v>90</v>
      </c>
      <c r="CP470" s="1">
        <v>60003760</v>
      </c>
      <c r="CQ470" s="1">
        <v>32767</v>
      </c>
      <c r="CR470" s="1">
        <v>0</v>
      </c>
    </row>
    <row r="471" spans="2:96" x14ac:dyDescent="0.25">
      <c r="B471" s="1">
        <v>2823263063</v>
      </c>
      <c r="C471" s="1">
        <v>34</v>
      </c>
      <c r="D471" s="1">
        <v>33937111</v>
      </c>
      <c r="E471" s="1">
        <v>505991</v>
      </c>
      <c r="F471" s="1">
        <v>5.96</v>
      </c>
      <c r="G471" s="1">
        <v>1</v>
      </c>
      <c r="H471" s="1">
        <v>0</v>
      </c>
      <c r="I471" s="1">
        <v>90</v>
      </c>
      <c r="J471" s="1">
        <v>60000784</v>
      </c>
      <c r="K471" s="1">
        <v>32767</v>
      </c>
      <c r="L471" s="1">
        <v>11</v>
      </c>
      <c r="Z471" s="1">
        <v>2872091632</v>
      </c>
      <c r="AA471" s="1">
        <v>36</v>
      </c>
      <c r="AB471" s="1">
        <v>2000000</v>
      </c>
      <c r="AC471" s="1">
        <v>834488</v>
      </c>
      <c r="AD471" s="16">
        <v>43.73</v>
      </c>
      <c r="AE471" s="1">
        <v>1</v>
      </c>
      <c r="AF471" s="1">
        <v>1</v>
      </c>
      <c r="AG471" s="1">
        <v>90</v>
      </c>
      <c r="AH471" s="1">
        <v>60015027</v>
      </c>
      <c r="AI471" s="1">
        <v>-1</v>
      </c>
      <c r="AJ471" s="1">
        <v>0</v>
      </c>
      <c r="CH471" s="1">
        <v>2409064968</v>
      </c>
      <c r="CI471" s="1">
        <v>29668</v>
      </c>
      <c r="CJ471" s="1">
        <v>1</v>
      </c>
      <c r="CK471" s="1">
        <v>1</v>
      </c>
      <c r="CL471" s="1">
        <v>350000000</v>
      </c>
      <c r="CM471" s="1">
        <v>1</v>
      </c>
      <c r="CN471" s="1">
        <v>1</v>
      </c>
      <c r="CO471" s="1">
        <v>90</v>
      </c>
      <c r="CP471" s="1">
        <v>60003760</v>
      </c>
      <c r="CQ471" s="1">
        <v>32767</v>
      </c>
      <c r="CR471" s="1">
        <v>0</v>
      </c>
    </row>
    <row r="472" spans="2:96" x14ac:dyDescent="0.25">
      <c r="B472" s="1">
        <v>2823263689</v>
      </c>
      <c r="C472" s="1">
        <v>34</v>
      </c>
      <c r="D472" s="1">
        <v>3845230</v>
      </c>
      <c r="E472" s="1">
        <v>511530</v>
      </c>
      <c r="F472" s="1">
        <v>5.96</v>
      </c>
      <c r="G472" s="1">
        <v>1</v>
      </c>
      <c r="H472" s="1">
        <v>0</v>
      </c>
      <c r="I472" s="1">
        <v>90</v>
      </c>
      <c r="J472" s="1">
        <v>60000301</v>
      </c>
      <c r="K472" s="1">
        <v>32767</v>
      </c>
      <c r="L472" s="1">
        <v>11</v>
      </c>
      <c r="Z472" s="1">
        <v>2877366822</v>
      </c>
      <c r="AA472" s="1">
        <v>36</v>
      </c>
      <c r="AB472" s="1">
        <v>10000000</v>
      </c>
      <c r="AC472" s="1">
        <v>6388938</v>
      </c>
      <c r="AD472" s="16">
        <v>46.04</v>
      </c>
      <c r="AE472" s="1">
        <v>1</v>
      </c>
      <c r="AF472" s="1">
        <v>1</v>
      </c>
      <c r="AG472" s="1">
        <v>90</v>
      </c>
      <c r="AH472" s="1">
        <v>60004459</v>
      </c>
      <c r="AI472" s="1">
        <v>0</v>
      </c>
      <c r="AJ472" s="1">
        <v>0</v>
      </c>
      <c r="CH472" s="1">
        <v>2409064279</v>
      </c>
      <c r="CI472" s="1">
        <v>29668</v>
      </c>
      <c r="CJ472" s="1">
        <v>1</v>
      </c>
      <c r="CK472" s="1">
        <v>1</v>
      </c>
      <c r="CL472" s="1">
        <v>350000000</v>
      </c>
      <c r="CM472" s="1">
        <v>1</v>
      </c>
      <c r="CN472" s="1">
        <v>1</v>
      </c>
      <c r="CO472" s="1">
        <v>90</v>
      </c>
      <c r="CP472" s="1">
        <v>60003760</v>
      </c>
      <c r="CQ472" s="1">
        <v>-1</v>
      </c>
      <c r="CR472" s="1">
        <v>0</v>
      </c>
    </row>
    <row r="473" spans="2:96" x14ac:dyDescent="0.25">
      <c r="B473" s="1">
        <v>2821763008</v>
      </c>
      <c r="C473" s="1">
        <v>34</v>
      </c>
      <c r="D473" s="1">
        <v>4605164</v>
      </c>
      <c r="E473" s="1">
        <v>774716</v>
      </c>
      <c r="F473" s="1">
        <v>5.97</v>
      </c>
      <c r="G473" s="1">
        <v>1</v>
      </c>
      <c r="H473" s="1">
        <v>0</v>
      </c>
      <c r="I473" s="1">
        <v>90</v>
      </c>
      <c r="J473" s="1">
        <v>60001594</v>
      </c>
      <c r="K473" s="1">
        <v>32767</v>
      </c>
      <c r="L473" s="1">
        <v>11</v>
      </c>
      <c r="Z473" s="1">
        <v>2872559254</v>
      </c>
      <c r="AA473" s="1">
        <v>36</v>
      </c>
      <c r="AB473" s="1">
        <v>4650000</v>
      </c>
      <c r="AC473" s="1">
        <v>3047517</v>
      </c>
      <c r="AD473" s="16">
        <v>44.17</v>
      </c>
      <c r="AE473" s="1">
        <v>1</v>
      </c>
      <c r="AF473" s="1">
        <v>1</v>
      </c>
      <c r="AG473" s="1">
        <v>90</v>
      </c>
      <c r="AH473" s="1">
        <v>60003763</v>
      </c>
      <c r="AI473" s="1">
        <v>0</v>
      </c>
      <c r="AJ473" s="1">
        <v>0</v>
      </c>
      <c r="CH473" s="1">
        <v>2409323652</v>
      </c>
      <c r="CI473" s="1">
        <v>29668</v>
      </c>
      <c r="CJ473" s="1">
        <v>10</v>
      </c>
      <c r="CK473" s="1">
        <v>10</v>
      </c>
      <c r="CL473" s="1">
        <v>1</v>
      </c>
      <c r="CM473" s="1">
        <v>1</v>
      </c>
      <c r="CN473" s="1">
        <v>1</v>
      </c>
      <c r="CO473" s="1">
        <v>7</v>
      </c>
      <c r="CP473" s="1">
        <v>60003760</v>
      </c>
      <c r="CQ473" s="1">
        <v>32767</v>
      </c>
      <c r="CR473" s="1">
        <v>0</v>
      </c>
    </row>
    <row r="474" spans="2:96" x14ac:dyDescent="0.25">
      <c r="B474" s="1">
        <v>2837547956</v>
      </c>
      <c r="C474" s="1">
        <v>34</v>
      </c>
      <c r="D474" s="1">
        <v>711146</v>
      </c>
      <c r="E474" s="1">
        <v>711146</v>
      </c>
      <c r="F474" s="1">
        <v>5.91</v>
      </c>
      <c r="G474" s="1">
        <v>1</v>
      </c>
      <c r="H474" s="1">
        <v>0</v>
      </c>
      <c r="I474" s="1">
        <v>90</v>
      </c>
      <c r="J474" s="1">
        <v>60002236</v>
      </c>
      <c r="K474" s="1">
        <v>32767</v>
      </c>
      <c r="L474" s="1">
        <v>11</v>
      </c>
      <c r="Z474" s="1">
        <v>2878550684</v>
      </c>
      <c r="AA474" s="1">
        <v>36</v>
      </c>
      <c r="AB474" s="1">
        <v>10000000</v>
      </c>
      <c r="AC474" s="1">
        <v>10000000</v>
      </c>
      <c r="AD474" s="16">
        <v>38.29</v>
      </c>
      <c r="AE474" s="1">
        <v>1</v>
      </c>
      <c r="AF474" s="1">
        <v>1</v>
      </c>
      <c r="AG474" s="1">
        <v>90</v>
      </c>
      <c r="AH474" s="1">
        <v>60004231</v>
      </c>
      <c r="AI474" s="1">
        <v>-1</v>
      </c>
      <c r="AJ474" s="1">
        <v>0</v>
      </c>
      <c r="CH474" s="1">
        <v>2409298115</v>
      </c>
      <c r="CI474" s="1">
        <v>29668</v>
      </c>
      <c r="CJ474" s="1">
        <v>10</v>
      </c>
      <c r="CK474" s="1">
        <v>10</v>
      </c>
      <c r="CL474" s="1">
        <v>477032261.02999997</v>
      </c>
      <c r="CM474" s="1">
        <v>1</v>
      </c>
      <c r="CN474" s="1">
        <v>1</v>
      </c>
      <c r="CO474" s="1">
        <v>90</v>
      </c>
      <c r="CP474" s="1">
        <v>60003760</v>
      </c>
      <c r="CQ474" s="1">
        <v>-1</v>
      </c>
      <c r="CR474" s="1">
        <v>0</v>
      </c>
    </row>
    <row r="475" spans="2:96" x14ac:dyDescent="0.25">
      <c r="B475" s="1">
        <v>2834435014</v>
      </c>
      <c r="C475" s="1">
        <v>34</v>
      </c>
      <c r="D475" s="1">
        <v>7749947</v>
      </c>
      <c r="E475" s="1">
        <v>7749947</v>
      </c>
      <c r="F475" s="1">
        <v>5.63</v>
      </c>
      <c r="G475" s="1">
        <v>1</v>
      </c>
      <c r="H475" s="1">
        <v>0</v>
      </c>
      <c r="I475" s="1">
        <v>90</v>
      </c>
      <c r="J475" s="1">
        <v>60002236</v>
      </c>
      <c r="K475" s="1">
        <v>32767</v>
      </c>
      <c r="L475" s="1">
        <v>11</v>
      </c>
      <c r="Z475" s="1">
        <v>2878838789</v>
      </c>
      <c r="AA475" s="1">
        <v>36</v>
      </c>
      <c r="AB475" s="1">
        <v>150000000</v>
      </c>
      <c r="AC475" s="1">
        <v>150000000</v>
      </c>
      <c r="AD475" s="16">
        <v>41</v>
      </c>
      <c r="AE475" s="1">
        <v>1</v>
      </c>
      <c r="AF475" s="1">
        <v>1</v>
      </c>
      <c r="AG475" s="1">
        <v>90</v>
      </c>
      <c r="AH475" s="1">
        <v>60003760</v>
      </c>
      <c r="AI475" s="1">
        <v>-1</v>
      </c>
      <c r="AJ475" s="1">
        <v>0</v>
      </c>
      <c r="CH475" s="1">
        <v>2409881228</v>
      </c>
      <c r="CI475" s="1">
        <v>29668</v>
      </c>
      <c r="CJ475" s="1">
        <v>2</v>
      </c>
      <c r="CK475" s="1">
        <v>2</v>
      </c>
      <c r="CL475" s="1">
        <v>467300599</v>
      </c>
      <c r="CM475" s="1">
        <v>1</v>
      </c>
      <c r="CN475" s="1">
        <v>1</v>
      </c>
      <c r="CO475" s="1">
        <v>90</v>
      </c>
      <c r="CP475" s="1">
        <v>60003760</v>
      </c>
      <c r="CQ475" s="1">
        <v>-1</v>
      </c>
      <c r="CR475" s="1">
        <v>0</v>
      </c>
    </row>
    <row r="476" spans="2:96" x14ac:dyDescent="0.25">
      <c r="B476" s="1">
        <v>2861012307</v>
      </c>
      <c r="C476" s="1">
        <v>34</v>
      </c>
      <c r="D476" s="1">
        <v>6551042</v>
      </c>
      <c r="E476" s="1">
        <v>6551042</v>
      </c>
      <c r="F476" s="1">
        <v>5.9</v>
      </c>
      <c r="G476" s="1">
        <v>1</v>
      </c>
      <c r="H476" s="1">
        <v>0</v>
      </c>
      <c r="I476" s="1">
        <v>14</v>
      </c>
      <c r="J476" s="1">
        <v>60004474</v>
      </c>
      <c r="K476" s="1">
        <v>32767</v>
      </c>
      <c r="L476" s="1">
        <v>11</v>
      </c>
      <c r="Z476" s="1">
        <v>2879113219</v>
      </c>
      <c r="AA476" s="1">
        <v>36</v>
      </c>
      <c r="AB476" s="1">
        <v>2112340</v>
      </c>
      <c r="AC476" s="1">
        <v>1416361</v>
      </c>
      <c r="AD476" s="16">
        <v>46.69</v>
      </c>
      <c r="AE476" s="1">
        <v>1</v>
      </c>
      <c r="AF476" s="1">
        <v>1</v>
      </c>
      <c r="AG476" s="1">
        <v>90</v>
      </c>
      <c r="AH476" s="1">
        <v>60003760</v>
      </c>
      <c r="AI476" s="1">
        <v>-1</v>
      </c>
      <c r="AJ476" s="1">
        <v>0</v>
      </c>
      <c r="CH476" s="1">
        <v>2409875404</v>
      </c>
      <c r="CI476" s="1">
        <v>29668</v>
      </c>
      <c r="CJ476" s="1">
        <v>2</v>
      </c>
      <c r="CK476" s="1">
        <v>2</v>
      </c>
      <c r="CL476" s="1">
        <v>467300599</v>
      </c>
      <c r="CM476" s="1">
        <v>1</v>
      </c>
      <c r="CN476" s="1">
        <v>1</v>
      </c>
      <c r="CO476" s="1">
        <v>90</v>
      </c>
      <c r="CP476" s="1">
        <v>60003760</v>
      </c>
      <c r="CQ476" s="1">
        <v>-1</v>
      </c>
      <c r="CR476" s="1">
        <v>0</v>
      </c>
    </row>
    <row r="477" spans="2:96" x14ac:dyDescent="0.25">
      <c r="B477" s="1">
        <v>2869270729</v>
      </c>
      <c r="C477" s="1">
        <v>34</v>
      </c>
      <c r="D477" s="1">
        <v>24930</v>
      </c>
      <c r="E477" s="1">
        <v>24930</v>
      </c>
      <c r="F477" s="1">
        <v>5.85</v>
      </c>
      <c r="G477" s="1">
        <v>1</v>
      </c>
      <c r="H477" s="1">
        <v>0</v>
      </c>
      <c r="I477" s="1">
        <v>7</v>
      </c>
      <c r="J477" s="1">
        <v>60004474</v>
      </c>
      <c r="K477" s="1">
        <v>32767</v>
      </c>
      <c r="L477" s="1">
        <v>11</v>
      </c>
      <c r="CH477" s="1">
        <v>2409913328</v>
      </c>
      <c r="CI477" s="1">
        <v>29668</v>
      </c>
      <c r="CJ477" s="1">
        <v>2</v>
      </c>
      <c r="CK477" s="1">
        <v>2</v>
      </c>
      <c r="CL477" s="1">
        <v>460000000</v>
      </c>
      <c r="CM477" s="1">
        <v>1</v>
      </c>
      <c r="CN477" s="1">
        <v>1</v>
      </c>
      <c r="CO477" s="1">
        <v>90</v>
      </c>
      <c r="CP477" s="1">
        <v>60003760</v>
      </c>
      <c r="CQ477" s="1">
        <v>40</v>
      </c>
      <c r="CR477" s="1">
        <v>0</v>
      </c>
    </row>
    <row r="478" spans="2:96" x14ac:dyDescent="0.25">
      <c r="B478" s="1">
        <v>2866200073</v>
      </c>
      <c r="C478" s="1">
        <v>34</v>
      </c>
      <c r="D478" s="1">
        <v>6810177</v>
      </c>
      <c r="E478" s="1">
        <v>6810177</v>
      </c>
      <c r="F478" s="1">
        <v>5.95</v>
      </c>
      <c r="G478" s="1">
        <v>1</v>
      </c>
      <c r="H478" s="1">
        <v>0</v>
      </c>
      <c r="I478" s="1">
        <v>90</v>
      </c>
      <c r="J478" s="1">
        <v>60004474</v>
      </c>
      <c r="K478" s="1">
        <v>32767</v>
      </c>
      <c r="L478" s="1">
        <v>11</v>
      </c>
      <c r="CH478" s="1">
        <v>2409627311</v>
      </c>
      <c r="CI478" s="1">
        <v>29668</v>
      </c>
      <c r="CJ478" s="1">
        <v>3</v>
      </c>
      <c r="CK478" s="1">
        <v>3</v>
      </c>
      <c r="CL478" s="1">
        <v>472000005</v>
      </c>
      <c r="CM478" s="1">
        <v>1</v>
      </c>
      <c r="CN478" s="1">
        <v>1</v>
      </c>
      <c r="CO478" s="1">
        <v>90</v>
      </c>
      <c r="CP478" s="1">
        <v>60003760</v>
      </c>
      <c r="CQ478" s="1">
        <v>-1</v>
      </c>
      <c r="CR478" s="1">
        <v>0</v>
      </c>
    </row>
    <row r="479" spans="2:96" x14ac:dyDescent="0.25">
      <c r="B479" s="1">
        <v>2876169336</v>
      </c>
      <c r="C479" s="1">
        <v>34</v>
      </c>
      <c r="D479" s="1">
        <v>7002780</v>
      </c>
      <c r="E479" s="1">
        <v>7002780</v>
      </c>
      <c r="F479" s="1">
        <v>5.7</v>
      </c>
      <c r="G479" s="1">
        <v>1</v>
      </c>
      <c r="H479" s="1">
        <v>0</v>
      </c>
      <c r="I479" s="1">
        <v>90</v>
      </c>
      <c r="J479" s="1">
        <v>60000784</v>
      </c>
      <c r="K479" s="1">
        <v>32767</v>
      </c>
      <c r="L479" s="1">
        <v>11</v>
      </c>
      <c r="CH479" s="1">
        <v>2409687278</v>
      </c>
      <c r="CI479" s="1">
        <v>29668</v>
      </c>
      <c r="CJ479" s="1">
        <v>4</v>
      </c>
      <c r="CK479" s="1">
        <v>4</v>
      </c>
      <c r="CL479" s="1">
        <v>474000000</v>
      </c>
      <c r="CM479" s="1">
        <v>1</v>
      </c>
      <c r="CN479" s="1">
        <v>1</v>
      </c>
      <c r="CO479" s="1">
        <v>90</v>
      </c>
      <c r="CP479" s="1">
        <v>60003760</v>
      </c>
      <c r="CQ479" s="1">
        <v>-1</v>
      </c>
      <c r="CR479" s="1">
        <v>0</v>
      </c>
    </row>
    <row r="480" spans="2:96" x14ac:dyDescent="0.25">
      <c r="B480" s="1">
        <v>2805316536</v>
      </c>
      <c r="C480" s="1">
        <v>34</v>
      </c>
      <c r="D480" s="1">
        <v>117462643</v>
      </c>
      <c r="E480" s="1">
        <v>41568061</v>
      </c>
      <c r="F480" s="1">
        <v>6.32</v>
      </c>
      <c r="G480" s="1">
        <v>1</v>
      </c>
      <c r="H480" s="1">
        <v>0</v>
      </c>
      <c r="I480" s="1">
        <v>90</v>
      </c>
      <c r="J480" s="1">
        <v>60010822</v>
      </c>
      <c r="K480" s="1">
        <v>32767</v>
      </c>
      <c r="L480" s="1">
        <v>11</v>
      </c>
      <c r="CH480" s="1">
        <v>2409687395</v>
      </c>
      <c r="CI480" s="1">
        <v>29668</v>
      </c>
      <c r="CJ480" s="1">
        <v>4</v>
      </c>
      <c r="CK480" s="1">
        <v>4</v>
      </c>
      <c r="CL480" s="1">
        <v>475000000</v>
      </c>
      <c r="CM480" s="1">
        <v>1</v>
      </c>
      <c r="CN480" s="1">
        <v>1</v>
      </c>
      <c r="CO480" s="1">
        <v>90</v>
      </c>
      <c r="CP480" s="1">
        <v>60003760</v>
      </c>
      <c r="CQ480" s="1">
        <v>-1</v>
      </c>
      <c r="CR480" s="1">
        <v>0</v>
      </c>
    </row>
    <row r="481" spans="2:96" x14ac:dyDescent="0.25">
      <c r="B481" s="1">
        <v>2854749003</v>
      </c>
      <c r="C481" s="1">
        <v>34</v>
      </c>
      <c r="D481" s="1">
        <v>2118726</v>
      </c>
      <c r="E481" s="1">
        <v>2118726</v>
      </c>
      <c r="F481" s="1">
        <v>5.75</v>
      </c>
      <c r="G481" s="1">
        <v>1</v>
      </c>
      <c r="H481" s="1">
        <v>0</v>
      </c>
      <c r="I481" s="1">
        <v>30</v>
      </c>
      <c r="J481" s="1">
        <v>60010822</v>
      </c>
      <c r="K481" s="1">
        <v>32767</v>
      </c>
      <c r="L481" s="1">
        <v>11</v>
      </c>
      <c r="CH481" s="1">
        <v>2409687512</v>
      </c>
      <c r="CI481" s="1">
        <v>29668</v>
      </c>
      <c r="CJ481" s="1">
        <v>4</v>
      </c>
      <c r="CK481" s="1">
        <v>4</v>
      </c>
      <c r="CL481" s="1">
        <v>476000000</v>
      </c>
      <c r="CM481" s="1">
        <v>1</v>
      </c>
      <c r="CN481" s="1">
        <v>1</v>
      </c>
      <c r="CO481" s="1">
        <v>90</v>
      </c>
      <c r="CP481" s="1">
        <v>60003760</v>
      </c>
      <c r="CQ481" s="1">
        <v>-1</v>
      </c>
      <c r="CR481" s="1">
        <v>0</v>
      </c>
    </row>
    <row r="482" spans="2:96" x14ac:dyDescent="0.25">
      <c r="B482" s="1">
        <v>2856510453</v>
      </c>
      <c r="C482" s="1">
        <v>34</v>
      </c>
      <c r="D482" s="1">
        <v>3417170</v>
      </c>
      <c r="E482" s="1">
        <v>2917170</v>
      </c>
      <c r="F482" s="1">
        <v>5.74</v>
      </c>
      <c r="G482" s="1">
        <v>1</v>
      </c>
      <c r="H482" s="1">
        <v>0</v>
      </c>
      <c r="I482" s="1">
        <v>90</v>
      </c>
      <c r="J482" s="1">
        <v>60010822</v>
      </c>
      <c r="K482" s="1">
        <v>32767</v>
      </c>
      <c r="L482" s="1">
        <v>11</v>
      </c>
      <c r="CH482" s="1">
        <v>2409687619</v>
      </c>
      <c r="CI482" s="1">
        <v>29668</v>
      </c>
      <c r="CJ482" s="1">
        <v>4</v>
      </c>
      <c r="CK482" s="1">
        <v>4</v>
      </c>
      <c r="CL482" s="1">
        <v>477000000</v>
      </c>
      <c r="CM482" s="1">
        <v>1</v>
      </c>
      <c r="CN482" s="1">
        <v>1</v>
      </c>
      <c r="CO482" s="1">
        <v>90</v>
      </c>
      <c r="CP482" s="1">
        <v>60003760</v>
      </c>
      <c r="CQ482" s="1">
        <v>-1</v>
      </c>
      <c r="CR482" s="1">
        <v>0</v>
      </c>
    </row>
    <row r="483" spans="2:96" x14ac:dyDescent="0.25">
      <c r="B483" s="1">
        <v>2831139255</v>
      </c>
      <c r="C483" s="1">
        <v>34</v>
      </c>
      <c r="D483" s="1">
        <v>1619566</v>
      </c>
      <c r="E483" s="1">
        <v>1619562</v>
      </c>
      <c r="F483" s="1">
        <v>5.96</v>
      </c>
      <c r="G483" s="1">
        <v>1</v>
      </c>
      <c r="H483" s="1">
        <v>0</v>
      </c>
      <c r="I483" s="1">
        <v>90</v>
      </c>
      <c r="J483" s="1">
        <v>60000577</v>
      </c>
      <c r="K483" s="1">
        <v>32767</v>
      </c>
      <c r="L483" s="1">
        <v>11</v>
      </c>
      <c r="CH483" s="1">
        <v>2410697003</v>
      </c>
      <c r="CI483" s="1">
        <v>29668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90</v>
      </c>
      <c r="CP483" s="1">
        <v>60003760</v>
      </c>
      <c r="CQ483" s="1">
        <v>-1</v>
      </c>
      <c r="CR483" s="1">
        <v>0</v>
      </c>
    </row>
    <row r="484" spans="2:96" x14ac:dyDescent="0.25">
      <c r="B484" s="1">
        <v>2820997598</v>
      </c>
      <c r="C484" s="1">
        <v>34</v>
      </c>
      <c r="D484" s="1">
        <v>5367122</v>
      </c>
      <c r="E484" s="1">
        <v>5367122</v>
      </c>
      <c r="F484" s="1">
        <v>5.97</v>
      </c>
      <c r="G484" s="1">
        <v>1</v>
      </c>
      <c r="H484" s="1">
        <v>0</v>
      </c>
      <c r="I484" s="1">
        <v>90</v>
      </c>
      <c r="J484" s="1">
        <v>60000787</v>
      </c>
      <c r="K484" s="1">
        <v>32767</v>
      </c>
      <c r="L484" s="1">
        <v>11</v>
      </c>
      <c r="CH484" s="1">
        <v>2410165819</v>
      </c>
      <c r="CI484" s="1">
        <v>29668</v>
      </c>
      <c r="CJ484" s="1">
        <v>1</v>
      </c>
      <c r="CK484" s="1">
        <v>1</v>
      </c>
      <c r="CL484" s="1">
        <v>300399999</v>
      </c>
      <c r="CM484" s="1">
        <v>1</v>
      </c>
      <c r="CN484" s="1">
        <v>1</v>
      </c>
      <c r="CO484" s="1">
        <v>90</v>
      </c>
      <c r="CP484" s="1">
        <v>60003760</v>
      </c>
      <c r="CQ484" s="1">
        <v>40</v>
      </c>
      <c r="CR484" s="1">
        <v>0</v>
      </c>
    </row>
    <row r="485" spans="2:96" x14ac:dyDescent="0.25">
      <c r="B485" s="1">
        <v>2822479469</v>
      </c>
      <c r="C485" s="1">
        <v>34</v>
      </c>
      <c r="D485" s="1">
        <v>5037237</v>
      </c>
      <c r="E485" s="1">
        <v>5034111</v>
      </c>
      <c r="F485" s="1">
        <v>5.96</v>
      </c>
      <c r="G485" s="1">
        <v>1</v>
      </c>
      <c r="H485" s="1">
        <v>0</v>
      </c>
      <c r="I485" s="1">
        <v>90</v>
      </c>
      <c r="J485" s="1">
        <v>60000787</v>
      </c>
      <c r="K485" s="1">
        <v>32767</v>
      </c>
      <c r="L485" s="1">
        <v>11</v>
      </c>
      <c r="CH485" s="1">
        <v>2410410991</v>
      </c>
      <c r="CI485" s="1">
        <v>29668</v>
      </c>
      <c r="CJ485" s="1">
        <v>1</v>
      </c>
      <c r="CK485" s="1">
        <v>1</v>
      </c>
      <c r="CL485" s="1">
        <v>10000000</v>
      </c>
      <c r="CM485" s="1">
        <v>1</v>
      </c>
      <c r="CN485" s="1">
        <v>1</v>
      </c>
      <c r="CO485" s="1">
        <v>90</v>
      </c>
      <c r="CP485" s="1">
        <v>60003760</v>
      </c>
      <c r="CQ485" s="1">
        <v>-1</v>
      </c>
      <c r="CR485" s="1">
        <v>0</v>
      </c>
    </row>
    <row r="486" spans="2:96" x14ac:dyDescent="0.25">
      <c r="B486" s="1">
        <v>2873107805</v>
      </c>
      <c r="C486" s="1">
        <v>34</v>
      </c>
      <c r="D486" s="1">
        <v>3020543</v>
      </c>
      <c r="E486" s="1">
        <v>3020243</v>
      </c>
      <c r="F486" s="1">
        <v>5.7</v>
      </c>
      <c r="G486" s="1">
        <v>1</v>
      </c>
      <c r="H486" s="1">
        <v>0</v>
      </c>
      <c r="I486" s="1">
        <v>7</v>
      </c>
      <c r="J486" s="1">
        <v>60001585</v>
      </c>
      <c r="K486" s="1">
        <v>32767</v>
      </c>
      <c r="L486" s="1">
        <v>11</v>
      </c>
      <c r="CH486" s="1">
        <v>2407502895</v>
      </c>
      <c r="CI486" s="1">
        <v>29668</v>
      </c>
      <c r="CJ486" s="1">
        <v>10</v>
      </c>
      <c r="CK486" s="1">
        <v>10</v>
      </c>
      <c r="CL486" s="1">
        <v>459994997.99000001</v>
      </c>
      <c r="CM486" s="1">
        <v>1</v>
      </c>
      <c r="CN486" s="1">
        <v>1</v>
      </c>
      <c r="CO486" s="1">
        <v>90</v>
      </c>
      <c r="CP486" s="1">
        <v>60003760</v>
      </c>
      <c r="CQ486" s="1">
        <v>-1</v>
      </c>
      <c r="CR486" s="1">
        <v>0</v>
      </c>
    </row>
    <row r="487" spans="2:96" x14ac:dyDescent="0.25">
      <c r="B487" s="1">
        <v>2871651298</v>
      </c>
      <c r="C487" s="1">
        <v>34</v>
      </c>
      <c r="D487" s="1">
        <v>2036901</v>
      </c>
      <c r="E487" s="1">
        <v>2036901</v>
      </c>
      <c r="F487" s="1">
        <v>5.9</v>
      </c>
      <c r="G487" s="1">
        <v>1</v>
      </c>
      <c r="H487" s="1">
        <v>0</v>
      </c>
      <c r="I487" s="1">
        <v>90</v>
      </c>
      <c r="J487" s="1">
        <v>60000787</v>
      </c>
      <c r="K487" s="1">
        <v>32767</v>
      </c>
      <c r="L487" s="1">
        <v>11</v>
      </c>
      <c r="CH487" s="1">
        <v>2407524617</v>
      </c>
      <c r="CI487" s="1">
        <v>29668</v>
      </c>
      <c r="CJ487" s="1">
        <v>1</v>
      </c>
      <c r="CK487" s="1">
        <v>1</v>
      </c>
      <c r="CL487" s="1">
        <v>5</v>
      </c>
      <c r="CM487" s="1">
        <v>1</v>
      </c>
      <c r="CN487" s="1">
        <v>1</v>
      </c>
      <c r="CO487" s="1">
        <v>90</v>
      </c>
      <c r="CP487" s="1">
        <v>60003760</v>
      </c>
      <c r="CQ487" s="1">
        <v>40</v>
      </c>
      <c r="CR487" s="1">
        <v>0</v>
      </c>
    </row>
    <row r="488" spans="2:96" x14ac:dyDescent="0.25">
      <c r="B488" s="1">
        <v>2811170654</v>
      </c>
      <c r="C488" s="1">
        <v>34</v>
      </c>
      <c r="D488" s="1">
        <v>12692068</v>
      </c>
      <c r="E488" s="1">
        <v>12692068</v>
      </c>
      <c r="F488" s="1">
        <v>5.6</v>
      </c>
      <c r="G488" s="1">
        <v>1</v>
      </c>
      <c r="H488" s="1">
        <v>0</v>
      </c>
      <c r="I488" s="1">
        <v>90</v>
      </c>
      <c r="J488" s="1">
        <v>60000583</v>
      </c>
      <c r="K488" s="1">
        <v>32767</v>
      </c>
      <c r="L488" s="1">
        <v>11</v>
      </c>
      <c r="CH488" s="1">
        <v>2407290148</v>
      </c>
      <c r="CI488" s="1">
        <v>29668</v>
      </c>
      <c r="CJ488" s="1">
        <v>2</v>
      </c>
      <c r="CK488" s="1">
        <v>2</v>
      </c>
      <c r="CL488" s="1">
        <v>440000000</v>
      </c>
      <c r="CM488" s="1">
        <v>1</v>
      </c>
      <c r="CN488" s="1">
        <v>1</v>
      </c>
      <c r="CO488" s="1">
        <v>90</v>
      </c>
      <c r="CP488" s="1">
        <v>60003760</v>
      </c>
      <c r="CQ488" s="1">
        <v>-1</v>
      </c>
      <c r="CR488" s="1">
        <v>0</v>
      </c>
    </row>
    <row r="489" spans="2:96" x14ac:dyDescent="0.25">
      <c r="B489" s="1">
        <v>2766740683</v>
      </c>
      <c r="C489" s="1">
        <v>34</v>
      </c>
      <c r="D489" s="1">
        <v>21175</v>
      </c>
      <c r="E489" s="1">
        <v>21174</v>
      </c>
      <c r="F489" s="1">
        <v>6</v>
      </c>
      <c r="G489" s="1">
        <v>1</v>
      </c>
      <c r="H489" s="1">
        <v>0</v>
      </c>
      <c r="I489" s="1">
        <v>90</v>
      </c>
      <c r="J489" s="1">
        <v>60002242</v>
      </c>
      <c r="K489" s="1">
        <v>32767</v>
      </c>
      <c r="L489" s="1">
        <v>11</v>
      </c>
      <c r="CH489" s="1">
        <v>2407715129</v>
      </c>
      <c r="CI489" s="1">
        <v>29668</v>
      </c>
      <c r="CJ489" s="1">
        <v>8</v>
      </c>
      <c r="CK489" s="1">
        <v>8</v>
      </c>
      <c r="CL489" s="1">
        <v>469000000</v>
      </c>
      <c r="CM489" s="1">
        <v>1</v>
      </c>
      <c r="CN489" s="1">
        <v>1</v>
      </c>
      <c r="CO489" s="1">
        <v>90</v>
      </c>
      <c r="CP489" s="1">
        <v>60003760</v>
      </c>
      <c r="CQ489" s="1">
        <v>-1</v>
      </c>
      <c r="CR489" s="1">
        <v>0</v>
      </c>
    </row>
    <row r="490" spans="2:96" x14ac:dyDescent="0.25">
      <c r="B490" s="1">
        <v>2767202136</v>
      </c>
      <c r="C490" s="1">
        <v>34</v>
      </c>
      <c r="D490" s="1">
        <v>1791103</v>
      </c>
      <c r="E490" s="1">
        <v>1791103</v>
      </c>
      <c r="F490" s="1">
        <v>6</v>
      </c>
      <c r="G490" s="1">
        <v>1</v>
      </c>
      <c r="H490" s="1">
        <v>0</v>
      </c>
      <c r="I490" s="1">
        <v>90</v>
      </c>
      <c r="J490" s="1">
        <v>60002242</v>
      </c>
      <c r="K490" s="1">
        <v>32767</v>
      </c>
      <c r="L490" s="1">
        <v>11</v>
      </c>
      <c r="CH490" s="1">
        <v>2407774411</v>
      </c>
      <c r="CI490" s="1">
        <v>29668</v>
      </c>
      <c r="CJ490" s="1">
        <v>8</v>
      </c>
      <c r="CK490" s="1">
        <v>8</v>
      </c>
      <c r="CL490" s="1">
        <v>470000000</v>
      </c>
      <c r="CM490" s="1">
        <v>1</v>
      </c>
      <c r="CN490" s="1">
        <v>1</v>
      </c>
      <c r="CO490" s="1">
        <v>90</v>
      </c>
      <c r="CP490" s="1">
        <v>60003760</v>
      </c>
      <c r="CQ490" s="1">
        <v>-1</v>
      </c>
      <c r="CR490" s="1">
        <v>0</v>
      </c>
    </row>
    <row r="491" spans="2:96" x14ac:dyDescent="0.25">
      <c r="B491" s="1">
        <v>2817345970</v>
      </c>
      <c r="C491" s="1">
        <v>34</v>
      </c>
      <c r="D491" s="1">
        <v>3885700</v>
      </c>
      <c r="E491" s="1">
        <v>3885700</v>
      </c>
      <c r="F491" s="1">
        <v>5.95</v>
      </c>
      <c r="G491" s="1">
        <v>1</v>
      </c>
      <c r="H491" s="1">
        <v>0</v>
      </c>
      <c r="I491" s="1">
        <v>90</v>
      </c>
      <c r="J491" s="1">
        <v>60002242</v>
      </c>
      <c r="K491" s="1">
        <v>32767</v>
      </c>
      <c r="L491" s="1">
        <v>11</v>
      </c>
      <c r="CH491" s="1">
        <v>2407748774</v>
      </c>
      <c r="CI491" s="1">
        <v>29668</v>
      </c>
      <c r="CJ491" s="1">
        <v>20</v>
      </c>
      <c r="CK491" s="1">
        <v>9</v>
      </c>
      <c r="CL491" s="1">
        <v>470002012.43000001</v>
      </c>
      <c r="CM491" s="1">
        <v>1</v>
      </c>
      <c r="CN491" s="1">
        <v>1</v>
      </c>
      <c r="CO491" s="1">
        <v>90</v>
      </c>
      <c r="CP491" s="1">
        <v>60003760</v>
      </c>
      <c r="CQ491" s="1">
        <v>-1</v>
      </c>
      <c r="CR491" s="1">
        <v>0</v>
      </c>
    </row>
    <row r="492" spans="2:96" x14ac:dyDescent="0.25">
      <c r="B492" s="1">
        <v>2850073820</v>
      </c>
      <c r="C492" s="1">
        <v>34</v>
      </c>
      <c r="D492" s="1">
        <v>908005</v>
      </c>
      <c r="E492" s="1">
        <v>908005</v>
      </c>
      <c r="F492" s="1">
        <v>5.8</v>
      </c>
      <c r="G492" s="1">
        <v>1</v>
      </c>
      <c r="H492" s="1">
        <v>0</v>
      </c>
      <c r="I492" s="1">
        <v>30</v>
      </c>
      <c r="J492" s="1">
        <v>60002242</v>
      </c>
      <c r="K492" s="1">
        <v>32767</v>
      </c>
      <c r="L492" s="1">
        <v>11</v>
      </c>
      <c r="CH492" s="1">
        <v>2406785203</v>
      </c>
      <c r="CI492" s="1">
        <v>29668</v>
      </c>
      <c r="CJ492" s="1">
        <v>1</v>
      </c>
      <c r="CK492" s="1">
        <v>1</v>
      </c>
      <c r="CL492" s="1">
        <v>440000000.00999999</v>
      </c>
      <c r="CM492" s="1">
        <v>1</v>
      </c>
      <c r="CN492" s="1">
        <v>1</v>
      </c>
      <c r="CO492" s="1">
        <v>90</v>
      </c>
      <c r="CP492" s="1">
        <v>60003760</v>
      </c>
      <c r="CQ492" s="1">
        <v>1</v>
      </c>
      <c r="CR492" s="1">
        <v>0</v>
      </c>
    </row>
    <row r="493" spans="2:96" x14ac:dyDescent="0.25">
      <c r="B493" s="1">
        <v>2843085787</v>
      </c>
      <c r="C493" s="1">
        <v>34</v>
      </c>
      <c r="D493" s="1">
        <v>2145164</v>
      </c>
      <c r="E493" s="1">
        <v>2145164</v>
      </c>
      <c r="F493" s="1">
        <v>5.9</v>
      </c>
      <c r="G493" s="1">
        <v>1</v>
      </c>
      <c r="H493" s="1">
        <v>0</v>
      </c>
      <c r="I493" s="1">
        <v>90</v>
      </c>
      <c r="J493" s="1">
        <v>60000583</v>
      </c>
      <c r="K493" s="1">
        <v>32767</v>
      </c>
      <c r="L493" s="1">
        <v>11</v>
      </c>
      <c r="CH493" s="1">
        <v>2407172651</v>
      </c>
      <c r="CI493" s="1">
        <v>29668</v>
      </c>
      <c r="CJ493" s="1">
        <v>1</v>
      </c>
      <c r="CK493" s="1">
        <v>1</v>
      </c>
      <c r="CL493" s="1">
        <v>460000000</v>
      </c>
      <c r="CM493" s="1">
        <v>1</v>
      </c>
      <c r="CN493" s="1">
        <v>1</v>
      </c>
      <c r="CO493" s="1">
        <v>90</v>
      </c>
      <c r="CP493" s="1">
        <v>60003760</v>
      </c>
      <c r="CQ493" s="1">
        <v>-1</v>
      </c>
      <c r="CR493" s="1">
        <v>0</v>
      </c>
    </row>
    <row r="494" spans="2:96" x14ac:dyDescent="0.25">
      <c r="B494" s="1">
        <v>2837553529</v>
      </c>
      <c r="C494" s="1">
        <v>34</v>
      </c>
      <c r="D494" s="1">
        <v>890917</v>
      </c>
      <c r="E494" s="1">
        <v>890917</v>
      </c>
      <c r="F494" s="1">
        <v>5.91</v>
      </c>
      <c r="G494" s="1">
        <v>1</v>
      </c>
      <c r="H494" s="1">
        <v>0</v>
      </c>
      <c r="I494" s="1">
        <v>90</v>
      </c>
      <c r="J494" s="1">
        <v>60002242</v>
      </c>
      <c r="K494" s="1">
        <v>32767</v>
      </c>
      <c r="L494" s="1">
        <v>11</v>
      </c>
      <c r="CH494" s="1">
        <v>2407838881</v>
      </c>
      <c r="CI494" s="1">
        <v>29668</v>
      </c>
      <c r="CJ494" s="1">
        <v>2</v>
      </c>
      <c r="CK494" s="1">
        <v>2</v>
      </c>
      <c r="CL494" s="1">
        <v>400000000</v>
      </c>
      <c r="CM494" s="1">
        <v>1</v>
      </c>
      <c r="CN494" s="1">
        <v>1</v>
      </c>
      <c r="CO494" s="1">
        <v>90</v>
      </c>
      <c r="CP494" s="1">
        <v>60003760</v>
      </c>
      <c r="CQ494" s="1">
        <v>3</v>
      </c>
      <c r="CR494" s="1">
        <v>0</v>
      </c>
    </row>
    <row r="495" spans="2:96" x14ac:dyDescent="0.25">
      <c r="B495" s="1">
        <v>2828134106</v>
      </c>
      <c r="C495" s="1">
        <v>34</v>
      </c>
      <c r="D495" s="1">
        <v>839540</v>
      </c>
      <c r="E495" s="1">
        <v>814540</v>
      </c>
      <c r="F495" s="1">
        <v>5.9</v>
      </c>
      <c r="G495" s="1">
        <v>1</v>
      </c>
      <c r="H495" s="1">
        <v>0</v>
      </c>
      <c r="I495" s="1">
        <v>90</v>
      </c>
      <c r="J495" s="1">
        <v>60001588</v>
      </c>
      <c r="K495" s="1">
        <v>32767</v>
      </c>
      <c r="L495" s="1">
        <v>12</v>
      </c>
      <c r="CH495" s="1">
        <v>2408504350</v>
      </c>
      <c r="CI495" s="1">
        <v>29668</v>
      </c>
      <c r="CJ495" s="1">
        <v>3</v>
      </c>
      <c r="CK495" s="1">
        <v>3</v>
      </c>
      <c r="CL495" s="1">
        <v>481194.98</v>
      </c>
      <c r="CM495" s="1">
        <v>1</v>
      </c>
      <c r="CN495" s="1">
        <v>1</v>
      </c>
      <c r="CO495" s="1">
        <v>90</v>
      </c>
      <c r="CP495" s="1">
        <v>60003760</v>
      </c>
      <c r="CQ495" s="1">
        <v>32767</v>
      </c>
      <c r="CR495" s="1">
        <v>0</v>
      </c>
    </row>
    <row r="496" spans="2:96" x14ac:dyDescent="0.25">
      <c r="B496" s="1">
        <v>2829618513</v>
      </c>
      <c r="C496" s="1">
        <v>34</v>
      </c>
      <c r="D496" s="1">
        <v>2440423</v>
      </c>
      <c r="E496" s="1">
        <v>2440423</v>
      </c>
      <c r="F496" s="1">
        <v>5.96</v>
      </c>
      <c r="G496" s="1">
        <v>1</v>
      </c>
      <c r="H496" s="1">
        <v>0</v>
      </c>
      <c r="I496" s="1">
        <v>90</v>
      </c>
      <c r="J496" s="1">
        <v>60001588</v>
      </c>
      <c r="K496" s="1">
        <v>32767</v>
      </c>
      <c r="L496" s="1">
        <v>12</v>
      </c>
      <c r="CH496" s="1">
        <v>2408967438</v>
      </c>
      <c r="CI496" s="1">
        <v>29668</v>
      </c>
      <c r="CJ496" s="1">
        <v>3</v>
      </c>
      <c r="CK496" s="1">
        <v>3</v>
      </c>
      <c r="CL496" s="1">
        <v>450000000</v>
      </c>
      <c r="CM496" s="1">
        <v>1</v>
      </c>
      <c r="CN496" s="1">
        <v>1</v>
      </c>
      <c r="CO496" s="1">
        <v>90</v>
      </c>
      <c r="CP496" s="1">
        <v>60003760</v>
      </c>
      <c r="CQ496" s="1">
        <v>32767</v>
      </c>
      <c r="CR496" s="1">
        <v>0</v>
      </c>
    </row>
    <row r="497" spans="2:96" x14ac:dyDescent="0.25">
      <c r="B497" s="1">
        <v>2829618835</v>
      </c>
      <c r="C497" s="1">
        <v>34</v>
      </c>
      <c r="D497" s="1">
        <v>2328124</v>
      </c>
      <c r="E497" s="1">
        <v>2328124</v>
      </c>
      <c r="F497" s="1">
        <v>5.96</v>
      </c>
      <c r="G497" s="1">
        <v>1</v>
      </c>
      <c r="H497" s="1">
        <v>0</v>
      </c>
      <c r="I497" s="1">
        <v>90</v>
      </c>
      <c r="J497" s="1">
        <v>60000589</v>
      </c>
      <c r="K497" s="1">
        <v>32767</v>
      </c>
      <c r="L497" s="1">
        <v>12</v>
      </c>
      <c r="CH497" s="1">
        <v>2408836334</v>
      </c>
      <c r="CI497" s="1">
        <v>29668</v>
      </c>
      <c r="CJ497" s="1">
        <v>2</v>
      </c>
      <c r="CK497" s="1">
        <v>2</v>
      </c>
      <c r="CL497" s="1">
        <v>467205000</v>
      </c>
      <c r="CM497" s="1">
        <v>1</v>
      </c>
      <c r="CN497" s="1">
        <v>1</v>
      </c>
      <c r="CO497" s="1">
        <v>90</v>
      </c>
      <c r="CP497" s="1">
        <v>60003760</v>
      </c>
      <c r="CQ497" s="1">
        <v>-1</v>
      </c>
      <c r="CR497" s="1">
        <v>0</v>
      </c>
    </row>
    <row r="498" spans="2:96" x14ac:dyDescent="0.25">
      <c r="B498" s="1">
        <v>2866022540</v>
      </c>
      <c r="C498" s="1">
        <v>34</v>
      </c>
      <c r="D498" s="1">
        <v>386304</v>
      </c>
      <c r="E498" s="1">
        <v>386304</v>
      </c>
      <c r="F498" s="1">
        <v>5.71</v>
      </c>
      <c r="G498" s="1">
        <v>1</v>
      </c>
      <c r="H498" s="1">
        <v>0</v>
      </c>
      <c r="I498" s="1">
        <v>14</v>
      </c>
      <c r="J498" s="1">
        <v>60000574</v>
      </c>
      <c r="K498" s="1">
        <v>32767</v>
      </c>
      <c r="L498" s="1">
        <v>12</v>
      </c>
      <c r="CH498" s="1">
        <v>2383160062</v>
      </c>
      <c r="CI498" s="1">
        <v>29668</v>
      </c>
      <c r="CJ498" s="1">
        <v>1000000000</v>
      </c>
      <c r="CK498" s="1">
        <v>1000000000</v>
      </c>
      <c r="CL498" s="1">
        <v>1</v>
      </c>
      <c r="CM498" s="1">
        <v>1000</v>
      </c>
      <c r="CN498" s="1">
        <v>1</v>
      </c>
      <c r="CO498" s="1">
        <v>90</v>
      </c>
      <c r="CP498" s="1">
        <v>60000691</v>
      </c>
      <c r="CQ498" s="1">
        <v>-1</v>
      </c>
      <c r="CR498" s="1">
        <v>0</v>
      </c>
    </row>
    <row r="499" spans="2:96" x14ac:dyDescent="0.25">
      <c r="B499" s="1">
        <v>2878038717</v>
      </c>
      <c r="C499" s="1">
        <v>34</v>
      </c>
      <c r="D499" s="1">
        <v>12504684</v>
      </c>
      <c r="E499" s="1">
        <v>3782764</v>
      </c>
      <c r="F499" s="1">
        <v>5.55</v>
      </c>
      <c r="G499" s="1">
        <v>1</v>
      </c>
      <c r="H499" s="1">
        <v>0</v>
      </c>
      <c r="I499" s="1">
        <v>1</v>
      </c>
      <c r="J499" s="1">
        <v>60010816</v>
      </c>
      <c r="K499" s="1">
        <v>32767</v>
      </c>
      <c r="L499" s="1">
        <v>12</v>
      </c>
      <c r="CH499" s="1">
        <v>2398018743</v>
      </c>
      <c r="CI499" s="1">
        <v>29668</v>
      </c>
      <c r="CJ499" s="1">
        <v>1</v>
      </c>
      <c r="CK499" s="1">
        <v>1</v>
      </c>
      <c r="CL499" s="1">
        <v>445000000</v>
      </c>
      <c r="CM499" s="1">
        <v>1</v>
      </c>
      <c r="CN499" s="1">
        <v>1</v>
      </c>
      <c r="CO499" s="1">
        <v>30</v>
      </c>
      <c r="CP499" s="1">
        <v>60003769</v>
      </c>
      <c r="CQ499" s="1">
        <v>32767</v>
      </c>
      <c r="CR499" s="1">
        <v>0</v>
      </c>
    </row>
    <row r="500" spans="2:96" x14ac:dyDescent="0.25">
      <c r="B500" s="1">
        <v>2859922122</v>
      </c>
      <c r="C500" s="1">
        <v>34</v>
      </c>
      <c r="D500" s="1">
        <v>1331898</v>
      </c>
      <c r="E500" s="1">
        <v>699466</v>
      </c>
      <c r="F500" s="1">
        <v>5.8</v>
      </c>
      <c r="G500" s="1">
        <v>1</v>
      </c>
      <c r="H500" s="1">
        <v>0</v>
      </c>
      <c r="I500" s="1">
        <v>30</v>
      </c>
      <c r="J500" s="1">
        <v>60013141</v>
      </c>
      <c r="K500" s="1">
        <v>32767</v>
      </c>
      <c r="L500" s="1">
        <v>10</v>
      </c>
      <c r="CH500" s="1">
        <v>2381847227</v>
      </c>
      <c r="CI500" s="1">
        <v>29668</v>
      </c>
      <c r="CJ500" s="1">
        <v>3</v>
      </c>
      <c r="CK500" s="1">
        <v>3</v>
      </c>
      <c r="CL500" s="1">
        <v>410000000</v>
      </c>
      <c r="CM500" s="1">
        <v>1</v>
      </c>
      <c r="CN500" s="1">
        <v>1</v>
      </c>
      <c r="CO500" s="1">
        <v>90</v>
      </c>
      <c r="CP500" s="1">
        <v>60003754</v>
      </c>
      <c r="CQ500" s="1">
        <v>32767</v>
      </c>
      <c r="CR500" s="1">
        <v>0</v>
      </c>
    </row>
    <row r="501" spans="2:96" x14ac:dyDescent="0.25">
      <c r="B501" s="1">
        <v>2817367061</v>
      </c>
      <c r="C501" s="1">
        <v>34</v>
      </c>
      <c r="D501" s="1">
        <v>1575136</v>
      </c>
      <c r="E501" s="1">
        <v>1575136</v>
      </c>
      <c r="F501" s="1">
        <v>5.95</v>
      </c>
      <c r="G501" s="1">
        <v>1</v>
      </c>
      <c r="H501" s="1">
        <v>0</v>
      </c>
      <c r="I501" s="1">
        <v>90</v>
      </c>
      <c r="J501" s="1">
        <v>60003175</v>
      </c>
      <c r="K501" s="1">
        <v>32767</v>
      </c>
      <c r="L501" s="1">
        <v>12</v>
      </c>
      <c r="CH501" s="1">
        <v>2263513677</v>
      </c>
      <c r="CI501" s="1">
        <v>29668</v>
      </c>
      <c r="CJ501" s="1">
        <v>10</v>
      </c>
      <c r="CK501" s="1">
        <v>10</v>
      </c>
      <c r="CL501" s="1">
        <v>357000000</v>
      </c>
      <c r="CM501" s="1">
        <v>1</v>
      </c>
      <c r="CN501" s="1">
        <v>1</v>
      </c>
      <c r="CO501" s="1">
        <v>90</v>
      </c>
      <c r="CP501" s="1">
        <v>60000685</v>
      </c>
      <c r="CQ501" s="1">
        <v>32767</v>
      </c>
      <c r="CR501" s="1">
        <v>0</v>
      </c>
    </row>
    <row r="502" spans="2:96" x14ac:dyDescent="0.25">
      <c r="B502" s="1">
        <v>2817367322</v>
      </c>
      <c r="C502" s="1">
        <v>34</v>
      </c>
      <c r="D502" s="1">
        <v>1790834</v>
      </c>
      <c r="E502" s="1">
        <v>1790834</v>
      </c>
      <c r="F502" s="1">
        <v>5.95</v>
      </c>
      <c r="G502" s="1">
        <v>1</v>
      </c>
      <c r="H502" s="1">
        <v>0</v>
      </c>
      <c r="I502" s="1">
        <v>90</v>
      </c>
      <c r="J502" s="1">
        <v>60001630</v>
      </c>
      <c r="K502" s="1">
        <v>32767</v>
      </c>
      <c r="L502" s="1">
        <v>12</v>
      </c>
      <c r="CH502" s="1">
        <v>2414107757</v>
      </c>
      <c r="CI502" s="1">
        <v>29668</v>
      </c>
      <c r="CJ502" s="1">
        <v>2</v>
      </c>
      <c r="CK502" s="1">
        <v>2</v>
      </c>
      <c r="CL502" s="1">
        <v>472510000.06</v>
      </c>
      <c r="CM502" s="1">
        <v>1</v>
      </c>
      <c r="CN502" s="1">
        <v>1</v>
      </c>
      <c r="CO502" s="1">
        <v>90</v>
      </c>
      <c r="CP502" s="1">
        <v>60001648</v>
      </c>
      <c r="CQ502" s="1">
        <v>32767</v>
      </c>
      <c r="CR502" s="1">
        <v>0</v>
      </c>
    </row>
    <row r="503" spans="2:96" x14ac:dyDescent="0.25">
      <c r="B503" s="1">
        <v>2773774096</v>
      </c>
      <c r="C503" s="1">
        <v>34</v>
      </c>
      <c r="D503" s="1">
        <v>5474169</v>
      </c>
      <c r="E503" s="1">
        <v>5474169</v>
      </c>
      <c r="F503" s="1">
        <v>5.89</v>
      </c>
      <c r="G503" s="1">
        <v>1</v>
      </c>
      <c r="H503" s="1">
        <v>0</v>
      </c>
      <c r="I503" s="1">
        <v>90</v>
      </c>
      <c r="J503" s="1">
        <v>60004468</v>
      </c>
      <c r="K503" s="1">
        <v>32767</v>
      </c>
      <c r="L503" s="1">
        <v>12</v>
      </c>
      <c r="CH503" s="1">
        <v>2369868938</v>
      </c>
      <c r="CI503" s="1">
        <v>29668</v>
      </c>
      <c r="CJ503" s="1">
        <v>4</v>
      </c>
      <c r="CK503" s="1">
        <v>4</v>
      </c>
      <c r="CL503" s="1">
        <v>350000000</v>
      </c>
      <c r="CM503" s="1">
        <v>1</v>
      </c>
      <c r="CN503" s="1">
        <v>1</v>
      </c>
      <c r="CO503" s="1">
        <v>90</v>
      </c>
      <c r="CP503" s="1">
        <v>60000511</v>
      </c>
      <c r="CQ503" s="1">
        <v>4</v>
      </c>
      <c r="CR503" s="1">
        <v>0</v>
      </c>
    </row>
    <row r="504" spans="2:96" x14ac:dyDescent="0.25">
      <c r="B504" s="1">
        <v>2837555070</v>
      </c>
      <c r="C504" s="1">
        <v>34</v>
      </c>
      <c r="D504" s="1">
        <v>640061</v>
      </c>
      <c r="E504" s="1">
        <v>640061</v>
      </c>
      <c r="F504" s="1">
        <v>5.91</v>
      </c>
      <c r="G504" s="1">
        <v>1</v>
      </c>
      <c r="H504" s="1">
        <v>0</v>
      </c>
      <c r="I504" s="1">
        <v>90</v>
      </c>
      <c r="J504" s="1">
        <v>60001627</v>
      </c>
      <c r="K504" s="1">
        <v>32767</v>
      </c>
      <c r="L504" s="1">
        <v>12</v>
      </c>
      <c r="CH504" s="1">
        <v>2389967526</v>
      </c>
      <c r="CI504" s="1">
        <v>29668</v>
      </c>
      <c r="CJ504" s="1">
        <v>100</v>
      </c>
      <c r="CK504" s="1">
        <v>100</v>
      </c>
      <c r="CL504" s="1">
        <v>0.48</v>
      </c>
      <c r="CM504" s="1">
        <v>1</v>
      </c>
      <c r="CN504" s="1">
        <v>1</v>
      </c>
      <c r="CO504" s="1">
        <v>90</v>
      </c>
      <c r="CP504" s="1">
        <v>60001831</v>
      </c>
      <c r="CQ504" s="1">
        <v>0</v>
      </c>
      <c r="CR504" s="1">
        <v>0</v>
      </c>
    </row>
    <row r="505" spans="2:96" x14ac:dyDescent="0.25">
      <c r="B505" s="1">
        <v>2817346324</v>
      </c>
      <c r="C505" s="1">
        <v>34</v>
      </c>
      <c r="D505" s="1">
        <v>2051335</v>
      </c>
      <c r="E505" s="1">
        <v>2051334</v>
      </c>
      <c r="F505" s="1">
        <v>5.95</v>
      </c>
      <c r="G505" s="1">
        <v>1</v>
      </c>
      <c r="H505" s="1">
        <v>0</v>
      </c>
      <c r="I505" s="1">
        <v>90</v>
      </c>
      <c r="J505" s="1">
        <v>60010456</v>
      </c>
      <c r="K505" s="1">
        <v>32767</v>
      </c>
      <c r="L505" s="1">
        <v>13</v>
      </c>
      <c r="CH505" s="1">
        <v>2347103572</v>
      </c>
      <c r="CI505" s="1">
        <v>29668</v>
      </c>
      <c r="CJ505" s="1">
        <v>10</v>
      </c>
      <c r="CK505" s="1">
        <v>10</v>
      </c>
      <c r="CL505" s="1">
        <v>438309.9</v>
      </c>
      <c r="CM505" s="1">
        <v>1</v>
      </c>
      <c r="CN505" s="1">
        <v>1</v>
      </c>
      <c r="CO505" s="1">
        <v>90</v>
      </c>
      <c r="CP505" s="1">
        <v>60003937</v>
      </c>
      <c r="CQ505" s="1">
        <v>40</v>
      </c>
      <c r="CR505" s="1">
        <v>0</v>
      </c>
    </row>
    <row r="506" spans="2:96" x14ac:dyDescent="0.25">
      <c r="B506" s="1">
        <v>2775574587</v>
      </c>
      <c r="C506" s="1">
        <v>34</v>
      </c>
      <c r="D506" s="1">
        <v>4954757</v>
      </c>
      <c r="E506" s="1">
        <v>530147</v>
      </c>
      <c r="F506" s="1">
        <v>5.97</v>
      </c>
      <c r="G506" s="1">
        <v>1</v>
      </c>
      <c r="H506" s="1">
        <v>0</v>
      </c>
      <c r="I506" s="1">
        <v>90</v>
      </c>
      <c r="J506" s="1">
        <v>60001624</v>
      </c>
      <c r="K506" s="1">
        <v>32767</v>
      </c>
      <c r="L506" s="1">
        <v>14</v>
      </c>
      <c r="CH506" s="1">
        <v>2412642878</v>
      </c>
      <c r="CI506" s="1">
        <v>29668</v>
      </c>
      <c r="CJ506" s="1">
        <v>1</v>
      </c>
      <c r="CK506" s="1">
        <v>1</v>
      </c>
      <c r="CL506" s="1">
        <v>468506013</v>
      </c>
      <c r="CM506" s="1">
        <v>1</v>
      </c>
      <c r="CN506" s="1">
        <v>1</v>
      </c>
      <c r="CO506" s="1">
        <v>90</v>
      </c>
      <c r="CP506" s="1">
        <v>60004210</v>
      </c>
      <c r="CQ506" s="1">
        <v>32767</v>
      </c>
      <c r="CR506" s="1">
        <v>0</v>
      </c>
    </row>
    <row r="507" spans="2:96" x14ac:dyDescent="0.25">
      <c r="B507" s="1">
        <v>2831081717</v>
      </c>
      <c r="C507" s="1">
        <v>34</v>
      </c>
      <c r="D507" s="1">
        <v>28057619</v>
      </c>
      <c r="E507" s="1">
        <v>26107619</v>
      </c>
      <c r="F507" s="1">
        <v>5.98</v>
      </c>
      <c r="G507" s="1">
        <v>1</v>
      </c>
      <c r="H507" s="1">
        <v>0</v>
      </c>
      <c r="I507" s="1">
        <v>90</v>
      </c>
      <c r="J507" s="1">
        <v>60001795</v>
      </c>
      <c r="K507" s="1">
        <v>32767</v>
      </c>
      <c r="L507" s="1">
        <v>14</v>
      </c>
      <c r="CH507" s="1">
        <v>2401983513</v>
      </c>
      <c r="CI507" s="1">
        <v>29668</v>
      </c>
      <c r="CJ507" s="1">
        <v>1</v>
      </c>
      <c r="CK507" s="1">
        <v>1</v>
      </c>
      <c r="CL507" s="1">
        <v>440000000</v>
      </c>
      <c r="CM507" s="1">
        <v>1</v>
      </c>
      <c r="CN507" s="1">
        <v>1</v>
      </c>
      <c r="CO507" s="1">
        <v>90</v>
      </c>
      <c r="CP507" s="1">
        <v>60004210</v>
      </c>
      <c r="CQ507" s="1">
        <v>0</v>
      </c>
      <c r="CR507" s="1">
        <v>0</v>
      </c>
    </row>
    <row r="508" spans="2:96" x14ac:dyDescent="0.25">
      <c r="B508" s="1">
        <v>2874010912</v>
      </c>
      <c r="C508" s="1">
        <v>34</v>
      </c>
      <c r="D508" s="1">
        <v>1</v>
      </c>
      <c r="E508" s="1">
        <v>1</v>
      </c>
      <c r="F508" s="1">
        <v>50000</v>
      </c>
      <c r="G508" s="1">
        <v>1</v>
      </c>
      <c r="H508" s="1">
        <v>0</v>
      </c>
      <c r="I508" s="1">
        <v>30</v>
      </c>
      <c r="J508" s="1">
        <v>60001624</v>
      </c>
      <c r="K508" s="1">
        <v>32767</v>
      </c>
      <c r="L508" s="1">
        <v>14</v>
      </c>
      <c r="CH508" s="1">
        <v>2365049459</v>
      </c>
      <c r="CI508" s="1">
        <v>29668</v>
      </c>
      <c r="CJ508" s="1">
        <v>10</v>
      </c>
      <c r="CK508" s="1">
        <v>10</v>
      </c>
      <c r="CL508" s="1">
        <v>250024271.33000001</v>
      </c>
      <c r="CM508" s="1">
        <v>1</v>
      </c>
      <c r="CN508" s="1">
        <v>1</v>
      </c>
      <c r="CO508" s="1">
        <v>90</v>
      </c>
      <c r="CP508" s="1">
        <v>60002281</v>
      </c>
      <c r="CQ508" s="1">
        <v>32767</v>
      </c>
      <c r="CR508" s="1">
        <v>0</v>
      </c>
    </row>
    <row r="509" spans="2:96" x14ac:dyDescent="0.25">
      <c r="B509" s="1">
        <v>2770273063</v>
      </c>
      <c r="C509" s="1">
        <v>34</v>
      </c>
      <c r="D509" s="1">
        <v>14865281</v>
      </c>
      <c r="E509" s="1">
        <v>9565281</v>
      </c>
      <c r="F509" s="1">
        <v>5.9</v>
      </c>
      <c r="G509" s="1">
        <v>1</v>
      </c>
      <c r="H509" s="1">
        <v>0</v>
      </c>
      <c r="I509" s="1">
        <v>90</v>
      </c>
      <c r="J509" s="1">
        <v>60003172</v>
      </c>
      <c r="K509" s="1">
        <v>32767</v>
      </c>
      <c r="L509" s="1">
        <v>13</v>
      </c>
      <c r="CH509" s="1">
        <v>2403529148</v>
      </c>
      <c r="CI509" s="1">
        <v>29668</v>
      </c>
      <c r="CJ509" s="1">
        <v>2</v>
      </c>
      <c r="CK509" s="1">
        <v>2</v>
      </c>
      <c r="CL509" s="1">
        <v>460000000</v>
      </c>
      <c r="CM509" s="1">
        <v>1</v>
      </c>
      <c r="CN509" s="1">
        <v>1</v>
      </c>
      <c r="CO509" s="1">
        <v>30</v>
      </c>
      <c r="CP509" s="1">
        <v>60004057</v>
      </c>
      <c r="CQ509" s="1">
        <v>-1</v>
      </c>
      <c r="CR509" s="1">
        <v>0</v>
      </c>
    </row>
    <row r="510" spans="2:96" x14ac:dyDescent="0.25">
      <c r="B510" s="1">
        <v>2817360446</v>
      </c>
      <c r="C510" s="1">
        <v>34</v>
      </c>
      <c r="D510" s="1">
        <v>1390169</v>
      </c>
      <c r="E510" s="1">
        <v>1390169</v>
      </c>
      <c r="F510" s="1">
        <v>5.95</v>
      </c>
      <c r="G510" s="1">
        <v>1</v>
      </c>
      <c r="H510" s="1">
        <v>0</v>
      </c>
      <c r="I510" s="1">
        <v>90</v>
      </c>
      <c r="J510" s="1">
        <v>60003172</v>
      </c>
      <c r="K510" s="1">
        <v>32767</v>
      </c>
      <c r="L510" s="1">
        <v>13</v>
      </c>
      <c r="CH510" s="1">
        <v>2405262880</v>
      </c>
      <c r="CI510" s="1">
        <v>29668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90</v>
      </c>
      <c r="CP510" s="1">
        <v>60000907</v>
      </c>
      <c r="CQ510" s="1">
        <v>40</v>
      </c>
      <c r="CR510" s="1">
        <v>0</v>
      </c>
    </row>
    <row r="511" spans="2:96" x14ac:dyDescent="0.25">
      <c r="B511" s="1">
        <v>2877061860</v>
      </c>
      <c r="C511" s="1">
        <v>34</v>
      </c>
      <c r="D511" s="1">
        <v>17976</v>
      </c>
      <c r="E511" s="1">
        <v>17976</v>
      </c>
      <c r="F511" s="1">
        <v>5.62</v>
      </c>
      <c r="G511" s="1">
        <v>1</v>
      </c>
      <c r="H511" s="1">
        <v>0</v>
      </c>
      <c r="I511" s="1">
        <v>90</v>
      </c>
      <c r="J511" s="1">
        <v>60003172</v>
      </c>
      <c r="K511" s="1">
        <v>32767</v>
      </c>
      <c r="L511" s="1">
        <v>13</v>
      </c>
      <c r="CH511" s="1">
        <v>2414113261</v>
      </c>
      <c r="CI511" s="1">
        <v>29668</v>
      </c>
      <c r="CJ511" s="1">
        <v>2</v>
      </c>
      <c r="CK511" s="1">
        <v>1</v>
      </c>
      <c r="CL511" s="1">
        <v>472400007.99000001</v>
      </c>
      <c r="CM511" s="1">
        <v>1</v>
      </c>
      <c r="CN511" s="1">
        <v>1</v>
      </c>
      <c r="CO511" s="1">
        <v>90</v>
      </c>
      <c r="CP511" s="1">
        <v>60004459</v>
      </c>
      <c r="CQ511" s="1">
        <v>32767</v>
      </c>
      <c r="CR511" s="1">
        <v>0</v>
      </c>
    </row>
    <row r="512" spans="2:96" x14ac:dyDescent="0.25">
      <c r="B512" s="1">
        <v>2869618590</v>
      </c>
      <c r="C512" s="1">
        <v>34</v>
      </c>
      <c r="D512" s="1">
        <v>416365003</v>
      </c>
      <c r="E512" s="1">
        <v>416354003</v>
      </c>
      <c r="F512" s="1">
        <v>6</v>
      </c>
      <c r="G512" s="1">
        <v>1</v>
      </c>
      <c r="H512" s="1">
        <v>0</v>
      </c>
      <c r="I512" s="1">
        <v>90</v>
      </c>
      <c r="J512" s="1">
        <v>60000496</v>
      </c>
      <c r="K512" s="1">
        <v>32767</v>
      </c>
      <c r="L512" s="1">
        <v>11</v>
      </c>
      <c r="CH512" s="1">
        <v>2370537070</v>
      </c>
      <c r="CI512" s="1">
        <v>29668</v>
      </c>
      <c r="CJ512" s="1">
        <v>5</v>
      </c>
      <c r="CK512" s="1">
        <v>5</v>
      </c>
      <c r="CL512" s="1">
        <v>400000000</v>
      </c>
      <c r="CM512" s="1">
        <v>1</v>
      </c>
      <c r="CN512" s="1">
        <v>1</v>
      </c>
      <c r="CO512" s="1">
        <v>90</v>
      </c>
      <c r="CP512" s="1">
        <v>60012667</v>
      </c>
      <c r="CQ512" s="1">
        <v>-1</v>
      </c>
      <c r="CR512" s="1">
        <v>0</v>
      </c>
    </row>
    <row r="513" spans="2:96" x14ac:dyDescent="0.25">
      <c r="B513" s="1">
        <v>2866692809</v>
      </c>
      <c r="C513" s="1">
        <v>34</v>
      </c>
      <c r="D513" s="1">
        <v>30974387</v>
      </c>
      <c r="E513" s="1">
        <v>30932387</v>
      </c>
      <c r="F513" s="1">
        <v>5.75</v>
      </c>
      <c r="G513" s="1">
        <v>1</v>
      </c>
      <c r="H513" s="1">
        <v>0</v>
      </c>
      <c r="I513" s="1">
        <v>90</v>
      </c>
      <c r="J513" s="1">
        <v>60012325</v>
      </c>
      <c r="K513" s="1">
        <v>32767</v>
      </c>
      <c r="L513" s="1">
        <v>10</v>
      </c>
      <c r="CH513" s="1">
        <v>2368069333</v>
      </c>
      <c r="CI513" s="1">
        <v>29668</v>
      </c>
      <c r="CJ513" s="1">
        <v>1</v>
      </c>
      <c r="CK513" s="1">
        <v>1</v>
      </c>
      <c r="CL513" s="1">
        <v>411000000.42000002</v>
      </c>
      <c r="CM513" s="1">
        <v>1</v>
      </c>
      <c r="CN513" s="1">
        <v>1</v>
      </c>
      <c r="CO513" s="1">
        <v>90</v>
      </c>
      <c r="CP513" s="1">
        <v>60012667</v>
      </c>
      <c r="CQ513" s="1">
        <v>32767</v>
      </c>
      <c r="CR513" s="1">
        <v>0</v>
      </c>
    </row>
    <row r="514" spans="2:96" x14ac:dyDescent="0.25">
      <c r="B514" s="1">
        <v>2819356466</v>
      </c>
      <c r="C514" s="1">
        <v>34</v>
      </c>
      <c r="D514" s="1">
        <v>1346246</v>
      </c>
      <c r="E514" s="1">
        <v>1346246</v>
      </c>
      <c r="F514" s="1">
        <v>5.86</v>
      </c>
      <c r="G514" s="1">
        <v>1</v>
      </c>
      <c r="H514" s="1">
        <v>0</v>
      </c>
      <c r="I514" s="1">
        <v>90</v>
      </c>
      <c r="J514" s="1">
        <v>60000499</v>
      </c>
      <c r="K514" s="1">
        <v>32767</v>
      </c>
      <c r="L514" s="1">
        <v>11</v>
      </c>
      <c r="CH514" s="1">
        <v>2368911529</v>
      </c>
      <c r="CI514" s="1">
        <v>29668</v>
      </c>
      <c r="CJ514" s="1">
        <v>15</v>
      </c>
      <c r="CK514" s="1">
        <v>7</v>
      </c>
      <c r="CL514" s="1">
        <v>423100001</v>
      </c>
      <c r="CM514" s="1">
        <v>1</v>
      </c>
      <c r="CN514" s="1">
        <v>1</v>
      </c>
      <c r="CO514" s="1">
        <v>90</v>
      </c>
      <c r="CP514" s="1">
        <v>60012667</v>
      </c>
      <c r="CQ514" s="1">
        <v>20</v>
      </c>
      <c r="CR514" s="1">
        <v>0</v>
      </c>
    </row>
    <row r="515" spans="2:96" x14ac:dyDescent="0.25">
      <c r="B515" s="1">
        <v>2780184761</v>
      </c>
      <c r="C515" s="1">
        <v>34</v>
      </c>
      <c r="D515" s="1">
        <v>3746951</v>
      </c>
      <c r="E515" s="1">
        <v>3746951</v>
      </c>
      <c r="F515" s="1">
        <v>5.97</v>
      </c>
      <c r="G515" s="1">
        <v>1</v>
      </c>
      <c r="H515" s="1">
        <v>0</v>
      </c>
      <c r="I515" s="1">
        <v>90</v>
      </c>
      <c r="J515" s="1">
        <v>60004378</v>
      </c>
      <c r="K515" s="1">
        <v>32767</v>
      </c>
      <c r="L515" s="1">
        <v>11</v>
      </c>
      <c r="CH515" s="1">
        <v>2375403985</v>
      </c>
      <c r="CI515" s="1">
        <v>29668</v>
      </c>
      <c r="CJ515" s="1">
        <v>100</v>
      </c>
      <c r="CK515" s="1">
        <v>100</v>
      </c>
      <c r="CL515" s="1">
        <v>100</v>
      </c>
      <c r="CM515" s="1">
        <v>1</v>
      </c>
      <c r="CN515" s="1">
        <v>1</v>
      </c>
      <c r="CO515" s="1">
        <v>90</v>
      </c>
      <c r="CP515" s="1">
        <v>60012667</v>
      </c>
      <c r="CQ515" s="1">
        <v>40</v>
      </c>
      <c r="CR515" s="1">
        <v>0</v>
      </c>
    </row>
    <row r="516" spans="2:96" x14ac:dyDescent="0.25">
      <c r="B516" s="1">
        <v>2831138980</v>
      </c>
      <c r="C516" s="1">
        <v>34</v>
      </c>
      <c r="D516" s="1">
        <v>1657977</v>
      </c>
      <c r="E516" s="1">
        <v>1657977</v>
      </c>
      <c r="F516" s="1">
        <v>5.98</v>
      </c>
      <c r="G516" s="1">
        <v>1</v>
      </c>
      <c r="H516" s="1">
        <v>0</v>
      </c>
      <c r="I516" s="1">
        <v>90</v>
      </c>
      <c r="J516" s="1">
        <v>60000499</v>
      </c>
      <c r="K516" s="1">
        <v>32767</v>
      </c>
      <c r="L516" s="1">
        <v>11</v>
      </c>
      <c r="CH516" s="1">
        <v>2348883234</v>
      </c>
      <c r="CI516" s="1">
        <v>29668</v>
      </c>
      <c r="CJ516" s="1">
        <v>100</v>
      </c>
      <c r="CK516" s="1">
        <v>100</v>
      </c>
      <c r="CL516" s="1">
        <v>672.71</v>
      </c>
      <c r="CM516" s="1">
        <v>1</v>
      </c>
      <c r="CN516" s="1">
        <v>1</v>
      </c>
      <c r="CO516" s="1">
        <v>90</v>
      </c>
      <c r="CP516" s="1">
        <v>60012667</v>
      </c>
      <c r="CQ516" s="1">
        <v>-1</v>
      </c>
      <c r="CR516" s="1">
        <v>0</v>
      </c>
    </row>
    <row r="517" spans="2:96" x14ac:dyDescent="0.25">
      <c r="B517" s="1">
        <v>2829750112</v>
      </c>
      <c r="C517" s="1">
        <v>34</v>
      </c>
      <c r="D517" s="1">
        <v>1990129</v>
      </c>
      <c r="E517" s="1">
        <v>1990129</v>
      </c>
      <c r="F517" s="1">
        <v>5.95</v>
      </c>
      <c r="G517" s="1">
        <v>1</v>
      </c>
      <c r="H517" s="1">
        <v>0</v>
      </c>
      <c r="I517" s="1">
        <v>90</v>
      </c>
      <c r="J517" s="1">
        <v>60002374</v>
      </c>
      <c r="K517" s="1">
        <v>32767</v>
      </c>
      <c r="L517" s="1">
        <v>11</v>
      </c>
      <c r="CH517" s="1">
        <v>2354845078</v>
      </c>
      <c r="CI517" s="1">
        <v>29668</v>
      </c>
      <c r="CJ517" s="1">
        <v>100</v>
      </c>
      <c r="CK517" s="1">
        <v>100</v>
      </c>
      <c r="CL517" s="1">
        <v>1</v>
      </c>
      <c r="CM517" s="1">
        <v>1</v>
      </c>
      <c r="CN517" s="1">
        <v>1</v>
      </c>
      <c r="CO517" s="1">
        <v>90</v>
      </c>
      <c r="CP517" s="1">
        <v>60012667</v>
      </c>
      <c r="CQ517" s="1">
        <v>-1</v>
      </c>
      <c r="CR517" s="1">
        <v>0</v>
      </c>
    </row>
    <row r="518" spans="2:96" x14ac:dyDescent="0.25">
      <c r="B518" s="1">
        <v>2837553258</v>
      </c>
      <c r="C518" s="1">
        <v>34</v>
      </c>
      <c r="D518" s="1">
        <v>600804</v>
      </c>
      <c r="E518" s="1">
        <v>600804</v>
      </c>
      <c r="F518" s="1">
        <v>5.91</v>
      </c>
      <c r="G518" s="1">
        <v>1</v>
      </c>
      <c r="H518" s="1">
        <v>0</v>
      </c>
      <c r="I518" s="1">
        <v>90</v>
      </c>
      <c r="J518" s="1">
        <v>60007510</v>
      </c>
      <c r="K518" s="1">
        <v>32767</v>
      </c>
      <c r="L518" s="1">
        <v>9</v>
      </c>
      <c r="CH518" s="1">
        <v>2391107043</v>
      </c>
      <c r="CI518" s="1">
        <v>29668</v>
      </c>
      <c r="CJ518" s="1">
        <v>10</v>
      </c>
      <c r="CK518" s="1">
        <v>10</v>
      </c>
      <c r="CL518" s="1">
        <v>511978</v>
      </c>
      <c r="CM518" s="1">
        <v>1</v>
      </c>
      <c r="CN518" s="1">
        <v>1</v>
      </c>
      <c r="CO518" s="1">
        <v>90</v>
      </c>
      <c r="CP518" s="1">
        <v>60000526</v>
      </c>
      <c r="CQ518" s="1">
        <v>32767</v>
      </c>
      <c r="CR518" s="1">
        <v>0</v>
      </c>
    </row>
    <row r="519" spans="2:96" x14ac:dyDescent="0.25">
      <c r="B519" s="1">
        <v>2767199494</v>
      </c>
      <c r="C519" s="1">
        <v>34</v>
      </c>
      <c r="D519" s="1">
        <v>1085851</v>
      </c>
      <c r="E519" s="1">
        <v>1085851</v>
      </c>
      <c r="F519" s="1">
        <v>6</v>
      </c>
      <c r="G519" s="1">
        <v>1</v>
      </c>
      <c r="H519" s="1">
        <v>0</v>
      </c>
      <c r="I519" s="1">
        <v>90</v>
      </c>
      <c r="J519" s="1">
        <v>60000964</v>
      </c>
      <c r="K519" s="1">
        <v>32767</v>
      </c>
      <c r="L519" s="1">
        <v>8</v>
      </c>
      <c r="CH519" s="1">
        <v>2391107767</v>
      </c>
      <c r="CI519" s="1">
        <v>29668</v>
      </c>
      <c r="CJ519" s="1">
        <v>5</v>
      </c>
      <c r="CK519" s="1">
        <v>5</v>
      </c>
      <c r="CL519" s="1">
        <v>683983</v>
      </c>
      <c r="CM519" s="1">
        <v>1</v>
      </c>
      <c r="CN519" s="1">
        <v>1</v>
      </c>
      <c r="CO519" s="1">
        <v>90</v>
      </c>
      <c r="CP519" s="1">
        <v>60000526</v>
      </c>
      <c r="CQ519" s="1">
        <v>40</v>
      </c>
      <c r="CR519" s="1">
        <v>0</v>
      </c>
    </row>
    <row r="520" spans="2:96" x14ac:dyDescent="0.25">
      <c r="B520" s="1">
        <v>2837552714</v>
      </c>
      <c r="C520" s="1">
        <v>34</v>
      </c>
      <c r="D520" s="1">
        <v>656865</v>
      </c>
      <c r="E520" s="1">
        <v>656865</v>
      </c>
      <c r="F520" s="1">
        <v>5.91</v>
      </c>
      <c r="G520" s="1">
        <v>1</v>
      </c>
      <c r="H520" s="1">
        <v>0</v>
      </c>
      <c r="I520" s="1">
        <v>90</v>
      </c>
      <c r="J520" s="1">
        <v>60007498</v>
      </c>
      <c r="K520" s="1">
        <v>32767</v>
      </c>
      <c r="L520" s="1">
        <v>8</v>
      </c>
      <c r="CH520" s="1">
        <v>2391108376</v>
      </c>
      <c r="CI520" s="1">
        <v>29668</v>
      </c>
      <c r="CJ520" s="1">
        <v>10</v>
      </c>
      <c r="CK520" s="1">
        <v>10</v>
      </c>
      <c r="CL520" s="1">
        <v>1395623</v>
      </c>
      <c r="CM520" s="1">
        <v>1</v>
      </c>
      <c r="CN520" s="1">
        <v>1</v>
      </c>
      <c r="CO520" s="1">
        <v>90</v>
      </c>
      <c r="CP520" s="1">
        <v>60000526</v>
      </c>
      <c r="CQ520" s="1">
        <v>40</v>
      </c>
      <c r="CR520" s="1">
        <v>0</v>
      </c>
    </row>
    <row r="521" spans="2:96" x14ac:dyDescent="0.25">
      <c r="B521" s="1">
        <v>2837553015</v>
      </c>
      <c r="C521" s="1">
        <v>34</v>
      </c>
      <c r="D521" s="1">
        <v>503372</v>
      </c>
      <c r="E521" s="1">
        <v>503372</v>
      </c>
      <c r="F521" s="1">
        <v>5.91</v>
      </c>
      <c r="G521" s="1">
        <v>1</v>
      </c>
      <c r="H521" s="1">
        <v>0</v>
      </c>
      <c r="I521" s="1">
        <v>90</v>
      </c>
      <c r="J521" s="1">
        <v>60013045</v>
      </c>
      <c r="K521" s="1">
        <v>32767</v>
      </c>
      <c r="L521" s="1">
        <v>8</v>
      </c>
      <c r="CH521" s="1">
        <v>2384873426</v>
      </c>
      <c r="CI521" s="1">
        <v>29668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90</v>
      </c>
      <c r="CP521" s="1">
        <v>60000388</v>
      </c>
      <c r="CQ521" s="1">
        <v>32767</v>
      </c>
      <c r="CR521" s="1">
        <v>0</v>
      </c>
    </row>
    <row r="522" spans="2:96" x14ac:dyDescent="0.25">
      <c r="B522" s="1">
        <v>2817351159</v>
      </c>
      <c r="C522" s="1">
        <v>34</v>
      </c>
      <c r="D522" s="1">
        <v>2097373</v>
      </c>
      <c r="E522" s="1">
        <v>2097373</v>
      </c>
      <c r="F522" s="1">
        <v>5.96</v>
      </c>
      <c r="G522" s="1">
        <v>1</v>
      </c>
      <c r="H522" s="1">
        <v>0</v>
      </c>
      <c r="I522" s="1">
        <v>90</v>
      </c>
      <c r="J522" s="1">
        <v>60000487</v>
      </c>
      <c r="K522" s="1">
        <v>32767</v>
      </c>
      <c r="L522" s="1">
        <v>12</v>
      </c>
      <c r="CH522" s="1">
        <v>2413959870</v>
      </c>
      <c r="CI522" s="1">
        <v>29668</v>
      </c>
      <c r="CJ522" s="1">
        <v>1</v>
      </c>
      <c r="CK522" s="1">
        <v>1</v>
      </c>
      <c r="CL522" s="1">
        <v>470000002</v>
      </c>
      <c r="CM522" s="1">
        <v>1</v>
      </c>
      <c r="CN522" s="1">
        <v>1</v>
      </c>
      <c r="CO522" s="1">
        <v>90</v>
      </c>
      <c r="CP522" s="1">
        <v>60001798</v>
      </c>
      <c r="CQ522" s="1">
        <v>40</v>
      </c>
      <c r="CR522" s="1">
        <v>0</v>
      </c>
    </row>
    <row r="523" spans="2:96" x14ac:dyDescent="0.25">
      <c r="B523" s="1">
        <v>2837556193</v>
      </c>
      <c r="C523" s="1">
        <v>34</v>
      </c>
      <c r="D523" s="1">
        <v>977644</v>
      </c>
      <c r="E523" s="1">
        <v>977644</v>
      </c>
      <c r="F523" s="1">
        <v>5.91</v>
      </c>
      <c r="G523" s="1">
        <v>1</v>
      </c>
      <c r="H523" s="1">
        <v>0</v>
      </c>
      <c r="I523" s="1">
        <v>90</v>
      </c>
      <c r="J523" s="1">
        <v>60000487</v>
      </c>
      <c r="K523" s="1">
        <v>32767</v>
      </c>
      <c r="L523" s="1">
        <v>12</v>
      </c>
      <c r="CH523" s="1">
        <v>2398061788</v>
      </c>
      <c r="CI523" s="1">
        <v>29668</v>
      </c>
      <c r="CJ523" s="1">
        <v>10</v>
      </c>
      <c r="CK523" s="1">
        <v>10</v>
      </c>
      <c r="CL523" s="1">
        <v>465000</v>
      </c>
      <c r="CM523" s="1">
        <v>1</v>
      </c>
      <c r="CN523" s="1">
        <v>1</v>
      </c>
      <c r="CO523" s="1">
        <v>90</v>
      </c>
      <c r="CP523" s="1">
        <v>60003172</v>
      </c>
      <c r="CQ523" s="1">
        <v>32767</v>
      </c>
      <c r="CR523" s="1">
        <v>0</v>
      </c>
    </row>
    <row r="524" spans="2:96" x14ac:dyDescent="0.25">
      <c r="B524" s="1">
        <v>2807717884</v>
      </c>
      <c r="C524" s="1">
        <v>34</v>
      </c>
      <c r="D524" s="1">
        <v>269498</v>
      </c>
      <c r="E524" s="1">
        <v>122498</v>
      </c>
      <c r="F524" s="1">
        <v>6.3</v>
      </c>
      <c r="G524" s="1">
        <v>1</v>
      </c>
      <c r="H524" s="1">
        <v>0</v>
      </c>
      <c r="I524" s="1">
        <v>90</v>
      </c>
      <c r="J524" s="1">
        <v>60015026</v>
      </c>
      <c r="K524" s="1">
        <v>32767</v>
      </c>
      <c r="L524" s="1">
        <v>5</v>
      </c>
      <c r="CH524" s="1">
        <v>2403712504</v>
      </c>
      <c r="CI524" s="1">
        <v>29668</v>
      </c>
      <c r="CJ524" s="1">
        <v>1</v>
      </c>
      <c r="CK524" s="1">
        <v>1</v>
      </c>
      <c r="CL524" s="1">
        <v>460000012.05000001</v>
      </c>
      <c r="CM524" s="1">
        <v>1</v>
      </c>
      <c r="CN524" s="1">
        <v>1</v>
      </c>
      <c r="CO524" s="1">
        <v>90</v>
      </c>
      <c r="CP524" s="1">
        <v>60003172</v>
      </c>
      <c r="CQ524" s="1">
        <v>32767</v>
      </c>
      <c r="CR524" s="1">
        <v>0</v>
      </c>
    </row>
    <row r="525" spans="2:96" x14ac:dyDescent="0.25">
      <c r="B525" s="1">
        <v>2835938037</v>
      </c>
      <c r="C525" s="1">
        <v>34</v>
      </c>
      <c r="D525" s="1">
        <v>10000000</v>
      </c>
      <c r="E525" s="1">
        <v>9983689</v>
      </c>
      <c r="F525" s="1">
        <v>6.11</v>
      </c>
      <c r="G525" s="1">
        <v>1</v>
      </c>
      <c r="H525" s="1">
        <v>0</v>
      </c>
      <c r="I525" s="1">
        <v>90</v>
      </c>
      <c r="J525" s="1">
        <v>60015026</v>
      </c>
      <c r="K525" s="1">
        <v>32767</v>
      </c>
      <c r="L525" s="1">
        <v>5</v>
      </c>
      <c r="CH525" s="1">
        <v>2404097509</v>
      </c>
      <c r="CI525" s="1">
        <v>29668</v>
      </c>
      <c r="CJ525" s="1">
        <v>1</v>
      </c>
      <c r="CK525" s="1">
        <v>1</v>
      </c>
      <c r="CL525" s="1">
        <v>1000000.28</v>
      </c>
      <c r="CM525" s="1">
        <v>1</v>
      </c>
      <c r="CN525" s="1">
        <v>1</v>
      </c>
      <c r="CO525" s="1">
        <v>90</v>
      </c>
      <c r="CP525" s="1">
        <v>60000973</v>
      </c>
      <c r="CQ525" s="1">
        <v>-1</v>
      </c>
      <c r="CR525" s="1">
        <v>0</v>
      </c>
    </row>
    <row r="526" spans="2:96" x14ac:dyDescent="0.25">
      <c r="B526" s="1">
        <v>2871084104</v>
      </c>
      <c r="C526" s="1">
        <v>34</v>
      </c>
      <c r="D526" s="1">
        <v>3233545</v>
      </c>
      <c r="E526" s="1">
        <v>3233545</v>
      </c>
      <c r="F526" s="1">
        <v>5.7</v>
      </c>
      <c r="G526" s="1">
        <v>1</v>
      </c>
      <c r="H526" s="1">
        <v>0</v>
      </c>
      <c r="I526" s="1">
        <v>7</v>
      </c>
      <c r="J526" s="1">
        <v>60015026</v>
      </c>
      <c r="K526" s="1">
        <v>32767</v>
      </c>
      <c r="L526" s="1">
        <v>5</v>
      </c>
      <c r="CH526" s="1">
        <v>2372297375</v>
      </c>
      <c r="CI526" s="1">
        <v>29668</v>
      </c>
      <c r="CJ526" s="1">
        <v>1</v>
      </c>
      <c r="CK526" s="1">
        <v>1</v>
      </c>
      <c r="CL526" s="1">
        <v>400105000</v>
      </c>
      <c r="CM526" s="1">
        <v>1</v>
      </c>
      <c r="CN526" s="1">
        <v>1</v>
      </c>
      <c r="CO526" s="1">
        <v>90</v>
      </c>
      <c r="CP526" s="1">
        <v>60015002</v>
      </c>
      <c r="CQ526" s="1">
        <v>32767</v>
      </c>
      <c r="CR526" s="1">
        <v>0</v>
      </c>
    </row>
    <row r="527" spans="2:96" x14ac:dyDescent="0.25">
      <c r="B527" s="1">
        <v>2871085853</v>
      </c>
      <c r="C527" s="1">
        <v>34</v>
      </c>
      <c r="D527" s="1">
        <v>263873</v>
      </c>
      <c r="E527" s="1">
        <v>263873</v>
      </c>
      <c r="F527" s="1">
        <v>5.66</v>
      </c>
      <c r="G527" s="1">
        <v>1</v>
      </c>
      <c r="H527" s="1">
        <v>0</v>
      </c>
      <c r="I527" s="1">
        <v>7</v>
      </c>
      <c r="J527" s="1">
        <v>60015026</v>
      </c>
      <c r="K527" s="1">
        <v>32767</v>
      </c>
      <c r="L527" s="1">
        <v>5</v>
      </c>
      <c r="CH527" s="1">
        <v>2413744329</v>
      </c>
      <c r="CI527" s="1">
        <v>29668</v>
      </c>
      <c r="CJ527" s="1">
        <v>1</v>
      </c>
      <c r="CK527" s="1">
        <v>1</v>
      </c>
      <c r="CL527" s="1">
        <v>1000000</v>
      </c>
      <c r="CM527" s="1">
        <v>1</v>
      </c>
      <c r="CN527" s="1">
        <v>1</v>
      </c>
      <c r="CO527" s="1">
        <v>14</v>
      </c>
      <c r="CP527" s="1">
        <v>60015027</v>
      </c>
      <c r="CQ527" s="1">
        <v>40</v>
      </c>
      <c r="CR527" s="1">
        <v>0</v>
      </c>
    </row>
    <row r="528" spans="2:96" x14ac:dyDescent="0.25">
      <c r="B528" s="1">
        <v>2874792905</v>
      </c>
      <c r="C528" s="1">
        <v>34</v>
      </c>
      <c r="D528" s="1">
        <v>350692</v>
      </c>
      <c r="E528" s="1">
        <v>298276</v>
      </c>
      <c r="F528" s="1">
        <v>5.6</v>
      </c>
      <c r="G528" s="1">
        <v>1</v>
      </c>
      <c r="H528" s="1">
        <v>0</v>
      </c>
      <c r="I528" s="1">
        <v>7</v>
      </c>
      <c r="J528" s="1">
        <v>60015026</v>
      </c>
      <c r="K528" s="1">
        <v>32767</v>
      </c>
      <c r="L528" s="1">
        <v>5</v>
      </c>
      <c r="CH528" s="1">
        <v>2392508840</v>
      </c>
      <c r="CI528" s="1">
        <v>29668</v>
      </c>
      <c r="CJ528" s="1">
        <v>1</v>
      </c>
      <c r="CK528" s="1">
        <v>1</v>
      </c>
      <c r="CL528" s="1">
        <v>9999</v>
      </c>
      <c r="CM528" s="1">
        <v>1</v>
      </c>
      <c r="CN528" s="1">
        <v>1</v>
      </c>
      <c r="CO528" s="1">
        <v>90</v>
      </c>
      <c r="CP528" s="1">
        <v>60015027</v>
      </c>
      <c r="CQ528" s="1">
        <v>40</v>
      </c>
      <c r="CR528" s="1">
        <v>0</v>
      </c>
    </row>
    <row r="529" spans="2:96" x14ac:dyDescent="0.25">
      <c r="B529" s="1">
        <v>2817342630</v>
      </c>
      <c r="C529" s="1">
        <v>34</v>
      </c>
      <c r="D529" s="1">
        <v>2343571</v>
      </c>
      <c r="E529" s="1">
        <v>715026</v>
      </c>
      <c r="F529" s="1">
        <v>5.97</v>
      </c>
      <c r="G529" s="1">
        <v>1</v>
      </c>
      <c r="H529" s="1">
        <v>0</v>
      </c>
      <c r="I529" s="1">
        <v>90</v>
      </c>
      <c r="J529" s="1">
        <v>60015002</v>
      </c>
      <c r="K529" s="1">
        <v>32767</v>
      </c>
      <c r="L529" s="1">
        <v>3</v>
      </c>
      <c r="CH529" s="1">
        <v>2343446059</v>
      </c>
      <c r="CI529" s="1">
        <v>29668</v>
      </c>
      <c r="CJ529" s="1">
        <v>1</v>
      </c>
      <c r="CK529" s="1">
        <v>1</v>
      </c>
      <c r="CL529" s="1">
        <v>100</v>
      </c>
      <c r="CM529" s="1">
        <v>1</v>
      </c>
      <c r="CN529" s="1">
        <v>1</v>
      </c>
      <c r="CO529" s="1">
        <v>90</v>
      </c>
      <c r="CP529" s="1">
        <v>60015027</v>
      </c>
      <c r="CQ529" s="1">
        <v>0</v>
      </c>
      <c r="CR529" s="1">
        <v>0</v>
      </c>
    </row>
    <row r="530" spans="2:96" x14ac:dyDescent="0.25">
      <c r="B530" s="1">
        <v>2837989528</v>
      </c>
      <c r="C530" s="1">
        <v>34</v>
      </c>
      <c r="D530" s="1">
        <v>1</v>
      </c>
      <c r="E530" s="1">
        <v>1</v>
      </c>
      <c r="F530" s="1">
        <v>1000000</v>
      </c>
      <c r="G530" s="1">
        <v>1</v>
      </c>
      <c r="H530" s="1">
        <v>0</v>
      </c>
      <c r="I530" s="1">
        <v>30</v>
      </c>
      <c r="J530" s="1">
        <v>60015002</v>
      </c>
      <c r="K530" s="1">
        <v>32767</v>
      </c>
      <c r="L530" s="1">
        <v>3</v>
      </c>
      <c r="CH530" s="1">
        <v>2409258239</v>
      </c>
      <c r="CI530" s="1">
        <v>29668</v>
      </c>
      <c r="CJ530" s="1">
        <v>1</v>
      </c>
      <c r="CK530" s="1">
        <v>1</v>
      </c>
      <c r="CL530" s="1">
        <v>486235.52</v>
      </c>
      <c r="CM530" s="1">
        <v>1</v>
      </c>
      <c r="CN530" s="1">
        <v>1</v>
      </c>
      <c r="CO530" s="1">
        <v>90</v>
      </c>
      <c r="CP530" s="1">
        <v>60015027</v>
      </c>
      <c r="CQ530" s="1">
        <v>40</v>
      </c>
      <c r="CR530" s="1">
        <v>0</v>
      </c>
    </row>
    <row r="531" spans="2:96" x14ac:dyDescent="0.25">
      <c r="B531" s="1">
        <v>2824563700</v>
      </c>
      <c r="C531" s="1">
        <v>34</v>
      </c>
      <c r="D531" s="1">
        <v>12513</v>
      </c>
      <c r="E531" s="1">
        <v>12513</v>
      </c>
      <c r="F531" s="1">
        <v>6.1</v>
      </c>
      <c r="G531" s="1">
        <v>1</v>
      </c>
      <c r="H531" s="1">
        <v>0</v>
      </c>
      <c r="I531" s="1">
        <v>90</v>
      </c>
      <c r="J531" s="1">
        <v>60015027</v>
      </c>
      <c r="K531" s="1">
        <v>32767</v>
      </c>
      <c r="L531" s="1">
        <v>4</v>
      </c>
      <c r="CH531" s="1">
        <v>2411699880</v>
      </c>
      <c r="CI531" s="1">
        <v>29668</v>
      </c>
      <c r="CJ531" s="1">
        <v>1</v>
      </c>
      <c r="CK531" s="1">
        <v>1</v>
      </c>
      <c r="CL531" s="1">
        <v>0.01</v>
      </c>
      <c r="CM531" s="1">
        <v>1</v>
      </c>
      <c r="CN531" s="1">
        <v>1</v>
      </c>
      <c r="CO531" s="1">
        <v>30</v>
      </c>
      <c r="CP531" s="1">
        <v>60015027</v>
      </c>
      <c r="CQ531" s="1">
        <v>40</v>
      </c>
      <c r="CR531" s="1">
        <v>0</v>
      </c>
    </row>
    <row r="532" spans="2:96" x14ac:dyDescent="0.25">
      <c r="B532" s="1">
        <v>2817367983</v>
      </c>
      <c r="C532" s="1">
        <v>34</v>
      </c>
      <c r="D532" s="1">
        <v>1140946</v>
      </c>
      <c r="E532" s="1">
        <v>1097942</v>
      </c>
      <c r="F532" s="1">
        <v>5.98</v>
      </c>
      <c r="G532" s="1">
        <v>1</v>
      </c>
      <c r="H532" s="1">
        <v>0</v>
      </c>
      <c r="I532" s="1">
        <v>90</v>
      </c>
      <c r="J532" s="1">
        <v>60015027</v>
      </c>
      <c r="K532" s="1">
        <v>32767</v>
      </c>
      <c r="L532" s="1">
        <v>4</v>
      </c>
      <c r="CH532" s="1">
        <v>2411924845</v>
      </c>
      <c r="CI532" s="1">
        <v>29668</v>
      </c>
      <c r="CJ532" s="1">
        <v>1</v>
      </c>
      <c r="CK532" s="1">
        <v>1</v>
      </c>
      <c r="CL532" s="1">
        <v>566</v>
      </c>
      <c r="CM532" s="1">
        <v>1</v>
      </c>
      <c r="CN532" s="1">
        <v>1</v>
      </c>
      <c r="CO532" s="1">
        <v>7</v>
      </c>
      <c r="CP532" s="1">
        <v>60015027</v>
      </c>
      <c r="CQ532" s="1">
        <v>10</v>
      </c>
      <c r="CR532" s="1">
        <v>0</v>
      </c>
    </row>
    <row r="533" spans="2:96" x14ac:dyDescent="0.25">
      <c r="B533" s="1">
        <v>2803552821</v>
      </c>
      <c r="C533" s="1">
        <v>34</v>
      </c>
      <c r="D533" s="1">
        <v>798202</v>
      </c>
      <c r="E533" s="1">
        <v>798202</v>
      </c>
      <c r="F533" s="1">
        <v>6</v>
      </c>
      <c r="G533" s="1">
        <v>1</v>
      </c>
      <c r="H533" s="1">
        <v>0</v>
      </c>
      <c r="I533" s="1">
        <v>90</v>
      </c>
      <c r="J533" s="1">
        <v>60015027</v>
      </c>
      <c r="K533" s="1">
        <v>32767</v>
      </c>
      <c r="L533" s="1">
        <v>4</v>
      </c>
      <c r="CH533" s="1">
        <v>2414901818</v>
      </c>
      <c r="CI533" s="1">
        <v>29668</v>
      </c>
      <c r="CJ533" s="1">
        <v>1</v>
      </c>
      <c r="CK533" s="1">
        <v>1</v>
      </c>
      <c r="CL533" s="1">
        <v>474000000</v>
      </c>
      <c r="CM533" s="1">
        <v>1</v>
      </c>
      <c r="CN533" s="1">
        <v>1</v>
      </c>
      <c r="CO533" s="1">
        <v>90</v>
      </c>
      <c r="CP533" s="1">
        <v>60003760</v>
      </c>
      <c r="CQ533" s="1">
        <v>32767</v>
      </c>
      <c r="CR533" s="1">
        <v>0</v>
      </c>
    </row>
    <row r="534" spans="2:96" x14ac:dyDescent="0.25">
      <c r="B534" s="1">
        <v>2833666904</v>
      </c>
      <c r="C534" s="1">
        <v>34</v>
      </c>
      <c r="D534" s="1">
        <v>2230</v>
      </c>
      <c r="E534" s="1">
        <v>2230</v>
      </c>
      <c r="F534" s="1">
        <v>7.99</v>
      </c>
      <c r="G534" s="1">
        <v>1</v>
      </c>
      <c r="H534" s="1">
        <v>0</v>
      </c>
      <c r="I534" s="1">
        <v>30</v>
      </c>
      <c r="J534" s="1">
        <v>60015027</v>
      </c>
      <c r="K534" s="1">
        <v>32767</v>
      </c>
      <c r="L534" s="1">
        <v>4</v>
      </c>
      <c r="CH534" s="1">
        <v>2410087406</v>
      </c>
      <c r="CI534" s="1">
        <v>29668</v>
      </c>
      <c r="CJ534" s="1">
        <v>39</v>
      </c>
      <c r="CK534" s="1">
        <v>39</v>
      </c>
      <c r="CL534" s="1">
        <v>474000006</v>
      </c>
      <c r="CM534" s="1">
        <v>1</v>
      </c>
      <c r="CN534" s="1">
        <v>1</v>
      </c>
      <c r="CO534" s="1">
        <v>90</v>
      </c>
      <c r="CP534" s="1">
        <v>60003760</v>
      </c>
      <c r="CQ534" s="1">
        <v>32767</v>
      </c>
      <c r="CR534" s="1">
        <v>0</v>
      </c>
    </row>
    <row r="535" spans="2:96" x14ac:dyDescent="0.25">
      <c r="B535" s="1">
        <v>2839896293</v>
      </c>
      <c r="C535" s="1">
        <v>34</v>
      </c>
      <c r="D535" s="1">
        <v>75355431</v>
      </c>
      <c r="E535" s="1">
        <v>2683009</v>
      </c>
      <c r="F535" s="1">
        <v>5.9</v>
      </c>
      <c r="G535" s="1">
        <v>1</v>
      </c>
      <c r="H535" s="1">
        <v>0</v>
      </c>
      <c r="I535" s="1">
        <v>30</v>
      </c>
      <c r="J535" s="1">
        <v>60015027</v>
      </c>
      <c r="K535" s="1">
        <v>32767</v>
      </c>
      <c r="L535" s="1">
        <v>4</v>
      </c>
      <c r="CH535" s="1">
        <v>2405586121</v>
      </c>
      <c r="CI535" s="1">
        <v>29668</v>
      </c>
      <c r="CJ535" s="1">
        <v>39</v>
      </c>
      <c r="CK535" s="1">
        <v>26</v>
      </c>
      <c r="CL535" s="1">
        <v>481061036</v>
      </c>
      <c r="CM535" s="1">
        <v>1</v>
      </c>
      <c r="CN535" s="1">
        <v>1</v>
      </c>
      <c r="CO535" s="1">
        <v>90</v>
      </c>
      <c r="CP535" s="1">
        <v>60003760</v>
      </c>
      <c r="CQ535" s="1">
        <v>-1</v>
      </c>
      <c r="CR535" s="1">
        <v>0</v>
      </c>
    </row>
    <row r="536" spans="2:96" x14ac:dyDescent="0.25">
      <c r="B536" s="1">
        <v>2840173166</v>
      </c>
      <c r="C536" s="1">
        <v>34</v>
      </c>
      <c r="D536" s="1">
        <v>262186</v>
      </c>
      <c r="E536" s="1">
        <v>262186</v>
      </c>
      <c r="F536" s="1">
        <v>6</v>
      </c>
      <c r="G536" s="1">
        <v>1</v>
      </c>
      <c r="H536" s="1">
        <v>0</v>
      </c>
      <c r="I536" s="1">
        <v>30</v>
      </c>
      <c r="J536" s="1">
        <v>60015027</v>
      </c>
      <c r="K536" s="1">
        <v>32767</v>
      </c>
      <c r="L536" s="1">
        <v>4</v>
      </c>
      <c r="CH536" s="1">
        <v>2415058610</v>
      </c>
      <c r="CI536" s="1">
        <v>29668</v>
      </c>
      <c r="CJ536" s="1">
        <v>3</v>
      </c>
      <c r="CK536" s="1">
        <v>2</v>
      </c>
      <c r="CL536" s="1">
        <v>475000000.01999998</v>
      </c>
      <c r="CM536" s="1">
        <v>1</v>
      </c>
      <c r="CN536" s="1">
        <v>1</v>
      </c>
      <c r="CO536" s="1">
        <v>90</v>
      </c>
      <c r="CP536" s="1">
        <v>60003760</v>
      </c>
      <c r="CQ536" s="1">
        <v>32767</v>
      </c>
      <c r="CR536" s="1">
        <v>0</v>
      </c>
    </row>
    <row r="537" spans="2:96" x14ac:dyDescent="0.25">
      <c r="B537" s="1">
        <v>2840387867</v>
      </c>
      <c r="C537" s="1">
        <v>34</v>
      </c>
      <c r="D537" s="1">
        <v>104745</v>
      </c>
      <c r="E537" s="1">
        <v>104745</v>
      </c>
      <c r="F537" s="1">
        <v>5.9</v>
      </c>
      <c r="G537" s="1">
        <v>1</v>
      </c>
      <c r="H537" s="1">
        <v>0</v>
      </c>
      <c r="I537" s="1">
        <v>90</v>
      </c>
      <c r="J537" s="1">
        <v>60015027</v>
      </c>
      <c r="K537" s="1">
        <v>32767</v>
      </c>
      <c r="L537" s="1">
        <v>4</v>
      </c>
      <c r="CH537" s="1">
        <v>2412425027</v>
      </c>
      <c r="CI537" s="1">
        <v>29668</v>
      </c>
      <c r="CJ537" s="1">
        <v>5</v>
      </c>
      <c r="CK537" s="1">
        <v>3</v>
      </c>
      <c r="CL537" s="1">
        <v>475000000.05000001</v>
      </c>
      <c r="CM537" s="1">
        <v>1</v>
      </c>
      <c r="CN537" s="1">
        <v>1</v>
      </c>
      <c r="CO537" s="1">
        <v>90</v>
      </c>
      <c r="CP537" s="1">
        <v>60003760</v>
      </c>
      <c r="CQ537" s="1">
        <v>3</v>
      </c>
      <c r="CR537" s="1">
        <v>0</v>
      </c>
    </row>
    <row r="538" spans="2:96" x14ac:dyDescent="0.25">
      <c r="B538" s="1">
        <v>2840399064</v>
      </c>
      <c r="C538" s="1">
        <v>34</v>
      </c>
      <c r="D538" s="1">
        <v>329833</v>
      </c>
      <c r="E538" s="1">
        <v>329833</v>
      </c>
      <c r="F538" s="1">
        <v>6</v>
      </c>
      <c r="G538" s="1">
        <v>1</v>
      </c>
      <c r="H538" s="1">
        <v>0</v>
      </c>
      <c r="I538" s="1">
        <v>30</v>
      </c>
      <c r="J538" s="1">
        <v>60015027</v>
      </c>
      <c r="K538" s="1">
        <v>32767</v>
      </c>
      <c r="L538" s="1">
        <v>4</v>
      </c>
      <c r="CH538" s="1">
        <v>2415113744</v>
      </c>
      <c r="CI538" s="1">
        <v>29668</v>
      </c>
      <c r="CJ538" s="1">
        <v>2</v>
      </c>
      <c r="CK538" s="1">
        <v>2</v>
      </c>
      <c r="CL538" s="1">
        <v>475000000</v>
      </c>
      <c r="CM538" s="1">
        <v>1</v>
      </c>
      <c r="CN538" s="1">
        <v>1</v>
      </c>
      <c r="CO538" s="1">
        <v>90</v>
      </c>
      <c r="CP538" s="1">
        <v>60003760</v>
      </c>
      <c r="CQ538" s="1">
        <v>32767</v>
      </c>
      <c r="CR538" s="1">
        <v>0</v>
      </c>
    </row>
    <row r="539" spans="2:96" x14ac:dyDescent="0.25">
      <c r="B539" s="1">
        <v>2841654312</v>
      </c>
      <c r="C539" s="1">
        <v>34</v>
      </c>
      <c r="D539" s="1">
        <v>128859</v>
      </c>
      <c r="E539" s="1">
        <v>128859</v>
      </c>
      <c r="F539" s="1">
        <v>7</v>
      </c>
      <c r="G539" s="1">
        <v>1</v>
      </c>
      <c r="H539" s="1">
        <v>0</v>
      </c>
      <c r="I539" s="1">
        <v>30</v>
      </c>
      <c r="J539" s="1">
        <v>60015027</v>
      </c>
      <c r="K539" s="1">
        <v>32767</v>
      </c>
      <c r="L539" s="1">
        <v>4</v>
      </c>
      <c r="CH539" s="1">
        <v>2415144741</v>
      </c>
      <c r="CI539" s="1">
        <v>29668</v>
      </c>
      <c r="CJ539" s="1">
        <v>50</v>
      </c>
      <c r="CK539" s="1">
        <v>50</v>
      </c>
      <c r="CL539" s="1">
        <v>481100000</v>
      </c>
      <c r="CM539" s="1">
        <v>1</v>
      </c>
      <c r="CN539" s="1">
        <v>1</v>
      </c>
      <c r="CO539" s="1">
        <v>90</v>
      </c>
      <c r="CP539" s="1">
        <v>60003760</v>
      </c>
      <c r="CQ539" s="1">
        <v>-1</v>
      </c>
      <c r="CR539" s="1">
        <v>0</v>
      </c>
    </row>
    <row r="540" spans="2:96" x14ac:dyDescent="0.25">
      <c r="B540" s="1">
        <v>2845243082</v>
      </c>
      <c r="C540" s="1">
        <v>34</v>
      </c>
      <c r="D540" s="1">
        <v>8516</v>
      </c>
      <c r="E540" s="1">
        <v>8516</v>
      </c>
      <c r="F540" s="1">
        <v>6</v>
      </c>
      <c r="G540" s="1">
        <v>1</v>
      </c>
      <c r="H540" s="1">
        <v>0</v>
      </c>
      <c r="I540" s="1">
        <v>90</v>
      </c>
      <c r="J540" s="1">
        <v>60015027</v>
      </c>
      <c r="K540" s="1">
        <v>32767</v>
      </c>
      <c r="L540" s="1">
        <v>4</v>
      </c>
      <c r="CH540" s="1">
        <v>2415231389</v>
      </c>
      <c r="CI540" s="1">
        <v>29668</v>
      </c>
      <c r="CJ540" s="1">
        <v>1</v>
      </c>
      <c r="CK540" s="1">
        <v>1</v>
      </c>
      <c r="CL540" s="1">
        <v>4.92</v>
      </c>
      <c r="CM540" s="1">
        <v>1</v>
      </c>
      <c r="CN540" s="1">
        <v>1</v>
      </c>
      <c r="CO540" s="1">
        <v>1</v>
      </c>
      <c r="CP540" s="1">
        <v>60003760</v>
      </c>
      <c r="CQ540" s="1">
        <v>-1</v>
      </c>
      <c r="CR540" s="1">
        <v>0</v>
      </c>
    </row>
    <row r="541" spans="2:96" x14ac:dyDescent="0.25">
      <c r="B541" s="1">
        <v>2857342841</v>
      </c>
      <c r="C541" s="1">
        <v>34</v>
      </c>
      <c r="D541" s="1">
        <v>15152</v>
      </c>
      <c r="E541" s="1">
        <v>15152</v>
      </c>
      <c r="F541" s="1">
        <v>15.45</v>
      </c>
      <c r="G541" s="1">
        <v>1</v>
      </c>
      <c r="H541" s="1">
        <v>0</v>
      </c>
      <c r="I541" s="1">
        <v>90</v>
      </c>
      <c r="J541" s="1">
        <v>60015027</v>
      </c>
      <c r="K541" s="1">
        <v>32767</v>
      </c>
      <c r="L541" s="1">
        <v>4</v>
      </c>
      <c r="CH541" s="1">
        <v>2411563710</v>
      </c>
      <c r="CI541" s="1">
        <v>29668</v>
      </c>
      <c r="CJ541" s="1">
        <v>1</v>
      </c>
      <c r="CK541" s="1">
        <v>1</v>
      </c>
      <c r="CL541" s="1">
        <v>460000000</v>
      </c>
      <c r="CM541" s="1">
        <v>1</v>
      </c>
      <c r="CN541" s="1">
        <v>1</v>
      </c>
      <c r="CO541" s="1">
        <v>90</v>
      </c>
      <c r="CP541" s="1">
        <v>60003760</v>
      </c>
      <c r="CQ541" s="1">
        <v>-1</v>
      </c>
      <c r="CR541" s="1">
        <v>0</v>
      </c>
    </row>
    <row r="542" spans="2:96" x14ac:dyDescent="0.25">
      <c r="B542" s="1">
        <v>2863782962</v>
      </c>
      <c r="C542" s="1">
        <v>34</v>
      </c>
      <c r="D542" s="1">
        <v>133493</v>
      </c>
      <c r="E542" s="1">
        <v>133493</v>
      </c>
      <c r="F542" s="1">
        <v>5.76</v>
      </c>
      <c r="G542" s="1">
        <v>1</v>
      </c>
      <c r="H542" s="1">
        <v>0</v>
      </c>
      <c r="I542" s="1">
        <v>30</v>
      </c>
      <c r="J542" s="1">
        <v>60015027</v>
      </c>
      <c r="K542" s="1">
        <v>32767</v>
      </c>
      <c r="L542" s="1">
        <v>4</v>
      </c>
      <c r="CH542" s="1">
        <v>2415369117</v>
      </c>
      <c r="CI542" s="1">
        <v>29668</v>
      </c>
      <c r="CJ542" s="1">
        <v>13</v>
      </c>
      <c r="CK542" s="1">
        <v>13</v>
      </c>
      <c r="CL542" s="1">
        <v>475100000</v>
      </c>
      <c r="CM542" s="1">
        <v>1</v>
      </c>
      <c r="CN542" s="1">
        <v>1</v>
      </c>
      <c r="CO542" s="1">
        <v>90</v>
      </c>
      <c r="CP542" s="1">
        <v>60003760</v>
      </c>
      <c r="CQ542" s="1">
        <v>32767</v>
      </c>
      <c r="CR542" s="1">
        <v>0</v>
      </c>
    </row>
    <row r="543" spans="2:96" x14ac:dyDescent="0.25">
      <c r="B543" s="1">
        <v>2864165179</v>
      </c>
      <c r="C543" s="1">
        <v>34</v>
      </c>
      <c r="D543" s="1">
        <v>5582680</v>
      </c>
      <c r="E543" s="1">
        <v>5575770</v>
      </c>
      <c r="F543" s="1">
        <v>5.75</v>
      </c>
      <c r="G543" s="1">
        <v>1</v>
      </c>
      <c r="H543" s="1">
        <v>0</v>
      </c>
      <c r="I543" s="1">
        <v>90</v>
      </c>
      <c r="J543" s="1">
        <v>60015027</v>
      </c>
      <c r="K543" s="1">
        <v>32767</v>
      </c>
      <c r="L543" s="1">
        <v>4</v>
      </c>
      <c r="CH543" s="1">
        <v>2413737824</v>
      </c>
      <c r="CI543" s="1">
        <v>29668</v>
      </c>
      <c r="CJ543" s="1">
        <v>10</v>
      </c>
      <c r="CK543" s="1">
        <v>10</v>
      </c>
      <c r="CL543" s="1">
        <v>475100000.01999998</v>
      </c>
      <c r="CM543" s="1">
        <v>1</v>
      </c>
      <c r="CN543" s="1">
        <v>1</v>
      </c>
      <c r="CO543" s="1">
        <v>90</v>
      </c>
      <c r="CP543" s="1">
        <v>60003760</v>
      </c>
      <c r="CQ543" s="1">
        <v>10</v>
      </c>
      <c r="CR543" s="1">
        <v>0</v>
      </c>
    </row>
    <row r="544" spans="2:96" x14ac:dyDescent="0.25">
      <c r="B544" s="1">
        <v>2872698668</v>
      </c>
      <c r="C544" s="1">
        <v>34</v>
      </c>
      <c r="D544" s="1">
        <v>43736</v>
      </c>
      <c r="E544" s="1">
        <v>43736</v>
      </c>
      <c r="F544" s="1">
        <v>5.65</v>
      </c>
      <c r="G544" s="1">
        <v>1</v>
      </c>
      <c r="H544" s="1">
        <v>0</v>
      </c>
      <c r="I544" s="1">
        <v>30</v>
      </c>
      <c r="J544" s="1">
        <v>60015027</v>
      </c>
      <c r="K544" s="1">
        <v>32767</v>
      </c>
      <c r="L544" s="1">
        <v>4</v>
      </c>
      <c r="CH544" s="1">
        <v>2411917769</v>
      </c>
      <c r="CI544" s="1">
        <v>29668</v>
      </c>
      <c r="CJ544" s="1">
        <v>10</v>
      </c>
      <c r="CK544" s="1">
        <v>10</v>
      </c>
      <c r="CL544" s="1">
        <v>475100000.00999999</v>
      </c>
      <c r="CM544" s="1">
        <v>1</v>
      </c>
      <c r="CN544" s="1">
        <v>1</v>
      </c>
      <c r="CO544" s="1">
        <v>90</v>
      </c>
      <c r="CP544" s="1">
        <v>60003760</v>
      </c>
      <c r="CQ544" s="1">
        <v>32767</v>
      </c>
      <c r="CR544" s="1">
        <v>0</v>
      </c>
    </row>
    <row r="545" spans="2:96" x14ac:dyDescent="0.25">
      <c r="B545" s="1">
        <v>2866623296</v>
      </c>
      <c r="C545" s="1">
        <v>34</v>
      </c>
      <c r="D545" s="1">
        <v>1</v>
      </c>
      <c r="E545" s="1">
        <v>1</v>
      </c>
      <c r="F545" s="1">
        <v>999995.46</v>
      </c>
      <c r="G545" s="1">
        <v>1</v>
      </c>
      <c r="H545" s="1">
        <v>0</v>
      </c>
      <c r="I545" s="1">
        <v>90</v>
      </c>
      <c r="J545" s="1">
        <v>60015027</v>
      </c>
      <c r="K545" s="1">
        <v>32767</v>
      </c>
      <c r="L545" s="1">
        <v>4</v>
      </c>
      <c r="CH545" s="1">
        <v>2390987059</v>
      </c>
      <c r="CI545" s="1">
        <v>29668</v>
      </c>
      <c r="CJ545" s="1">
        <v>3</v>
      </c>
      <c r="CK545" s="1">
        <v>3</v>
      </c>
      <c r="CL545" s="1">
        <v>4990000</v>
      </c>
      <c r="CM545" s="1">
        <v>1</v>
      </c>
      <c r="CN545" s="1">
        <v>1</v>
      </c>
      <c r="CO545" s="1">
        <v>30</v>
      </c>
      <c r="CP545" s="1">
        <v>60003760</v>
      </c>
      <c r="CQ545" s="1">
        <v>-1</v>
      </c>
      <c r="CR545" s="1">
        <v>0</v>
      </c>
    </row>
    <row r="546" spans="2:96" x14ac:dyDescent="0.25">
      <c r="B546" s="1">
        <v>2869145022</v>
      </c>
      <c r="C546" s="1">
        <v>34</v>
      </c>
      <c r="D546" s="1">
        <v>418</v>
      </c>
      <c r="E546" s="1">
        <v>418</v>
      </c>
      <c r="F546" s="1">
        <v>5.8</v>
      </c>
      <c r="G546" s="1">
        <v>1</v>
      </c>
      <c r="H546" s="1">
        <v>0</v>
      </c>
      <c r="I546" s="1">
        <v>7</v>
      </c>
      <c r="J546" s="1">
        <v>60015027</v>
      </c>
      <c r="K546" s="1">
        <v>32767</v>
      </c>
      <c r="L546" s="1">
        <v>4</v>
      </c>
      <c r="CH546" s="1">
        <v>2405885370</v>
      </c>
      <c r="CI546" s="1">
        <v>29668</v>
      </c>
      <c r="CJ546" s="1">
        <v>10</v>
      </c>
      <c r="CK546" s="1">
        <v>6</v>
      </c>
      <c r="CL546" s="1">
        <v>481161047.02999997</v>
      </c>
      <c r="CM546" s="1">
        <v>1</v>
      </c>
      <c r="CN546" s="1">
        <v>1</v>
      </c>
      <c r="CO546" s="1">
        <v>90</v>
      </c>
      <c r="CP546" s="1">
        <v>60003760</v>
      </c>
      <c r="CQ546" s="1">
        <v>-1</v>
      </c>
      <c r="CR546" s="1">
        <v>0</v>
      </c>
    </row>
    <row r="547" spans="2:96" x14ac:dyDescent="0.25">
      <c r="B547" s="1">
        <v>2869178887</v>
      </c>
      <c r="C547" s="1">
        <v>34</v>
      </c>
      <c r="D547" s="1">
        <v>835</v>
      </c>
      <c r="E547" s="1">
        <v>835</v>
      </c>
      <c r="F547" s="1">
        <v>6</v>
      </c>
      <c r="G547" s="1">
        <v>1</v>
      </c>
      <c r="H547" s="1">
        <v>0</v>
      </c>
      <c r="I547" s="1">
        <v>7</v>
      </c>
      <c r="J547" s="1">
        <v>60015027</v>
      </c>
      <c r="K547" s="1">
        <v>32767</v>
      </c>
      <c r="L547" s="1">
        <v>4</v>
      </c>
      <c r="CH547" s="1">
        <v>2405885542</v>
      </c>
      <c r="CI547" s="1">
        <v>29668</v>
      </c>
      <c r="CJ547" s="1">
        <v>10</v>
      </c>
      <c r="CK547" s="1">
        <v>10</v>
      </c>
      <c r="CL547" s="1">
        <v>481161047.02999997</v>
      </c>
      <c r="CM547" s="1">
        <v>1</v>
      </c>
      <c r="CN547" s="1">
        <v>1</v>
      </c>
      <c r="CO547" s="1">
        <v>90</v>
      </c>
      <c r="CP547" s="1">
        <v>60003760</v>
      </c>
      <c r="CQ547" s="1">
        <v>-1</v>
      </c>
      <c r="CR547" s="1">
        <v>0</v>
      </c>
    </row>
    <row r="548" spans="2:96" x14ac:dyDescent="0.25">
      <c r="B548" s="1">
        <v>2869545618</v>
      </c>
      <c r="C548" s="1">
        <v>34</v>
      </c>
      <c r="D548" s="1">
        <v>34744</v>
      </c>
      <c r="E548" s="1">
        <v>34744</v>
      </c>
      <c r="F548" s="1">
        <v>5.8</v>
      </c>
      <c r="G548" s="1">
        <v>1</v>
      </c>
      <c r="H548" s="1">
        <v>0</v>
      </c>
      <c r="I548" s="1">
        <v>7</v>
      </c>
      <c r="J548" s="1">
        <v>60015027</v>
      </c>
      <c r="K548" s="1">
        <v>32767</v>
      </c>
      <c r="L548" s="1">
        <v>4</v>
      </c>
      <c r="CH548" s="1">
        <v>2415608204</v>
      </c>
      <c r="CI548" s="1">
        <v>29668</v>
      </c>
      <c r="CJ548" s="1">
        <v>8</v>
      </c>
      <c r="CK548" s="1">
        <v>8</v>
      </c>
      <c r="CL548" s="1">
        <v>475751000</v>
      </c>
      <c r="CM548" s="1">
        <v>1</v>
      </c>
      <c r="CN548" s="1">
        <v>1</v>
      </c>
      <c r="CO548" s="1">
        <v>90</v>
      </c>
      <c r="CP548" s="1">
        <v>60003760</v>
      </c>
      <c r="CQ548" s="1">
        <v>-1</v>
      </c>
      <c r="CR548" s="1">
        <v>0</v>
      </c>
    </row>
    <row r="549" spans="2:96" x14ac:dyDescent="0.25">
      <c r="B549" s="1">
        <v>2875525745</v>
      </c>
      <c r="C549" s="1">
        <v>34</v>
      </c>
      <c r="D549" s="1">
        <v>140555</v>
      </c>
      <c r="E549" s="1">
        <v>140555</v>
      </c>
      <c r="F549" s="1">
        <v>5.65</v>
      </c>
      <c r="G549" s="1">
        <v>1</v>
      </c>
      <c r="H549" s="1">
        <v>0</v>
      </c>
      <c r="I549" s="1">
        <v>3</v>
      </c>
      <c r="J549" s="1">
        <v>60015027</v>
      </c>
      <c r="K549" s="1">
        <v>32767</v>
      </c>
      <c r="L549" s="1">
        <v>4</v>
      </c>
      <c r="CH549" s="1">
        <v>2415609052</v>
      </c>
      <c r="CI549" s="1">
        <v>29668</v>
      </c>
      <c r="CJ549" s="1">
        <v>8</v>
      </c>
      <c r="CK549" s="1">
        <v>8</v>
      </c>
      <c r="CL549" s="1">
        <v>475751000</v>
      </c>
      <c r="CM549" s="1">
        <v>1</v>
      </c>
      <c r="CN549" s="1">
        <v>1</v>
      </c>
      <c r="CO549" s="1">
        <v>90</v>
      </c>
      <c r="CP549" s="1">
        <v>60003760</v>
      </c>
      <c r="CQ549" s="1">
        <v>32767</v>
      </c>
      <c r="CR549" s="1">
        <v>0</v>
      </c>
    </row>
    <row r="550" spans="2:96" x14ac:dyDescent="0.25">
      <c r="B550" s="1">
        <v>2874611409</v>
      </c>
      <c r="C550" s="1">
        <v>34</v>
      </c>
      <c r="D550" s="1">
        <v>1022210</v>
      </c>
      <c r="E550" s="1">
        <v>294782</v>
      </c>
      <c r="F550" s="1">
        <v>5.6</v>
      </c>
      <c r="G550" s="1">
        <v>1</v>
      </c>
      <c r="H550" s="1">
        <v>0</v>
      </c>
      <c r="I550" s="1">
        <v>30</v>
      </c>
      <c r="J550" s="1">
        <v>60015027</v>
      </c>
      <c r="K550" s="1">
        <v>32767</v>
      </c>
      <c r="L550" s="1">
        <v>4</v>
      </c>
      <c r="CH550" s="1">
        <v>2415611350</v>
      </c>
      <c r="CI550" s="1">
        <v>29668</v>
      </c>
      <c r="CJ550" s="1">
        <v>1</v>
      </c>
      <c r="CK550" s="1">
        <v>1</v>
      </c>
      <c r="CL550" s="1">
        <v>492700.55</v>
      </c>
      <c r="CM550" s="1">
        <v>1</v>
      </c>
      <c r="CN550" s="1">
        <v>1</v>
      </c>
      <c r="CO550" s="1">
        <v>90</v>
      </c>
      <c r="CP550" s="1">
        <v>60003760</v>
      </c>
      <c r="CQ550" s="1">
        <v>40</v>
      </c>
      <c r="CR550" s="1">
        <v>0</v>
      </c>
    </row>
    <row r="551" spans="2:96" x14ac:dyDescent="0.25">
      <c r="B551" s="1">
        <v>2877638045</v>
      </c>
      <c r="C551" s="1">
        <v>34</v>
      </c>
      <c r="D551" s="1">
        <v>14760</v>
      </c>
      <c r="E551" s="1">
        <v>14760</v>
      </c>
      <c r="F551" s="1">
        <v>8.4</v>
      </c>
      <c r="G551" s="1">
        <v>1</v>
      </c>
      <c r="H551" s="1">
        <v>0</v>
      </c>
      <c r="I551" s="1">
        <v>1</v>
      </c>
      <c r="J551" s="1">
        <v>60015027</v>
      </c>
      <c r="K551" s="1">
        <v>32767</v>
      </c>
      <c r="L551" s="1">
        <v>4</v>
      </c>
      <c r="CH551" s="1">
        <v>2407057574</v>
      </c>
      <c r="CI551" s="1">
        <v>29668</v>
      </c>
      <c r="CJ551" s="1">
        <v>100</v>
      </c>
      <c r="CK551" s="1">
        <v>1</v>
      </c>
      <c r="CL551" s="1">
        <v>481201042</v>
      </c>
      <c r="CM551" s="1">
        <v>1</v>
      </c>
      <c r="CN551" s="1">
        <v>1</v>
      </c>
      <c r="CO551" s="1">
        <v>90</v>
      </c>
      <c r="CP551" s="1">
        <v>60003760</v>
      </c>
      <c r="CQ551" s="1">
        <v>-1</v>
      </c>
      <c r="CR551" s="1">
        <v>0</v>
      </c>
    </row>
    <row r="552" spans="2:96" x14ac:dyDescent="0.25">
      <c r="B552" s="1">
        <v>2877786873</v>
      </c>
      <c r="C552" s="1">
        <v>34</v>
      </c>
      <c r="D552" s="1">
        <v>40423</v>
      </c>
      <c r="E552" s="1">
        <v>40423</v>
      </c>
      <c r="F552" s="1">
        <v>5.99</v>
      </c>
      <c r="G552" s="1">
        <v>1</v>
      </c>
      <c r="H552" s="1">
        <v>0</v>
      </c>
      <c r="I552" s="1">
        <v>1</v>
      </c>
      <c r="J552" s="1">
        <v>60015027</v>
      </c>
      <c r="K552" s="1">
        <v>32767</v>
      </c>
      <c r="L552" s="1">
        <v>4</v>
      </c>
      <c r="CH552" s="1">
        <v>2414421298</v>
      </c>
      <c r="CI552" s="1">
        <v>29668</v>
      </c>
      <c r="CJ552" s="1">
        <v>100</v>
      </c>
      <c r="CK552" s="1">
        <v>100</v>
      </c>
      <c r="CL552" s="1">
        <v>481261002</v>
      </c>
      <c r="CM552" s="1">
        <v>1</v>
      </c>
      <c r="CN552" s="1">
        <v>1</v>
      </c>
      <c r="CO552" s="1">
        <v>90</v>
      </c>
      <c r="CP552" s="1">
        <v>60003760</v>
      </c>
      <c r="CQ552" s="1">
        <v>-1</v>
      </c>
      <c r="CR552" s="1">
        <v>0</v>
      </c>
    </row>
    <row r="553" spans="2:96" x14ac:dyDescent="0.25">
      <c r="B553" s="1">
        <v>2878001025</v>
      </c>
      <c r="C553" s="1">
        <v>34</v>
      </c>
      <c r="D553" s="1">
        <v>799247</v>
      </c>
      <c r="E553" s="1">
        <v>543755</v>
      </c>
      <c r="F553" s="1">
        <v>5.55</v>
      </c>
      <c r="G553" s="1">
        <v>1</v>
      </c>
      <c r="H553" s="1">
        <v>0</v>
      </c>
      <c r="I553" s="1">
        <v>14</v>
      </c>
      <c r="J553" s="1">
        <v>60015027</v>
      </c>
      <c r="K553" s="1">
        <v>32767</v>
      </c>
      <c r="L553" s="1">
        <v>4</v>
      </c>
      <c r="CH553" s="1">
        <v>2413782908</v>
      </c>
      <c r="CI553" s="1">
        <v>29668</v>
      </c>
      <c r="CJ553" s="1">
        <v>50</v>
      </c>
      <c r="CK553" s="1">
        <v>38</v>
      </c>
      <c r="CL553" s="1">
        <v>475800009</v>
      </c>
      <c r="CM553" s="1">
        <v>1</v>
      </c>
      <c r="CN553" s="1">
        <v>1</v>
      </c>
      <c r="CO553" s="1">
        <v>90</v>
      </c>
      <c r="CP553" s="1">
        <v>60003760</v>
      </c>
      <c r="CQ553" s="1">
        <v>32767</v>
      </c>
      <c r="CR553" s="1">
        <v>0</v>
      </c>
    </row>
    <row r="554" spans="2:96" x14ac:dyDescent="0.25">
      <c r="B554" s="1">
        <v>2877127240</v>
      </c>
      <c r="C554" s="1">
        <v>34</v>
      </c>
      <c r="D554" s="1">
        <v>112463</v>
      </c>
      <c r="E554" s="1">
        <v>112463</v>
      </c>
      <c r="F554" s="1">
        <v>5.9</v>
      </c>
      <c r="G554" s="1">
        <v>1</v>
      </c>
      <c r="H554" s="1">
        <v>0</v>
      </c>
      <c r="I554" s="1">
        <v>1</v>
      </c>
      <c r="J554" s="1">
        <v>60015027</v>
      </c>
      <c r="K554" s="1">
        <v>32767</v>
      </c>
      <c r="L554" s="1">
        <v>4</v>
      </c>
      <c r="CH554" s="1">
        <v>2400608355</v>
      </c>
      <c r="CI554" s="1">
        <v>29668</v>
      </c>
      <c r="CJ554" s="1">
        <v>100</v>
      </c>
      <c r="CK554" s="1">
        <v>37</v>
      </c>
      <c r="CL554" s="1">
        <v>475300000</v>
      </c>
      <c r="CM554" s="1">
        <v>1</v>
      </c>
      <c r="CN554" s="1">
        <v>1</v>
      </c>
      <c r="CO554" s="1">
        <v>90</v>
      </c>
      <c r="CP554" s="1">
        <v>60003760</v>
      </c>
      <c r="CQ554" s="1">
        <v>-1</v>
      </c>
      <c r="CR554" s="1">
        <v>0</v>
      </c>
    </row>
    <row r="555" spans="2:96" x14ac:dyDescent="0.25">
      <c r="B555" s="1">
        <v>2877125441</v>
      </c>
      <c r="C555" s="1">
        <v>34</v>
      </c>
      <c r="D555" s="1">
        <v>285320</v>
      </c>
      <c r="E555" s="1">
        <v>285320</v>
      </c>
      <c r="F555" s="1">
        <v>8</v>
      </c>
      <c r="G555" s="1">
        <v>1</v>
      </c>
      <c r="H555" s="1">
        <v>0</v>
      </c>
      <c r="I555" s="1">
        <v>1</v>
      </c>
      <c r="J555" s="1">
        <v>60015027</v>
      </c>
      <c r="K555" s="1">
        <v>32767</v>
      </c>
      <c r="L555" s="1">
        <v>4</v>
      </c>
      <c r="CH555" s="1">
        <v>2415681077</v>
      </c>
      <c r="CI555" s="1">
        <v>29668</v>
      </c>
      <c r="CJ555" s="1">
        <v>1</v>
      </c>
      <c r="CK555" s="1">
        <v>1</v>
      </c>
      <c r="CL555" s="1">
        <v>481261005.99000001</v>
      </c>
      <c r="CM555" s="1">
        <v>1</v>
      </c>
      <c r="CN555" s="1">
        <v>1</v>
      </c>
      <c r="CO555" s="1">
        <v>90</v>
      </c>
      <c r="CP555" s="1">
        <v>60003760</v>
      </c>
      <c r="CQ555" s="1">
        <v>-1</v>
      </c>
      <c r="CR555" s="1">
        <v>0</v>
      </c>
    </row>
    <row r="556" spans="2:96" x14ac:dyDescent="0.25">
      <c r="B556" s="1">
        <v>2877069699</v>
      </c>
      <c r="C556" s="1">
        <v>34</v>
      </c>
      <c r="D556" s="1">
        <v>69044</v>
      </c>
      <c r="E556" s="1">
        <v>69044</v>
      </c>
      <c r="F556" s="1">
        <v>7</v>
      </c>
      <c r="G556" s="1">
        <v>1</v>
      </c>
      <c r="H556" s="1">
        <v>0</v>
      </c>
      <c r="I556" s="1">
        <v>1</v>
      </c>
      <c r="J556" s="1">
        <v>60015027</v>
      </c>
      <c r="K556" s="1">
        <v>32767</v>
      </c>
      <c r="L556" s="1">
        <v>4</v>
      </c>
      <c r="CH556" s="1">
        <v>2415685847</v>
      </c>
      <c r="CI556" s="1">
        <v>29668</v>
      </c>
      <c r="CJ556" s="1">
        <v>1</v>
      </c>
      <c r="CK556" s="1">
        <v>1</v>
      </c>
      <c r="CL556" s="1">
        <v>450000000</v>
      </c>
      <c r="CM556" s="1">
        <v>1</v>
      </c>
      <c r="CN556" s="1">
        <v>1</v>
      </c>
      <c r="CO556" s="1">
        <v>30</v>
      </c>
      <c r="CP556" s="1">
        <v>60003760</v>
      </c>
      <c r="CQ556" s="1">
        <v>32767</v>
      </c>
      <c r="CR556" s="1">
        <v>0</v>
      </c>
    </row>
    <row r="557" spans="2:96" x14ac:dyDescent="0.25">
      <c r="B557" s="1">
        <v>2877376604</v>
      </c>
      <c r="C557" s="1">
        <v>34</v>
      </c>
      <c r="D557" s="1">
        <v>30137</v>
      </c>
      <c r="E557" s="1">
        <v>30137</v>
      </c>
      <c r="F557" s="1">
        <v>5.69</v>
      </c>
      <c r="G557" s="1">
        <v>1</v>
      </c>
      <c r="H557" s="1">
        <v>0</v>
      </c>
      <c r="I557" s="1">
        <v>1</v>
      </c>
      <c r="J557" s="1">
        <v>60015027</v>
      </c>
      <c r="K557" s="1">
        <v>32767</v>
      </c>
      <c r="L557" s="1">
        <v>4</v>
      </c>
      <c r="CH557" s="1">
        <v>2415722469</v>
      </c>
      <c r="CI557" s="1">
        <v>29668</v>
      </c>
      <c r="CJ557" s="1">
        <v>4</v>
      </c>
      <c r="CK557" s="1">
        <v>4</v>
      </c>
      <c r="CL557" s="1">
        <v>476000000</v>
      </c>
      <c r="CM557" s="1">
        <v>1</v>
      </c>
      <c r="CN557" s="1">
        <v>1</v>
      </c>
      <c r="CO557" s="1">
        <v>7</v>
      </c>
      <c r="CP557" s="1">
        <v>60003760</v>
      </c>
      <c r="CQ557" s="1">
        <v>-1</v>
      </c>
      <c r="CR557" s="1">
        <v>0</v>
      </c>
    </row>
    <row r="558" spans="2:96" x14ac:dyDescent="0.25">
      <c r="B558" s="1">
        <v>2875885042</v>
      </c>
      <c r="C558" s="1">
        <v>34</v>
      </c>
      <c r="D558" s="1">
        <v>4360800</v>
      </c>
      <c r="E558" s="1">
        <v>3514366</v>
      </c>
      <c r="F558" s="1">
        <v>5.59</v>
      </c>
      <c r="G558" s="1">
        <v>1</v>
      </c>
      <c r="H558" s="1">
        <v>0</v>
      </c>
      <c r="I558" s="1">
        <v>90</v>
      </c>
      <c r="J558" s="1">
        <v>60015027</v>
      </c>
      <c r="K558" s="1">
        <v>32767</v>
      </c>
      <c r="L558" s="1">
        <v>4</v>
      </c>
      <c r="CH558" s="1">
        <v>2415782410</v>
      </c>
      <c r="CI558" s="1">
        <v>29668</v>
      </c>
      <c r="CJ558" s="1">
        <v>20</v>
      </c>
      <c r="CK558" s="1">
        <v>20</v>
      </c>
      <c r="CL558" s="1">
        <v>481300000</v>
      </c>
      <c r="CM558" s="1">
        <v>1</v>
      </c>
      <c r="CN558" s="1">
        <v>1</v>
      </c>
      <c r="CO558" s="1">
        <v>90</v>
      </c>
      <c r="CP558" s="1">
        <v>60003760</v>
      </c>
      <c r="CQ558" s="1">
        <v>-1</v>
      </c>
      <c r="CR558" s="1">
        <v>0</v>
      </c>
    </row>
    <row r="559" spans="2:96" x14ac:dyDescent="0.25">
      <c r="B559" s="1">
        <v>2875962013</v>
      </c>
      <c r="C559" s="1">
        <v>34</v>
      </c>
      <c r="D559" s="1">
        <v>25523</v>
      </c>
      <c r="E559" s="1">
        <v>25523</v>
      </c>
      <c r="F559" s="1">
        <v>5.63</v>
      </c>
      <c r="G559" s="1">
        <v>1</v>
      </c>
      <c r="H559" s="1">
        <v>0</v>
      </c>
      <c r="I559" s="1">
        <v>3</v>
      </c>
      <c r="J559" s="1">
        <v>60015027</v>
      </c>
      <c r="K559" s="1">
        <v>32767</v>
      </c>
      <c r="L559" s="1">
        <v>4</v>
      </c>
      <c r="CH559" s="1">
        <v>2415782885</v>
      </c>
      <c r="CI559" s="1">
        <v>29668</v>
      </c>
      <c r="CJ559" s="1">
        <v>20</v>
      </c>
      <c r="CK559" s="1">
        <v>20</v>
      </c>
      <c r="CL559" s="1">
        <v>481300000</v>
      </c>
      <c r="CM559" s="1">
        <v>1</v>
      </c>
      <c r="CN559" s="1">
        <v>1</v>
      </c>
      <c r="CO559" s="1">
        <v>90</v>
      </c>
      <c r="CP559" s="1">
        <v>60003760</v>
      </c>
      <c r="CQ559" s="1">
        <v>-1</v>
      </c>
      <c r="CR559" s="1">
        <v>0</v>
      </c>
    </row>
    <row r="560" spans="2:96" x14ac:dyDescent="0.25">
      <c r="B560" s="1">
        <v>2876448181</v>
      </c>
      <c r="C560" s="1">
        <v>34</v>
      </c>
      <c r="D560" s="1">
        <v>16656</v>
      </c>
      <c r="E560" s="1">
        <v>16656</v>
      </c>
      <c r="F560" s="1">
        <v>5.59</v>
      </c>
      <c r="G560" s="1">
        <v>1</v>
      </c>
      <c r="H560" s="1">
        <v>0</v>
      </c>
      <c r="I560" s="1">
        <v>90</v>
      </c>
      <c r="J560" s="1">
        <v>60015027</v>
      </c>
      <c r="K560" s="1">
        <v>32767</v>
      </c>
      <c r="L560" s="1">
        <v>4</v>
      </c>
      <c r="CH560" s="1">
        <v>2415821583</v>
      </c>
      <c r="CI560" s="1">
        <v>29668</v>
      </c>
      <c r="CJ560" s="1">
        <v>10</v>
      </c>
      <c r="CK560" s="1">
        <v>10</v>
      </c>
      <c r="CL560" s="1">
        <v>350000000</v>
      </c>
      <c r="CM560" s="1">
        <v>1</v>
      </c>
      <c r="CN560" s="1">
        <v>1</v>
      </c>
      <c r="CO560" s="1">
        <v>3</v>
      </c>
      <c r="CP560" s="1">
        <v>60003760</v>
      </c>
      <c r="CQ560" s="1">
        <v>10</v>
      </c>
      <c r="CR560" s="1">
        <v>0</v>
      </c>
    </row>
    <row r="561" spans="2:96" x14ac:dyDescent="0.25">
      <c r="B561" s="1">
        <v>2878347755</v>
      </c>
      <c r="C561" s="1">
        <v>34</v>
      </c>
      <c r="D561" s="1">
        <v>499685256</v>
      </c>
      <c r="E561" s="1">
        <v>499685256</v>
      </c>
      <c r="F561" s="1">
        <v>5.84</v>
      </c>
      <c r="G561" s="1">
        <v>1</v>
      </c>
      <c r="H561" s="1">
        <v>0</v>
      </c>
      <c r="I561" s="1">
        <v>30</v>
      </c>
      <c r="J561" s="1">
        <v>60003760</v>
      </c>
      <c r="K561" s="1">
        <v>32767</v>
      </c>
      <c r="L561" s="1">
        <v>0</v>
      </c>
      <c r="CH561" s="1">
        <v>2415861473</v>
      </c>
      <c r="CI561" s="1">
        <v>29668</v>
      </c>
      <c r="CJ561" s="1">
        <v>9</v>
      </c>
      <c r="CK561" s="1">
        <v>9</v>
      </c>
      <c r="CL561" s="1">
        <v>481301000</v>
      </c>
      <c r="CM561" s="1">
        <v>1</v>
      </c>
      <c r="CN561" s="1">
        <v>1</v>
      </c>
      <c r="CO561" s="1">
        <v>1</v>
      </c>
      <c r="CP561" s="1">
        <v>60003760</v>
      </c>
      <c r="CQ561" s="1">
        <v>-1</v>
      </c>
      <c r="CR561" s="1">
        <v>0</v>
      </c>
    </row>
    <row r="562" spans="2:96" x14ac:dyDescent="0.25">
      <c r="B562" s="1">
        <v>2878352779</v>
      </c>
      <c r="C562" s="1">
        <v>34</v>
      </c>
      <c r="D562" s="1">
        <v>12529684</v>
      </c>
      <c r="E562" s="1">
        <v>6595805</v>
      </c>
      <c r="F562" s="1">
        <v>5.51</v>
      </c>
      <c r="G562" s="1">
        <v>1</v>
      </c>
      <c r="H562" s="1">
        <v>0</v>
      </c>
      <c r="I562" s="1">
        <v>1</v>
      </c>
      <c r="J562" s="1">
        <v>60001591</v>
      </c>
      <c r="K562" s="1">
        <v>32767</v>
      </c>
      <c r="L562" s="1">
        <v>11</v>
      </c>
      <c r="CH562" s="1">
        <v>2415859503</v>
      </c>
      <c r="CI562" s="1">
        <v>29668</v>
      </c>
      <c r="CJ562" s="1">
        <v>20</v>
      </c>
      <c r="CK562" s="1">
        <v>20</v>
      </c>
      <c r="CL562" s="1">
        <v>481302094</v>
      </c>
      <c r="CM562" s="1">
        <v>1</v>
      </c>
      <c r="CN562" s="1">
        <v>1</v>
      </c>
      <c r="CO562" s="1">
        <v>90</v>
      </c>
      <c r="CP562" s="1">
        <v>60003760</v>
      </c>
      <c r="CQ562" s="1">
        <v>-1</v>
      </c>
      <c r="CR562" s="1">
        <v>0</v>
      </c>
    </row>
    <row r="563" spans="2:96" x14ac:dyDescent="0.25">
      <c r="B563" s="1">
        <v>2878356529</v>
      </c>
      <c r="C563" s="1">
        <v>34</v>
      </c>
      <c r="D563" s="1">
        <v>4484272</v>
      </c>
      <c r="E563" s="1">
        <v>4484272</v>
      </c>
      <c r="F563" s="1">
        <v>8.4</v>
      </c>
      <c r="G563" s="1">
        <v>1</v>
      </c>
      <c r="H563" s="1">
        <v>0</v>
      </c>
      <c r="I563" s="1">
        <v>1</v>
      </c>
      <c r="J563" s="1">
        <v>60003760</v>
      </c>
      <c r="K563" s="1">
        <v>32767</v>
      </c>
      <c r="L563" s="1">
        <v>0</v>
      </c>
      <c r="CH563" s="1">
        <v>2262723020</v>
      </c>
      <c r="CI563" s="1">
        <v>29668</v>
      </c>
      <c r="CJ563" s="1">
        <v>1</v>
      </c>
      <c r="CK563" s="1">
        <v>1</v>
      </c>
      <c r="CL563" s="1">
        <v>371000100.23000002</v>
      </c>
      <c r="CM563" s="1">
        <v>1</v>
      </c>
      <c r="CN563" s="1">
        <v>1</v>
      </c>
      <c r="CO563" s="1">
        <v>90</v>
      </c>
      <c r="CP563" s="1">
        <v>60003760</v>
      </c>
      <c r="CQ563" s="1">
        <v>-1</v>
      </c>
      <c r="CR563" s="1">
        <v>0</v>
      </c>
    </row>
    <row r="564" spans="2:96" x14ac:dyDescent="0.25">
      <c r="B564" s="1">
        <v>2878360672</v>
      </c>
      <c r="C564" s="1">
        <v>34</v>
      </c>
      <c r="D564" s="1">
        <v>300000000</v>
      </c>
      <c r="E564" s="1">
        <v>300000000</v>
      </c>
      <c r="F564" s="1">
        <v>6.18</v>
      </c>
      <c r="G564" s="1">
        <v>1</v>
      </c>
      <c r="H564" s="1">
        <v>0</v>
      </c>
      <c r="I564" s="1">
        <v>30</v>
      </c>
      <c r="J564" s="1">
        <v>60003760</v>
      </c>
      <c r="K564" s="1">
        <v>32767</v>
      </c>
      <c r="L564" s="1">
        <v>0</v>
      </c>
      <c r="CH564" s="1">
        <v>2225128383</v>
      </c>
      <c r="CI564" s="1">
        <v>29668</v>
      </c>
      <c r="CJ564" s="1">
        <v>1</v>
      </c>
      <c r="CK564" s="1">
        <v>1</v>
      </c>
      <c r="CL564" s="1">
        <v>360000100</v>
      </c>
      <c r="CM564" s="1">
        <v>1</v>
      </c>
      <c r="CN564" s="1">
        <v>1</v>
      </c>
      <c r="CO564" s="1">
        <v>90</v>
      </c>
      <c r="CP564" s="1">
        <v>60003760</v>
      </c>
      <c r="CQ564" s="1">
        <v>-1</v>
      </c>
      <c r="CR564" s="1">
        <v>0</v>
      </c>
    </row>
    <row r="565" spans="2:96" x14ac:dyDescent="0.25">
      <c r="B565" s="1">
        <v>2878420297</v>
      </c>
      <c r="C565" s="1">
        <v>34</v>
      </c>
      <c r="D565" s="1">
        <v>19871518</v>
      </c>
      <c r="E565" s="1">
        <v>19871518</v>
      </c>
      <c r="F565" s="1">
        <v>5.6</v>
      </c>
      <c r="G565" s="1">
        <v>1</v>
      </c>
      <c r="H565" s="1">
        <v>0</v>
      </c>
      <c r="I565" s="1">
        <v>90</v>
      </c>
      <c r="J565" s="1">
        <v>60004465</v>
      </c>
      <c r="K565" s="1">
        <v>32767</v>
      </c>
      <c r="L565" s="1">
        <v>11</v>
      </c>
      <c r="CH565" s="1">
        <v>2223077003</v>
      </c>
      <c r="CI565" s="1">
        <v>29668</v>
      </c>
      <c r="CJ565" s="1">
        <v>1</v>
      </c>
      <c r="CK565" s="1">
        <v>1</v>
      </c>
      <c r="CL565" s="1">
        <v>361000100.01999998</v>
      </c>
      <c r="CM565" s="1">
        <v>1</v>
      </c>
      <c r="CN565" s="1">
        <v>1</v>
      </c>
      <c r="CO565" s="1">
        <v>90</v>
      </c>
      <c r="CP565" s="1">
        <v>60003760</v>
      </c>
      <c r="CQ565" s="1">
        <v>-1</v>
      </c>
      <c r="CR565" s="1">
        <v>0</v>
      </c>
    </row>
    <row r="566" spans="2:96" x14ac:dyDescent="0.25">
      <c r="B566" s="1">
        <v>2878488378</v>
      </c>
      <c r="C566" s="1">
        <v>34</v>
      </c>
      <c r="D566" s="1">
        <v>10141744</v>
      </c>
      <c r="E566" s="1">
        <v>7141744</v>
      </c>
      <c r="F566" s="1">
        <v>5.62</v>
      </c>
      <c r="G566" s="1">
        <v>1</v>
      </c>
      <c r="H566" s="1">
        <v>0</v>
      </c>
      <c r="I566" s="1">
        <v>90</v>
      </c>
      <c r="J566" s="1">
        <v>60001828</v>
      </c>
      <c r="K566" s="1">
        <v>32767</v>
      </c>
      <c r="L566" s="1">
        <v>2</v>
      </c>
      <c r="CH566" s="1">
        <v>2223070589</v>
      </c>
      <c r="CI566" s="1">
        <v>29668</v>
      </c>
      <c r="CJ566" s="1">
        <v>1</v>
      </c>
      <c r="CK566" s="1">
        <v>1</v>
      </c>
      <c r="CL566" s="1">
        <v>362000100.04000002</v>
      </c>
      <c r="CM566" s="1">
        <v>1</v>
      </c>
      <c r="CN566" s="1">
        <v>1</v>
      </c>
      <c r="CO566" s="1">
        <v>90</v>
      </c>
      <c r="CP566" s="1">
        <v>60003760</v>
      </c>
      <c r="CQ566" s="1">
        <v>-1</v>
      </c>
      <c r="CR566" s="1">
        <v>0</v>
      </c>
    </row>
    <row r="567" spans="2:96" x14ac:dyDescent="0.25">
      <c r="B567" s="1">
        <v>2878499875</v>
      </c>
      <c r="C567" s="1">
        <v>34</v>
      </c>
      <c r="D567" s="1">
        <v>53070</v>
      </c>
      <c r="E567" s="1">
        <v>53070</v>
      </c>
      <c r="F567" s="1">
        <v>5.5</v>
      </c>
      <c r="G567" s="1">
        <v>1</v>
      </c>
      <c r="H567" s="1">
        <v>0</v>
      </c>
      <c r="I567" s="1">
        <v>1</v>
      </c>
      <c r="J567" s="1">
        <v>60002434</v>
      </c>
      <c r="K567" s="1">
        <v>32767</v>
      </c>
      <c r="L567" s="1">
        <v>3</v>
      </c>
      <c r="CH567" s="1">
        <v>2414577314</v>
      </c>
      <c r="CI567" s="1">
        <v>29668</v>
      </c>
      <c r="CJ567" s="1">
        <v>20</v>
      </c>
      <c r="CK567" s="1">
        <v>20</v>
      </c>
      <c r="CL567" s="1">
        <v>481302096</v>
      </c>
      <c r="CM567" s="1">
        <v>1</v>
      </c>
      <c r="CN567" s="1">
        <v>1</v>
      </c>
      <c r="CO567" s="1">
        <v>90</v>
      </c>
      <c r="CP567" s="1">
        <v>60003760</v>
      </c>
      <c r="CQ567" s="1">
        <v>-1</v>
      </c>
      <c r="CR567" s="1">
        <v>0</v>
      </c>
    </row>
    <row r="568" spans="2:96" x14ac:dyDescent="0.25">
      <c r="B568" s="1">
        <v>2878525964</v>
      </c>
      <c r="C568" s="1">
        <v>34</v>
      </c>
      <c r="D568" s="1">
        <v>2500000</v>
      </c>
      <c r="E568" s="1">
        <v>2500000</v>
      </c>
      <c r="F568" s="1">
        <v>5.9</v>
      </c>
      <c r="G568" s="1">
        <v>1</v>
      </c>
      <c r="H568" s="1">
        <v>0</v>
      </c>
      <c r="I568" s="1">
        <v>1</v>
      </c>
      <c r="J568" s="1">
        <v>60004237</v>
      </c>
      <c r="K568" s="1">
        <v>32767</v>
      </c>
      <c r="L568" s="1">
        <v>3</v>
      </c>
      <c r="CH568" s="1">
        <v>2223614093</v>
      </c>
      <c r="CI568" s="1">
        <v>29668</v>
      </c>
      <c r="CJ568" s="1">
        <v>1</v>
      </c>
      <c r="CK568" s="1">
        <v>1</v>
      </c>
      <c r="CL568" s="1">
        <v>363000100.06</v>
      </c>
      <c r="CM568" s="1">
        <v>1</v>
      </c>
      <c r="CN568" s="1">
        <v>1</v>
      </c>
      <c r="CO568" s="1">
        <v>90</v>
      </c>
      <c r="CP568" s="1">
        <v>60003760</v>
      </c>
      <c r="CQ568" s="1">
        <v>-1</v>
      </c>
      <c r="CR568" s="1">
        <v>0</v>
      </c>
    </row>
    <row r="569" spans="2:96" x14ac:dyDescent="0.25">
      <c r="B569" s="1">
        <v>2878530086</v>
      </c>
      <c r="C569" s="1">
        <v>34</v>
      </c>
      <c r="D569" s="1">
        <v>1936155</v>
      </c>
      <c r="E569" s="1">
        <v>1936155</v>
      </c>
      <c r="F569" s="1">
        <v>5.7</v>
      </c>
      <c r="G569" s="1">
        <v>1</v>
      </c>
      <c r="H569" s="1">
        <v>0</v>
      </c>
      <c r="I569" s="1">
        <v>1</v>
      </c>
      <c r="J569" s="1">
        <v>60002842</v>
      </c>
      <c r="K569" s="1">
        <v>32767</v>
      </c>
      <c r="L569" s="1">
        <v>12</v>
      </c>
      <c r="CH569" s="1">
        <v>2223068136</v>
      </c>
      <c r="CI569" s="1">
        <v>29668</v>
      </c>
      <c r="CJ569" s="1">
        <v>1</v>
      </c>
      <c r="CK569" s="1">
        <v>1</v>
      </c>
      <c r="CL569" s="1">
        <v>364000100.07999998</v>
      </c>
      <c r="CM569" s="1">
        <v>1</v>
      </c>
      <c r="CN569" s="1">
        <v>1</v>
      </c>
      <c r="CO569" s="1">
        <v>90</v>
      </c>
      <c r="CP569" s="1">
        <v>60003760</v>
      </c>
      <c r="CQ569" s="1">
        <v>-1</v>
      </c>
      <c r="CR569" s="1">
        <v>0</v>
      </c>
    </row>
    <row r="570" spans="2:96" x14ac:dyDescent="0.25">
      <c r="B570" s="1">
        <v>2878560046</v>
      </c>
      <c r="C570" s="1">
        <v>34</v>
      </c>
      <c r="D570" s="1">
        <v>2489501</v>
      </c>
      <c r="E570" s="1">
        <v>2489501</v>
      </c>
      <c r="F570" s="1">
        <v>5.6</v>
      </c>
      <c r="G570" s="1">
        <v>1</v>
      </c>
      <c r="H570" s="1">
        <v>0</v>
      </c>
      <c r="I570" s="1">
        <v>90</v>
      </c>
      <c r="J570" s="1">
        <v>60004060</v>
      </c>
      <c r="K570" s="1">
        <v>32767</v>
      </c>
      <c r="L570" s="1">
        <v>10</v>
      </c>
      <c r="CH570" s="1">
        <v>2223071541</v>
      </c>
      <c r="CI570" s="1">
        <v>29668</v>
      </c>
      <c r="CJ570" s="1">
        <v>1</v>
      </c>
      <c r="CK570" s="1">
        <v>1</v>
      </c>
      <c r="CL570" s="1">
        <v>365000100.10000002</v>
      </c>
      <c r="CM570" s="1">
        <v>1</v>
      </c>
      <c r="CN570" s="1">
        <v>1</v>
      </c>
      <c r="CO570" s="1">
        <v>90</v>
      </c>
      <c r="CP570" s="1">
        <v>60003760</v>
      </c>
      <c r="CQ570" s="1">
        <v>-1</v>
      </c>
      <c r="CR570" s="1">
        <v>0</v>
      </c>
    </row>
    <row r="571" spans="2:96" x14ac:dyDescent="0.25">
      <c r="B571" s="1">
        <v>2878578430</v>
      </c>
      <c r="C571" s="1">
        <v>34</v>
      </c>
      <c r="D571" s="1">
        <v>1708811</v>
      </c>
      <c r="E571" s="1">
        <v>48758</v>
      </c>
      <c r="F571" s="1">
        <v>5.47</v>
      </c>
      <c r="G571" s="1">
        <v>1</v>
      </c>
      <c r="H571" s="1">
        <v>0</v>
      </c>
      <c r="I571" s="1">
        <v>1</v>
      </c>
      <c r="J571" s="1">
        <v>60015027</v>
      </c>
      <c r="K571" s="1">
        <v>32767</v>
      </c>
      <c r="L571" s="1">
        <v>4</v>
      </c>
      <c r="CH571" s="1">
        <v>2415850052</v>
      </c>
      <c r="CI571" s="1">
        <v>29668</v>
      </c>
      <c r="CJ571" s="1">
        <v>20</v>
      </c>
      <c r="CK571" s="1">
        <v>16</v>
      </c>
      <c r="CL571" s="1">
        <v>481302098</v>
      </c>
      <c r="CM571" s="1">
        <v>1</v>
      </c>
      <c r="CN571" s="1">
        <v>1</v>
      </c>
      <c r="CO571" s="1">
        <v>90</v>
      </c>
      <c r="CP571" s="1">
        <v>60003760</v>
      </c>
      <c r="CQ571" s="1">
        <v>-1</v>
      </c>
      <c r="CR571" s="1">
        <v>0</v>
      </c>
    </row>
    <row r="572" spans="2:96" x14ac:dyDescent="0.25">
      <c r="B572" s="1">
        <v>2878584977</v>
      </c>
      <c r="C572" s="1">
        <v>34</v>
      </c>
      <c r="D572" s="1">
        <v>1837570</v>
      </c>
      <c r="E572" s="1">
        <v>1837570</v>
      </c>
      <c r="F572" s="1">
        <v>6</v>
      </c>
      <c r="G572" s="1">
        <v>1</v>
      </c>
      <c r="H572" s="1">
        <v>0</v>
      </c>
      <c r="I572" s="1">
        <v>90</v>
      </c>
      <c r="J572" s="1">
        <v>60004444</v>
      </c>
      <c r="K572" s="1">
        <v>32767</v>
      </c>
      <c r="L572" s="1">
        <v>7</v>
      </c>
      <c r="CH572" s="1">
        <v>2223069526</v>
      </c>
      <c r="CI572" s="1">
        <v>29668</v>
      </c>
      <c r="CJ572" s="1">
        <v>1</v>
      </c>
      <c r="CK572" s="1">
        <v>1</v>
      </c>
      <c r="CL572" s="1">
        <v>366000100.12</v>
      </c>
      <c r="CM572" s="1">
        <v>1</v>
      </c>
      <c r="CN572" s="1">
        <v>1</v>
      </c>
      <c r="CO572" s="1">
        <v>90</v>
      </c>
      <c r="CP572" s="1">
        <v>60003760</v>
      </c>
      <c r="CQ572" s="1">
        <v>-1</v>
      </c>
      <c r="CR572" s="1">
        <v>0</v>
      </c>
    </row>
    <row r="573" spans="2:96" x14ac:dyDescent="0.25">
      <c r="B573" s="1">
        <v>2878624952</v>
      </c>
      <c r="C573" s="1">
        <v>34</v>
      </c>
      <c r="D573" s="1">
        <v>326803</v>
      </c>
      <c r="E573" s="1">
        <v>326803</v>
      </c>
      <c r="F573" s="1">
        <v>5.58</v>
      </c>
      <c r="G573" s="1">
        <v>1</v>
      </c>
      <c r="H573" s="1">
        <v>0</v>
      </c>
      <c r="I573" s="1">
        <v>1</v>
      </c>
      <c r="J573" s="1">
        <v>60015027</v>
      </c>
      <c r="K573" s="1">
        <v>32767</v>
      </c>
      <c r="L573" s="1">
        <v>4</v>
      </c>
      <c r="CH573" s="1">
        <v>2223072271</v>
      </c>
      <c r="CI573" s="1">
        <v>29668</v>
      </c>
      <c r="CJ573" s="1">
        <v>1</v>
      </c>
      <c r="CK573" s="1">
        <v>1</v>
      </c>
      <c r="CL573" s="1">
        <v>367000100.13999999</v>
      </c>
      <c r="CM573" s="1">
        <v>1</v>
      </c>
      <c r="CN573" s="1">
        <v>1</v>
      </c>
      <c r="CO573" s="1">
        <v>90</v>
      </c>
      <c r="CP573" s="1">
        <v>60003760</v>
      </c>
      <c r="CQ573" s="1">
        <v>-1</v>
      </c>
      <c r="CR573" s="1">
        <v>0</v>
      </c>
    </row>
    <row r="574" spans="2:96" x14ac:dyDescent="0.25">
      <c r="B574" s="1">
        <v>2878691314</v>
      </c>
      <c r="C574" s="1">
        <v>34</v>
      </c>
      <c r="D574" s="1">
        <v>7309411</v>
      </c>
      <c r="E574" s="1">
        <v>7309411</v>
      </c>
      <c r="F574" s="1">
        <v>5.65</v>
      </c>
      <c r="G574" s="1">
        <v>1</v>
      </c>
      <c r="H574" s="1">
        <v>0</v>
      </c>
      <c r="I574" s="1">
        <v>14</v>
      </c>
      <c r="J574" s="1">
        <v>60004210</v>
      </c>
      <c r="K574" s="1">
        <v>32767</v>
      </c>
      <c r="L574" s="1">
        <v>5</v>
      </c>
      <c r="CH574" s="1">
        <v>2223073051</v>
      </c>
      <c r="CI574" s="1">
        <v>29668</v>
      </c>
      <c r="CJ574" s="1">
        <v>1</v>
      </c>
      <c r="CK574" s="1">
        <v>1</v>
      </c>
      <c r="CL574" s="1">
        <v>368000100.16000003</v>
      </c>
      <c r="CM574" s="1">
        <v>1</v>
      </c>
      <c r="CN574" s="1">
        <v>1</v>
      </c>
      <c r="CO574" s="1">
        <v>90</v>
      </c>
      <c r="CP574" s="1">
        <v>60003760</v>
      </c>
      <c r="CQ574" s="1">
        <v>-1</v>
      </c>
      <c r="CR574" s="1">
        <v>0</v>
      </c>
    </row>
    <row r="575" spans="2:96" x14ac:dyDescent="0.25">
      <c r="B575" s="1">
        <v>2878697052</v>
      </c>
      <c r="C575" s="1">
        <v>34</v>
      </c>
      <c r="D575" s="1">
        <v>100000000</v>
      </c>
      <c r="E575" s="1">
        <v>78582817</v>
      </c>
      <c r="F575" s="1">
        <v>5.73</v>
      </c>
      <c r="G575" s="1">
        <v>1</v>
      </c>
      <c r="H575" s="1">
        <v>0</v>
      </c>
      <c r="I575" s="1">
        <v>90</v>
      </c>
      <c r="J575" s="1">
        <v>60003760</v>
      </c>
      <c r="K575" s="1">
        <v>32767</v>
      </c>
      <c r="L575" s="1">
        <v>0</v>
      </c>
      <c r="CH575" s="1">
        <v>2415868553</v>
      </c>
      <c r="CI575" s="1">
        <v>29668</v>
      </c>
      <c r="CJ575" s="1">
        <v>1</v>
      </c>
      <c r="CK575" s="1">
        <v>1</v>
      </c>
      <c r="CL575" s="1">
        <v>481302098.00999999</v>
      </c>
      <c r="CM575" s="1">
        <v>1</v>
      </c>
      <c r="CN575" s="1">
        <v>1</v>
      </c>
      <c r="CO575" s="1">
        <v>90</v>
      </c>
      <c r="CP575" s="1">
        <v>60003760</v>
      </c>
      <c r="CQ575" s="1">
        <v>-1</v>
      </c>
      <c r="CR575" s="1">
        <v>0</v>
      </c>
    </row>
    <row r="576" spans="2:96" x14ac:dyDescent="0.25">
      <c r="B576" s="1">
        <v>2878704857</v>
      </c>
      <c r="C576" s="1">
        <v>34</v>
      </c>
      <c r="D576" s="1">
        <v>62417216</v>
      </c>
      <c r="E576" s="1">
        <v>62417216</v>
      </c>
      <c r="F576" s="1">
        <v>5.73</v>
      </c>
      <c r="G576" s="1">
        <v>1</v>
      </c>
      <c r="H576" s="1">
        <v>0</v>
      </c>
      <c r="I576" s="1">
        <v>30</v>
      </c>
      <c r="J576" s="1">
        <v>60003760</v>
      </c>
      <c r="K576" s="1">
        <v>32767</v>
      </c>
      <c r="L576" s="1">
        <v>0</v>
      </c>
      <c r="CH576" s="1">
        <v>2262721857</v>
      </c>
      <c r="CI576" s="1">
        <v>29668</v>
      </c>
      <c r="CJ576" s="1">
        <v>1</v>
      </c>
      <c r="CK576" s="1">
        <v>1</v>
      </c>
      <c r="CL576" s="1">
        <v>369000100.18000001</v>
      </c>
      <c r="CM576" s="1">
        <v>1</v>
      </c>
      <c r="CN576" s="1">
        <v>1</v>
      </c>
      <c r="CO576" s="1">
        <v>90</v>
      </c>
      <c r="CP576" s="1">
        <v>60003760</v>
      </c>
      <c r="CQ576" s="1">
        <v>-1</v>
      </c>
      <c r="CR576" s="1">
        <v>0</v>
      </c>
    </row>
    <row r="577" spans="2:96" x14ac:dyDescent="0.25">
      <c r="B577" s="1">
        <v>2878721286</v>
      </c>
      <c r="C577" s="1">
        <v>34</v>
      </c>
      <c r="D577" s="1">
        <v>24665</v>
      </c>
      <c r="E577" s="1">
        <v>24665</v>
      </c>
      <c r="F577" s="1">
        <v>5.63</v>
      </c>
      <c r="G577" s="1">
        <v>1</v>
      </c>
      <c r="H577" s="1">
        <v>0</v>
      </c>
      <c r="I577" s="1">
        <v>1</v>
      </c>
      <c r="J577" s="1">
        <v>60015027</v>
      </c>
      <c r="K577" s="1">
        <v>32767</v>
      </c>
      <c r="L577" s="1">
        <v>4</v>
      </c>
      <c r="CH577" s="1">
        <v>2415832567</v>
      </c>
      <c r="CI577" s="1">
        <v>29668</v>
      </c>
      <c r="CJ577" s="1">
        <v>20</v>
      </c>
      <c r="CK577" s="1">
        <v>14</v>
      </c>
      <c r="CL577" s="1">
        <v>481302098.06</v>
      </c>
      <c r="CM577" s="1">
        <v>1</v>
      </c>
      <c r="CN577" s="1">
        <v>1</v>
      </c>
      <c r="CO577" s="1">
        <v>90</v>
      </c>
      <c r="CP577" s="1">
        <v>60003760</v>
      </c>
      <c r="CQ577" s="1">
        <v>-1</v>
      </c>
      <c r="CR577" s="1">
        <v>0</v>
      </c>
    </row>
    <row r="578" spans="2:96" x14ac:dyDescent="0.25">
      <c r="B578" s="1">
        <v>2878737015</v>
      </c>
      <c r="C578" s="1">
        <v>34</v>
      </c>
      <c r="D578" s="1">
        <v>93034603</v>
      </c>
      <c r="E578" s="1">
        <v>93034603</v>
      </c>
      <c r="F578" s="1">
        <v>5.73</v>
      </c>
      <c r="G578" s="1">
        <v>1</v>
      </c>
      <c r="H578" s="1">
        <v>0</v>
      </c>
      <c r="I578" s="1">
        <v>90</v>
      </c>
      <c r="J578" s="1">
        <v>60003760</v>
      </c>
      <c r="K578" s="1">
        <v>32767</v>
      </c>
      <c r="L578" s="1">
        <v>0</v>
      </c>
      <c r="CH578" s="1">
        <v>2415850123</v>
      </c>
      <c r="CI578" s="1">
        <v>29668</v>
      </c>
      <c r="CJ578" s="1">
        <v>40</v>
      </c>
      <c r="CK578" s="1">
        <v>33</v>
      </c>
      <c r="CL578" s="1">
        <v>481303090</v>
      </c>
      <c r="CM578" s="1">
        <v>1</v>
      </c>
      <c r="CN578" s="1">
        <v>1</v>
      </c>
      <c r="CO578" s="1">
        <v>90</v>
      </c>
      <c r="CP578" s="1">
        <v>60003760</v>
      </c>
      <c r="CQ578" s="1">
        <v>-1</v>
      </c>
      <c r="CR578" s="1">
        <v>0</v>
      </c>
    </row>
    <row r="579" spans="2:96" x14ac:dyDescent="0.25">
      <c r="B579" s="1">
        <v>2878740480</v>
      </c>
      <c r="C579" s="1">
        <v>34</v>
      </c>
      <c r="D579" s="1">
        <v>252592</v>
      </c>
      <c r="E579" s="1">
        <v>190754</v>
      </c>
      <c r="F579" s="1">
        <v>5.45</v>
      </c>
      <c r="G579" s="1">
        <v>1</v>
      </c>
      <c r="H579" s="1">
        <v>0</v>
      </c>
      <c r="I579" s="1">
        <v>1</v>
      </c>
      <c r="J579" s="1">
        <v>60015027</v>
      </c>
      <c r="K579" s="1">
        <v>32767</v>
      </c>
      <c r="L579" s="1">
        <v>4</v>
      </c>
      <c r="CH579" s="1">
        <v>2251437024</v>
      </c>
      <c r="CI579" s="1">
        <v>29668</v>
      </c>
      <c r="CJ579" s="1">
        <v>1</v>
      </c>
      <c r="CK579" s="1">
        <v>1</v>
      </c>
      <c r="CL579" s="1">
        <v>370000100.19999999</v>
      </c>
      <c r="CM579" s="1">
        <v>1</v>
      </c>
      <c r="CN579" s="1">
        <v>1</v>
      </c>
      <c r="CO579" s="1">
        <v>90</v>
      </c>
      <c r="CP579" s="1">
        <v>60003760</v>
      </c>
      <c r="CQ579" s="1">
        <v>-1</v>
      </c>
      <c r="CR579" s="1">
        <v>0</v>
      </c>
    </row>
    <row r="580" spans="2:96" x14ac:dyDescent="0.25">
      <c r="B580" s="1">
        <v>2878760354</v>
      </c>
      <c r="C580" s="1">
        <v>34</v>
      </c>
      <c r="D580" s="1">
        <v>639920</v>
      </c>
      <c r="E580" s="1">
        <v>639920</v>
      </c>
      <c r="F580" s="1">
        <v>5.9</v>
      </c>
      <c r="G580" s="1">
        <v>1</v>
      </c>
      <c r="H580" s="1">
        <v>0</v>
      </c>
      <c r="I580" s="1">
        <v>1</v>
      </c>
      <c r="J580" s="1">
        <v>60003760</v>
      </c>
      <c r="K580" s="1">
        <v>32767</v>
      </c>
      <c r="L580" s="1">
        <v>0</v>
      </c>
      <c r="CH580" s="1">
        <v>2415858495</v>
      </c>
      <c r="CI580" s="1">
        <v>29668</v>
      </c>
      <c r="CJ580" s="1">
        <v>20</v>
      </c>
      <c r="CK580" s="1">
        <v>19</v>
      </c>
      <c r="CL580" s="1">
        <v>481303094</v>
      </c>
      <c r="CM580" s="1">
        <v>1</v>
      </c>
      <c r="CN580" s="1">
        <v>1</v>
      </c>
      <c r="CO580" s="1">
        <v>90</v>
      </c>
      <c r="CP580" s="1">
        <v>60003760</v>
      </c>
      <c r="CQ580" s="1">
        <v>-1</v>
      </c>
      <c r="CR580" s="1">
        <v>0</v>
      </c>
    </row>
    <row r="581" spans="2:96" x14ac:dyDescent="0.25">
      <c r="B581" s="1">
        <v>2878768883</v>
      </c>
      <c r="C581" s="1">
        <v>34</v>
      </c>
      <c r="D581" s="1">
        <v>107681</v>
      </c>
      <c r="E581" s="1">
        <v>107681</v>
      </c>
      <c r="F581" s="1">
        <v>5.65</v>
      </c>
      <c r="G581" s="1">
        <v>1</v>
      </c>
      <c r="H581" s="1">
        <v>0</v>
      </c>
      <c r="I581" s="1">
        <v>3</v>
      </c>
      <c r="J581" s="1">
        <v>60000688</v>
      </c>
      <c r="K581" s="1">
        <v>32767</v>
      </c>
      <c r="L581" s="1">
        <v>1</v>
      </c>
      <c r="CH581"/>
      <c r="CI581"/>
      <c r="CJ581"/>
      <c r="CK581"/>
      <c r="CL581"/>
      <c r="CM581"/>
      <c r="CN581"/>
      <c r="CO581"/>
      <c r="CP581"/>
      <c r="CQ581"/>
      <c r="CR581"/>
    </row>
    <row r="582" spans="2:96" x14ac:dyDescent="0.25">
      <c r="B582" s="1">
        <v>2878784744</v>
      </c>
      <c r="C582" s="1">
        <v>34</v>
      </c>
      <c r="D582" s="1">
        <v>2079</v>
      </c>
      <c r="E582" s="1">
        <v>2079</v>
      </c>
      <c r="F582" s="1">
        <v>7</v>
      </c>
      <c r="G582" s="1">
        <v>1</v>
      </c>
      <c r="H582" s="1">
        <v>0</v>
      </c>
      <c r="I582" s="1">
        <v>1</v>
      </c>
      <c r="J582" s="1">
        <v>60003760</v>
      </c>
      <c r="K582" s="1">
        <v>32767</v>
      </c>
      <c r="L582" s="1">
        <v>0</v>
      </c>
      <c r="CH582"/>
      <c r="CI582"/>
      <c r="CJ582"/>
      <c r="CK582"/>
      <c r="CL582"/>
      <c r="CM582"/>
      <c r="CN582"/>
      <c r="CO582"/>
      <c r="CP582"/>
      <c r="CQ582"/>
      <c r="CR582"/>
    </row>
    <row r="583" spans="2:96" x14ac:dyDescent="0.25">
      <c r="B583" s="1">
        <v>2878789270</v>
      </c>
      <c r="C583" s="1">
        <v>34</v>
      </c>
      <c r="D583" s="1">
        <v>65073247</v>
      </c>
      <c r="E583" s="1">
        <v>65073247</v>
      </c>
      <c r="F583" s="1">
        <v>5.86</v>
      </c>
      <c r="G583" s="1">
        <v>1</v>
      </c>
      <c r="H583" s="1">
        <v>0</v>
      </c>
      <c r="I583" s="1">
        <v>90</v>
      </c>
      <c r="J583" s="1">
        <v>60003760</v>
      </c>
      <c r="K583" s="1">
        <v>32767</v>
      </c>
      <c r="L583" s="1">
        <v>0</v>
      </c>
      <c r="CH583"/>
      <c r="CI583"/>
      <c r="CJ583"/>
      <c r="CK583"/>
      <c r="CL583"/>
      <c r="CM583"/>
      <c r="CN583"/>
      <c r="CO583"/>
      <c r="CP583"/>
      <c r="CQ583"/>
      <c r="CR583"/>
    </row>
    <row r="584" spans="2:96" x14ac:dyDescent="0.25">
      <c r="B584" s="1">
        <v>2878814595</v>
      </c>
      <c r="C584" s="1">
        <v>34</v>
      </c>
      <c r="D584" s="1">
        <v>732</v>
      </c>
      <c r="E584" s="1">
        <v>732</v>
      </c>
      <c r="F584" s="1">
        <v>8</v>
      </c>
      <c r="G584" s="1">
        <v>1</v>
      </c>
      <c r="H584" s="1">
        <v>0</v>
      </c>
      <c r="I584" s="1">
        <v>1</v>
      </c>
      <c r="J584" s="1">
        <v>60015026</v>
      </c>
      <c r="K584" s="1">
        <v>32767</v>
      </c>
      <c r="L584" s="1">
        <v>5</v>
      </c>
      <c r="CH584"/>
      <c r="CI584"/>
      <c r="CJ584"/>
      <c r="CK584"/>
      <c r="CL584"/>
      <c r="CM584"/>
      <c r="CN584"/>
      <c r="CO584"/>
      <c r="CP584"/>
      <c r="CQ584"/>
      <c r="CR584"/>
    </row>
    <row r="585" spans="2:96" x14ac:dyDescent="0.25">
      <c r="B585" s="1">
        <v>2878816996</v>
      </c>
      <c r="C585" s="1">
        <v>34</v>
      </c>
      <c r="D585" s="1">
        <v>2737477</v>
      </c>
      <c r="E585" s="1">
        <v>2737477</v>
      </c>
      <c r="F585" s="1">
        <v>5.6</v>
      </c>
      <c r="G585" s="1">
        <v>1</v>
      </c>
      <c r="H585" s="1">
        <v>0</v>
      </c>
      <c r="I585" s="1">
        <v>1</v>
      </c>
      <c r="J585" s="1">
        <v>60000535</v>
      </c>
      <c r="K585" s="1">
        <v>32767</v>
      </c>
      <c r="L585" s="1">
        <v>6</v>
      </c>
      <c r="CH585"/>
      <c r="CI585"/>
      <c r="CJ585"/>
      <c r="CK585"/>
      <c r="CL585"/>
      <c r="CM585"/>
      <c r="CN585"/>
      <c r="CO585"/>
      <c r="CP585"/>
      <c r="CQ585"/>
      <c r="CR585"/>
    </row>
    <row r="586" spans="2:96" x14ac:dyDescent="0.25">
      <c r="B586" s="1">
        <v>2878818196</v>
      </c>
      <c r="C586" s="1">
        <v>34</v>
      </c>
      <c r="D586" s="1">
        <v>158852</v>
      </c>
      <c r="E586" s="1">
        <v>158852</v>
      </c>
      <c r="F586" s="1">
        <v>5.5</v>
      </c>
      <c r="G586" s="1">
        <v>1</v>
      </c>
      <c r="H586" s="1">
        <v>0</v>
      </c>
      <c r="I586" s="1">
        <v>14</v>
      </c>
      <c r="J586" s="1">
        <v>60015027</v>
      </c>
      <c r="K586" s="1">
        <v>32767</v>
      </c>
      <c r="L586" s="1">
        <v>4</v>
      </c>
      <c r="CH586"/>
      <c r="CI586"/>
      <c r="CJ586"/>
      <c r="CK586"/>
      <c r="CL586"/>
      <c r="CM586"/>
      <c r="CN586"/>
      <c r="CO586"/>
      <c r="CP586"/>
      <c r="CQ586"/>
      <c r="CR586"/>
    </row>
    <row r="587" spans="2:96" x14ac:dyDescent="0.25">
      <c r="B587" s="1">
        <v>2878819103</v>
      </c>
      <c r="C587" s="1">
        <v>34</v>
      </c>
      <c r="D587" s="1">
        <v>13263290</v>
      </c>
      <c r="E587" s="1">
        <v>11263280</v>
      </c>
      <c r="F587" s="1">
        <v>5.5</v>
      </c>
      <c r="G587" s="1">
        <v>1</v>
      </c>
      <c r="H587" s="1">
        <v>0</v>
      </c>
      <c r="I587" s="1">
        <v>90</v>
      </c>
      <c r="J587" s="1">
        <v>60007591</v>
      </c>
      <c r="K587" s="1">
        <v>32767</v>
      </c>
      <c r="L587" s="1">
        <v>11</v>
      </c>
      <c r="CH587"/>
      <c r="CI587"/>
      <c r="CJ587"/>
      <c r="CK587"/>
      <c r="CL587"/>
      <c r="CM587"/>
      <c r="CN587"/>
      <c r="CO587"/>
      <c r="CP587"/>
      <c r="CQ587"/>
      <c r="CR587"/>
    </row>
    <row r="588" spans="2:96" x14ac:dyDescent="0.25">
      <c r="B588" s="1">
        <v>2878848771</v>
      </c>
      <c r="C588" s="1">
        <v>34</v>
      </c>
      <c r="D588" s="1">
        <v>1655013</v>
      </c>
      <c r="E588" s="1">
        <v>1655013</v>
      </c>
      <c r="F588" s="1">
        <v>5.7</v>
      </c>
      <c r="G588" s="1">
        <v>1</v>
      </c>
      <c r="H588" s="1">
        <v>0</v>
      </c>
      <c r="I588" s="1">
        <v>1</v>
      </c>
      <c r="J588" s="1">
        <v>60003037</v>
      </c>
      <c r="K588" s="1">
        <v>32767</v>
      </c>
      <c r="L588" s="1">
        <v>3</v>
      </c>
      <c r="CH588"/>
      <c r="CI588"/>
      <c r="CJ588"/>
      <c r="CK588"/>
      <c r="CL588"/>
      <c r="CM588"/>
      <c r="CN588"/>
      <c r="CO588"/>
      <c r="CP588"/>
      <c r="CQ588"/>
      <c r="CR588"/>
    </row>
    <row r="589" spans="2:96" x14ac:dyDescent="0.25">
      <c r="B589" s="1">
        <v>2878858356</v>
      </c>
      <c r="C589" s="1">
        <v>34</v>
      </c>
      <c r="D589" s="1">
        <v>607593510</v>
      </c>
      <c r="E589" s="1">
        <v>607593510</v>
      </c>
      <c r="F589" s="1">
        <v>5.74</v>
      </c>
      <c r="G589" s="1">
        <v>1</v>
      </c>
      <c r="H589" s="1">
        <v>0</v>
      </c>
      <c r="I589" s="1">
        <v>90</v>
      </c>
      <c r="J589" s="1">
        <v>60003760</v>
      </c>
      <c r="K589" s="1">
        <v>32767</v>
      </c>
      <c r="L589" s="1">
        <v>0</v>
      </c>
      <c r="CH589"/>
      <c r="CI589"/>
      <c r="CJ589"/>
      <c r="CK589"/>
      <c r="CL589"/>
      <c r="CM589"/>
      <c r="CN589"/>
      <c r="CO589"/>
      <c r="CP589"/>
      <c r="CQ589"/>
      <c r="CR589"/>
    </row>
    <row r="590" spans="2:96" x14ac:dyDescent="0.25">
      <c r="B590" s="1">
        <v>2878872755</v>
      </c>
      <c r="C590" s="1">
        <v>34</v>
      </c>
      <c r="D590" s="1">
        <v>7408754</v>
      </c>
      <c r="E590" s="1">
        <v>7408754</v>
      </c>
      <c r="F590" s="1">
        <v>5.62</v>
      </c>
      <c r="G590" s="1">
        <v>1</v>
      </c>
      <c r="H590" s="1">
        <v>0</v>
      </c>
      <c r="I590" s="1">
        <v>90</v>
      </c>
      <c r="J590" s="1">
        <v>60003073</v>
      </c>
      <c r="K590" s="1">
        <v>32767</v>
      </c>
      <c r="L590" s="1">
        <v>6</v>
      </c>
      <c r="CH590"/>
      <c r="CI590"/>
      <c r="CJ590"/>
      <c r="CK590"/>
      <c r="CL590"/>
      <c r="CM590"/>
      <c r="CN590"/>
      <c r="CO590"/>
      <c r="CP590"/>
      <c r="CQ590"/>
      <c r="CR590"/>
    </row>
    <row r="591" spans="2:96" x14ac:dyDescent="0.25">
      <c r="B591" s="1">
        <v>2878884258</v>
      </c>
      <c r="C591" s="1">
        <v>34</v>
      </c>
      <c r="D591" s="1">
        <v>75011</v>
      </c>
      <c r="E591" s="1">
        <v>75011</v>
      </c>
      <c r="F591" s="1">
        <v>10.27</v>
      </c>
      <c r="G591" s="1">
        <v>1</v>
      </c>
      <c r="H591" s="1">
        <v>0</v>
      </c>
      <c r="I591" s="1">
        <v>1</v>
      </c>
      <c r="J591" s="1">
        <v>60015027</v>
      </c>
      <c r="K591" s="1">
        <v>32767</v>
      </c>
      <c r="L591" s="1">
        <v>4</v>
      </c>
      <c r="CH591"/>
      <c r="CI591"/>
      <c r="CJ591"/>
      <c r="CK591"/>
      <c r="CL591"/>
      <c r="CM591"/>
      <c r="CN591"/>
      <c r="CO591"/>
      <c r="CP591"/>
      <c r="CQ591"/>
      <c r="CR591"/>
    </row>
    <row r="592" spans="2:96" x14ac:dyDescent="0.25">
      <c r="B592" s="1">
        <v>2878891567</v>
      </c>
      <c r="C592" s="1">
        <v>34</v>
      </c>
      <c r="D592" s="1">
        <v>3290</v>
      </c>
      <c r="E592" s="1">
        <v>3290</v>
      </c>
      <c r="F592" s="1">
        <v>7.15</v>
      </c>
      <c r="G592" s="1">
        <v>1</v>
      </c>
      <c r="H592" s="1">
        <v>0</v>
      </c>
      <c r="I592" s="1">
        <v>30</v>
      </c>
      <c r="J592" s="1">
        <v>60015026</v>
      </c>
      <c r="K592" s="1">
        <v>32767</v>
      </c>
      <c r="L592" s="1">
        <v>5</v>
      </c>
      <c r="CH592"/>
      <c r="CI592"/>
      <c r="CJ592"/>
      <c r="CK592"/>
      <c r="CL592"/>
      <c r="CM592"/>
      <c r="CN592"/>
      <c r="CO592"/>
      <c r="CP592"/>
      <c r="CQ592"/>
      <c r="CR592"/>
    </row>
    <row r="593" spans="2:96" x14ac:dyDescent="0.25">
      <c r="B593" s="1">
        <v>2878899163</v>
      </c>
      <c r="C593" s="1">
        <v>34</v>
      </c>
      <c r="D593" s="1">
        <v>5795039</v>
      </c>
      <c r="E593" s="1">
        <v>5795039</v>
      </c>
      <c r="F593" s="1">
        <v>5.79</v>
      </c>
      <c r="G593" s="1">
        <v>1</v>
      </c>
      <c r="H593" s="1">
        <v>0</v>
      </c>
      <c r="I593" s="1">
        <v>90</v>
      </c>
      <c r="J593" s="1">
        <v>60003934</v>
      </c>
      <c r="K593" s="1">
        <v>32767</v>
      </c>
      <c r="L593" s="1">
        <v>3</v>
      </c>
      <c r="CH593"/>
      <c r="CI593"/>
      <c r="CJ593"/>
      <c r="CK593"/>
      <c r="CL593"/>
      <c r="CM593"/>
      <c r="CN593"/>
      <c r="CO593"/>
      <c r="CP593"/>
      <c r="CQ593"/>
      <c r="CR593"/>
    </row>
    <row r="594" spans="2:96" x14ac:dyDescent="0.25">
      <c r="B594" s="1">
        <v>2878905893</v>
      </c>
      <c r="C594" s="1">
        <v>34</v>
      </c>
      <c r="D594" s="1">
        <v>19240350</v>
      </c>
      <c r="E594" s="1">
        <v>19240350</v>
      </c>
      <c r="F594" s="1">
        <v>5.6</v>
      </c>
      <c r="G594" s="1">
        <v>1</v>
      </c>
      <c r="H594" s="1">
        <v>0</v>
      </c>
      <c r="I594" s="1">
        <v>1</v>
      </c>
      <c r="J594" s="1">
        <v>60003763</v>
      </c>
      <c r="K594" s="1">
        <v>32767</v>
      </c>
      <c r="L594" s="1">
        <v>1</v>
      </c>
      <c r="CH594"/>
      <c r="CI594"/>
      <c r="CJ594"/>
      <c r="CK594"/>
      <c r="CL594"/>
      <c r="CM594"/>
      <c r="CN594"/>
      <c r="CO594"/>
      <c r="CP594"/>
      <c r="CQ594"/>
      <c r="CR594"/>
    </row>
    <row r="595" spans="2:96" x14ac:dyDescent="0.25">
      <c r="B595" s="1">
        <v>2878930957</v>
      </c>
      <c r="C595" s="1">
        <v>34</v>
      </c>
      <c r="D595" s="1">
        <v>481286876</v>
      </c>
      <c r="E595" s="1">
        <v>481286876</v>
      </c>
      <c r="F595" s="1">
        <v>5.73</v>
      </c>
      <c r="G595" s="1">
        <v>1</v>
      </c>
      <c r="H595" s="1">
        <v>0</v>
      </c>
      <c r="I595" s="1">
        <v>90</v>
      </c>
      <c r="J595" s="1">
        <v>60003760</v>
      </c>
      <c r="K595" s="1">
        <v>32767</v>
      </c>
      <c r="L595" s="1">
        <v>0</v>
      </c>
      <c r="CH595"/>
      <c r="CI595"/>
      <c r="CJ595"/>
      <c r="CK595"/>
      <c r="CL595"/>
      <c r="CM595"/>
      <c r="CN595"/>
      <c r="CO595"/>
      <c r="CP595"/>
      <c r="CQ595"/>
      <c r="CR595"/>
    </row>
    <row r="596" spans="2:96" x14ac:dyDescent="0.25">
      <c r="B596" s="1">
        <v>2878933628</v>
      </c>
      <c r="C596" s="1">
        <v>34</v>
      </c>
      <c r="D596" s="1">
        <v>38498365</v>
      </c>
      <c r="E596" s="1">
        <v>38498365</v>
      </c>
      <c r="F596" s="1">
        <v>5.73</v>
      </c>
      <c r="G596" s="1">
        <v>1</v>
      </c>
      <c r="H596" s="1">
        <v>0</v>
      </c>
      <c r="I596" s="1">
        <v>90</v>
      </c>
      <c r="J596" s="1">
        <v>60003760</v>
      </c>
      <c r="K596" s="1">
        <v>32767</v>
      </c>
      <c r="L596" s="1">
        <v>0</v>
      </c>
      <c r="CH596"/>
      <c r="CI596"/>
      <c r="CJ596"/>
      <c r="CK596"/>
      <c r="CL596"/>
      <c r="CM596"/>
      <c r="CN596"/>
      <c r="CO596"/>
      <c r="CP596"/>
      <c r="CQ596"/>
      <c r="CR596"/>
    </row>
    <row r="597" spans="2:96" x14ac:dyDescent="0.25">
      <c r="B597" s="1">
        <v>2878934325</v>
      </c>
      <c r="C597" s="1">
        <v>34</v>
      </c>
      <c r="D597" s="1">
        <v>87183234</v>
      </c>
      <c r="E597" s="1">
        <v>87183234</v>
      </c>
      <c r="F597" s="1">
        <v>5.73</v>
      </c>
      <c r="G597" s="1">
        <v>1</v>
      </c>
      <c r="H597" s="1">
        <v>0</v>
      </c>
      <c r="I597" s="1">
        <v>90</v>
      </c>
      <c r="J597" s="1">
        <v>60003760</v>
      </c>
      <c r="K597" s="1">
        <v>32767</v>
      </c>
      <c r="L597" s="1">
        <v>0</v>
      </c>
      <c r="CH597"/>
      <c r="CI597"/>
      <c r="CJ597"/>
      <c r="CK597"/>
      <c r="CL597"/>
      <c r="CM597"/>
      <c r="CN597"/>
      <c r="CO597"/>
      <c r="CP597"/>
      <c r="CQ597"/>
      <c r="CR597"/>
    </row>
    <row r="598" spans="2:96" x14ac:dyDescent="0.25">
      <c r="B598" s="1">
        <v>2878937553</v>
      </c>
      <c r="C598" s="1">
        <v>34</v>
      </c>
      <c r="D598" s="1">
        <v>11129990</v>
      </c>
      <c r="E598" s="1">
        <v>11129990</v>
      </c>
      <c r="F598" s="1">
        <v>5.54</v>
      </c>
      <c r="G598" s="1">
        <v>1</v>
      </c>
      <c r="H598" s="1">
        <v>0</v>
      </c>
      <c r="I598" s="1">
        <v>3</v>
      </c>
      <c r="J598" s="1">
        <v>60000292</v>
      </c>
      <c r="K598" s="1">
        <v>32767</v>
      </c>
      <c r="L598" s="1">
        <v>5</v>
      </c>
      <c r="CH598"/>
      <c r="CI598"/>
      <c r="CJ598"/>
      <c r="CK598"/>
      <c r="CL598"/>
      <c r="CM598"/>
      <c r="CN598"/>
      <c r="CO598"/>
      <c r="CP598"/>
      <c r="CQ598"/>
      <c r="CR598"/>
    </row>
    <row r="599" spans="2:96" x14ac:dyDescent="0.25">
      <c r="B599" s="1">
        <v>2878946916</v>
      </c>
      <c r="C599" s="1">
        <v>34</v>
      </c>
      <c r="D599" s="1">
        <v>19166</v>
      </c>
      <c r="E599" s="1">
        <v>19166</v>
      </c>
      <c r="F599" s="1">
        <v>15</v>
      </c>
      <c r="G599" s="1">
        <v>1</v>
      </c>
      <c r="H599" s="1">
        <v>0</v>
      </c>
      <c r="I599" s="1">
        <v>1</v>
      </c>
      <c r="J599" s="1">
        <v>60015027</v>
      </c>
      <c r="K599" s="1">
        <v>32767</v>
      </c>
      <c r="L599" s="1">
        <v>4</v>
      </c>
      <c r="CH599"/>
      <c r="CI599"/>
      <c r="CJ599"/>
      <c r="CK599"/>
      <c r="CL599"/>
      <c r="CM599"/>
      <c r="CN599"/>
      <c r="CO599"/>
      <c r="CP599"/>
      <c r="CQ599"/>
      <c r="CR599"/>
    </row>
    <row r="600" spans="2:96" x14ac:dyDescent="0.25">
      <c r="B600" s="1">
        <v>2878965910</v>
      </c>
      <c r="C600" s="1">
        <v>34</v>
      </c>
      <c r="D600" s="1">
        <v>8683733</v>
      </c>
      <c r="E600" s="1">
        <v>8683733</v>
      </c>
      <c r="F600" s="1">
        <v>5.62</v>
      </c>
      <c r="G600" s="1">
        <v>1</v>
      </c>
      <c r="H600" s="1">
        <v>0</v>
      </c>
      <c r="I600" s="1">
        <v>7</v>
      </c>
      <c r="J600" s="1">
        <v>60012667</v>
      </c>
      <c r="K600" s="1">
        <v>32767</v>
      </c>
      <c r="L600" s="1">
        <v>6</v>
      </c>
      <c r="CH600"/>
      <c r="CI600"/>
      <c r="CJ600"/>
      <c r="CK600"/>
      <c r="CL600"/>
      <c r="CM600"/>
      <c r="CN600"/>
      <c r="CO600"/>
      <c r="CP600"/>
      <c r="CQ600"/>
      <c r="CR600"/>
    </row>
    <row r="601" spans="2:96" x14ac:dyDescent="0.25">
      <c r="B601" s="1">
        <v>2878969434</v>
      </c>
      <c r="C601" s="1">
        <v>34</v>
      </c>
      <c r="D601" s="1">
        <v>90104409</v>
      </c>
      <c r="E601" s="1">
        <v>32551008</v>
      </c>
      <c r="F601" s="1">
        <v>5.71</v>
      </c>
      <c r="G601" s="1">
        <v>1</v>
      </c>
      <c r="H601" s="1">
        <v>0</v>
      </c>
      <c r="I601" s="1">
        <v>90</v>
      </c>
      <c r="J601" s="1">
        <v>60003760</v>
      </c>
      <c r="K601" s="1">
        <v>32767</v>
      </c>
      <c r="L601" s="1">
        <v>0</v>
      </c>
      <c r="CH601"/>
      <c r="CI601"/>
      <c r="CJ601"/>
      <c r="CK601"/>
      <c r="CL601"/>
      <c r="CM601"/>
      <c r="CN601"/>
      <c r="CO601"/>
      <c r="CP601"/>
      <c r="CQ601"/>
      <c r="CR601"/>
    </row>
    <row r="602" spans="2:96" x14ac:dyDescent="0.25">
      <c r="B602" s="1">
        <v>2878969651</v>
      </c>
      <c r="C602" s="1">
        <v>34</v>
      </c>
      <c r="D602" s="1">
        <v>10682000</v>
      </c>
      <c r="E602" s="1">
        <v>10682000</v>
      </c>
      <c r="F602" s="1">
        <v>5.72</v>
      </c>
      <c r="G602" s="1">
        <v>1</v>
      </c>
      <c r="H602" s="1">
        <v>0</v>
      </c>
      <c r="I602" s="1">
        <v>7</v>
      </c>
      <c r="J602" s="1">
        <v>60003760</v>
      </c>
      <c r="K602" s="1">
        <v>32767</v>
      </c>
      <c r="L602" s="1">
        <v>0</v>
      </c>
      <c r="CH602"/>
      <c r="CI602"/>
      <c r="CJ602"/>
      <c r="CK602"/>
      <c r="CL602"/>
      <c r="CM602"/>
      <c r="CN602"/>
      <c r="CO602"/>
      <c r="CP602"/>
      <c r="CQ602"/>
      <c r="CR602"/>
    </row>
    <row r="603" spans="2:96" x14ac:dyDescent="0.25">
      <c r="B603" s="1">
        <v>2878969930</v>
      </c>
      <c r="C603" s="1">
        <v>34</v>
      </c>
      <c r="D603" s="1">
        <v>25156</v>
      </c>
      <c r="E603" s="1">
        <v>25156</v>
      </c>
      <c r="F603" s="1">
        <v>5.73</v>
      </c>
      <c r="G603" s="1">
        <v>1</v>
      </c>
      <c r="H603" s="1">
        <v>0</v>
      </c>
      <c r="I603" s="1">
        <v>3</v>
      </c>
      <c r="J603" s="1">
        <v>60003760</v>
      </c>
      <c r="K603" s="1">
        <v>32767</v>
      </c>
      <c r="L603" s="1">
        <v>0</v>
      </c>
      <c r="CH603"/>
      <c r="CI603"/>
      <c r="CJ603"/>
      <c r="CK603"/>
      <c r="CL603"/>
      <c r="CM603"/>
      <c r="CN603"/>
      <c r="CO603"/>
      <c r="CP603"/>
      <c r="CQ603"/>
      <c r="CR603"/>
    </row>
    <row r="604" spans="2:96" x14ac:dyDescent="0.25">
      <c r="B604" s="1">
        <v>2878974721</v>
      </c>
      <c r="C604" s="1">
        <v>34</v>
      </c>
      <c r="D604" s="1">
        <v>57690268</v>
      </c>
      <c r="E604" s="1">
        <v>57690268</v>
      </c>
      <c r="F604" s="1">
        <v>5.73</v>
      </c>
      <c r="G604" s="1">
        <v>1</v>
      </c>
      <c r="H604" s="1">
        <v>0</v>
      </c>
      <c r="I604" s="1">
        <v>30</v>
      </c>
      <c r="J604" s="1">
        <v>60003760</v>
      </c>
      <c r="K604" s="1">
        <v>32767</v>
      </c>
      <c r="L604" s="1">
        <v>0</v>
      </c>
      <c r="CH604"/>
      <c r="CI604"/>
      <c r="CJ604"/>
      <c r="CK604"/>
      <c r="CL604"/>
      <c r="CM604"/>
      <c r="CN604"/>
      <c r="CO604"/>
      <c r="CP604"/>
      <c r="CQ604"/>
      <c r="CR604"/>
    </row>
    <row r="605" spans="2:96" x14ac:dyDescent="0.25">
      <c r="B605" s="1">
        <v>2878977802</v>
      </c>
      <c r="C605" s="1">
        <v>34</v>
      </c>
      <c r="D605" s="1">
        <v>46642</v>
      </c>
      <c r="E605" s="1">
        <v>46642</v>
      </c>
      <c r="F605" s="1">
        <v>5.63</v>
      </c>
      <c r="G605" s="1">
        <v>1</v>
      </c>
      <c r="H605" s="1">
        <v>0</v>
      </c>
      <c r="I605" s="1">
        <v>1</v>
      </c>
      <c r="J605" s="1">
        <v>60015027</v>
      </c>
      <c r="K605" s="1">
        <v>32767</v>
      </c>
      <c r="L605" s="1">
        <v>4</v>
      </c>
      <c r="CH605"/>
      <c r="CI605"/>
      <c r="CJ605"/>
      <c r="CK605"/>
      <c r="CL605"/>
      <c r="CM605"/>
      <c r="CN605"/>
      <c r="CO605"/>
      <c r="CP605"/>
      <c r="CQ605"/>
      <c r="CR605"/>
    </row>
    <row r="606" spans="2:96" x14ac:dyDescent="0.25">
      <c r="B606" s="1">
        <v>2878978990</v>
      </c>
      <c r="C606" s="1">
        <v>34</v>
      </c>
      <c r="D606" s="1">
        <v>9264059</v>
      </c>
      <c r="E606" s="1">
        <v>9188059</v>
      </c>
      <c r="F606" s="1">
        <v>5.72</v>
      </c>
      <c r="G606" s="1">
        <v>1</v>
      </c>
      <c r="H606" s="1">
        <v>0</v>
      </c>
      <c r="I606" s="1">
        <v>1</v>
      </c>
      <c r="J606" s="1">
        <v>60005449</v>
      </c>
      <c r="K606" s="1">
        <v>32767</v>
      </c>
      <c r="L606" s="1">
        <v>4</v>
      </c>
      <c r="CH606"/>
      <c r="CI606"/>
      <c r="CJ606"/>
      <c r="CK606"/>
      <c r="CL606"/>
      <c r="CM606"/>
      <c r="CN606"/>
      <c r="CO606"/>
      <c r="CP606"/>
      <c r="CQ606"/>
      <c r="CR606"/>
    </row>
    <row r="607" spans="2:96" x14ac:dyDescent="0.25">
      <c r="B607" s="1">
        <v>2878979935</v>
      </c>
      <c r="C607" s="1">
        <v>34</v>
      </c>
      <c r="D607" s="1">
        <v>30629</v>
      </c>
      <c r="E607" s="1">
        <v>30629</v>
      </c>
      <c r="F607" s="1">
        <v>5.63</v>
      </c>
      <c r="G607" s="1">
        <v>1</v>
      </c>
      <c r="H607" s="1">
        <v>0</v>
      </c>
      <c r="I607" s="1">
        <v>14</v>
      </c>
      <c r="J607" s="1">
        <v>60015027</v>
      </c>
      <c r="K607" s="1">
        <v>32767</v>
      </c>
      <c r="L607" s="1">
        <v>4</v>
      </c>
      <c r="CH607"/>
      <c r="CI607"/>
      <c r="CJ607"/>
      <c r="CK607"/>
      <c r="CL607"/>
      <c r="CM607"/>
      <c r="CN607"/>
      <c r="CO607"/>
      <c r="CP607"/>
      <c r="CQ607"/>
      <c r="CR607"/>
    </row>
    <row r="608" spans="2:96" x14ac:dyDescent="0.25">
      <c r="B608" s="1">
        <v>2878982836</v>
      </c>
      <c r="C608" s="1">
        <v>34</v>
      </c>
      <c r="D608" s="1">
        <v>64880445</v>
      </c>
      <c r="E608" s="1">
        <v>64880445</v>
      </c>
      <c r="F608" s="1">
        <v>5.71</v>
      </c>
      <c r="G608" s="1">
        <v>1</v>
      </c>
      <c r="H608" s="1">
        <v>0</v>
      </c>
      <c r="I608" s="1">
        <v>90</v>
      </c>
      <c r="J608" s="1">
        <v>60003760</v>
      </c>
      <c r="K608" s="1">
        <v>32767</v>
      </c>
      <c r="L608" s="1">
        <v>0</v>
      </c>
      <c r="CH608"/>
      <c r="CI608"/>
      <c r="CJ608"/>
      <c r="CK608"/>
      <c r="CL608"/>
      <c r="CM608"/>
      <c r="CN608"/>
      <c r="CO608"/>
      <c r="CP608"/>
      <c r="CQ608"/>
      <c r="CR608"/>
    </row>
    <row r="609" spans="2:96" x14ac:dyDescent="0.25">
      <c r="B609" s="1">
        <v>2878983365</v>
      </c>
      <c r="C609" s="1">
        <v>34</v>
      </c>
      <c r="D609" s="1">
        <v>75800500</v>
      </c>
      <c r="E609" s="1">
        <v>75800500</v>
      </c>
      <c r="F609" s="1">
        <v>5.71</v>
      </c>
      <c r="G609" s="1">
        <v>1</v>
      </c>
      <c r="H609" s="1">
        <v>0</v>
      </c>
      <c r="I609" s="1">
        <v>90</v>
      </c>
      <c r="J609" s="1">
        <v>60003760</v>
      </c>
      <c r="K609" s="1">
        <v>32767</v>
      </c>
      <c r="L609" s="1">
        <v>0</v>
      </c>
      <c r="CH609"/>
      <c r="CI609"/>
      <c r="CJ609"/>
      <c r="CK609"/>
      <c r="CL609"/>
      <c r="CM609"/>
      <c r="CN609"/>
      <c r="CO609"/>
      <c r="CP609"/>
      <c r="CQ609"/>
      <c r="CR609"/>
    </row>
    <row r="610" spans="2:96" x14ac:dyDescent="0.25">
      <c r="B610" s="1">
        <v>2878983374</v>
      </c>
      <c r="C610" s="1">
        <v>34</v>
      </c>
      <c r="D610" s="1">
        <v>130049</v>
      </c>
      <c r="E610" s="1">
        <v>130049</v>
      </c>
      <c r="F610" s="1">
        <v>5.59</v>
      </c>
      <c r="G610" s="1">
        <v>1</v>
      </c>
      <c r="H610" s="1">
        <v>0</v>
      </c>
      <c r="I610" s="1">
        <v>1</v>
      </c>
      <c r="J610" s="1">
        <v>60004228</v>
      </c>
      <c r="K610" s="1">
        <v>32767</v>
      </c>
      <c r="L610" s="1">
        <v>3</v>
      </c>
      <c r="CH610"/>
      <c r="CI610"/>
      <c r="CJ610"/>
      <c r="CK610"/>
      <c r="CL610"/>
      <c r="CM610"/>
      <c r="CN610"/>
      <c r="CO610"/>
      <c r="CP610"/>
      <c r="CQ610"/>
      <c r="CR610"/>
    </row>
    <row r="611" spans="2:96" x14ac:dyDescent="0.25">
      <c r="B611" s="1">
        <v>2878987135</v>
      </c>
      <c r="C611" s="1">
        <v>34</v>
      </c>
      <c r="D611" s="1">
        <v>11836242</v>
      </c>
      <c r="E611" s="1">
        <v>11836242</v>
      </c>
      <c r="F611" s="1">
        <v>5.71</v>
      </c>
      <c r="G611" s="1">
        <v>1</v>
      </c>
      <c r="H611" s="1">
        <v>0</v>
      </c>
      <c r="I611" s="1">
        <v>90</v>
      </c>
      <c r="J611" s="1">
        <v>60003760</v>
      </c>
      <c r="K611" s="1">
        <v>32767</v>
      </c>
      <c r="L611" s="1">
        <v>0</v>
      </c>
      <c r="CH611"/>
      <c r="CI611"/>
      <c r="CJ611"/>
      <c r="CK611"/>
      <c r="CL611"/>
      <c r="CM611"/>
      <c r="CN611"/>
      <c r="CO611"/>
      <c r="CP611"/>
      <c r="CQ611"/>
      <c r="CR611"/>
    </row>
    <row r="612" spans="2:96" x14ac:dyDescent="0.25">
      <c r="B612" s="1">
        <v>2878990667</v>
      </c>
      <c r="C612" s="1">
        <v>34</v>
      </c>
      <c r="D612" s="1">
        <v>95168004</v>
      </c>
      <c r="E612" s="1">
        <v>95168004</v>
      </c>
      <c r="F612" s="1">
        <v>5.63</v>
      </c>
      <c r="G612" s="1">
        <v>1</v>
      </c>
      <c r="H612" s="1">
        <v>0</v>
      </c>
      <c r="I612" s="1">
        <v>90</v>
      </c>
      <c r="J612" s="1">
        <v>60004372</v>
      </c>
      <c r="K612" s="1">
        <v>32767</v>
      </c>
      <c r="L612" s="1">
        <v>11</v>
      </c>
      <c r="CH612"/>
      <c r="CI612"/>
      <c r="CJ612"/>
      <c r="CK612"/>
      <c r="CL612"/>
      <c r="CM612"/>
      <c r="CN612"/>
      <c r="CO612"/>
      <c r="CP612"/>
      <c r="CQ612"/>
      <c r="CR612"/>
    </row>
    <row r="613" spans="2:96" x14ac:dyDescent="0.25">
      <c r="B613" s="1">
        <v>2879001871</v>
      </c>
      <c r="C613" s="1">
        <v>34</v>
      </c>
      <c r="D613" s="1">
        <v>1085856288</v>
      </c>
      <c r="E613" s="1">
        <v>1085856288</v>
      </c>
      <c r="F613" s="1">
        <v>5.8</v>
      </c>
      <c r="G613" s="1">
        <v>1</v>
      </c>
      <c r="H613" s="1">
        <v>0</v>
      </c>
      <c r="I613" s="1">
        <v>90</v>
      </c>
      <c r="J613" s="1">
        <v>60003757</v>
      </c>
      <c r="K613" s="1">
        <v>32767</v>
      </c>
      <c r="L613" s="1">
        <v>0</v>
      </c>
      <c r="CH613"/>
      <c r="CI613"/>
      <c r="CJ613"/>
      <c r="CK613"/>
      <c r="CL613"/>
      <c r="CM613"/>
      <c r="CN613"/>
      <c r="CO613"/>
      <c r="CP613"/>
      <c r="CQ613"/>
      <c r="CR613"/>
    </row>
    <row r="614" spans="2:96" x14ac:dyDescent="0.25">
      <c r="B614" s="1">
        <v>2879004307</v>
      </c>
      <c r="C614" s="1">
        <v>34</v>
      </c>
      <c r="D614" s="1">
        <v>72077990</v>
      </c>
      <c r="E614" s="1">
        <v>72077990</v>
      </c>
      <c r="F614" s="1">
        <v>5.71</v>
      </c>
      <c r="G614" s="1">
        <v>1</v>
      </c>
      <c r="H614" s="1">
        <v>0</v>
      </c>
      <c r="I614" s="1">
        <v>90</v>
      </c>
      <c r="J614" s="1">
        <v>60003760</v>
      </c>
      <c r="K614" s="1">
        <v>32767</v>
      </c>
      <c r="L614" s="1">
        <v>0</v>
      </c>
      <c r="CH614"/>
      <c r="CI614"/>
      <c r="CJ614"/>
      <c r="CK614"/>
      <c r="CL614"/>
      <c r="CM614"/>
      <c r="CN614"/>
      <c r="CO614"/>
      <c r="CP614"/>
      <c r="CQ614"/>
      <c r="CR614"/>
    </row>
    <row r="615" spans="2:96" x14ac:dyDescent="0.25">
      <c r="B615" s="1">
        <v>2879011290</v>
      </c>
      <c r="C615" s="1">
        <v>34</v>
      </c>
      <c r="D615" s="1">
        <v>9998406</v>
      </c>
      <c r="E615" s="1">
        <v>9998406</v>
      </c>
      <c r="F615" s="1">
        <v>5.6</v>
      </c>
      <c r="G615" s="1">
        <v>1</v>
      </c>
      <c r="H615" s="1">
        <v>0</v>
      </c>
      <c r="I615" s="1">
        <v>3</v>
      </c>
      <c r="J615" s="1">
        <v>60003073</v>
      </c>
      <c r="K615" s="1">
        <v>32767</v>
      </c>
      <c r="L615" s="1">
        <v>6</v>
      </c>
      <c r="CH615"/>
      <c r="CI615"/>
      <c r="CJ615"/>
      <c r="CK615"/>
      <c r="CL615"/>
      <c r="CM615"/>
      <c r="CN615"/>
      <c r="CO615"/>
      <c r="CP615"/>
      <c r="CQ615"/>
      <c r="CR615"/>
    </row>
    <row r="616" spans="2:96" x14ac:dyDescent="0.25">
      <c r="B616" s="1">
        <v>2879016919</v>
      </c>
      <c r="C616" s="1">
        <v>34</v>
      </c>
      <c r="D616" s="1">
        <v>25118593</v>
      </c>
      <c r="E616" s="1">
        <v>25118593</v>
      </c>
      <c r="F616" s="1">
        <v>5.51</v>
      </c>
      <c r="G616" s="1">
        <v>1</v>
      </c>
      <c r="H616" s="1">
        <v>0</v>
      </c>
      <c r="I616" s="1">
        <v>90</v>
      </c>
      <c r="J616" s="1">
        <v>60004474</v>
      </c>
      <c r="K616" s="1">
        <v>32767</v>
      </c>
      <c r="L616" s="1">
        <v>11</v>
      </c>
      <c r="CH616"/>
      <c r="CI616"/>
      <c r="CJ616"/>
      <c r="CK616"/>
      <c r="CL616"/>
      <c r="CM616"/>
      <c r="CN616"/>
      <c r="CO616"/>
      <c r="CP616"/>
      <c r="CQ616"/>
      <c r="CR616"/>
    </row>
    <row r="617" spans="2:96" x14ac:dyDescent="0.25">
      <c r="B617" s="1">
        <v>2879030391</v>
      </c>
      <c r="C617" s="1">
        <v>34</v>
      </c>
      <c r="D617" s="1">
        <v>61733058</v>
      </c>
      <c r="E617" s="1">
        <v>61733058</v>
      </c>
      <c r="F617" s="1">
        <v>5.71</v>
      </c>
      <c r="G617" s="1">
        <v>1</v>
      </c>
      <c r="H617" s="1">
        <v>0</v>
      </c>
      <c r="I617" s="1">
        <v>90</v>
      </c>
      <c r="J617" s="1">
        <v>60003760</v>
      </c>
      <c r="K617" s="1">
        <v>32767</v>
      </c>
      <c r="L617" s="1">
        <v>0</v>
      </c>
      <c r="CH617"/>
      <c r="CI617"/>
      <c r="CJ617"/>
      <c r="CK617"/>
      <c r="CL617"/>
      <c r="CM617"/>
      <c r="CN617"/>
      <c r="CO617"/>
      <c r="CP617"/>
      <c r="CQ617"/>
      <c r="CR617"/>
    </row>
    <row r="618" spans="2:96" x14ac:dyDescent="0.25">
      <c r="B618" s="1">
        <v>2879036872</v>
      </c>
      <c r="C618" s="1">
        <v>34</v>
      </c>
      <c r="D618" s="1">
        <v>66450502</v>
      </c>
      <c r="E618" s="1">
        <v>66450502</v>
      </c>
      <c r="F618" s="1">
        <v>5.71</v>
      </c>
      <c r="G618" s="1">
        <v>1</v>
      </c>
      <c r="H618" s="1">
        <v>0</v>
      </c>
      <c r="I618" s="1">
        <v>90</v>
      </c>
      <c r="J618" s="1">
        <v>60003760</v>
      </c>
      <c r="K618" s="1">
        <v>32767</v>
      </c>
      <c r="L618" s="1">
        <v>0</v>
      </c>
      <c r="CH618"/>
      <c r="CI618"/>
      <c r="CJ618"/>
      <c r="CK618"/>
      <c r="CL618"/>
      <c r="CM618"/>
      <c r="CN618"/>
      <c r="CO618"/>
      <c r="CP618"/>
      <c r="CQ618"/>
      <c r="CR618"/>
    </row>
    <row r="619" spans="2:96" x14ac:dyDescent="0.25">
      <c r="B619" s="1">
        <v>2879045700</v>
      </c>
      <c r="C619" s="1">
        <v>34</v>
      </c>
      <c r="D619" s="1">
        <v>5302</v>
      </c>
      <c r="E619" s="1">
        <v>1302</v>
      </c>
      <c r="F619" s="1">
        <v>5.61</v>
      </c>
      <c r="G619" s="1">
        <v>1</v>
      </c>
      <c r="H619" s="1">
        <v>0</v>
      </c>
      <c r="I619" s="1">
        <v>14</v>
      </c>
      <c r="J619" s="1">
        <v>60000364</v>
      </c>
      <c r="K619" s="1">
        <v>32767</v>
      </c>
      <c r="L619" s="1">
        <v>0</v>
      </c>
      <c r="CH619"/>
      <c r="CI619"/>
      <c r="CJ619"/>
      <c r="CK619"/>
      <c r="CL619"/>
      <c r="CM619"/>
      <c r="CN619"/>
      <c r="CO619"/>
      <c r="CP619"/>
      <c r="CQ619"/>
      <c r="CR619"/>
    </row>
    <row r="620" spans="2:96" x14ac:dyDescent="0.25">
      <c r="B620" s="1">
        <v>2879060541</v>
      </c>
      <c r="C620" s="1">
        <v>34</v>
      </c>
      <c r="D620" s="1">
        <v>99502958</v>
      </c>
      <c r="E620" s="1">
        <v>99502958</v>
      </c>
      <c r="F620" s="1">
        <v>5.71</v>
      </c>
      <c r="G620" s="1">
        <v>1</v>
      </c>
      <c r="H620" s="1">
        <v>0</v>
      </c>
      <c r="I620" s="1">
        <v>90</v>
      </c>
      <c r="J620" s="1">
        <v>60003760</v>
      </c>
      <c r="K620" s="1">
        <v>32767</v>
      </c>
      <c r="L620" s="1">
        <v>0</v>
      </c>
      <c r="CH620"/>
      <c r="CI620"/>
      <c r="CJ620"/>
      <c r="CK620"/>
      <c r="CL620"/>
      <c r="CM620"/>
      <c r="CN620"/>
      <c r="CO620"/>
      <c r="CP620"/>
      <c r="CQ620"/>
      <c r="CR620"/>
    </row>
    <row r="621" spans="2:96" x14ac:dyDescent="0.25">
      <c r="B621" s="1">
        <v>2879083579</v>
      </c>
      <c r="C621" s="1">
        <v>34</v>
      </c>
      <c r="D621" s="1">
        <v>4727</v>
      </c>
      <c r="E621" s="1">
        <v>4727</v>
      </c>
      <c r="F621" s="1">
        <v>10</v>
      </c>
      <c r="G621" s="1">
        <v>1</v>
      </c>
      <c r="H621" s="1">
        <v>0</v>
      </c>
      <c r="I621" s="1">
        <v>1</v>
      </c>
      <c r="J621" s="1">
        <v>60005458</v>
      </c>
      <c r="K621" s="1">
        <v>32767</v>
      </c>
      <c r="L621" s="1">
        <v>0</v>
      </c>
      <c r="CH621"/>
      <c r="CI621"/>
      <c r="CJ621"/>
      <c r="CK621"/>
      <c r="CL621"/>
      <c r="CM621"/>
      <c r="CN621"/>
      <c r="CO621"/>
      <c r="CP621"/>
      <c r="CQ621"/>
      <c r="CR621"/>
    </row>
    <row r="622" spans="2:96" x14ac:dyDescent="0.25">
      <c r="B622" s="1">
        <v>2879108201</v>
      </c>
      <c r="C622" s="1">
        <v>34</v>
      </c>
      <c r="D622" s="1">
        <v>3742348</v>
      </c>
      <c r="E622" s="1">
        <v>3742348</v>
      </c>
      <c r="F622" s="1">
        <v>5.6</v>
      </c>
      <c r="G622" s="1">
        <v>1</v>
      </c>
      <c r="H622" s="1">
        <v>0</v>
      </c>
      <c r="I622" s="1">
        <v>30</v>
      </c>
      <c r="J622" s="1">
        <v>60003934</v>
      </c>
      <c r="K622" s="1">
        <v>32767</v>
      </c>
      <c r="L622" s="1">
        <v>0</v>
      </c>
      <c r="CH622"/>
      <c r="CI622"/>
      <c r="CJ622"/>
      <c r="CK622"/>
      <c r="CL622"/>
      <c r="CM622"/>
      <c r="CN622"/>
      <c r="CO622"/>
      <c r="CP622"/>
      <c r="CQ622"/>
      <c r="CR622"/>
    </row>
    <row r="623" spans="2:96" x14ac:dyDescent="0.25">
      <c r="B623" s="1">
        <v>2870605350</v>
      </c>
      <c r="C623" s="1">
        <v>34</v>
      </c>
      <c r="D623" s="1">
        <v>332366071</v>
      </c>
      <c r="E623" s="1">
        <v>243435199</v>
      </c>
      <c r="F623" s="1">
        <v>5.7</v>
      </c>
      <c r="G623" s="1">
        <v>1</v>
      </c>
      <c r="H623" s="1">
        <v>0</v>
      </c>
      <c r="I623" s="1">
        <v>90</v>
      </c>
      <c r="J623" s="1">
        <v>60003760</v>
      </c>
      <c r="K623" s="1">
        <v>32767</v>
      </c>
      <c r="L623" s="1">
        <v>0</v>
      </c>
      <c r="CH623"/>
      <c r="CI623"/>
      <c r="CJ623"/>
      <c r="CK623"/>
      <c r="CL623"/>
      <c r="CM623"/>
      <c r="CN623"/>
      <c r="CO623"/>
      <c r="CP623"/>
      <c r="CQ623"/>
      <c r="CR623"/>
    </row>
    <row r="624" spans="2:96" x14ac:dyDescent="0.25">
      <c r="B624" s="1">
        <v>2879114107</v>
      </c>
      <c r="C624" s="1">
        <v>34</v>
      </c>
      <c r="D624" s="1">
        <v>1126023</v>
      </c>
      <c r="E624" s="1">
        <v>1126023</v>
      </c>
      <c r="F624" s="1">
        <v>5.63</v>
      </c>
      <c r="G624" s="1">
        <v>1</v>
      </c>
      <c r="H624" s="1">
        <v>0</v>
      </c>
      <c r="I624" s="1">
        <v>3</v>
      </c>
      <c r="J624" s="1">
        <v>60003394</v>
      </c>
      <c r="K624" s="1">
        <v>32767</v>
      </c>
      <c r="L624" s="1">
        <v>0</v>
      </c>
      <c r="CH624"/>
      <c r="CI624"/>
      <c r="CJ624"/>
      <c r="CK624"/>
      <c r="CL624"/>
      <c r="CM624"/>
      <c r="CN624"/>
      <c r="CO624"/>
      <c r="CP624"/>
      <c r="CQ624"/>
      <c r="CR624"/>
    </row>
    <row r="625" spans="2:96" x14ac:dyDescent="0.25">
      <c r="B625" s="1">
        <v>2879118239</v>
      </c>
      <c r="C625" s="1">
        <v>34</v>
      </c>
      <c r="D625" s="1">
        <v>1725304</v>
      </c>
      <c r="E625" s="1">
        <v>1725304</v>
      </c>
      <c r="F625" s="1">
        <v>5.6</v>
      </c>
      <c r="G625" s="1">
        <v>1</v>
      </c>
      <c r="H625" s="1">
        <v>0</v>
      </c>
      <c r="I625" s="1">
        <v>1</v>
      </c>
      <c r="J625" s="1">
        <v>60000517</v>
      </c>
      <c r="K625" s="1">
        <v>32767</v>
      </c>
      <c r="L625" s="1">
        <v>0</v>
      </c>
      <c r="CH625"/>
      <c r="CI625"/>
      <c r="CJ625"/>
      <c r="CK625"/>
      <c r="CL625"/>
      <c r="CM625"/>
      <c r="CN625"/>
      <c r="CO625"/>
      <c r="CP625"/>
      <c r="CQ625"/>
      <c r="CR625"/>
    </row>
    <row r="626" spans="2:96" x14ac:dyDescent="0.25">
      <c r="B626" s="1">
        <v>2879125956</v>
      </c>
      <c r="C626" s="1">
        <v>34</v>
      </c>
      <c r="D626" s="1">
        <v>33631190</v>
      </c>
      <c r="E626" s="1">
        <v>33631190</v>
      </c>
      <c r="F626" s="1">
        <v>5.7</v>
      </c>
      <c r="G626" s="1">
        <v>1</v>
      </c>
      <c r="H626" s="1">
        <v>0</v>
      </c>
      <c r="I626" s="1">
        <v>90</v>
      </c>
      <c r="J626" s="1">
        <v>60003760</v>
      </c>
      <c r="K626" s="1">
        <v>32767</v>
      </c>
      <c r="L626" s="1">
        <v>0</v>
      </c>
      <c r="CH626"/>
      <c r="CI626"/>
      <c r="CJ626"/>
      <c r="CK626"/>
      <c r="CL626"/>
      <c r="CM626"/>
      <c r="CN626"/>
      <c r="CO626"/>
      <c r="CP626"/>
      <c r="CQ626"/>
      <c r="CR626"/>
    </row>
    <row r="627" spans="2:96" x14ac:dyDescent="0.25">
      <c r="B627" s="1">
        <v>2868248440</v>
      </c>
      <c r="C627" s="1">
        <v>34</v>
      </c>
      <c r="D627" s="1">
        <v>1000000</v>
      </c>
      <c r="E627" s="1">
        <v>248466</v>
      </c>
      <c r="F627" s="1">
        <v>5.44</v>
      </c>
      <c r="G627" s="1">
        <v>1</v>
      </c>
      <c r="H627" s="1">
        <v>1</v>
      </c>
      <c r="I627" s="1">
        <v>90</v>
      </c>
      <c r="J627" s="1">
        <v>60005599</v>
      </c>
      <c r="K627" s="1">
        <v>-1</v>
      </c>
      <c r="L627" s="1">
        <v>0</v>
      </c>
      <c r="CH627"/>
      <c r="CI627"/>
      <c r="CJ627"/>
      <c r="CK627"/>
      <c r="CL627"/>
      <c r="CM627"/>
      <c r="CN627"/>
      <c r="CO627"/>
      <c r="CP627"/>
      <c r="CQ627"/>
      <c r="CR627"/>
    </row>
    <row r="628" spans="2:96" x14ac:dyDescent="0.25">
      <c r="B628" s="1">
        <v>2876951728</v>
      </c>
      <c r="C628" s="1">
        <v>34</v>
      </c>
      <c r="D628" s="1">
        <v>200000000</v>
      </c>
      <c r="E628" s="1">
        <v>196888079</v>
      </c>
      <c r="F628" s="1">
        <v>5.49</v>
      </c>
      <c r="G628" s="1">
        <v>1</v>
      </c>
      <c r="H628" s="1">
        <v>1</v>
      </c>
      <c r="I628" s="1">
        <v>90</v>
      </c>
      <c r="J628" s="1">
        <v>60001543</v>
      </c>
      <c r="K628" s="1">
        <v>-1</v>
      </c>
      <c r="L628" s="1">
        <v>0</v>
      </c>
      <c r="CH628"/>
      <c r="CI628"/>
      <c r="CJ628"/>
      <c r="CK628"/>
      <c r="CL628"/>
      <c r="CM628"/>
      <c r="CN628"/>
      <c r="CO628"/>
      <c r="CP628"/>
      <c r="CQ628"/>
      <c r="CR628"/>
    </row>
    <row r="629" spans="2:96" x14ac:dyDescent="0.25">
      <c r="B629" s="1">
        <v>2869640769</v>
      </c>
      <c r="C629" s="1">
        <v>34</v>
      </c>
      <c r="D629" s="1">
        <v>400000000</v>
      </c>
      <c r="E629" s="1">
        <v>269237482</v>
      </c>
      <c r="F629" s="1">
        <v>5.17</v>
      </c>
      <c r="G629" s="1">
        <v>1</v>
      </c>
      <c r="H629" s="1">
        <v>1</v>
      </c>
      <c r="I629" s="1">
        <v>90</v>
      </c>
      <c r="J629" s="1">
        <v>60000283</v>
      </c>
      <c r="K629" s="1">
        <v>2</v>
      </c>
      <c r="L629" s="1">
        <v>0</v>
      </c>
      <c r="CH629"/>
      <c r="CI629"/>
      <c r="CJ629"/>
      <c r="CK629"/>
      <c r="CL629"/>
      <c r="CM629"/>
      <c r="CN629"/>
      <c r="CO629"/>
      <c r="CP629"/>
      <c r="CQ629"/>
      <c r="CR629"/>
    </row>
    <row r="630" spans="2:96" x14ac:dyDescent="0.25">
      <c r="B630" s="1">
        <v>2876926381</v>
      </c>
      <c r="C630" s="1">
        <v>34</v>
      </c>
      <c r="D630" s="1">
        <v>10000000</v>
      </c>
      <c r="E630" s="1">
        <v>1461610</v>
      </c>
      <c r="F630" s="1">
        <v>5.14</v>
      </c>
      <c r="G630" s="1">
        <v>1</v>
      </c>
      <c r="H630" s="1">
        <v>1</v>
      </c>
      <c r="I630" s="1">
        <v>90</v>
      </c>
      <c r="J630" s="1">
        <v>60003244</v>
      </c>
      <c r="K630" s="1">
        <v>0</v>
      </c>
      <c r="L630" s="1">
        <v>0</v>
      </c>
      <c r="CH630"/>
      <c r="CI630"/>
      <c r="CJ630"/>
      <c r="CK630"/>
      <c r="CL630"/>
      <c r="CM630"/>
      <c r="CN630"/>
      <c r="CO630"/>
      <c r="CP630"/>
      <c r="CQ630"/>
      <c r="CR630"/>
    </row>
    <row r="631" spans="2:96" x14ac:dyDescent="0.25">
      <c r="B631" s="1">
        <v>2873329744</v>
      </c>
      <c r="C631" s="1">
        <v>34</v>
      </c>
      <c r="D631" s="1">
        <v>2000000000</v>
      </c>
      <c r="E631" s="1">
        <v>1992076577</v>
      </c>
      <c r="F631" s="1">
        <v>5.5</v>
      </c>
      <c r="G631" s="1">
        <v>1</v>
      </c>
      <c r="H631" s="1">
        <v>1</v>
      </c>
      <c r="I631" s="1">
        <v>90</v>
      </c>
      <c r="J631" s="1">
        <v>60004234</v>
      </c>
      <c r="K631" s="1">
        <v>-1</v>
      </c>
      <c r="L631" s="1">
        <v>0</v>
      </c>
      <c r="CH631"/>
      <c r="CI631"/>
      <c r="CJ631"/>
      <c r="CK631"/>
      <c r="CL631"/>
      <c r="CM631"/>
      <c r="CN631"/>
      <c r="CO631"/>
      <c r="CP631"/>
      <c r="CQ631"/>
      <c r="CR631"/>
    </row>
    <row r="632" spans="2:96" x14ac:dyDescent="0.25">
      <c r="B632" s="1">
        <v>2775247677</v>
      </c>
      <c r="C632" s="1">
        <v>34</v>
      </c>
      <c r="D632" s="1">
        <v>70000000</v>
      </c>
      <c r="E632" s="1">
        <v>70000000</v>
      </c>
      <c r="F632" s="1">
        <v>4.09</v>
      </c>
      <c r="G632" s="1">
        <v>1</v>
      </c>
      <c r="H632" s="1">
        <v>1</v>
      </c>
      <c r="I632" s="1">
        <v>90</v>
      </c>
      <c r="J632" s="1">
        <v>60003082</v>
      </c>
      <c r="K632" s="1">
        <v>-1</v>
      </c>
      <c r="L632" s="1">
        <v>0</v>
      </c>
      <c r="CH632"/>
      <c r="CI632"/>
      <c r="CJ632"/>
      <c r="CK632"/>
      <c r="CL632"/>
      <c r="CM632"/>
      <c r="CN632"/>
      <c r="CO632"/>
      <c r="CP632"/>
      <c r="CQ632"/>
      <c r="CR632"/>
    </row>
    <row r="633" spans="2:96" x14ac:dyDescent="0.25">
      <c r="B633" s="1">
        <v>2729730631</v>
      </c>
      <c r="C633" s="1">
        <v>34</v>
      </c>
      <c r="D633" s="1">
        <v>300000000</v>
      </c>
      <c r="E633" s="1">
        <v>123120355</v>
      </c>
      <c r="F633" s="1">
        <v>5.32</v>
      </c>
      <c r="G633" s="1">
        <v>1</v>
      </c>
      <c r="H633" s="1">
        <v>1</v>
      </c>
      <c r="I633" s="1">
        <v>90</v>
      </c>
      <c r="J633" s="1">
        <v>60004240</v>
      </c>
      <c r="K633" s="1">
        <v>0</v>
      </c>
      <c r="L633" s="1">
        <v>0</v>
      </c>
      <c r="CH633"/>
      <c r="CI633"/>
      <c r="CJ633"/>
      <c r="CK633"/>
      <c r="CL633"/>
      <c r="CM633"/>
      <c r="CN633"/>
      <c r="CO633"/>
      <c r="CP633"/>
      <c r="CQ633"/>
      <c r="CR633"/>
    </row>
    <row r="634" spans="2:96" x14ac:dyDescent="0.25">
      <c r="B634" s="1">
        <v>2878250741</v>
      </c>
      <c r="C634" s="1">
        <v>34</v>
      </c>
      <c r="D634" s="1">
        <v>250000000</v>
      </c>
      <c r="E634" s="1">
        <v>231788695</v>
      </c>
      <c r="F634" s="1">
        <v>5.15</v>
      </c>
      <c r="G634" s="1">
        <v>100000</v>
      </c>
      <c r="H634" s="1">
        <v>1</v>
      </c>
      <c r="I634" s="1">
        <v>90</v>
      </c>
      <c r="J634" s="1">
        <v>60006433</v>
      </c>
      <c r="K634" s="1">
        <v>2</v>
      </c>
      <c r="L634" s="1">
        <v>0</v>
      </c>
      <c r="CH634"/>
      <c r="CI634"/>
      <c r="CJ634"/>
      <c r="CK634"/>
      <c r="CL634"/>
      <c r="CM634"/>
      <c r="CN634"/>
      <c r="CO634"/>
      <c r="CP634"/>
      <c r="CQ634"/>
      <c r="CR634"/>
    </row>
    <row r="635" spans="2:96" x14ac:dyDescent="0.25">
      <c r="B635" s="1">
        <v>2871240948</v>
      </c>
      <c r="C635" s="1">
        <v>34</v>
      </c>
      <c r="D635" s="1">
        <v>20000000</v>
      </c>
      <c r="E635" s="1">
        <v>16937219</v>
      </c>
      <c r="F635" s="1">
        <v>5.08</v>
      </c>
      <c r="G635" s="1">
        <v>1</v>
      </c>
      <c r="H635" s="1">
        <v>1</v>
      </c>
      <c r="I635" s="1">
        <v>90</v>
      </c>
      <c r="J635" s="1">
        <v>60004369</v>
      </c>
      <c r="K635" s="1">
        <v>5</v>
      </c>
      <c r="L635" s="1">
        <v>0</v>
      </c>
      <c r="CH635"/>
      <c r="CI635"/>
      <c r="CJ635"/>
      <c r="CK635"/>
      <c r="CL635"/>
      <c r="CM635"/>
      <c r="CN635"/>
      <c r="CO635"/>
      <c r="CP635"/>
      <c r="CQ635"/>
      <c r="CR635"/>
    </row>
    <row r="636" spans="2:96" x14ac:dyDescent="0.25">
      <c r="B636" s="1">
        <v>2876841431</v>
      </c>
      <c r="C636" s="1">
        <v>34</v>
      </c>
      <c r="D636" s="1">
        <v>8000000</v>
      </c>
      <c r="E636" s="1">
        <v>7882907</v>
      </c>
      <c r="F636" s="1">
        <v>5.2</v>
      </c>
      <c r="G636" s="1">
        <v>1</v>
      </c>
      <c r="H636" s="1">
        <v>1</v>
      </c>
      <c r="I636" s="1">
        <v>30</v>
      </c>
      <c r="J636" s="1">
        <v>60004360</v>
      </c>
      <c r="K636" s="1">
        <v>-1</v>
      </c>
      <c r="L636" s="1">
        <v>0</v>
      </c>
      <c r="CH636"/>
      <c r="CI636"/>
      <c r="CJ636"/>
      <c r="CK636"/>
      <c r="CL636"/>
      <c r="CM636"/>
      <c r="CN636"/>
      <c r="CO636"/>
      <c r="CP636"/>
      <c r="CQ636"/>
      <c r="CR636"/>
    </row>
    <row r="637" spans="2:96" x14ac:dyDescent="0.25">
      <c r="B637" s="1">
        <v>2647141086</v>
      </c>
      <c r="C637" s="1">
        <v>34</v>
      </c>
      <c r="D637" s="1">
        <v>200000000</v>
      </c>
      <c r="E637" s="1">
        <v>200000000</v>
      </c>
      <c r="F637" s="1">
        <v>3.06</v>
      </c>
      <c r="G637" s="1">
        <v>1</v>
      </c>
      <c r="H637" s="1">
        <v>1</v>
      </c>
      <c r="I637" s="1">
        <v>90</v>
      </c>
      <c r="J637" s="1">
        <v>60003007</v>
      </c>
      <c r="K637" s="1">
        <v>20</v>
      </c>
      <c r="L637" s="1">
        <v>0</v>
      </c>
      <c r="CH637"/>
      <c r="CI637"/>
      <c r="CJ637"/>
      <c r="CK637"/>
      <c r="CL637"/>
      <c r="CM637"/>
      <c r="CN637"/>
      <c r="CO637"/>
      <c r="CP637"/>
      <c r="CQ637"/>
      <c r="CR637"/>
    </row>
    <row r="638" spans="2:96" x14ac:dyDescent="0.25">
      <c r="B638" s="1">
        <v>2872675876</v>
      </c>
      <c r="C638" s="1">
        <v>34</v>
      </c>
      <c r="D638" s="1">
        <v>10000000</v>
      </c>
      <c r="E638" s="1">
        <v>10000000</v>
      </c>
      <c r="F638" s="1">
        <v>5.0999999999999996</v>
      </c>
      <c r="G638" s="1">
        <v>1</v>
      </c>
      <c r="H638" s="1">
        <v>1</v>
      </c>
      <c r="I638" s="1">
        <v>90</v>
      </c>
      <c r="J638" s="1">
        <v>60004072</v>
      </c>
      <c r="K638" s="1">
        <v>-1</v>
      </c>
      <c r="L638" s="1">
        <v>0</v>
      </c>
      <c r="CH638"/>
      <c r="CI638"/>
      <c r="CJ638"/>
      <c r="CK638"/>
      <c r="CL638"/>
      <c r="CM638"/>
      <c r="CN638"/>
      <c r="CO638"/>
      <c r="CP638"/>
      <c r="CQ638"/>
      <c r="CR638"/>
    </row>
    <row r="639" spans="2:96" x14ac:dyDescent="0.25">
      <c r="B639" s="1">
        <v>2867567251</v>
      </c>
      <c r="C639" s="1">
        <v>34</v>
      </c>
      <c r="D639" s="1">
        <v>750000000</v>
      </c>
      <c r="E639" s="1">
        <v>645934721</v>
      </c>
      <c r="F639" s="1">
        <v>5.05</v>
      </c>
      <c r="G639" s="1">
        <v>1</v>
      </c>
      <c r="H639" s="1">
        <v>1</v>
      </c>
      <c r="I639" s="1">
        <v>90</v>
      </c>
      <c r="J639" s="1">
        <v>60003337</v>
      </c>
      <c r="K639" s="1">
        <v>10</v>
      </c>
      <c r="L639" s="1">
        <v>0</v>
      </c>
      <c r="CH639"/>
      <c r="CI639"/>
      <c r="CJ639"/>
      <c r="CK639"/>
      <c r="CL639"/>
      <c r="CM639"/>
      <c r="CN639"/>
      <c r="CO639"/>
      <c r="CP639"/>
      <c r="CQ639"/>
      <c r="CR639"/>
    </row>
    <row r="640" spans="2:96" x14ac:dyDescent="0.25">
      <c r="B640" s="1">
        <v>2875163517</v>
      </c>
      <c r="C640" s="1">
        <v>34</v>
      </c>
      <c r="D640" s="1">
        <v>10000000</v>
      </c>
      <c r="E640" s="1">
        <v>10000000</v>
      </c>
      <c r="F640" s="1">
        <v>5.17</v>
      </c>
      <c r="G640" s="1">
        <v>1</v>
      </c>
      <c r="H640" s="1">
        <v>1</v>
      </c>
      <c r="I640" s="1">
        <v>90</v>
      </c>
      <c r="J640" s="1">
        <v>60003763</v>
      </c>
      <c r="K640" s="1">
        <v>0</v>
      </c>
      <c r="L640" s="1">
        <v>0</v>
      </c>
      <c r="CH640"/>
      <c r="CI640"/>
      <c r="CJ640"/>
      <c r="CK640"/>
      <c r="CL640"/>
      <c r="CM640"/>
      <c r="CN640"/>
      <c r="CO640"/>
      <c r="CP640"/>
      <c r="CQ640"/>
      <c r="CR640"/>
    </row>
    <row r="641" spans="2:96" x14ac:dyDescent="0.25">
      <c r="B641" s="1">
        <v>2874893904</v>
      </c>
      <c r="C641" s="1">
        <v>34</v>
      </c>
      <c r="D641" s="1">
        <v>16700000</v>
      </c>
      <c r="E641" s="1">
        <v>12241541</v>
      </c>
      <c r="F641" s="1">
        <v>5.19</v>
      </c>
      <c r="G641" s="1">
        <v>1</v>
      </c>
      <c r="H641" s="1">
        <v>1</v>
      </c>
      <c r="I641" s="1">
        <v>90</v>
      </c>
      <c r="J641" s="1">
        <v>60003454</v>
      </c>
      <c r="K641" s="1">
        <v>0</v>
      </c>
      <c r="L641" s="1">
        <v>0</v>
      </c>
      <c r="CH641"/>
      <c r="CI641"/>
      <c r="CJ641"/>
      <c r="CK641"/>
      <c r="CL641"/>
      <c r="CM641"/>
      <c r="CN641"/>
      <c r="CO641"/>
      <c r="CP641"/>
      <c r="CQ641"/>
      <c r="CR641"/>
    </row>
    <row r="642" spans="2:96" x14ac:dyDescent="0.25">
      <c r="B642" s="1">
        <v>2872703711</v>
      </c>
      <c r="C642" s="1">
        <v>34</v>
      </c>
      <c r="D642" s="1">
        <v>100000000</v>
      </c>
      <c r="E642" s="1">
        <v>82700885</v>
      </c>
      <c r="F642" s="1">
        <v>5.16</v>
      </c>
      <c r="G642" s="1">
        <v>1</v>
      </c>
      <c r="H642" s="1">
        <v>1</v>
      </c>
      <c r="I642" s="1">
        <v>1</v>
      </c>
      <c r="J642" s="1">
        <v>60014659</v>
      </c>
      <c r="K642" s="1">
        <v>-1</v>
      </c>
      <c r="L642" s="1">
        <v>0</v>
      </c>
      <c r="CH642"/>
      <c r="CI642"/>
      <c r="CJ642"/>
      <c r="CK642"/>
      <c r="CL642"/>
      <c r="CM642"/>
      <c r="CN642"/>
      <c r="CO642"/>
      <c r="CP642"/>
      <c r="CQ642"/>
      <c r="CR642"/>
    </row>
    <row r="643" spans="2:96" x14ac:dyDescent="0.25">
      <c r="B643" s="1">
        <v>2758538015</v>
      </c>
      <c r="C643" s="1">
        <v>34</v>
      </c>
      <c r="D643" s="1">
        <v>100000000</v>
      </c>
      <c r="E643" s="1">
        <v>100000000</v>
      </c>
      <c r="F643" s="1">
        <v>0.9</v>
      </c>
      <c r="G643" s="1">
        <v>1000000</v>
      </c>
      <c r="H643" s="1">
        <v>1</v>
      </c>
      <c r="I643" s="1">
        <v>90</v>
      </c>
      <c r="J643" s="1">
        <v>60003760</v>
      </c>
      <c r="K643" s="1">
        <v>40</v>
      </c>
      <c r="L643" s="1">
        <v>0</v>
      </c>
      <c r="CH643"/>
      <c r="CI643"/>
      <c r="CJ643"/>
      <c r="CK643"/>
      <c r="CL643"/>
      <c r="CM643"/>
      <c r="CN643"/>
      <c r="CO643"/>
      <c r="CP643"/>
      <c r="CQ643"/>
      <c r="CR643"/>
    </row>
    <row r="644" spans="2:96" x14ac:dyDescent="0.25">
      <c r="B644" s="1">
        <v>2762574869</v>
      </c>
      <c r="C644" s="1">
        <v>34</v>
      </c>
      <c r="D644" s="1">
        <v>100000000</v>
      </c>
      <c r="E644" s="1">
        <v>100000000</v>
      </c>
      <c r="F644" s="1">
        <v>2.9</v>
      </c>
      <c r="G644" s="1">
        <v>1</v>
      </c>
      <c r="H644" s="1">
        <v>1</v>
      </c>
      <c r="I644" s="1">
        <v>90</v>
      </c>
      <c r="J644" s="1">
        <v>60003760</v>
      </c>
      <c r="K644" s="1">
        <v>-1</v>
      </c>
      <c r="L644" s="1">
        <v>0</v>
      </c>
      <c r="CH644"/>
      <c r="CI644"/>
      <c r="CJ644"/>
      <c r="CK644"/>
      <c r="CL644"/>
      <c r="CM644"/>
      <c r="CN644"/>
      <c r="CO644"/>
      <c r="CP644"/>
      <c r="CQ644"/>
      <c r="CR644"/>
    </row>
    <row r="645" spans="2:96" x14ac:dyDescent="0.25">
      <c r="B645" s="1">
        <v>2800134172</v>
      </c>
      <c r="C645" s="1">
        <v>34</v>
      </c>
      <c r="D645" s="1">
        <v>500000</v>
      </c>
      <c r="E645" s="1">
        <v>500000</v>
      </c>
      <c r="F645" s="1">
        <v>3</v>
      </c>
      <c r="G645" s="1">
        <v>10000</v>
      </c>
      <c r="H645" s="1">
        <v>1</v>
      </c>
      <c r="I645" s="1">
        <v>90</v>
      </c>
      <c r="J645" s="1">
        <v>60003463</v>
      </c>
      <c r="K645" s="1">
        <v>10</v>
      </c>
      <c r="L645" s="1">
        <v>0</v>
      </c>
      <c r="CH645"/>
      <c r="CI645"/>
      <c r="CJ645"/>
      <c r="CK645"/>
      <c r="CL645"/>
      <c r="CM645"/>
      <c r="CN645"/>
      <c r="CO645"/>
      <c r="CP645"/>
      <c r="CQ645"/>
      <c r="CR645"/>
    </row>
    <row r="646" spans="2:96" x14ac:dyDescent="0.25">
      <c r="B646" s="1">
        <v>2790126136</v>
      </c>
      <c r="C646" s="1">
        <v>34</v>
      </c>
      <c r="D646" s="1">
        <v>50000</v>
      </c>
      <c r="E646" s="1">
        <v>50000</v>
      </c>
      <c r="F646" s="1">
        <v>2.5</v>
      </c>
      <c r="G646" s="1">
        <v>25000</v>
      </c>
      <c r="H646" s="1">
        <v>1</v>
      </c>
      <c r="I646" s="1">
        <v>90</v>
      </c>
      <c r="J646" s="1">
        <v>60003760</v>
      </c>
      <c r="K646" s="1">
        <v>4</v>
      </c>
      <c r="L646" s="1">
        <v>0</v>
      </c>
      <c r="CH646"/>
      <c r="CI646"/>
      <c r="CJ646"/>
      <c r="CK646"/>
      <c r="CL646"/>
      <c r="CM646"/>
      <c r="CN646"/>
      <c r="CO646"/>
      <c r="CP646"/>
      <c r="CQ646"/>
      <c r="CR646"/>
    </row>
    <row r="647" spans="2:96" x14ac:dyDescent="0.25">
      <c r="B647" s="1">
        <v>2838599160</v>
      </c>
      <c r="C647" s="1">
        <v>34</v>
      </c>
      <c r="D647" s="1">
        <v>100000000</v>
      </c>
      <c r="E647" s="1">
        <v>100000000</v>
      </c>
      <c r="F647" s="1">
        <v>0.01</v>
      </c>
      <c r="G647" s="1">
        <v>1</v>
      </c>
      <c r="H647" s="1">
        <v>1</v>
      </c>
      <c r="I647" s="1">
        <v>90</v>
      </c>
      <c r="J647" s="1">
        <v>60003760</v>
      </c>
      <c r="K647" s="1">
        <v>40</v>
      </c>
      <c r="L647" s="1">
        <v>0</v>
      </c>
      <c r="CH647"/>
      <c r="CI647"/>
      <c r="CJ647"/>
      <c r="CK647"/>
      <c r="CL647"/>
      <c r="CM647"/>
      <c r="CN647"/>
      <c r="CO647"/>
      <c r="CP647"/>
      <c r="CQ647"/>
      <c r="CR647"/>
    </row>
    <row r="648" spans="2:96" x14ac:dyDescent="0.25">
      <c r="B648" s="1">
        <v>2851828580</v>
      </c>
      <c r="C648" s="1">
        <v>34</v>
      </c>
      <c r="D648" s="1">
        <v>300000000</v>
      </c>
      <c r="E648" s="1">
        <v>300000000</v>
      </c>
      <c r="F648" s="1">
        <v>5.45</v>
      </c>
      <c r="G648" s="1">
        <v>1</v>
      </c>
      <c r="H648" s="1">
        <v>1</v>
      </c>
      <c r="I648" s="1">
        <v>90</v>
      </c>
      <c r="J648" s="1">
        <v>60003760</v>
      </c>
      <c r="K648" s="1">
        <v>-1</v>
      </c>
      <c r="L648" s="1">
        <v>0</v>
      </c>
      <c r="CH648"/>
      <c r="CI648"/>
      <c r="CJ648"/>
      <c r="CK648"/>
      <c r="CL648"/>
      <c r="CM648"/>
      <c r="CN648"/>
      <c r="CO648"/>
      <c r="CP648"/>
      <c r="CQ648"/>
      <c r="CR648"/>
    </row>
    <row r="649" spans="2:96" x14ac:dyDescent="0.25">
      <c r="B649" s="1">
        <v>2851169853</v>
      </c>
      <c r="C649" s="1">
        <v>34</v>
      </c>
      <c r="D649" s="1">
        <v>2147483647</v>
      </c>
      <c r="E649" s="1">
        <v>2145507241</v>
      </c>
      <c r="F649" s="1">
        <v>5.49</v>
      </c>
      <c r="G649" s="1">
        <v>1</v>
      </c>
      <c r="H649" s="1">
        <v>1</v>
      </c>
      <c r="I649" s="1">
        <v>90</v>
      </c>
      <c r="J649" s="1">
        <v>60003760</v>
      </c>
      <c r="K649" s="1">
        <v>-1</v>
      </c>
      <c r="L649" s="1">
        <v>0</v>
      </c>
      <c r="CH649"/>
      <c r="CI649"/>
      <c r="CJ649"/>
      <c r="CK649"/>
      <c r="CL649"/>
      <c r="CM649"/>
      <c r="CN649"/>
      <c r="CO649"/>
      <c r="CP649"/>
      <c r="CQ649"/>
      <c r="CR649"/>
    </row>
    <row r="650" spans="2:96" x14ac:dyDescent="0.25">
      <c r="B650" s="1">
        <v>2854724106</v>
      </c>
      <c r="C650" s="1">
        <v>34</v>
      </c>
      <c r="D650" s="1">
        <v>6100000</v>
      </c>
      <c r="E650" s="1">
        <v>6100000</v>
      </c>
      <c r="F650" s="1">
        <v>3.99</v>
      </c>
      <c r="G650" s="1">
        <v>1</v>
      </c>
      <c r="H650" s="1">
        <v>1</v>
      </c>
      <c r="I650" s="1">
        <v>30</v>
      </c>
      <c r="J650" s="1">
        <v>60003760</v>
      </c>
      <c r="K650" s="1">
        <v>32767</v>
      </c>
      <c r="L650" s="1">
        <v>0</v>
      </c>
      <c r="CH650"/>
      <c r="CI650"/>
      <c r="CJ650"/>
      <c r="CK650"/>
      <c r="CL650"/>
      <c r="CM650"/>
      <c r="CN650"/>
      <c r="CO650"/>
      <c r="CP650"/>
      <c r="CQ650"/>
      <c r="CR650"/>
    </row>
    <row r="651" spans="2:96" x14ac:dyDescent="0.25">
      <c r="B651" s="1">
        <v>2862983031</v>
      </c>
      <c r="C651" s="1">
        <v>34</v>
      </c>
      <c r="D651" s="1">
        <v>1000</v>
      </c>
      <c r="E651" s="1">
        <v>1000</v>
      </c>
      <c r="F651" s="1">
        <v>1.01</v>
      </c>
      <c r="G651" s="1">
        <v>1</v>
      </c>
      <c r="H651" s="1">
        <v>1</v>
      </c>
      <c r="I651" s="1">
        <v>90</v>
      </c>
      <c r="J651" s="1">
        <v>60003760</v>
      </c>
      <c r="K651" s="1">
        <v>32767</v>
      </c>
      <c r="L651" s="1">
        <v>0</v>
      </c>
      <c r="CH651"/>
      <c r="CI651"/>
      <c r="CJ651"/>
      <c r="CK651"/>
      <c r="CL651"/>
      <c r="CM651"/>
      <c r="CN651"/>
      <c r="CO651"/>
      <c r="CP651"/>
      <c r="CQ651"/>
      <c r="CR651"/>
    </row>
    <row r="652" spans="2:96" x14ac:dyDescent="0.25">
      <c r="B652" s="1">
        <v>2862920151</v>
      </c>
      <c r="C652" s="1">
        <v>34</v>
      </c>
      <c r="D652" s="1">
        <v>2147483647</v>
      </c>
      <c r="E652" s="1">
        <v>2147483647</v>
      </c>
      <c r="F652" s="1">
        <v>5.44</v>
      </c>
      <c r="G652" s="1">
        <v>1</v>
      </c>
      <c r="H652" s="1">
        <v>1</v>
      </c>
      <c r="I652" s="1">
        <v>90</v>
      </c>
      <c r="J652" s="1">
        <v>60003760</v>
      </c>
      <c r="K652" s="1">
        <v>-1</v>
      </c>
      <c r="L652" s="1">
        <v>0</v>
      </c>
      <c r="CH652"/>
      <c r="CI652"/>
      <c r="CJ652"/>
      <c r="CK652"/>
      <c r="CL652"/>
      <c r="CM652"/>
      <c r="CN652"/>
      <c r="CO652"/>
      <c r="CP652"/>
      <c r="CQ652"/>
      <c r="CR652"/>
    </row>
    <row r="653" spans="2:96" x14ac:dyDescent="0.25">
      <c r="B653" s="1">
        <v>2862920717</v>
      </c>
      <c r="C653" s="1">
        <v>34</v>
      </c>
      <c r="D653" s="1">
        <v>2147483647</v>
      </c>
      <c r="E653" s="1">
        <v>2147483647</v>
      </c>
      <c r="F653" s="1">
        <v>5.44</v>
      </c>
      <c r="G653" s="1">
        <v>1</v>
      </c>
      <c r="H653" s="1">
        <v>1</v>
      </c>
      <c r="I653" s="1">
        <v>90</v>
      </c>
      <c r="J653" s="1">
        <v>60003760</v>
      </c>
      <c r="K653" s="1">
        <v>-1</v>
      </c>
      <c r="L653" s="1">
        <v>0</v>
      </c>
      <c r="CH653"/>
      <c r="CI653"/>
      <c r="CJ653"/>
      <c r="CK653"/>
      <c r="CL653"/>
      <c r="CM653"/>
      <c r="CN653"/>
      <c r="CO653"/>
      <c r="CP653"/>
      <c r="CQ653"/>
      <c r="CR653"/>
    </row>
    <row r="654" spans="2:96" x14ac:dyDescent="0.25">
      <c r="B654" s="1">
        <v>2862872723</v>
      </c>
      <c r="C654" s="1">
        <v>34</v>
      </c>
      <c r="D654" s="1">
        <v>1000000</v>
      </c>
      <c r="E654" s="1">
        <v>1000000</v>
      </c>
      <c r="F654" s="1">
        <v>0.03</v>
      </c>
      <c r="G654" s="1">
        <v>1</v>
      </c>
      <c r="H654" s="1">
        <v>1</v>
      </c>
      <c r="I654" s="1">
        <v>90</v>
      </c>
      <c r="J654" s="1">
        <v>60003760</v>
      </c>
      <c r="K654" s="1">
        <v>40</v>
      </c>
      <c r="L654" s="1">
        <v>0</v>
      </c>
      <c r="CH654"/>
      <c r="CI654"/>
      <c r="CJ654"/>
      <c r="CK654"/>
      <c r="CL654"/>
      <c r="CM654"/>
      <c r="CN654"/>
      <c r="CO654"/>
      <c r="CP654"/>
      <c r="CQ654"/>
      <c r="CR654"/>
    </row>
    <row r="655" spans="2:96" x14ac:dyDescent="0.25">
      <c r="B655" s="1">
        <v>2508036430</v>
      </c>
      <c r="C655" s="1">
        <v>34</v>
      </c>
      <c r="D655" s="1">
        <v>120000000</v>
      </c>
      <c r="E655" s="1">
        <v>120000000</v>
      </c>
      <c r="F655" s="1">
        <v>3.95</v>
      </c>
      <c r="G655" s="1">
        <v>7500000</v>
      </c>
      <c r="H655" s="1">
        <v>1</v>
      </c>
      <c r="I655" s="1">
        <v>90</v>
      </c>
      <c r="J655" s="1">
        <v>60003760</v>
      </c>
      <c r="K655" s="1">
        <v>32767</v>
      </c>
      <c r="L655" s="1">
        <v>0</v>
      </c>
      <c r="CH655"/>
      <c r="CI655"/>
      <c r="CJ655"/>
      <c r="CK655"/>
      <c r="CL655"/>
      <c r="CM655"/>
      <c r="CN655"/>
      <c r="CO655"/>
      <c r="CP655"/>
      <c r="CQ655"/>
      <c r="CR655"/>
    </row>
    <row r="656" spans="2:96" x14ac:dyDescent="0.25">
      <c r="B656" s="1">
        <v>2729504669</v>
      </c>
      <c r="C656" s="1">
        <v>34</v>
      </c>
      <c r="D656" s="1">
        <v>100000000</v>
      </c>
      <c r="E656" s="1">
        <v>90177533</v>
      </c>
      <c r="F656" s="1">
        <v>4.21</v>
      </c>
      <c r="G656" s="1">
        <v>1</v>
      </c>
      <c r="H656" s="1">
        <v>1</v>
      </c>
      <c r="I656" s="1">
        <v>90</v>
      </c>
      <c r="J656" s="1">
        <v>60003760</v>
      </c>
      <c r="K656" s="1">
        <v>32767</v>
      </c>
      <c r="L656" s="1">
        <v>0</v>
      </c>
      <c r="CH656"/>
      <c r="CI656"/>
      <c r="CJ656"/>
      <c r="CK656"/>
      <c r="CL656"/>
      <c r="CM656"/>
      <c r="CN656"/>
      <c r="CO656"/>
      <c r="CP656"/>
      <c r="CQ656"/>
      <c r="CR656"/>
    </row>
    <row r="657" spans="2:96" x14ac:dyDescent="0.25">
      <c r="B657" s="1">
        <v>2751157039</v>
      </c>
      <c r="C657" s="1">
        <v>34</v>
      </c>
      <c r="D657" s="1">
        <v>119074020</v>
      </c>
      <c r="E657" s="1">
        <v>119074020</v>
      </c>
      <c r="F657" s="1">
        <v>1</v>
      </c>
      <c r="G657" s="1">
        <v>1</v>
      </c>
      <c r="H657" s="1">
        <v>1</v>
      </c>
      <c r="I657" s="1">
        <v>90</v>
      </c>
      <c r="J657" s="1">
        <v>60003760</v>
      </c>
      <c r="K657" s="1">
        <v>32767</v>
      </c>
      <c r="L657" s="1">
        <v>0</v>
      </c>
      <c r="CH657"/>
      <c r="CI657"/>
      <c r="CJ657"/>
      <c r="CK657"/>
      <c r="CL657"/>
      <c r="CM657"/>
      <c r="CN657"/>
      <c r="CO657"/>
      <c r="CP657"/>
      <c r="CQ657"/>
      <c r="CR657"/>
    </row>
    <row r="658" spans="2:96" x14ac:dyDescent="0.25">
      <c r="B658" s="1">
        <v>2867485762</v>
      </c>
      <c r="C658" s="1">
        <v>34</v>
      </c>
      <c r="D658" s="1">
        <v>869217727</v>
      </c>
      <c r="E658" s="1">
        <v>869217727</v>
      </c>
      <c r="F658" s="1">
        <v>5.46</v>
      </c>
      <c r="G658" s="1">
        <v>1</v>
      </c>
      <c r="H658" s="1">
        <v>1</v>
      </c>
      <c r="I658" s="1">
        <v>90</v>
      </c>
      <c r="J658" s="1">
        <v>60003760</v>
      </c>
      <c r="K658" s="1">
        <v>-1</v>
      </c>
      <c r="L658" s="1">
        <v>0</v>
      </c>
      <c r="CH658"/>
      <c r="CI658"/>
      <c r="CJ658"/>
      <c r="CK658"/>
      <c r="CL658"/>
      <c r="CM658"/>
      <c r="CN658"/>
      <c r="CO658"/>
      <c r="CP658"/>
      <c r="CQ658"/>
      <c r="CR658"/>
    </row>
    <row r="659" spans="2:96" x14ac:dyDescent="0.25">
      <c r="B659" s="1">
        <v>2868658304</v>
      </c>
      <c r="C659" s="1">
        <v>34</v>
      </c>
      <c r="D659" s="1">
        <v>500000000</v>
      </c>
      <c r="E659" s="1">
        <v>500000000</v>
      </c>
      <c r="F659" s="1">
        <v>5.48</v>
      </c>
      <c r="G659" s="1">
        <v>1</v>
      </c>
      <c r="H659" s="1">
        <v>1</v>
      </c>
      <c r="I659" s="1">
        <v>90</v>
      </c>
      <c r="J659" s="1">
        <v>60003760</v>
      </c>
      <c r="K659" s="1">
        <v>-1</v>
      </c>
      <c r="L659" s="1">
        <v>0</v>
      </c>
      <c r="CH659"/>
      <c r="CI659"/>
      <c r="CJ659"/>
      <c r="CK659"/>
      <c r="CL659"/>
      <c r="CM659"/>
      <c r="CN659"/>
      <c r="CO659"/>
      <c r="CP659"/>
      <c r="CQ659"/>
      <c r="CR659"/>
    </row>
    <row r="660" spans="2:96" x14ac:dyDescent="0.25">
      <c r="B660" s="1">
        <v>2870007996</v>
      </c>
      <c r="C660" s="1">
        <v>34</v>
      </c>
      <c r="D660" s="1">
        <v>500000000</v>
      </c>
      <c r="E660" s="1">
        <v>451681379</v>
      </c>
      <c r="F660" s="1">
        <v>5.07</v>
      </c>
      <c r="G660" s="1">
        <v>1</v>
      </c>
      <c r="H660" s="1">
        <v>1</v>
      </c>
      <c r="I660" s="1">
        <v>90</v>
      </c>
      <c r="J660" s="1">
        <v>60003760</v>
      </c>
      <c r="K660" s="1">
        <v>4</v>
      </c>
      <c r="L660" s="1">
        <v>0</v>
      </c>
      <c r="CH660"/>
      <c r="CI660"/>
      <c r="CJ660"/>
      <c r="CK660"/>
      <c r="CL660"/>
      <c r="CM660"/>
      <c r="CN660"/>
      <c r="CO660"/>
      <c r="CP660"/>
      <c r="CQ660"/>
      <c r="CR660"/>
    </row>
    <row r="661" spans="2:96" x14ac:dyDescent="0.25">
      <c r="B661" s="1">
        <v>2869791053</v>
      </c>
      <c r="C661" s="1">
        <v>34</v>
      </c>
      <c r="D661" s="1">
        <v>10000000</v>
      </c>
      <c r="E661" s="1">
        <v>10000000</v>
      </c>
      <c r="F661" s="1">
        <v>4</v>
      </c>
      <c r="G661" s="1">
        <v>1</v>
      </c>
      <c r="H661" s="1">
        <v>1</v>
      </c>
      <c r="I661" s="1">
        <v>90</v>
      </c>
      <c r="J661" s="1">
        <v>60003760</v>
      </c>
      <c r="K661" s="1">
        <v>-1</v>
      </c>
      <c r="L661" s="1">
        <v>0</v>
      </c>
      <c r="CH661"/>
      <c r="CI661"/>
      <c r="CJ661"/>
      <c r="CK661"/>
      <c r="CL661"/>
      <c r="CM661"/>
      <c r="CN661"/>
      <c r="CO661"/>
      <c r="CP661"/>
      <c r="CQ661"/>
      <c r="CR661"/>
    </row>
    <row r="662" spans="2:96" x14ac:dyDescent="0.25">
      <c r="B662" s="1">
        <v>2867134453</v>
      </c>
      <c r="C662" s="1">
        <v>34</v>
      </c>
      <c r="D662" s="1">
        <v>20000000</v>
      </c>
      <c r="E662" s="1">
        <v>20000000</v>
      </c>
      <c r="F662" s="1">
        <v>4.3099999999999996</v>
      </c>
      <c r="G662" s="1">
        <v>1</v>
      </c>
      <c r="H662" s="1">
        <v>1</v>
      </c>
      <c r="I662" s="1">
        <v>90</v>
      </c>
      <c r="J662" s="1">
        <v>60003760</v>
      </c>
      <c r="K662" s="1">
        <v>20</v>
      </c>
      <c r="L662" s="1">
        <v>0</v>
      </c>
      <c r="CH662"/>
      <c r="CI662"/>
      <c r="CJ662"/>
      <c r="CK662"/>
      <c r="CL662"/>
      <c r="CM662"/>
      <c r="CN662"/>
      <c r="CO662"/>
      <c r="CP662"/>
      <c r="CQ662"/>
      <c r="CR662"/>
    </row>
    <row r="663" spans="2:96" x14ac:dyDescent="0.25">
      <c r="B663" s="1">
        <v>2866502818</v>
      </c>
      <c r="C663" s="1">
        <v>34</v>
      </c>
      <c r="D663" s="1">
        <v>184216484</v>
      </c>
      <c r="E663" s="1">
        <v>61061267</v>
      </c>
      <c r="F663" s="1">
        <v>5.17</v>
      </c>
      <c r="G663" s="1">
        <v>1</v>
      </c>
      <c r="H663" s="1">
        <v>1</v>
      </c>
      <c r="I663" s="1">
        <v>90</v>
      </c>
      <c r="J663" s="1">
        <v>60003760</v>
      </c>
      <c r="K663" s="1">
        <v>0</v>
      </c>
      <c r="L663" s="1">
        <v>0</v>
      </c>
      <c r="CH663"/>
      <c r="CI663"/>
      <c r="CJ663"/>
      <c r="CK663"/>
      <c r="CL663"/>
      <c r="CM663"/>
      <c r="CN663"/>
      <c r="CO663"/>
      <c r="CP663"/>
      <c r="CQ663"/>
      <c r="CR663"/>
    </row>
    <row r="664" spans="2:96" x14ac:dyDescent="0.25">
      <c r="B664" s="1">
        <v>2870820600</v>
      </c>
      <c r="C664" s="1">
        <v>34</v>
      </c>
      <c r="D664" s="1">
        <v>40000000</v>
      </c>
      <c r="E664" s="1">
        <v>40000000</v>
      </c>
      <c r="F664" s="1">
        <v>4.5</v>
      </c>
      <c r="G664" s="1">
        <v>1</v>
      </c>
      <c r="H664" s="1">
        <v>1</v>
      </c>
      <c r="I664" s="1">
        <v>30</v>
      </c>
      <c r="J664" s="1">
        <v>60003760</v>
      </c>
      <c r="K664" s="1">
        <v>5</v>
      </c>
      <c r="L664" s="1">
        <v>0</v>
      </c>
      <c r="CH664"/>
      <c r="CI664"/>
      <c r="CJ664"/>
      <c r="CK664"/>
      <c r="CL664"/>
      <c r="CM664"/>
      <c r="CN664"/>
      <c r="CO664"/>
      <c r="CP664"/>
      <c r="CQ664"/>
      <c r="CR664"/>
    </row>
    <row r="665" spans="2:96" x14ac:dyDescent="0.25">
      <c r="B665" s="1">
        <v>2870338084</v>
      </c>
      <c r="C665" s="1">
        <v>34</v>
      </c>
      <c r="D665" s="1">
        <v>1250000000</v>
      </c>
      <c r="E665" s="1">
        <v>484005856</v>
      </c>
      <c r="F665" s="1">
        <v>5.46</v>
      </c>
      <c r="G665" s="1">
        <v>1</v>
      </c>
      <c r="H665" s="1">
        <v>1</v>
      </c>
      <c r="I665" s="1">
        <v>90</v>
      </c>
      <c r="J665" s="1">
        <v>60003757</v>
      </c>
      <c r="K665" s="1">
        <v>0</v>
      </c>
      <c r="L665" s="1">
        <v>0</v>
      </c>
      <c r="CH665"/>
      <c r="CI665"/>
      <c r="CJ665"/>
      <c r="CK665"/>
      <c r="CL665"/>
      <c r="CM665"/>
      <c r="CN665"/>
      <c r="CO665"/>
      <c r="CP665"/>
      <c r="CQ665"/>
      <c r="CR665"/>
    </row>
    <row r="666" spans="2:96" x14ac:dyDescent="0.25">
      <c r="B666" s="1">
        <v>2871425379</v>
      </c>
      <c r="C666" s="1">
        <v>34</v>
      </c>
      <c r="D666" s="1">
        <v>1000000</v>
      </c>
      <c r="E666" s="1">
        <v>1000000</v>
      </c>
      <c r="F666" s="1">
        <v>5.37</v>
      </c>
      <c r="G666" s="1">
        <v>100</v>
      </c>
      <c r="H666" s="1">
        <v>1</v>
      </c>
      <c r="I666" s="1">
        <v>90</v>
      </c>
      <c r="J666" s="1">
        <v>60003760</v>
      </c>
      <c r="K666" s="1">
        <v>-1</v>
      </c>
      <c r="L666" s="1">
        <v>0</v>
      </c>
      <c r="CH666"/>
      <c r="CI666"/>
      <c r="CJ666"/>
      <c r="CK666"/>
      <c r="CL666"/>
      <c r="CM666"/>
      <c r="CN666"/>
      <c r="CO666"/>
      <c r="CP666"/>
      <c r="CQ666"/>
      <c r="CR666"/>
    </row>
    <row r="667" spans="2:96" x14ac:dyDescent="0.25">
      <c r="B667" s="1">
        <v>2872089771</v>
      </c>
      <c r="C667" s="1">
        <v>34</v>
      </c>
      <c r="D667" s="1">
        <v>1000000000</v>
      </c>
      <c r="E667" s="1">
        <v>1000000000</v>
      </c>
      <c r="F667" s="1">
        <v>5.48</v>
      </c>
      <c r="G667" s="1">
        <v>1</v>
      </c>
      <c r="H667" s="1">
        <v>1</v>
      </c>
      <c r="I667" s="1">
        <v>30</v>
      </c>
      <c r="J667" s="1">
        <v>60003760</v>
      </c>
      <c r="K667" s="1">
        <v>-1</v>
      </c>
      <c r="L667" s="1">
        <v>0</v>
      </c>
      <c r="CH667"/>
      <c r="CI667"/>
      <c r="CJ667"/>
      <c r="CK667"/>
      <c r="CL667"/>
      <c r="CM667"/>
      <c r="CN667"/>
      <c r="CO667"/>
      <c r="CP667"/>
      <c r="CQ667"/>
      <c r="CR667"/>
    </row>
    <row r="668" spans="2:96" x14ac:dyDescent="0.25">
      <c r="B668" s="1">
        <v>2872061295</v>
      </c>
      <c r="C668" s="1">
        <v>34</v>
      </c>
      <c r="D668" s="1">
        <v>100000000</v>
      </c>
      <c r="E668" s="1">
        <v>100000000</v>
      </c>
      <c r="F668" s="1">
        <v>5.16</v>
      </c>
      <c r="G668" s="1">
        <v>1</v>
      </c>
      <c r="H668" s="1">
        <v>1</v>
      </c>
      <c r="I668" s="1">
        <v>90</v>
      </c>
      <c r="J668" s="1">
        <v>60003760</v>
      </c>
      <c r="K668" s="1">
        <v>-1</v>
      </c>
      <c r="L668" s="1">
        <v>0</v>
      </c>
      <c r="CH668"/>
      <c r="CI668"/>
      <c r="CJ668"/>
      <c r="CK668"/>
      <c r="CL668"/>
      <c r="CM668"/>
      <c r="CN668"/>
      <c r="CO668"/>
      <c r="CP668"/>
      <c r="CQ668"/>
      <c r="CR668"/>
    </row>
    <row r="669" spans="2:96" x14ac:dyDescent="0.25">
      <c r="B669" s="1">
        <v>2874965290</v>
      </c>
      <c r="C669" s="1">
        <v>34</v>
      </c>
      <c r="D669" s="1">
        <v>2147483647</v>
      </c>
      <c r="E669" s="1">
        <v>639235520</v>
      </c>
      <c r="F669" s="1">
        <v>5.51</v>
      </c>
      <c r="G669" s="1">
        <v>1</v>
      </c>
      <c r="H669" s="1">
        <v>1</v>
      </c>
      <c r="I669" s="1">
        <v>90</v>
      </c>
      <c r="J669" s="1">
        <v>60003760</v>
      </c>
      <c r="K669" s="1">
        <v>-1</v>
      </c>
      <c r="L669" s="1">
        <v>0</v>
      </c>
      <c r="CH669"/>
      <c r="CI669"/>
      <c r="CJ669"/>
      <c r="CK669"/>
      <c r="CL669"/>
      <c r="CM669"/>
      <c r="CN669"/>
      <c r="CO669"/>
      <c r="CP669"/>
      <c r="CQ669"/>
      <c r="CR669"/>
    </row>
    <row r="670" spans="2:96" x14ac:dyDescent="0.25">
      <c r="B670" s="1">
        <v>2874238758</v>
      </c>
      <c r="C670" s="1">
        <v>34</v>
      </c>
      <c r="D670" s="1">
        <v>196316264</v>
      </c>
      <c r="E670" s="1">
        <v>196316264</v>
      </c>
      <c r="F670" s="1">
        <v>5.52</v>
      </c>
      <c r="G670" s="1">
        <v>1</v>
      </c>
      <c r="H670" s="1">
        <v>1</v>
      </c>
      <c r="I670" s="1">
        <v>90</v>
      </c>
      <c r="J670" s="1">
        <v>60003760</v>
      </c>
      <c r="K670" s="1">
        <v>-1</v>
      </c>
      <c r="L670" s="1">
        <v>0</v>
      </c>
      <c r="CH670"/>
      <c r="CI670"/>
      <c r="CJ670"/>
      <c r="CK670"/>
      <c r="CL670"/>
      <c r="CM670"/>
      <c r="CN670"/>
      <c r="CO670"/>
      <c r="CP670"/>
      <c r="CQ670"/>
      <c r="CR670"/>
    </row>
    <row r="671" spans="2:96" x14ac:dyDescent="0.25">
      <c r="B671" s="1">
        <v>2878313946</v>
      </c>
      <c r="C671" s="1">
        <v>34</v>
      </c>
      <c r="D671" s="1">
        <v>445000</v>
      </c>
      <c r="E671" s="1">
        <v>445000</v>
      </c>
      <c r="F671" s="1">
        <v>5.51</v>
      </c>
      <c r="G671" s="1">
        <v>1</v>
      </c>
      <c r="H671" s="1">
        <v>1</v>
      </c>
      <c r="I671" s="1">
        <v>90</v>
      </c>
      <c r="J671" s="1">
        <v>60003760</v>
      </c>
      <c r="K671" s="1">
        <v>-1</v>
      </c>
      <c r="L671" s="1">
        <v>0</v>
      </c>
      <c r="CH671"/>
      <c r="CI671"/>
      <c r="CJ671"/>
      <c r="CK671"/>
      <c r="CL671"/>
      <c r="CM671"/>
      <c r="CN671"/>
      <c r="CO671"/>
      <c r="CP671"/>
      <c r="CQ671"/>
      <c r="CR671"/>
    </row>
    <row r="672" spans="2:96" x14ac:dyDescent="0.25">
      <c r="B672" s="1">
        <v>2878343246</v>
      </c>
      <c r="C672" s="1">
        <v>34</v>
      </c>
      <c r="D672" s="1">
        <v>600000000</v>
      </c>
      <c r="E672" s="1">
        <v>600000000</v>
      </c>
      <c r="F672" s="1">
        <v>5.47</v>
      </c>
      <c r="G672" s="1">
        <v>1</v>
      </c>
      <c r="H672" s="1">
        <v>1</v>
      </c>
      <c r="I672" s="1">
        <v>90</v>
      </c>
      <c r="J672" s="1">
        <v>60003760</v>
      </c>
      <c r="K672" s="1">
        <v>-1</v>
      </c>
      <c r="L672" s="1">
        <v>0</v>
      </c>
      <c r="CH672"/>
      <c r="CI672"/>
      <c r="CJ672"/>
      <c r="CK672"/>
      <c r="CL672"/>
      <c r="CM672"/>
      <c r="CN672"/>
      <c r="CO672"/>
      <c r="CP672"/>
      <c r="CQ672"/>
      <c r="CR672"/>
    </row>
    <row r="673" spans="2:96" x14ac:dyDescent="0.25">
      <c r="B673" s="1">
        <v>2877800517</v>
      </c>
      <c r="C673" s="1">
        <v>34</v>
      </c>
      <c r="D673" s="1">
        <v>10800000</v>
      </c>
      <c r="E673" s="1">
        <v>10800000</v>
      </c>
      <c r="F673" s="1">
        <v>5.5</v>
      </c>
      <c r="G673" s="1">
        <v>1</v>
      </c>
      <c r="H673" s="1">
        <v>1</v>
      </c>
      <c r="I673" s="1">
        <v>90</v>
      </c>
      <c r="J673" s="1">
        <v>60003760</v>
      </c>
      <c r="K673" s="1">
        <v>-1</v>
      </c>
      <c r="L673" s="1">
        <v>0</v>
      </c>
      <c r="CH673"/>
      <c r="CI673"/>
      <c r="CJ673"/>
      <c r="CK673"/>
      <c r="CL673"/>
      <c r="CM673"/>
      <c r="CN673"/>
      <c r="CO673"/>
      <c r="CP673"/>
      <c r="CQ673"/>
      <c r="CR673"/>
    </row>
    <row r="674" spans="2:96" x14ac:dyDescent="0.25">
      <c r="B674" s="1">
        <v>2877969850</v>
      </c>
      <c r="C674" s="1">
        <v>34</v>
      </c>
      <c r="D674" s="1">
        <v>477000000</v>
      </c>
      <c r="E674" s="1">
        <v>477000000</v>
      </c>
      <c r="F674" s="1">
        <v>5.56</v>
      </c>
      <c r="G674" s="1">
        <v>1000</v>
      </c>
      <c r="H674" s="1">
        <v>1</v>
      </c>
      <c r="I674" s="1">
        <v>90</v>
      </c>
      <c r="J674" s="1">
        <v>60003760</v>
      </c>
      <c r="K674" s="1">
        <v>-1</v>
      </c>
      <c r="L674" s="1">
        <v>0</v>
      </c>
      <c r="CH674"/>
      <c r="CI674"/>
      <c r="CJ674"/>
      <c r="CK674"/>
      <c r="CL674"/>
      <c r="CM674"/>
      <c r="CN674"/>
      <c r="CO674"/>
      <c r="CP674"/>
      <c r="CQ674"/>
      <c r="CR674"/>
    </row>
    <row r="675" spans="2:96" x14ac:dyDescent="0.25">
      <c r="B675" s="1">
        <v>2878235023</v>
      </c>
      <c r="C675" s="1">
        <v>34</v>
      </c>
      <c r="D675" s="1">
        <v>50000000</v>
      </c>
      <c r="E675" s="1">
        <v>50000000</v>
      </c>
      <c r="F675" s="1">
        <v>5.5</v>
      </c>
      <c r="G675" s="1">
        <v>1</v>
      </c>
      <c r="H675" s="1">
        <v>1</v>
      </c>
      <c r="I675" s="1">
        <v>7</v>
      </c>
      <c r="J675" s="1">
        <v>60003760</v>
      </c>
      <c r="K675" s="1">
        <v>-1</v>
      </c>
      <c r="L675" s="1">
        <v>0</v>
      </c>
      <c r="CH675"/>
      <c r="CI675"/>
      <c r="CJ675"/>
      <c r="CK675"/>
      <c r="CL675"/>
      <c r="CM675"/>
      <c r="CN675"/>
      <c r="CO675"/>
      <c r="CP675"/>
      <c r="CQ675"/>
      <c r="CR675"/>
    </row>
    <row r="676" spans="2:96" x14ac:dyDescent="0.25">
      <c r="B676" s="1">
        <v>2876895708</v>
      </c>
      <c r="C676" s="1">
        <v>34</v>
      </c>
      <c r="D676" s="1">
        <v>1300000000</v>
      </c>
      <c r="E676" s="1">
        <v>1300000000</v>
      </c>
      <c r="F676" s="1">
        <v>5.48</v>
      </c>
      <c r="G676" s="1">
        <v>1</v>
      </c>
      <c r="H676" s="1">
        <v>1</v>
      </c>
      <c r="I676" s="1">
        <v>90</v>
      </c>
      <c r="J676" s="1">
        <v>60003760</v>
      </c>
      <c r="K676" s="1">
        <v>-1</v>
      </c>
      <c r="L676" s="1">
        <v>0</v>
      </c>
      <c r="CH676"/>
      <c r="CI676"/>
      <c r="CJ676"/>
      <c r="CK676"/>
      <c r="CL676"/>
      <c r="CM676"/>
      <c r="CN676"/>
      <c r="CO676"/>
      <c r="CP676"/>
      <c r="CQ676"/>
      <c r="CR676"/>
    </row>
    <row r="677" spans="2:96" x14ac:dyDescent="0.25">
      <c r="B677" s="1">
        <v>2875864098</v>
      </c>
      <c r="C677" s="1">
        <v>34</v>
      </c>
      <c r="D677" s="1">
        <v>1545000000</v>
      </c>
      <c r="E677" s="1">
        <v>1138456125</v>
      </c>
      <c r="F677" s="1">
        <v>5.55</v>
      </c>
      <c r="G677" s="1">
        <v>1</v>
      </c>
      <c r="H677" s="1">
        <v>1</v>
      </c>
      <c r="I677" s="1">
        <v>90</v>
      </c>
      <c r="J677" s="1">
        <v>60003760</v>
      </c>
      <c r="K677" s="1">
        <v>-1</v>
      </c>
      <c r="L677" s="1">
        <v>0</v>
      </c>
      <c r="CH677"/>
      <c r="CI677"/>
      <c r="CJ677"/>
      <c r="CK677"/>
      <c r="CL677"/>
      <c r="CM677"/>
      <c r="CN677"/>
      <c r="CO677"/>
      <c r="CP677"/>
      <c r="CQ677"/>
      <c r="CR677"/>
    </row>
    <row r="678" spans="2:96" x14ac:dyDescent="0.25">
      <c r="B678" s="1">
        <v>2876122225</v>
      </c>
      <c r="C678" s="1">
        <v>34</v>
      </c>
      <c r="D678" s="1">
        <v>200000000</v>
      </c>
      <c r="E678" s="1">
        <v>116729216</v>
      </c>
      <c r="F678" s="1">
        <v>5.13</v>
      </c>
      <c r="G678" s="1">
        <v>1</v>
      </c>
      <c r="H678" s="1">
        <v>1</v>
      </c>
      <c r="I678" s="1">
        <v>90</v>
      </c>
      <c r="J678" s="1">
        <v>60003760</v>
      </c>
      <c r="K678" s="1">
        <v>32767</v>
      </c>
      <c r="L678" s="1">
        <v>0</v>
      </c>
      <c r="CH678"/>
      <c r="CI678"/>
      <c r="CJ678"/>
      <c r="CK678"/>
      <c r="CL678"/>
      <c r="CM678"/>
      <c r="CN678"/>
      <c r="CO678"/>
      <c r="CP678"/>
      <c r="CQ678"/>
      <c r="CR678"/>
    </row>
    <row r="679" spans="2:96" x14ac:dyDescent="0.25">
      <c r="B679" s="1">
        <v>2876135585</v>
      </c>
      <c r="C679" s="1">
        <v>34</v>
      </c>
      <c r="D679" s="1">
        <v>50000000</v>
      </c>
      <c r="E679" s="1">
        <v>50000000</v>
      </c>
      <c r="F679" s="1">
        <v>5.16</v>
      </c>
      <c r="G679" s="1">
        <v>1</v>
      </c>
      <c r="H679" s="1">
        <v>1</v>
      </c>
      <c r="I679" s="1">
        <v>7</v>
      </c>
      <c r="J679" s="1">
        <v>60003760</v>
      </c>
      <c r="K679" s="1">
        <v>-1</v>
      </c>
      <c r="L679" s="1">
        <v>0</v>
      </c>
      <c r="CH679"/>
      <c r="CI679"/>
      <c r="CJ679"/>
      <c r="CK679"/>
      <c r="CL679"/>
      <c r="CM679"/>
      <c r="CN679"/>
      <c r="CO679"/>
      <c r="CP679"/>
      <c r="CQ679"/>
      <c r="CR679"/>
    </row>
    <row r="680" spans="2:96" x14ac:dyDescent="0.25">
      <c r="B680" s="1">
        <v>2876188409</v>
      </c>
      <c r="C680" s="1">
        <v>34</v>
      </c>
      <c r="D680" s="1">
        <v>290000000</v>
      </c>
      <c r="E680" s="1">
        <v>290000000</v>
      </c>
      <c r="F680" s="1">
        <v>5.5</v>
      </c>
      <c r="G680" s="1">
        <v>1</v>
      </c>
      <c r="H680" s="1">
        <v>1</v>
      </c>
      <c r="I680" s="1">
        <v>90</v>
      </c>
      <c r="J680" s="1">
        <v>60003760</v>
      </c>
      <c r="K680" s="1">
        <v>-1</v>
      </c>
      <c r="L680" s="1">
        <v>0</v>
      </c>
      <c r="CH680"/>
      <c r="CI680"/>
      <c r="CJ680"/>
      <c r="CK680"/>
      <c r="CL680"/>
      <c r="CM680"/>
      <c r="CN680"/>
      <c r="CO680"/>
      <c r="CP680"/>
      <c r="CQ680"/>
      <c r="CR680"/>
    </row>
    <row r="681" spans="2:96" x14ac:dyDescent="0.25">
      <c r="B681" s="1">
        <v>2877464248</v>
      </c>
      <c r="C681" s="1">
        <v>34</v>
      </c>
      <c r="D681" s="1">
        <v>50000000</v>
      </c>
      <c r="E681" s="1">
        <v>50000000</v>
      </c>
      <c r="F681" s="1">
        <v>5.53</v>
      </c>
      <c r="G681" s="1">
        <v>1</v>
      </c>
      <c r="H681" s="1">
        <v>1</v>
      </c>
      <c r="I681" s="1">
        <v>90</v>
      </c>
      <c r="J681" s="1">
        <v>60003760</v>
      </c>
      <c r="K681" s="1">
        <v>-1</v>
      </c>
      <c r="L681" s="1">
        <v>0</v>
      </c>
      <c r="CH681"/>
      <c r="CI681"/>
      <c r="CJ681"/>
      <c r="CK681"/>
      <c r="CL681"/>
      <c r="CM681"/>
      <c r="CN681"/>
      <c r="CO681"/>
      <c r="CP681"/>
      <c r="CQ681"/>
      <c r="CR681"/>
    </row>
    <row r="682" spans="2:96" x14ac:dyDescent="0.25">
      <c r="B682" s="1">
        <v>2826846322</v>
      </c>
      <c r="C682" s="1">
        <v>34</v>
      </c>
      <c r="D682" s="1">
        <v>63451776</v>
      </c>
      <c r="E682" s="1">
        <v>26689086</v>
      </c>
      <c r="F682" s="1">
        <v>4.7300000000000004</v>
      </c>
      <c r="G682" s="1">
        <v>2115059</v>
      </c>
      <c r="H682" s="1">
        <v>1</v>
      </c>
      <c r="I682" s="1">
        <v>90</v>
      </c>
      <c r="J682" s="1">
        <v>60003754</v>
      </c>
      <c r="K682" s="1">
        <v>32767</v>
      </c>
      <c r="L682" s="1">
        <v>0</v>
      </c>
      <c r="CH682"/>
      <c r="CI682"/>
      <c r="CJ682"/>
      <c r="CK682"/>
      <c r="CL682"/>
      <c r="CM682"/>
      <c r="CN682"/>
      <c r="CO682"/>
      <c r="CP682"/>
      <c r="CQ682"/>
      <c r="CR682"/>
    </row>
    <row r="683" spans="2:96" x14ac:dyDescent="0.25">
      <c r="B683" s="1">
        <v>2872460294</v>
      </c>
      <c r="C683" s="1">
        <v>34</v>
      </c>
      <c r="D683" s="1">
        <v>30000000</v>
      </c>
      <c r="E683" s="1">
        <v>30000000</v>
      </c>
      <c r="F683" s="1">
        <v>5.0599999999999996</v>
      </c>
      <c r="G683" s="1">
        <v>1</v>
      </c>
      <c r="H683" s="1">
        <v>1</v>
      </c>
      <c r="I683" s="1">
        <v>30</v>
      </c>
      <c r="J683" s="1">
        <v>60000649</v>
      </c>
      <c r="K683" s="1">
        <v>-1</v>
      </c>
      <c r="L683" s="1">
        <v>0</v>
      </c>
      <c r="CH683"/>
      <c r="CI683"/>
      <c r="CJ683"/>
      <c r="CK683"/>
      <c r="CL683"/>
      <c r="CM683"/>
      <c r="CN683"/>
      <c r="CO683"/>
      <c r="CP683"/>
      <c r="CQ683"/>
      <c r="CR683"/>
    </row>
    <row r="684" spans="2:96" x14ac:dyDescent="0.25">
      <c r="B684" s="1">
        <v>2866630132</v>
      </c>
      <c r="C684" s="1">
        <v>34</v>
      </c>
      <c r="D684" s="1">
        <v>20000000</v>
      </c>
      <c r="E684" s="1">
        <v>17907874</v>
      </c>
      <c r="F684" s="1">
        <v>4.5199999999999996</v>
      </c>
      <c r="G684" s="1">
        <v>1</v>
      </c>
      <c r="H684" s="1">
        <v>1</v>
      </c>
      <c r="I684" s="1">
        <v>90</v>
      </c>
      <c r="J684" s="1">
        <v>60002743</v>
      </c>
      <c r="K684" s="1">
        <v>1</v>
      </c>
      <c r="L684" s="1">
        <v>0</v>
      </c>
      <c r="CH684"/>
      <c r="CI684"/>
      <c r="CJ684"/>
      <c r="CK684"/>
      <c r="CL684"/>
      <c r="CM684"/>
      <c r="CN684"/>
      <c r="CO684"/>
      <c r="CP684"/>
      <c r="CQ684"/>
      <c r="CR684"/>
    </row>
    <row r="685" spans="2:96" x14ac:dyDescent="0.25">
      <c r="B685" s="1">
        <v>2871061000</v>
      </c>
      <c r="C685" s="1">
        <v>34</v>
      </c>
      <c r="D685" s="1">
        <v>10000000</v>
      </c>
      <c r="E685" s="1">
        <v>2731395</v>
      </c>
      <c r="F685" s="1">
        <v>5.38</v>
      </c>
      <c r="G685" s="1">
        <v>1</v>
      </c>
      <c r="H685" s="1">
        <v>1</v>
      </c>
      <c r="I685" s="1">
        <v>90</v>
      </c>
      <c r="J685" s="1">
        <v>60002740</v>
      </c>
      <c r="K685" s="1">
        <v>0</v>
      </c>
      <c r="L685" s="1">
        <v>0</v>
      </c>
      <c r="CH685"/>
      <c r="CI685"/>
      <c r="CJ685"/>
      <c r="CK685"/>
      <c r="CL685"/>
      <c r="CM685"/>
      <c r="CN685"/>
      <c r="CO685"/>
      <c r="CP685"/>
      <c r="CQ685"/>
      <c r="CR685"/>
    </row>
    <row r="686" spans="2:96" x14ac:dyDescent="0.25">
      <c r="B686" s="1">
        <v>2859135202</v>
      </c>
      <c r="C686" s="1">
        <v>34</v>
      </c>
      <c r="D686" s="1">
        <v>10000000</v>
      </c>
      <c r="E686" s="1">
        <v>10000000</v>
      </c>
      <c r="F686" s="1">
        <v>3</v>
      </c>
      <c r="G686" s="1">
        <v>1</v>
      </c>
      <c r="H686" s="1">
        <v>1</v>
      </c>
      <c r="I686" s="1">
        <v>30</v>
      </c>
      <c r="J686" s="1">
        <v>60000655</v>
      </c>
      <c r="K686" s="1">
        <v>-1</v>
      </c>
      <c r="L686" s="1">
        <v>0</v>
      </c>
      <c r="CH686"/>
      <c r="CI686"/>
      <c r="CJ686"/>
      <c r="CK686"/>
      <c r="CL686"/>
      <c r="CM686"/>
      <c r="CN686"/>
      <c r="CO686"/>
      <c r="CP686"/>
      <c r="CQ686"/>
      <c r="CR686"/>
    </row>
    <row r="687" spans="2:96" x14ac:dyDescent="0.25">
      <c r="B687" s="1">
        <v>2878142675</v>
      </c>
      <c r="C687" s="1">
        <v>34</v>
      </c>
      <c r="D687" s="1">
        <v>50000000</v>
      </c>
      <c r="E687" s="1">
        <v>49888736</v>
      </c>
      <c r="F687" s="1">
        <v>5.19</v>
      </c>
      <c r="G687" s="1">
        <v>1</v>
      </c>
      <c r="H687" s="1">
        <v>1</v>
      </c>
      <c r="I687" s="1">
        <v>30</v>
      </c>
      <c r="J687" s="1">
        <v>60002809</v>
      </c>
      <c r="K687" s="1">
        <v>0</v>
      </c>
      <c r="L687" s="1">
        <v>0</v>
      </c>
      <c r="CH687"/>
      <c r="CI687"/>
      <c r="CJ687"/>
      <c r="CK687"/>
      <c r="CL687"/>
      <c r="CM687"/>
      <c r="CN687"/>
      <c r="CO687"/>
      <c r="CP687"/>
      <c r="CQ687"/>
      <c r="CR687"/>
    </row>
    <row r="688" spans="2:96" x14ac:dyDescent="0.25">
      <c r="B688" s="1">
        <v>2877288207</v>
      </c>
      <c r="C688" s="1">
        <v>34</v>
      </c>
      <c r="D688" s="1">
        <v>1000000</v>
      </c>
      <c r="E688" s="1">
        <v>133759</v>
      </c>
      <c r="F688" s="1">
        <v>5.14</v>
      </c>
      <c r="G688" s="1">
        <v>1</v>
      </c>
      <c r="H688" s="1">
        <v>1</v>
      </c>
      <c r="I688" s="1">
        <v>1</v>
      </c>
      <c r="J688" s="1">
        <v>60002431</v>
      </c>
      <c r="K688" s="1">
        <v>-1</v>
      </c>
      <c r="L688" s="1">
        <v>0</v>
      </c>
      <c r="CH688"/>
      <c r="CI688"/>
      <c r="CJ688"/>
      <c r="CK688"/>
      <c r="CL688"/>
      <c r="CM688"/>
      <c r="CN688"/>
      <c r="CO688"/>
      <c r="CP688"/>
      <c r="CQ688"/>
      <c r="CR688"/>
    </row>
    <row r="689" spans="2:96" x14ac:dyDescent="0.25">
      <c r="B689" s="1">
        <v>2760522079</v>
      </c>
      <c r="C689" s="1">
        <v>34</v>
      </c>
      <c r="D689" s="1">
        <v>30000000</v>
      </c>
      <c r="E689" s="1">
        <v>25231396</v>
      </c>
      <c r="F689" s="1">
        <v>5.12</v>
      </c>
      <c r="G689" s="1">
        <v>1</v>
      </c>
      <c r="H689" s="1">
        <v>1</v>
      </c>
      <c r="I689" s="1">
        <v>90</v>
      </c>
      <c r="J689" s="1">
        <v>60004075</v>
      </c>
      <c r="K689" s="1">
        <v>-1</v>
      </c>
      <c r="L689" s="1">
        <v>0</v>
      </c>
      <c r="CH689"/>
      <c r="CI689"/>
      <c r="CJ689"/>
      <c r="CK689"/>
      <c r="CL689"/>
      <c r="CM689"/>
      <c r="CN689"/>
      <c r="CO689"/>
      <c r="CP689"/>
      <c r="CQ689"/>
      <c r="CR689"/>
    </row>
    <row r="690" spans="2:96" x14ac:dyDescent="0.25">
      <c r="B690" s="1">
        <v>2874132472</v>
      </c>
      <c r="C690" s="1">
        <v>34</v>
      </c>
      <c r="D690" s="1">
        <v>1000000</v>
      </c>
      <c r="E690" s="1">
        <v>1000000</v>
      </c>
      <c r="F690" s="1">
        <v>5</v>
      </c>
      <c r="G690" s="1">
        <v>1</v>
      </c>
      <c r="H690" s="1">
        <v>1</v>
      </c>
      <c r="I690" s="1">
        <v>90</v>
      </c>
      <c r="J690" s="1">
        <v>60010195</v>
      </c>
      <c r="K690" s="1">
        <v>1</v>
      </c>
      <c r="L690" s="1">
        <v>0</v>
      </c>
      <c r="CH690"/>
      <c r="CI690"/>
      <c r="CJ690"/>
      <c r="CK690"/>
      <c r="CL690"/>
      <c r="CM690"/>
      <c r="CN690"/>
      <c r="CO690"/>
      <c r="CP690"/>
      <c r="CQ690"/>
      <c r="CR690"/>
    </row>
    <row r="691" spans="2:96" x14ac:dyDescent="0.25">
      <c r="B691" s="1">
        <v>2876992116</v>
      </c>
      <c r="C691" s="1">
        <v>34</v>
      </c>
      <c r="D691" s="1">
        <v>9000000</v>
      </c>
      <c r="E691" s="1">
        <v>7345760</v>
      </c>
      <c r="F691" s="1">
        <v>6.1</v>
      </c>
      <c r="G691" s="1">
        <v>1</v>
      </c>
      <c r="H691" s="1">
        <v>1</v>
      </c>
      <c r="I691" s="1">
        <v>3</v>
      </c>
      <c r="J691" s="1">
        <v>60001804</v>
      </c>
      <c r="K691" s="1">
        <v>-1</v>
      </c>
      <c r="L691" s="1">
        <v>0</v>
      </c>
      <c r="CH691"/>
      <c r="CI691"/>
      <c r="CJ691"/>
      <c r="CK691"/>
      <c r="CL691"/>
      <c r="CM691"/>
      <c r="CN691"/>
      <c r="CO691"/>
      <c r="CP691"/>
      <c r="CQ691"/>
      <c r="CR691"/>
    </row>
    <row r="692" spans="2:96" x14ac:dyDescent="0.25">
      <c r="B692" s="1">
        <v>2862368589</v>
      </c>
      <c r="C692" s="1">
        <v>34</v>
      </c>
      <c r="D692" s="1">
        <v>1500000</v>
      </c>
      <c r="E692" s="1">
        <v>1500000</v>
      </c>
      <c r="F692" s="1">
        <v>2.5</v>
      </c>
      <c r="G692" s="1">
        <v>10000</v>
      </c>
      <c r="H692" s="1">
        <v>1</v>
      </c>
      <c r="I692" s="1">
        <v>90</v>
      </c>
      <c r="J692" s="1">
        <v>60004078</v>
      </c>
      <c r="K692" s="1">
        <v>-1</v>
      </c>
      <c r="L692" s="1">
        <v>0</v>
      </c>
      <c r="CH692"/>
      <c r="CI692"/>
      <c r="CJ692"/>
      <c r="CK692"/>
      <c r="CL692"/>
      <c r="CM692"/>
      <c r="CN692"/>
      <c r="CO692"/>
      <c r="CP692"/>
      <c r="CQ692"/>
      <c r="CR692"/>
    </row>
    <row r="693" spans="2:96" x14ac:dyDescent="0.25">
      <c r="B693" s="1">
        <v>2877905598</v>
      </c>
      <c r="C693" s="1">
        <v>34</v>
      </c>
      <c r="D693" s="1">
        <v>50000000</v>
      </c>
      <c r="E693" s="1">
        <v>7541499</v>
      </c>
      <c r="F693" s="1">
        <v>5.14</v>
      </c>
      <c r="G693" s="1">
        <v>1</v>
      </c>
      <c r="H693" s="1">
        <v>1</v>
      </c>
      <c r="I693" s="1">
        <v>90</v>
      </c>
      <c r="J693" s="1">
        <v>60002422</v>
      </c>
      <c r="K693" s="1">
        <v>2</v>
      </c>
      <c r="L693" s="1">
        <v>0</v>
      </c>
      <c r="CH693"/>
      <c r="CI693"/>
      <c r="CJ693"/>
      <c r="CK693"/>
      <c r="CL693"/>
      <c r="CM693"/>
      <c r="CN693"/>
      <c r="CO693"/>
      <c r="CP693"/>
      <c r="CQ693"/>
      <c r="CR693"/>
    </row>
    <row r="694" spans="2:96" x14ac:dyDescent="0.25">
      <c r="B694" s="1">
        <v>2772253327</v>
      </c>
      <c r="C694" s="1">
        <v>34</v>
      </c>
      <c r="D694" s="1">
        <v>100000000</v>
      </c>
      <c r="E694" s="1">
        <v>100000000</v>
      </c>
      <c r="F694" s="1">
        <v>1.2</v>
      </c>
      <c r="G694" s="1">
        <v>1</v>
      </c>
      <c r="H694" s="1">
        <v>1</v>
      </c>
      <c r="I694" s="1">
        <v>90</v>
      </c>
      <c r="J694" s="1">
        <v>60002281</v>
      </c>
      <c r="K694" s="1">
        <v>32767</v>
      </c>
      <c r="L694" s="1">
        <v>0</v>
      </c>
      <c r="CH694"/>
      <c r="CI694"/>
      <c r="CJ694"/>
      <c r="CK694"/>
      <c r="CL694"/>
      <c r="CM694"/>
      <c r="CN694"/>
      <c r="CO694"/>
      <c r="CP694"/>
      <c r="CQ694"/>
      <c r="CR694"/>
    </row>
    <row r="695" spans="2:96" x14ac:dyDescent="0.25">
      <c r="B695" s="1">
        <v>2850624393</v>
      </c>
      <c r="C695" s="1">
        <v>34</v>
      </c>
      <c r="D695" s="1">
        <v>20000000</v>
      </c>
      <c r="E695" s="1">
        <v>16077297</v>
      </c>
      <c r="F695" s="1">
        <v>5.42</v>
      </c>
      <c r="G695" s="1">
        <v>1000</v>
      </c>
      <c r="H695" s="1">
        <v>1</v>
      </c>
      <c r="I695" s="1">
        <v>90</v>
      </c>
      <c r="J695" s="1">
        <v>60002281</v>
      </c>
      <c r="K695" s="1">
        <v>-1</v>
      </c>
      <c r="L695" s="1">
        <v>0</v>
      </c>
      <c r="CH695"/>
      <c r="CI695"/>
      <c r="CJ695"/>
      <c r="CK695"/>
      <c r="CL695"/>
      <c r="CM695"/>
      <c r="CN695"/>
      <c r="CO695"/>
      <c r="CP695"/>
      <c r="CQ695"/>
      <c r="CR695"/>
    </row>
    <row r="696" spans="2:96" x14ac:dyDescent="0.25">
      <c r="B696" s="1">
        <v>2858903534</v>
      </c>
      <c r="C696" s="1">
        <v>34</v>
      </c>
      <c r="D696" s="1">
        <v>50000000</v>
      </c>
      <c r="E696" s="1">
        <v>50000000</v>
      </c>
      <c r="F696" s="1">
        <v>4.79</v>
      </c>
      <c r="G696" s="1">
        <v>1</v>
      </c>
      <c r="H696" s="1">
        <v>1</v>
      </c>
      <c r="I696" s="1">
        <v>30</v>
      </c>
      <c r="J696" s="1">
        <v>60012718</v>
      </c>
      <c r="K696" s="1">
        <v>-1</v>
      </c>
      <c r="L696" s="1">
        <v>0</v>
      </c>
      <c r="CH696"/>
      <c r="CI696"/>
      <c r="CJ696"/>
      <c r="CK696"/>
      <c r="CL696"/>
      <c r="CM696"/>
      <c r="CN696"/>
      <c r="CO696"/>
      <c r="CP696"/>
      <c r="CQ696"/>
      <c r="CR696"/>
    </row>
    <row r="697" spans="2:96" x14ac:dyDescent="0.25">
      <c r="B697" s="1">
        <v>2851706225</v>
      </c>
      <c r="C697" s="1">
        <v>34</v>
      </c>
      <c r="D697" s="1">
        <v>30000000</v>
      </c>
      <c r="E697" s="1">
        <v>24513966</v>
      </c>
      <c r="F697" s="1">
        <v>4.7699999999999996</v>
      </c>
      <c r="G697" s="1">
        <v>1</v>
      </c>
      <c r="H697" s="1">
        <v>1</v>
      </c>
      <c r="I697" s="1">
        <v>30</v>
      </c>
      <c r="J697" s="1">
        <v>60004060</v>
      </c>
      <c r="K697" s="1">
        <v>1</v>
      </c>
      <c r="L697" s="1">
        <v>0</v>
      </c>
      <c r="CH697"/>
      <c r="CI697"/>
      <c r="CJ697"/>
      <c r="CK697"/>
      <c r="CL697"/>
      <c r="CM697"/>
      <c r="CN697"/>
      <c r="CO697"/>
      <c r="CP697"/>
      <c r="CQ697"/>
      <c r="CR697"/>
    </row>
    <row r="698" spans="2:96" x14ac:dyDescent="0.25">
      <c r="B698" s="1">
        <v>2858215895</v>
      </c>
      <c r="C698" s="1">
        <v>34</v>
      </c>
      <c r="D698" s="1">
        <v>100000000</v>
      </c>
      <c r="E698" s="1">
        <v>98438147</v>
      </c>
      <c r="F698" s="1">
        <v>4.79</v>
      </c>
      <c r="G698" s="1">
        <v>1</v>
      </c>
      <c r="H698" s="1">
        <v>1</v>
      </c>
      <c r="I698" s="1">
        <v>90</v>
      </c>
      <c r="J698" s="1">
        <v>60004060</v>
      </c>
      <c r="K698" s="1">
        <v>0</v>
      </c>
      <c r="L698" s="1">
        <v>0</v>
      </c>
    </row>
    <row r="699" spans="2:96" x14ac:dyDescent="0.25">
      <c r="B699" s="1">
        <v>2784059887</v>
      </c>
      <c r="C699" s="1">
        <v>34</v>
      </c>
      <c r="D699" s="1">
        <v>12000000</v>
      </c>
      <c r="E699" s="1">
        <v>12000000</v>
      </c>
      <c r="F699" s="1">
        <v>1.5</v>
      </c>
      <c r="G699" s="1">
        <v>1</v>
      </c>
      <c r="H699" s="1">
        <v>1</v>
      </c>
      <c r="I699" s="1">
        <v>90</v>
      </c>
      <c r="J699" s="1">
        <v>60002854</v>
      </c>
      <c r="K699" s="1">
        <v>3</v>
      </c>
      <c r="L699" s="1">
        <v>0</v>
      </c>
    </row>
    <row r="700" spans="2:96" x14ac:dyDescent="0.25">
      <c r="B700" s="1">
        <v>2873013972</v>
      </c>
      <c r="C700" s="1">
        <v>34</v>
      </c>
      <c r="D700" s="1">
        <v>22250</v>
      </c>
      <c r="E700" s="1">
        <v>22250</v>
      </c>
      <c r="F700" s="1">
        <v>4.5</v>
      </c>
      <c r="G700" s="1">
        <v>1</v>
      </c>
      <c r="H700" s="1">
        <v>1</v>
      </c>
      <c r="I700" s="1">
        <v>30</v>
      </c>
      <c r="J700" s="1">
        <v>60002275</v>
      </c>
      <c r="K700" s="1">
        <v>-1</v>
      </c>
      <c r="L700" s="1">
        <v>0</v>
      </c>
    </row>
    <row r="701" spans="2:96" x14ac:dyDescent="0.25">
      <c r="B701" s="1">
        <v>2756316560</v>
      </c>
      <c r="C701" s="1">
        <v>34</v>
      </c>
      <c r="D701" s="1">
        <v>1000000000</v>
      </c>
      <c r="E701" s="1">
        <v>497240636</v>
      </c>
      <c r="F701" s="1">
        <v>4.8099999999999996</v>
      </c>
      <c r="G701" s="1">
        <v>5000000</v>
      </c>
      <c r="H701" s="1">
        <v>1</v>
      </c>
      <c r="I701" s="1">
        <v>90</v>
      </c>
      <c r="J701" s="1">
        <v>60003073</v>
      </c>
      <c r="K701" s="1">
        <v>32767</v>
      </c>
      <c r="L701" s="1">
        <v>0</v>
      </c>
    </row>
    <row r="702" spans="2:96" x14ac:dyDescent="0.25">
      <c r="B702" s="1">
        <v>2855016904</v>
      </c>
      <c r="C702" s="1">
        <v>34</v>
      </c>
      <c r="D702" s="1">
        <v>50000000</v>
      </c>
      <c r="E702" s="1">
        <v>49653261</v>
      </c>
      <c r="F702" s="1">
        <v>5.33</v>
      </c>
      <c r="G702" s="1">
        <v>1</v>
      </c>
      <c r="H702" s="1">
        <v>1</v>
      </c>
      <c r="I702" s="1">
        <v>90</v>
      </c>
      <c r="J702" s="1">
        <v>60012667</v>
      </c>
      <c r="K702" s="1">
        <v>-1</v>
      </c>
      <c r="L702" s="1">
        <v>0</v>
      </c>
    </row>
    <row r="703" spans="2:96" x14ac:dyDescent="0.25">
      <c r="B703" s="1">
        <v>2877368659</v>
      </c>
      <c r="C703" s="1">
        <v>34</v>
      </c>
      <c r="D703" s="1">
        <v>150000000</v>
      </c>
      <c r="E703" s="1">
        <v>109867142</v>
      </c>
      <c r="F703" s="1">
        <v>5.36</v>
      </c>
      <c r="G703" s="1">
        <v>1</v>
      </c>
      <c r="H703" s="1">
        <v>1</v>
      </c>
      <c r="I703" s="1">
        <v>90</v>
      </c>
      <c r="J703" s="1">
        <v>60004459</v>
      </c>
      <c r="K703" s="1">
        <v>0</v>
      </c>
      <c r="L703" s="1">
        <v>0</v>
      </c>
    </row>
    <row r="704" spans="2:96" x14ac:dyDescent="0.25">
      <c r="B704" s="1">
        <v>2877332377</v>
      </c>
      <c r="C704" s="1">
        <v>34</v>
      </c>
      <c r="D704" s="1">
        <v>10000000</v>
      </c>
      <c r="E704" s="1">
        <v>9937395</v>
      </c>
      <c r="F704" s="1">
        <v>5.35</v>
      </c>
      <c r="G704" s="1">
        <v>1</v>
      </c>
      <c r="H704" s="1">
        <v>1</v>
      </c>
      <c r="I704" s="1">
        <v>90</v>
      </c>
      <c r="J704" s="1">
        <v>60012667</v>
      </c>
      <c r="K704" s="1">
        <v>0</v>
      </c>
      <c r="L704" s="1">
        <v>0</v>
      </c>
    </row>
    <row r="705" spans="2:12" x14ac:dyDescent="0.25">
      <c r="B705" s="1">
        <v>2238858262</v>
      </c>
      <c r="C705" s="1">
        <v>34</v>
      </c>
      <c r="D705" s="1">
        <v>10000000</v>
      </c>
      <c r="E705" s="1">
        <v>9875019</v>
      </c>
      <c r="F705" s="1">
        <v>0.2</v>
      </c>
      <c r="G705" s="1">
        <v>1</v>
      </c>
      <c r="H705" s="1">
        <v>1</v>
      </c>
      <c r="I705" s="1">
        <v>90</v>
      </c>
      <c r="J705" s="1">
        <v>60001783</v>
      </c>
      <c r="K705" s="1">
        <v>10</v>
      </c>
      <c r="L705" s="1">
        <v>0</v>
      </c>
    </row>
    <row r="706" spans="2:12" x14ac:dyDescent="0.25">
      <c r="B706" s="1">
        <v>2832921313</v>
      </c>
      <c r="C706" s="1">
        <v>34</v>
      </c>
      <c r="D706" s="1">
        <v>1000000000</v>
      </c>
      <c r="E706" s="1">
        <v>855637743</v>
      </c>
      <c r="F706" s="1">
        <v>5.45</v>
      </c>
      <c r="G706" s="1">
        <v>1</v>
      </c>
      <c r="H706" s="1">
        <v>1</v>
      </c>
      <c r="I706" s="1">
        <v>90</v>
      </c>
      <c r="J706" s="1">
        <v>60013291</v>
      </c>
      <c r="K706" s="1">
        <v>0</v>
      </c>
      <c r="L706" s="1">
        <v>0</v>
      </c>
    </row>
    <row r="707" spans="2:12" x14ac:dyDescent="0.25">
      <c r="B707" s="1">
        <v>2875865450</v>
      </c>
      <c r="C707" s="1">
        <v>34</v>
      </c>
      <c r="D707" s="1">
        <v>90000000</v>
      </c>
      <c r="E707" s="1">
        <v>48441564</v>
      </c>
      <c r="F707" s="1">
        <v>5.1100000000000003</v>
      </c>
      <c r="G707" s="1">
        <v>1</v>
      </c>
      <c r="H707" s="1">
        <v>1</v>
      </c>
      <c r="I707" s="1">
        <v>14</v>
      </c>
      <c r="J707" s="1">
        <v>60003076</v>
      </c>
      <c r="K707" s="1">
        <v>32767</v>
      </c>
      <c r="L707" s="1">
        <v>0</v>
      </c>
    </row>
    <row r="708" spans="2:12" x14ac:dyDescent="0.25">
      <c r="B708" s="1">
        <v>2855431669</v>
      </c>
      <c r="C708" s="1">
        <v>34</v>
      </c>
      <c r="D708" s="1">
        <v>16000000</v>
      </c>
      <c r="E708" s="1">
        <v>6262896</v>
      </c>
      <c r="F708" s="1">
        <v>4.5199999999999996</v>
      </c>
      <c r="G708" s="1">
        <v>1</v>
      </c>
      <c r="H708" s="1">
        <v>1</v>
      </c>
      <c r="I708" s="1">
        <v>90</v>
      </c>
      <c r="J708" s="1">
        <v>60004474</v>
      </c>
      <c r="K708" s="1">
        <v>32767</v>
      </c>
      <c r="L708" s="1">
        <v>0</v>
      </c>
    </row>
    <row r="709" spans="2:12" x14ac:dyDescent="0.25">
      <c r="B709" s="1">
        <v>2860032842</v>
      </c>
      <c r="C709" s="1">
        <v>34</v>
      </c>
      <c r="D709" s="1">
        <v>500000000</v>
      </c>
      <c r="E709" s="1">
        <v>423734587</v>
      </c>
      <c r="F709" s="1">
        <v>5.44</v>
      </c>
      <c r="G709" s="1">
        <v>1</v>
      </c>
      <c r="H709" s="1">
        <v>1</v>
      </c>
      <c r="I709" s="1">
        <v>90</v>
      </c>
      <c r="J709" s="1">
        <v>60001591</v>
      </c>
      <c r="K709" s="1">
        <v>0</v>
      </c>
      <c r="L709" s="1">
        <v>0</v>
      </c>
    </row>
    <row r="710" spans="2:12" x14ac:dyDescent="0.25">
      <c r="B710" s="1">
        <v>2815230248</v>
      </c>
      <c r="C710" s="1">
        <v>34</v>
      </c>
      <c r="D710" s="1">
        <v>3000000</v>
      </c>
      <c r="E710" s="1">
        <v>2036347</v>
      </c>
      <c r="F710" s="1">
        <v>5.25</v>
      </c>
      <c r="G710" s="1">
        <v>1</v>
      </c>
      <c r="H710" s="1">
        <v>1</v>
      </c>
      <c r="I710" s="1">
        <v>90</v>
      </c>
      <c r="J710" s="1">
        <v>60013150</v>
      </c>
      <c r="K710" s="1">
        <v>-1</v>
      </c>
      <c r="L710" s="1">
        <v>0</v>
      </c>
    </row>
    <row r="711" spans="2:12" x14ac:dyDescent="0.25">
      <c r="B711" s="1">
        <v>2851520588</v>
      </c>
      <c r="C711" s="1">
        <v>34</v>
      </c>
      <c r="D711" s="1">
        <v>5000000</v>
      </c>
      <c r="E711" s="1">
        <v>482579</v>
      </c>
      <c r="F711" s="1">
        <v>5.27</v>
      </c>
      <c r="G711" s="1">
        <v>1</v>
      </c>
      <c r="H711" s="1">
        <v>1</v>
      </c>
      <c r="I711" s="1">
        <v>30</v>
      </c>
      <c r="J711" s="1">
        <v>60001585</v>
      </c>
      <c r="K711" s="1">
        <v>-1</v>
      </c>
      <c r="L711" s="1">
        <v>0</v>
      </c>
    </row>
    <row r="712" spans="2:12" x14ac:dyDescent="0.25">
      <c r="B712" s="1">
        <v>2754204543</v>
      </c>
      <c r="C712" s="1">
        <v>34</v>
      </c>
      <c r="D712" s="1">
        <v>10000000</v>
      </c>
      <c r="E712" s="1">
        <v>9727373</v>
      </c>
      <c r="F712" s="1">
        <v>5.16</v>
      </c>
      <c r="G712" s="1">
        <v>1</v>
      </c>
      <c r="H712" s="1">
        <v>1</v>
      </c>
      <c r="I712" s="1">
        <v>90</v>
      </c>
      <c r="J712" s="1">
        <v>60002239</v>
      </c>
      <c r="K712" s="1">
        <v>0</v>
      </c>
      <c r="L712" s="1">
        <v>0</v>
      </c>
    </row>
    <row r="713" spans="2:12" x14ac:dyDescent="0.25">
      <c r="B713" s="1">
        <v>2746546224</v>
      </c>
      <c r="C713" s="1">
        <v>34</v>
      </c>
      <c r="D713" s="1">
        <v>100000</v>
      </c>
      <c r="E713" s="1">
        <v>100000</v>
      </c>
      <c r="F713" s="1">
        <v>1</v>
      </c>
      <c r="G713" s="1">
        <v>1</v>
      </c>
      <c r="H713" s="1">
        <v>1</v>
      </c>
      <c r="I713" s="1">
        <v>90</v>
      </c>
      <c r="J713" s="1">
        <v>60004426</v>
      </c>
      <c r="K713" s="1">
        <v>0</v>
      </c>
      <c r="L713" s="1">
        <v>0</v>
      </c>
    </row>
    <row r="714" spans="2:12" x14ac:dyDescent="0.25">
      <c r="B714" s="1">
        <v>2862369738</v>
      </c>
      <c r="C714" s="1">
        <v>34</v>
      </c>
      <c r="D714" s="1">
        <v>1000000</v>
      </c>
      <c r="E714" s="1">
        <v>1000000</v>
      </c>
      <c r="F714" s="1">
        <v>4.01</v>
      </c>
      <c r="G714" s="1">
        <v>10000</v>
      </c>
      <c r="H714" s="1">
        <v>1</v>
      </c>
      <c r="I714" s="1">
        <v>90</v>
      </c>
      <c r="J714" s="1">
        <v>60004375</v>
      </c>
      <c r="K714" s="1">
        <v>-1</v>
      </c>
      <c r="L714" s="1">
        <v>0</v>
      </c>
    </row>
    <row r="715" spans="2:12" x14ac:dyDescent="0.25">
      <c r="B715" s="1">
        <v>2799425972</v>
      </c>
      <c r="C715" s="1">
        <v>34</v>
      </c>
      <c r="D715" s="1">
        <v>1000000</v>
      </c>
      <c r="E715" s="1">
        <v>1000000</v>
      </c>
      <c r="F715" s="1">
        <v>4</v>
      </c>
      <c r="G715" s="1">
        <v>1</v>
      </c>
      <c r="H715" s="1">
        <v>1</v>
      </c>
      <c r="I715" s="1">
        <v>90</v>
      </c>
      <c r="J715" s="1">
        <v>60015025</v>
      </c>
      <c r="K715" s="1">
        <v>1</v>
      </c>
      <c r="L715" s="1">
        <v>0</v>
      </c>
    </row>
    <row r="716" spans="2:12" x14ac:dyDescent="0.25">
      <c r="B716" s="1">
        <v>2869935212</v>
      </c>
      <c r="C716" s="1">
        <v>34</v>
      </c>
      <c r="D716" s="1">
        <v>100000000</v>
      </c>
      <c r="E716" s="1">
        <v>4087545</v>
      </c>
      <c r="F716" s="1">
        <v>5.15</v>
      </c>
      <c r="G716" s="1">
        <v>1</v>
      </c>
      <c r="H716" s="1">
        <v>1</v>
      </c>
      <c r="I716" s="1">
        <v>90</v>
      </c>
      <c r="J716" s="1">
        <v>60015026</v>
      </c>
      <c r="K716" s="1">
        <v>3</v>
      </c>
      <c r="L716" s="1">
        <v>0</v>
      </c>
    </row>
    <row r="717" spans="2:12" x14ac:dyDescent="0.25">
      <c r="B717" s="1">
        <v>2874271690</v>
      </c>
      <c r="C717" s="1">
        <v>34</v>
      </c>
      <c r="D717" s="1">
        <v>5000000</v>
      </c>
      <c r="E717" s="1">
        <v>5000000</v>
      </c>
      <c r="F717" s="1">
        <v>5.08</v>
      </c>
      <c r="G717" s="1">
        <v>1</v>
      </c>
      <c r="H717" s="1">
        <v>1</v>
      </c>
      <c r="I717" s="1">
        <v>90</v>
      </c>
      <c r="J717" s="1">
        <v>60015026</v>
      </c>
      <c r="K717" s="1">
        <v>5</v>
      </c>
      <c r="L717" s="1">
        <v>0</v>
      </c>
    </row>
    <row r="718" spans="2:12" x14ac:dyDescent="0.25">
      <c r="B718" s="1">
        <v>2874272146</v>
      </c>
      <c r="C718" s="1">
        <v>34</v>
      </c>
      <c r="D718" s="1">
        <v>5000000</v>
      </c>
      <c r="E718" s="1">
        <v>5000000</v>
      </c>
      <c r="F718" s="1">
        <v>5</v>
      </c>
      <c r="G718" s="1">
        <v>1</v>
      </c>
      <c r="H718" s="1">
        <v>1</v>
      </c>
      <c r="I718" s="1">
        <v>90</v>
      </c>
      <c r="J718" s="1">
        <v>60015026</v>
      </c>
      <c r="K718" s="1">
        <v>5</v>
      </c>
      <c r="L718" s="1">
        <v>0</v>
      </c>
    </row>
    <row r="719" spans="2:12" x14ac:dyDescent="0.25">
      <c r="B719" s="1">
        <v>2756769802</v>
      </c>
      <c r="C719" s="1">
        <v>34</v>
      </c>
      <c r="D719" s="1">
        <v>1000000</v>
      </c>
      <c r="E719" s="1">
        <v>310756</v>
      </c>
      <c r="F719" s="1">
        <v>4.5</v>
      </c>
      <c r="G719" s="1">
        <v>1</v>
      </c>
      <c r="H719" s="1">
        <v>1</v>
      </c>
      <c r="I719" s="1">
        <v>90</v>
      </c>
      <c r="J719" s="1">
        <v>60015027</v>
      </c>
      <c r="K719" s="1">
        <v>-1</v>
      </c>
      <c r="L719" s="1">
        <v>0</v>
      </c>
    </row>
    <row r="720" spans="2:12" x14ac:dyDescent="0.25">
      <c r="B720" s="1">
        <v>2871010734</v>
      </c>
      <c r="C720" s="1">
        <v>34</v>
      </c>
      <c r="D720" s="1">
        <v>50000000</v>
      </c>
      <c r="E720" s="1">
        <v>43133029</v>
      </c>
      <c r="F720" s="1">
        <v>5.14</v>
      </c>
      <c r="G720" s="1">
        <v>1</v>
      </c>
      <c r="H720" s="1">
        <v>1</v>
      </c>
      <c r="I720" s="1">
        <v>90</v>
      </c>
      <c r="J720" s="1">
        <v>60015027</v>
      </c>
      <c r="K720" s="1">
        <v>-1</v>
      </c>
      <c r="L720" s="1">
        <v>0</v>
      </c>
    </row>
    <row r="721" spans="2:12" x14ac:dyDescent="0.25">
      <c r="B721" s="1">
        <v>2868561815</v>
      </c>
      <c r="C721" s="1">
        <v>34</v>
      </c>
      <c r="D721" s="1">
        <v>300000</v>
      </c>
      <c r="E721" s="1">
        <v>300000</v>
      </c>
      <c r="F721" s="1">
        <v>4.5999999999999996</v>
      </c>
      <c r="G721" s="1">
        <v>1</v>
      </c>
      <c r="H721" s="1">
        <v>1</v>
      </c>
      <c r="I721" s="1">
        <v>90</v>
      </c>
      <c r="J721" s="1">
        <v>60015027</v>
      </c>
      <c r="K721" s="1">
        <v>-1</v>
      </c>
      <c r="L721" s="1">
        <v>0</v>
      </c>
    </row>
    <row r="722" spans="2:12" x14ac:dyDescent="0.25">
      <c r="B722" s="1">
        <v>2878471255</v>
      </c>
      <c r="C722" s="1">
        <v>34</v>
      </c>
      <c r="D722" s="1">
        <v>600000000</v>
      </c>
      <c r="E722" s="1">
        <v>3843535</v>
      </c>
      <c r="F722" s="1">
        <v>5.58</v>
      </c>
      <c r="G722" s="1">
        <v>1</v>
      </c>
      <c r="H722" s="1">
        <v>1</v>
      </c>
      <c r="I722" s="1">
        <v>30</v>
      </c>
      <c r="J722" s="1">
        <v>60003760</v>
      </c>
      <c r="K722" s="1">
        <v>-1</v>
      </c>
      <c r="L722" s="1">
        <v>0</v>
      </c>
    </row>
    <row r="723" spans="2:12" x14ac:dyDescent="0.25">
      <c r="B723" s="1">
        <v>2837042251</v>
      </c>
      <c r="C723" s="1">
        <v>34</v>
      </c>
      <c r="D723" s="1">
        <v>100000000</v>
      </c>
      <c r="E723" s="1">
        <v>65278115</v>
      </c>
      <c r="F723" s="1">
        <v>4.32</v>
      </c>
      <c r="G723" s="1">
        <v>1</v>
      </c>
      <c r="H723" s="1">
        <v>1</v>
      </c>
      <c r="I723" s="1">
        <v>90</v>
      </c>
      <c r="J723" s="1">
        <v>60003073</v>
      </c>
      <c r="K723" s="1">
        <v>32767</v>
      </c>
      <c r="L723" s="1">
        <v>0</v>
      </c>
    </row>
    <row r="724" spans="2:12" x14ac:dyDescent="0.25">
      <c r="B724" s="1">
        <v>2878509991</v>
      </c>
      <c r="C724" s="1">
        <v>34</v>
      </c>
      <c r="D724" s="1">
        <v>1100000000</v>
      </c>
      <c r="E724" s="1">
        <v>1100000000</v>
      </c>
      <c r="F724" s="1">
        <v>5.56</v>
      </c>
      <c r="G724" s="1">
        <v>1</v>
      </c>
      <c r="H724" s="1">
        <v>1</v>
      </c>
      <c r="I724" s="1">
        <v>90</v>
      </c>
      <c r="J724" s="1">
        <v>60003760</v>
      </c>
      <c r="K724" s="1">
        <v>-1</v>
      </c>
      <c r="L724" s="1">
        <v>0</v>
      </c>
    </row>
    <row r="725" spans="2:12" x14ac:dyDescent="0.25">
      <c r="B725" s="1">
        <v>2878531754</v>
      </c>
      <c r="C725" s="1">
        <v>34</v>
      </c>
      <c r="D725" s="1">
        <v>300000000</v>
      </c>
      <c r="E725" s="1">
        <v>300000000</v>
      </c>
      <c r="F725" s="1">
        <v>5.2</v>
      </c>
      <c r="G725" s="1">
        <v>1</v>
      </c>
      <c r="H725" s="1">
        <v>1</v>
      </c>
      <c r="I725" s="1">
        <v>90</v>
      </c>
      <c r="J725" s="1">
        <v>60002806</v>
      </c>
      <c r="K725" s="1">
        <v>0</v>
      </c>
      <c r="L725" s="1">
        <v>0</v>
      </c>
    </row>
    <row r="726" spans="2:12" x14ac:dyDescent="0.25">
      <c r="B726" s="1">
        <v>2878555158</v>
      </c>
      <c r="C726" s="1">
        <v>34</v>
      </c>
      <c r="D726" s="1">
        <v>20000000</v>
      </c>
      <c r="E726" s="1">
        <v>20000000</v>
      </c>
      <c r="F726" s="1">
        <v>5.19</v>
      </c>
      <c r="G726" s="1">
        <v>1</v>
      </c>
      <c r="H726" s="1">
        <v>1</v>
      </c>
      <c r="I726" s="1">
        <v>90</v>
      </c>
      <c r="J726" s="1">
        <v>60004231</v>
      </c>
      <c r="K726" s="1">
        <v>-1</v>
      </c>
      <c r="L726" s="1">
        <v>0</v>
      </c>
    </row>
    <row r="727" spans="2:12" x14ac:dyDescent="0.25">
      <c r="B727" s="1">
        <v>2871449500</v>
      </c>
      <c r="C727" s="1">
        <v>34</v>
      </c>
      <c r="D727" s="1">
        <v>2147483647</v>
      </c>
      <c r="E727" s="1">
        <v>642148516</v>
      </c>
      <c r="F727" s="1">
        <v>5.59</v>
      </c>
      <c r="G727" s="1">
        <v>1</v>
      </c>
      <c r="H727" s="1">
        <v>1</v>
      </c>
      <c r="I727" s="1">
        <v>90</v>
      </c>
      <c r="J727" s="1">
        <v>60003760</v>
      </c>
      <c r="K727" s="1">
        <v>-1</v>
      </c>
      <c r="L727" s="1">
        <v>0</v>
      </c>
    </row>
    <row r="728" spans="2:12" x14ac:dyDescent="0.25">
      <c r="B728" s="1">
        <v>2878559351</v>
      </c>
      <c r="C728" s="1">
        <v>34</v>
      </c>
      <c r="D728" s="1">
        <v>100000000</v>
      </c>
      <c r="E728" s="1">
        <v>84380190</v>
      </c>
      <c r="F728" s="1">
        <v>5.69</v>
      </c>
      <c r="G728" s="1">
        <v>1</v>
      </c>
      <c r="H728" s="1">
        <v>1</v>
      </c>
      <c r="I728" s="1">
        <v>30</v>
      </c>
      <c r="J728" s="1">
        <v>60004072</v>
      </c>
      <c r="K728" s="1">
        <v>-1</v>
      </c>
      <c r="L728" s="1">
        <v>0</v>
      </c>
    </row>
    <row r="729" spans="2:12" x14ac:dyDescent="0.25">
      <c r="B729" s="1">
        <v>2878580264</v>
      </c>
      <c r="C729" s="1">
        <v>34</v>
      </c>
      <c r="D729" s="1">
        <v>140837605</v>
      </c>
      <c r="E729" s="1">
        <v>92688236</v>
      </c>
      <c r="F729" s="1">
        <v>5.6</v>
      </c>
      <c r="G729" s="1">
        <v>1</v>
      </c>
      <c r="H729" s="1">
        <v>1</v>
      </c>
      <c r="I729" s="1">
        <v>90</v>
      </c>
      <c r="J729" s="1">
        <v>60003760</v>
      </c>
      <c r="K729" s="1">
        <v>-1</v>
      </c>
      <c r="L729" s="1">
        <v>0</v>
      </c>
    </row>
    <row r="730" spans="2:12" x14ac:dyDescent="0.25">
      <c r="B730" s="1">
        <v>2867227700</v>
      </c>
      <c r="C730" s="1">
        <v>34</v>
      </c>
      <c r="D730" s="1">
        <v>500000000</v>
      </c>
      <c r="E730" s="1">
        <v>364820205</v>
      </c>
      <c r="F730" s="1">
        <v>5.19</v>
      </c>
      <c r="G730" s="1">
        <v>1</v>
      </c>
      <c r="H730" s="1">
        <v>1</v>
      </c>
      <c r="I730" s="1">
        <v>30</v>
      </c>
      <c r="J730" s="1">
        <v>60000919</v>
      </c>
      <c r="K730" s="1">
        <v>1</v>
      </c>
      <c r="L730" s="1">
        <v>0</v>
      </c>
    </row>
    <row r="731" spans="2:12" x14ac:dyDescent="0.25">
      <c r="B731" s="1">
        <v>2878636909</v>
      </c>
      <c r="C731" s="1">
        <v>34</v>
      </c>
      <c r="D731" s="1">
        <v>10000000</v>
      </c>
      <c r="E731" s="1">
        <v>3092908</v>
      </c>
      <c r="F731" s="1">
        <v>5.3</v>
      </c>
      <c r="G731" s="1">
        <v>1</v>
      </c>
      <c r="H731" s="1">
        <v>1</v>
      </c>
      <c r="I731" s="1">
        <v>90</v>
      </c>
      <c r="J731" s="1">
        <v>60004369</v>
      </c>
      <c r="K731" s="1">
        <v>0</v>
      </c>
      <c r="L731" s="1">
        <v>0</v>
      </c>
    </row>
    <row r="732" spans="2:12" x14ac:dyDescent="0.25">
      <c r="B732" s="1">
        <v>2878317510</v>
      </c>
      <c r="C732" s="1">
        <v>34</v>
      </c>
      <c r="D732" s="1">
        <v>200000000</v>
      </c>
      <c r="E732" s="1">
        <v>149095131</v>
      </c>
      <c r="F732" s="1">
        <v>5.22</v>
      </c>
      <c r="G732" s="1">
        <v>1</v>
      </c>
      <c r="H732" s="1">
        <v>1</v>
      </c>
      <c r="I732" s="1">
        <v>90</v>
      </c>
      <c r="J732" s="1">
        <v>60003760</v>
      </c>
      <c r="K732" s="1">
        <v>3</v>
      </c>
      <c r="L732" s="1">
        <v>0</v>
      </c>
    </row>
    <row r="733" spans="2:12" x14ac:dyDescent="0.25">
      <c r="B733" s="1">
        <v>2878668445</v>
      </c>
      <c r="C733" s="1">
        <v>34</v>
      </c>
      <c r="D733" s="1">
        <v>600000000</v>
      </c>
      <c r="E733" s="1">
        <v>600000000</v>
      </c>
      <c r="F733" s="1">
        <v>5.6</v>
      </c>
      <c r="G733" s="1">
        <v>1</v>
      </c>
      <c r="H733" s="1">
        <v>1</v>
      </c>
      <c r="I733" s="1">
        <v>30</v>
      </c>
      <c r="J733" s="1">
        <v>60003760</v>
      </c>
      <c r="K733" s="1">
        <v>-1</v>
      </c>
      <c r="L733" s="1">
        <v>0</v>
      </c>
    </row>
    <row r="734" spans="2:12" x14ac:dyDescent="0.25">
      <c r="B734" s="1">
        <v>2878690385</v>
      </c>
      <c r="C734" s="1">
        <v>34</v>
      </c>
      <c r="D734" s="1">
        <v>1000000</v>
      </c>
      <c r="E734" s="1">
        <v>1000000</v>
      </c>
      <c r="F734" s="1">
        <v>5.5</v>
      </c>
      <c r="G734" s="1">
        <v>1</v>
      </c>
      <c r="H734" s="1">
        <v>1</v>
      </c>
      <c r="I734" s="1">
        <v>90</v>
      </c>
      <c r="J734" s="1">
        <v>60003760</v>
      </c>
      <c r="K734" s="1">
        <v>-1</v>
      </c>
      <c r="L734" s="1">
        <v>0</v>
      </c>
    </row>
    <row r="735" spans="2:12" x14ac:dyDescent="0.25">
      <c r="B735" s="1">
        <v>2877802648</v>
      </c>
      <c r="C735" s="1">
        <v>34</v>
      </c>
      <c r="D735" s="1">
        <v>50000000</v>
      </c>
      <c r="E735" s="1">
        <v>16519598</v>
      </c>
      <c r="F735" s="1">
        <v>5.2</v>
      </c>
      <c r="G735" s="1">
        <v>1</v>
      </c>
      <c r="H735" s="1">
        <v>1</v>
      </c>
      <c r="I735" s="1">
        <v>90</v>
      </c>
      <c r="J735" s="1">
        <v>60004075</v>
      </c>
      <c r="K735" s="1">
        <v>1</v>
      </c>
      <c r="L735" s="1">
        <v>0</v>
      </c>
    </row>
    <row r="736" spans="2:12" x14ac:dyDescent="0.25">
      <c r="B736" s="1">
        <v>2878093833</v>
      </c>
      <c r="C736" s="1">
        <v>34</v>
      </c>
      <c r="D736" s="1">
        <v>145000000</v>
      </c>
      <c r="E736" s="1">
        <v>145000000</v>
      </c>
      <c r="F736" s="1">
        <v>5.57</v>
      </c>
      <c r="G736" s="1">
        <v>1</v>
      </c>
      <c r="H736" s="1">
        <v>1</v>
      </c>
      <c r="I736" s="1">
        <v>30</v>
      </c>
      <c r="J736" s="1">
        <v>60003760</v>
      </c>
      <c r="K736" s="1">
        <v>-1</v>
      </c>
      <c r="L736" s="1">
        <v>0</v>
      </c>
    </row>
    <row r="737" spans="2:12" x14ac:dyDescent="0.25">
      <c r="B737" s="1">
        <v>2878094043</v>
      </c>
      <c r="C737" s="1">
        <v>34</v>
      </c>
      <c r="D737" s="1">
        <v>145000000</v>
      </c>
      <c r="E737" s="1">
        <v>145000000</v>
      </c>
      <c r="F737" s="1">
        <v>5.57</v>
      </c>
      <c r="G737" s="1">
        <v>1</v>
      </c>
      <c r="H737" s="1">
        <v>1</v>
      </c>
      <c r="I737" s="1">
        <v>30</v>
      </c>
      <c r="J737" s="1">
        <v>60003760</v>
      </c>
      <c r="K737" s="1">
        <v>-1</v>
      </c>
      <c r="L737" s="1">
        <v>0</v>
      </c>
    </row>
    <row r="738" spans="2:12" x14ac:dyDescent="0.25">
      <c r="B738" s="1">
        <v>2878970711</v>
      </c>
      <c r="C738" s="1">
        <v>34</v>
      </c>
      <c r="D738" s="1">
        <v>500000000</v>
      </c>
      <c r="E738" s="1">
        <v>174205858</v>
      </c>
      <c r="F738" s="1">
        <v>5.61</v>
      </c>
      <c r="G738" s="1">
        <v>1</v>
      </c>
      <c r="H738" s="1">
        <v>1</v>
      </c>
      <c r="I738" s="1">
        <v>90</v>
      </c>
      <c r="J738" s="1">
        <v>60003760</v>
      </c>
      <c r="K738" s="1">
        <v>-1</v>
      </c>
      <c r="L738" s="1">
        <v>0</v>
      </c>
    </row>
    <row r="739" spans="2:12" x14ac:dyDescent="0.25">
      <c r="B739" s="1">
        <v>2841034877</v>
      </c>
      <c r="C739" s="1">
        <v>34</v>
      </c>
      <c r="D739" s="1">
        <v>400000000</v>
      </c>
      <c r="E739" s="1">
        <v>241226166</v>
      </c>
      <c r="F739" s="1">
        <v>5.23</v>
      </c>
      <c r="G739" s="1">
        <v>1000000</v>
      </c>
      <c r="H739" s="1">
        <v>1</v>
      </c>
      <c r="I739" s="1">
        <v>90</v>
      </c>
      <c r="J739" s="1">
        <v>60003760</v>
      </c>
      <c r="K739" s="1">
        <v>5</v>
      </c>
      <c r="L739" s="1">
        <v>0</v>
      </c>
    </row>
    <row r="740" spans="2:12" x14ac:dyDescent="0.25">
      <c r="B740" s="1">
        <v>2875523576</v>
      </c>
      <c r="C740" s="1">
        <v>34</v>
      </c>
      <c r="D740" s="1">
        <v>400000000</v>
      </c>
      <c r="E740" s="1">
        <v>318195027</v>
      </c>
      <c r="F740" s="1">
        <v>5.23</v>
      </c>
      <c r="G740" s="1">
        <v>1000000</v>
      </c>
      <c r="H740" s="1">
        <v>1</v>
      </c>
      <c r="I740" s="1">
        <v>90</v>
      </c>
      <c r="J740" s="1">
        <v>60003760</v>
      </c>
      <c r="K740" s="1">
        <v>3</v>
      </c>
      <c r="L740" s="1">
        <v>0</v>
      </c>
    </row>
    <row r="741" spans="2:12" x14ac:dyDescent="0.25">
      <c r="B741" s="1">
        <v>2879115749</v>
      </c>
      <c r="C741" s="1">
        <v>34</v>
      </c>
      <c r="D741" s="1">
        <v>7704735</v>
      </c>
      <c r="E741" s="1">
        <v>7704735</v>
      </c>
      <c r="F741" s="1">
        <v>5.6</v>
      </c>
      <c r="G741" s="1">
        <v>1</v>
      </c>
      <c r="H741" s="1">
        <v>1</v>
      </c>
      <c r="I741" s="1">
        <v>90</v>
      </c>
      <c r="J741" s="1">
        <v>60003760</v>
      </c>
      <c r="K741" s="1">
        <v>-1</v>
      </c>
      <c r="L741" s="1">
        <v>0</v>
      </c>
    </row>
  </sheetData>
  <conditionalFormatting sqref="OS1 PE1 PQ1 QC1 QO1 RA1 RM1 RY1 SK1 SW1 TI1 TU1 UG1 US1 VE1">
    <cfRule type="containsErrors" dxfId="1" priority="15">
      <formula>ISERROR(OS1)</formula>
    </cfRule>
  </conditionalFormatting>
  <pageMargins left="0.7" right="0.7" top="0.75" bottom="0.75" header="0.3" footer="0.3"/>
  <tableParts count="4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418"/>
  <sheetViews>
    <sheetView topLeftCell="A387" workbookViewId="0">
      <selection activeCell="M417" sqref="M417:N417"/>
    </sheetView>
  </sheetViews>
  <sheetFormatPr defaultRowHeight="15" x14ac:dyDescent="0.25"/>
  <cols>
    <col min="2" max="2" width="13.5703125" bestFit="1" customWidth="1"/>
    <col min="3" max="3" width="10.85546875" customWidth="1"/>
    <col min="4" max="4" width="11.42578125" customWidth="1"/>
    <col min="5" max="5" width="10.5703125" customWidth="1"/>
    <col min="6" max="6" width="12" customWidth="1"/>
    <col min="7" max="7" width="8.85546875" customWidth="1"/>
    <col min="9" max="9" width="13.5703125" bestFit="1" customWidth="1"/>
    <col min="10" max="10" width="10.85546875" customWidth="1"/>
    <col min="11" max="11" width="11.42578125" bestFit="1" customWidth="1"/>
    <col min="12" max="12" width="10.5703125" bestFit="1" customWidth="1"/>
    <col min="13" max="13" width="12" bestFit="1" customWidth="1"/>
    <col min="14" max="14" width="8.85546875" bestFit="1" customWidth="1"/>
    <col min="16" max="16" width="13.5703125" bestFit="1" customWidth="1"/>
    <col min="17" max="17" width="10.85546875" customWidth="1"/>
    <col min="18" max="18" width="11.42578125" bestFit="1" customWidth="1"/>
    <col min="19" max="19" width="10.5703125" bestFit="1" customWidth="1"/>
    <col min="20" max="20" width="11" customWidth="1"/>
    <col min="21" max="21" width="8.85546875" bestFit="1" customWidth="1"/>
    <col min="23" max="23" width="13.5703125" bestFit="1" customWidth="1"/>
    <col min="24" max="24" width="10.85546875" customWidth="1"/>
    <col min="25" max="25" width="11.42578125" bestFit="1" customWidth="1"/>
    <col min="26" max="26" width="10.5703125" bestFit="1" customWidth="1"/>
    <col min="27" max="27" width="11" bestFit="1" customWidth="1"/>
    <col min="28" max="28" width="8.85546875" bestFit="1" customWidth="1"/>
    <col min="30" max="30" width="13.5703125" bestFit="1" customWidth="1"/>
    <col min="31" max="31" width="10.85546875" customWidth="1"/>
    <col min="32" max="32" width="11.42578125" bestFit="1" customWidth="1"/>
    <col min="33" max="33" width="10.5703125" bestFit="1" customWidth="1"/>
    <col min="34" max="34" width="10" customWidth="1"/>
    <col min="35" max="35" width="8.85546875" bestFit="1" customWidth="1"/>
    <col min="37" max="37" width="13.5703125" bestFit="1" customWidth="1"/>
    <col min="38" max="38" width="10.85546875" customWidth="1"/>
    <col min="39" max="39" width="11.42578125" bestFit="1" customWidth="1"/>
    <col min="40" max="40" width="10.5703125" bestFit="1" customWidth="1"/>
    <col min="41" max="41" width="10" customWidth="1"/>
    <col min="42" max="42" width="8.85546875" bestFit="1" customWidth="1"/>
    <col min="44" max="44" width="13.5703125" bestFit="1" customWidth="1"/>
    <col min="45" max="45" width="10.85546875" customWidth="1"/>
    <col min="46" max="46" width="11.42578125" bestFit="1" customWidth="1"/>
    <col min="47" max="47" width="10.5703125" bestFit="1" customWidth="1"/>
    <col min="48" max="48" width="9.85546875" bestFit="1" customWidth="1"/>
    <col min="49" max="49" width="8.85546875" bestFit="1" customWidth="1"/>
    <col min="51" max="51" width="13.5703125" bestFit="1" customWidth="1"/>
    <col min="52" max="52" width="10.85546875" bestFit="1" customWidth="1"/>
    <col min="53" max="53" width="11.42578125" bestFit="1" customWidth="1"/>
    <col min="54" max="54" width="10.5703125" bestFit="1" customWidth="1"/>
    <col min="55" max="55" width="9.85546875" customWidth="1"/>
    <col min="56" max="56" width="8.85546875" customWidth="1"/>
    <col min="58" max="58" width="13.5703125" bestFit="1" customWidth="1"/>
    <col min="59" max="59" width="10.85546875" customWidth="1"/>
    <col min="60" max="60" width="11.42578125" bestFit="1" customWidth="1"/>
    <col min="61" max="61" width="10.5703125" bestFit="1" customWidth="1"/>
    <col min="62" max="62" width="9.85546875" bestFit="1" customWidth="1"/>
    <col min="63" max="63" width="8.85546875" bestFit="1" customWidth="1"/>
    <col min="64" max="64" width="8.85546875" customWidth="1"/>
    <col min="65" max="65" width="13.5703125" bestFit="1" customWidth="1"/>
    <col min="66" max="66" width="10.85546875" customWidth="1"/>
    <col min="67" max="67" width="11.42578125" bestFit="1" customWidth="1"/>
    <col min="68" max="68" width="10.5703125" customWidth="1"/>
    <col min="69" max="69" width="9.85546875" bestFit="1" customWidth="1"/>
    <col min="70" max="70" width="8.85546875" bestFit="1" customWidth="1"/>
    <col min="72" max="72" width="13.5703125" bestFit="1" customWidth="1"/>
    <col min="73" max="73" width="10.85546875" customWidth="1"/>
    <col min="74" max="74" width="11.42578125" customWidth="1"/>
    <col min="75" max="75" width="10.5703125" customWidth="1"/>
    <col min="76" max="76" width="9.85546875" customWidth="1"/>
    <col min="77" max="77" width="8.85546875" customWidth="1"/>
    <col min="79" max="79" width="13.5703125" bestFit="1" customWidth="1"/>
    <col min="80" max="80" width="10.85546875" customWidth="1"/>
    <col min="81" max="81" width="11.42578125" customWidth="1"/>
    <col min="82" max="82" width="10.5703125" customWidth="1"/>
    <col min="83" max="83" width="10" bestFit="1" customWidth="1"/>
    <col min="84" max="84" width="8.85546875" customWidth="1"/>
    <col min="86" max="86" width="13.5703125" bestFit="1" customWidth="1"/>
    <col min="87" max="87" width="10.85546875" customWidth="1"/>
    <col min="88" max="88" width="11.42578125" bestFit="1" customWidth="1"/>
    <col min="89" max="89" width="10.5703125" bestFit="1" customWidth="1"/>
    <col min="90" max="90" width="9.85546875" bestFit="1" customWidth="1"/>
    <col min="91" max="91" width="8.85546875" bestFit="1" customWidth="1"/>
    <col min="93" max="93" width="13.5703125" bestFit="1" customWidth="1"/>
    <col min="94" max="94" width="10.85546875" customWidth="1"/>
    <col min="95" max="95" width="11.42578125" bestFit="1" customWidth="1"/>
    <col min="96" max="96" width="10.5703125" bestFit="1" customWidth="1"/>
    <col min="97" max="97" width="9.85546875" bestFit="1" customWidth="1"/>
    <col min="98" max="98" width="8.85546875" bestFit="1" customWidth="1"/>
    <col min="100" max="100" width="13.5703125" bestFit="1" customWidth="1"/>
    <col min="101" max="101" width="10.85546875" bestFit="1" customWidth="1"/>
    <col min="102" max="102" width="11.42578125" bestFit="1" customWidth="1"/>
    <col min="103" max="103" width="10.5703125" bestFit="1" customWidth="1"/>
    <col min="104" max="104" width="9.85546875" bestFit="1" customWidth="1"/>
    <col min="105" max="105" width="8.85546875" bestFit="1" customWidth="1"/>
    <col min="107" max="107" width="13.5703125" bestFit="1" customWidth="1"/>
    <col min="108" max="108" width="10.85546875" customWidth="1"/>
    <col min="109" max="109" width="11.42578125" bestFit="1" customWidth="1"/>
    <col min="110" max="110" width="10.5703125" bestFit="1" customWidth="1"/>
    <col min="111" max="111" width="10" bestFit="1" customWidth="1"/>
    <col min="112" max="112" width="8.85546875" bestFit="1" customWidth="1"/>
    <col min="114" max="114" width="13.5703125" bestFit="1" customWidth="1"/>
    <col min="115" max="115" width="10.85546875" bestFit="1" customWidth="1"/>
    <col min="116" max="116" width="11.42578125" bestFit="1" customWidth="1"/>
    <col min="117" max="117" width="10.5703125" bestFit="1" customWidth="1"/>
    <col min="118" max="118" width="9.85546875" bestFit="1" customWidth="1"/>
    <col min="119" max="119" width="8.85546875" bestFit="1" customWidth="1"/>
    <col min="121" max="121" width="13.5703125" bestFit="1" customWidth="1"/>
    <col min="122" max="122" width="10.85546875" customWidth="1"/>
    <col min="123" max="123" width="11.42578125" bestFit="1" customWidth="1"/>
    <col min="124" max="124" width="10.5703125" customWidth="1"/>
    <col min="125" max="125" width="9.85546875" bestFit="1" customWidth="1"/>
    <col min="126" max="126" width="8.85546875" bestFit="1" customWidth="1"/>
    <col min="128" max="128" width="13.5703125" bestFit="1" customWidth="1"/>
    <col min="129" max="129" width="10.85546875" bestFit="1" customWidth="1"/>
    <col min="130" max="130" width="11.42578125" bestFit="1" customWidth="1"/>
    <col min="131" max="131" width="10.5703125" bestFit="1" customWidth="1"/>
    <col min="132" max="132" width="9.85546875" bestFit="1" customWidth="1"/>
    <col min="133" max="133" width="8.85546875" bestFit="1" customWidth="1"/>
    <col min="135" max="135" width="13.5703125" bestFit="1" customWidth="1"/>
    <col min="136" max="136" width="10.85546875" customWidth="1"/>
    <col min="137" max="137" width="11.42578125" bestFit="1" customWidth="1"/>
    <col min="138" max="138" width="10.5703125" bestFit="1" customWidth="1"/>
    <col min="139" max="139" width="10" bestFit="1" customWidth="1"/>
    <col min="140" max="140" width="8.85546875" bestFit="1" customWidth="1"/>
    <col min="142" max="142" width="13.5703125" bestFit="1" customWidth="1"/>
    <col min="143" max="143" width="10.85546875" customWidth="1"/>
    <col min="144" max="144" width="11.42578125" bestFit="1" customWidth="1"/>
    <col min="145" max="145" width="10.5703125" bestFit="1" customWidth="1"/>
    <col min="146" max="146" width="9.85546875" bestFit="1" customWidth="1"/>
    <col min="147" max="147" width="8.85546875" bestFit="1" customWidth="1"/>
    <col min="149" max="149" width="13.5703125" bestFit="1" customWidth="1"/>
    <col min="150" max="150" width="10.85546875" customWidth="1"/>
    <col min="151" max="151" width="11.42578125" bestFit="1" customWidth="1"/>
    <col min="152" max="152" width="10.5703125" bestFit="1" customWidth="1"/>
    <col min="153" max="153" width="10" bestFit="1" customWidth="1"/>
    <col min="154" max="154" width="8.85546875" bestFit="1" customWidth="1"/>
    <col min="156" max="156" width="13.5703125" bestFit="1" customWidth="1"/>
    <col min="157" max="157" width="10.85546875" bestFit="1" customWidth="1"/>
    <col min="158" max="158" width="11.42578125" bestFit="1" customWidth="1"/>
    <col min="159" max="159" width="10.5703125" bestFit="1" customWidth="1"/>
    <col min="160" max="160" width="9.85546875" bestFit="1" customWidth="1"/>
    <col min="161" max="161" width="8.85546875" bestFit="1" customWidth="1"/>
    <col min="163" max="163" width="13.5703125" bestFit="1" customWidth="1"/>
    <col min="164" max="164" width="10.85546875" customWidth="1"/>
    <col min="165" max="165" width="11.42578125" customWidth="1"/>
    <col min="166" max="166" width="10.5703125" customWidth="1"/>
    <col min="167" max="167" width="9.85546875" customWidth="1"/>
    <col min="168" max="168" width="8.85546875" customWidth="1"/>
    <col min="170" max="170" width="13.5703125" bestFit="1" customWidth="1"/>
    <col min="171" max="171" width="10.85546875" customWidth="1"/>
    <col min="172" max="172" width="11.42578125" bestFit="1" customWidth="1"/>
    <col min="173" max="173" width="10.5703125" bestFit="1" customWidth="1"/>
    <col min="174" max="174" width="9.85546875" bestFit="1" customWidth="1"/>
    <col min="175" max="175" width="8.85546875" bestFit="1" customWidth="1"/>
    <col min="177" max="177" width="13.5703125" bestFit="1" customWidth="1"/>
    <col min="178" max="178" width="10.85546875" customWidth="1"/>
    <col min="179" max="179" width="11.42578125" bestFit="1" customWidth="1"/>
    <col min="180" max="180" width="10.5703125" bestFit="1" customWidth="1"/>
    <col min="181" max="181" width="9.85546875" bestFit="1" customWidth="1"/>
    <col min="182" max="182" width="8.85546875" bestFit="1" customWidth="1"/>
    <col min="184" max="184" width="13.5703125" bestFit="1" customWidth="1"/>
    <col min="185" max="185" width="10.85546875" customWidth="1"/>
    <col min="186" max="186" width="11.42578125" customWidth="1"/>
    <col min="187" max="187" width="10.5703125" customWidth="1"/>
    <col min="188" max="188" width="9.85546875" bestFit="1" customWidth="1"/>
    <col min="189" max="189" width="8.85546875" bestFit="1" customWidth="1"/>
    <col min="191" max="191" width="13.5703125" bestFit="1" customWidth="1"/>
    <col min="192" max="192" width="10.85546875" bestFit="1" customWidth="1"/>
    <col min="193" max="193" width="11.42578125" bestFit="1" customWidth="1"/>
    <col min="194" max="194" width="10.5703125" bestFit="1" customWidth="1"/>
    <col min="195" max="195" width="9.85546875" bestFit="1" customWidth="1"/>
    <col min="196" max="196" width="8.85546875" bestFit="1" customWidth="1"/>
    <col min="198" max="198" width="13.5703125" bestFit="1" customWidth="1"/>
    <col min="199" max="199" width="10.85546875" customWidth="1"/>
    <col min="200" max="200" width="11.42578125" bestFit="1" customWidth="1"/>
    <col min="201" max="201" width="10.5703125" bestFit="1" customWidth="1"/>
    <col min="202" max="202" width="10" bestFit="1" customWidth="1"/>
    <col min="203" max="203" width="8.85546875" bestFit="1" customWidth="1"/>
    <col min="205" max="205" width="13.5703125" bestFit="1" customWidth="1"/>
    <col min="206" max="206" width="10.85546875" customWidth="1"/>
    <col min="207" max="207" width="11.42578125" bestFit="1" customWidth="1"/>
    <col min="208" max="208" width="10.5703125" bestFit="1" customWidth="1"/>
    <col min="209" max="209" width="10" customWidth="1"/>
    <col min="210" max="210" width="8.85546875" bestFit="1" customWidth="1"/>
    <col min="212" max="212" width="13.5703125" bestFit="1" customWidth="1"/>
    <col min="213" max="213" width="10.85546875" customWidth="1"/>
    <col min="214" max="214" width="11.42578125" bestFit="1" customWidth="1"/>
    <col min="215" max="215" width="10.5703125" bestFit="1" customWidth="1"/>
    <col min="216" max="216" width="9.85546875" bestFit="1" customWidth="1"/>
    <col min="217" max="217" width="8.85546875" bestFit="1" customWidth="1"/>
    <col min="219" max="219" width="13.5703125" customWidth="1"/>
    <col min="220" max="220" width="10.85546875" customWidth="1"/>
    <col min="221" max="221" width="11.42578125" customWidth="1"/>
    <col min="222" max="222" width="10.5703125" customWidth="1"/>
    <col min="223" max="223" width="9.85546875" bestFit="1" customWidth="1"/>
    <col min="224" max="224" width="8.85546875" bestFit="1" customWidth="1"/>
    <col min="226" max="226" width="13.5703125" bestFit="1" customWidth="1"/>
    <col min="227" max="227" width="10.85546875" customWidth="1"/>
    <col min="228" max="228" width="11.42578125" bestFit="1" customWidth="1"/>
    <col min="229" max="229" width="10.5703125" bestFit="1" customWidth="1"/>
    <col min="230" max="230" width="9.85546875" bestFit="1" customWidth="1"/>
    <col min="231" max="231" width="8.85546875" bestFit="1" customWidth="1"/>
    <col min="233" max="233" width="13.5703125" customWidth="1"/>
    <col min="234" max="234" width="10.85546875" customWidth="1"/>
    <col min="235" max="235" width="11.42578125" customWidth="1"/>
    <col min="236" max="236" width="10.5703125" customWidth="1"/>
    <col min="237" max="237" width="9.85546875" customWidth="1"/>
    <col min="238" max="238" width="8.85546875" customWidth="1"/>
    <col min="240" max="240" width="13.5703125" customWidth="1"/>
    <col min="241" max="241" width="10.85546875" customWidth="1"/>
    <col min="242" max="242" width="11.42578125" bestFit="1" customWidth="1"/>
    <col min="243" max="243" width="10.5703125" bestFit="1" customWidth="1"/>
    <col min="244" max="244" width="9.85546875" bestFit="1" customWidth="1"/>
    <col min="245" max="245" width="8.85546875" bestFit="1" customWidth="1"/>
    <col min="247" max="247" width="13.5703125" customWidth="1"/>
    <col min="248" max="248" width="10.85546875" customWidth="1"/>
    <col min="249" max="249" width="11.42578125" customWidth="1"/>
    <col min="250" max="250" width="10.5703125" customWidth="1"/>
    <col min="251" max="251" width="9.85546875" bestFit="1" customWidth="1"/>
    <col min="252" max="252" width="8.85546875" bestFit="1" customWidth="1"/>
    <col min="254" max="254" width="13.5703125" customWidth="1"/>
    <col min="255" max="255" width="10.85546875" customWidth="1"/>
    <col min="256" max="256" width="11.42578125" bestFit="1" customWidth="1"/>
    <col min="257" max="257" width="10.5703125" bestFit="1" customWidth="1"/>
    <col min="258" max="258" width="9.85546875" bestFit="1" customWidth="1"/>
    <col min="259" max="259" width="8.85546875" bestFit="1" customWidth="1"/>
    <col min="261" max="261" width="13.5703125" customWidth="1"/>
    <col min="262" max="262" width="10.85546875" customWidth="1"/>
    <col min="263" max="263" width="11.42578125" customWidth="1"/>
    <col min="264" max="264" width="10.5703125" customWidth="1"/>
    <col min="265" max="265" width="9.85546875" bestFit="1" customWidth="1"/>
    <col min="266" max="266" width="8.85546875" bestFit="1" customWidth="1"/>
    <col min="268" max="268" width="13.5703125" customWidth="1"/>
    <col min="269" max="269" width="10.85546875" customWidth="1"/>
    <col min="270" max="270" width="11.42578125" customWidth="1"/>
    <col min="271" max="271" width="10.5703125" customWidth="1"/>
    <col min="272" max="272" width="9.85546875" bestFit="1" customWidth="1"/>
    <col min="273" max="273" width="8.85546875" bestFit="1" customWidth="1"/>
    <col min="275" max="275" width="13.5703125" customWidth="1"/>
    <col min="276" max="276" width="10.85546875" customWidth="1"/>
    <col min="277" max="277" width="11.42578125" bestFit="1" customWidth="1"/>
    <col min="278" max="278" width="10.5703125" bestFit="1" customWidth="1"/>
    <col min="279" max="279" width="10" bestFit="1" customWidth="1"/>
    <col min="280" max="280" width="8.85546875" bestFit="1" customWidth="1"/>
    <col min="282" max="282" width="13.5703125" bestFit="1" customWidth="1"/>
    <col min="283" max="283" width="10.85546875" customWidth="1"/>
    <col min="284" max="284" width="11.42578125" bestFit="1" customWidth="1"/>
    <col min="285" max="285" width="10.5703125" bestFit="1" customWidth="1"/>
    <col min="286" max="286" width="10" bestFit="1" customWidth="1"/>
    <col min="287" max="287" width="8.85546875" bestFit="1" customWidth="1"/>
    <col min="289" max="289" width="13.5703125" bestFit="1" customWidth="1"/>
    <col min="290" max="290" width="10.85546875" customWidth="1"/>
    <col min="291" max="291" width="11.42578125" customWidth="1"/>
    <col min="292" max="292" width="10.5703125" customWidth="1"/>
    <col min="293" max="293" width="10" customWidth="1"/>
    <col min="294" max="294" width="8.85546875" customWidth="1"/>
    <col min="296" max="296" width="13.5703125" bestFit="1" customWidth="1"/>
    <col min="297" max="297" width="10.85546875" customWidth="1"/>
    <col min="298" max="298" width="11.42578125" bestFit="1" customWidth="1"/>
    <col min="299" max="299" width="10.5703125" bestFit="1" customWidth="1"/>
    <col min="300" max="300" width="10" customWidth="1"/>
    <col min="301" max="301" width="8.85546875" bestFit="1" customWidth="1"/>
    <col min="303" max="303" width="13.5703125" bestFit="1" customWidth="1"/>
    <col min="304" max="304" width="10.85546875" customWidth="1"/>
    <col min="305" max="305" width="11.42578125" customWidth="1"/>
    <col min="306" max="306" width="10.5703125" customWidth="1"/>
    <col min="307" max="307" width="9.85546875" customWidth="1"/>
    <col min="308" max="308" width="8.85546875" customWidth="1"/>
    <col min="310" max="310" width="13.5703125" bestFit="1" customWidth="1"/>
    <col min="311" max="311" width="10.85546875" customWidth="1"/>
    <col min="312" max="312" width="11.42578125" bestFit="1" customWidth="1"/>
    <col min="313" max="313" width="10.5703125" bestFit="1" customWidth="1"/>
    <col min="314" max="314" width="9.85546875" bestFit="1" customWidth="1"/>
    <col min="315" max="315" width="8.85546875" bestFit="1" customWidth="1"/>
    <col min="317" max="317" width="13.5703125" bestFit="1" customWidth="1"/>
    <col min="318" max="318" width="10.85546875" customWidth="1"/>
    <col min="319" max="319" width="11.42578125" customWidth="1"/>
    <col min="320" max="320" width="10.5703125" customWidth="1"/>
    <col min="321" max="321" width="9.85546875" customWidth="1"/>
    <col min="322" max="322" width="8.85546875" customWidth="1"/>
    <col min="324" max="324" width="13.5703125" bestFit="1" customWidth="1"/>
    <col min="325" max="325" width="10.85546875" customWidth="1"/>
    <col min="326" max="326" width="11.42578125" customWidth="1"/>
    <col min="327" max="327" width="10.5703125" customWidth="1"/>
    <col min="328" max="328" width="9.85546875" customWidth="1"/>
    <col min="329" max="329" width="8.85546875" customWidth="1"/>
    <col min="331" max="331" width="13.5703125" bestFit="1" customWidth="1"/>
    <col min="332" max="332" width="10.85546875" customWidth="1"/>
    <col min="333" max="333" width="11.42578125" customWidth="1"/>
    <col min="334" max="334" width="10.5703125" customWidth="1"/>
    <col min="335" max="335" width="10" customWidth="1"/>
    <col min="336" max="336" width="8.85546875" customWidth="1"/>
    <col min="338" max="338" width="13.5703125" bestFit="1" customWidth="1"/>
    <col min="339" max="339" width="10.85546875" customWidth="1"/>
    <col min="340" max="340" width="11.42578125" bestFit="1" customWidth="1"/>
    <col min="341" max="341" width="10.5703125" bestFit="1" customWidth="1"/>
    <col min="342" max="342" width="9.85546875" bestFit="1" customWidth="1"/>
    <col min="343" max="343" width="8.85546875" bestFit="1" customWidth="1"/>
  </cols>
  <sheetData>
    <row r="1" spans="1:343" x14ac:dyDescent="0.25">
      <c r="A1" s="23" t="s">
        <v>8</v>
      </c>
      <c r="B1" t="s">
        <v>397</v>
      </c>
      <c r="C1" t="s">
        <v>398</v>
      </c>
      <c r="D1" t="s">
        <v>399</v>
      </c>
      <c r="E1" t="s">
        <v>400</v>
      </c>
      <c r="F1" t="s">
        <v>401</v>
      </c>
      <c r="G1" t="s">
        <v>402</v>
      </c>
      <c r="H1" t="s">
        <v>69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70</v>
      </c>
      <c r="P1" t="s">
        <v>397</v>
      </c>
      <c r="Q1" t="s">
        <v>398</v>
      </c>
      <c r="R1" t="s">
        <v>399</v>
      </c>
      <c r="S1" t="s">
        <v>400</v>
      </c>
      <c r="T1" t="s">
        <v>401</v>
      </c>
      <c r="U1" t="s">
        <v>402</v>
      </c>
      <c r="V1" t="s">
        <v>76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77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78</v>
      </c>
      <c r="AK1" t="s">
        <v>397</v>
      </c>
      <c r="AL1" t="s">
        <v>398</v>
      </c>
      <c r="AM1" t="s">
        <v>399</v>
      </c>
      <c r="AN1" t="s">
        <v>400</v>
      </c>
      <c r="AO1" t="s">
        <v>401</v>
      </c>
      <c r="AP1" t="s">
        <v>402</v>
      </c>
      <c r="AQ1" t="s">
        <v>79</v>
      </c>
      <c r="AR1" t="s">
        <v>397</v>
      </c>
      <c r="AS1" t="s">
        <v>398</v>
      </c>
      <c r="AT1" t="s">
        <v>399</v>
      </c>
      <c r="AU1" t="s">
        <v>400</v>
      </c>
      <c r="AV1" t="s">
        <v>401</v>
      </c>
      <c r="AW1" t="s">
        <v>402</v>
      </c>
      <c r="AX1" t="s">
        <v>83</v>
      </c>
      <c r="AY1" t="s">
        <v>397</v>
      </c>
      <c r="AZ1" t="s">
        <v>398</v>
      </c>
      <c r="BA1" t="s">
        <v>399</v>
      </c>
      <c r="BB1" t="s">
        <v>400</v>
      </c>
      <c r="BC1" t="s">
        <v>401</v>
      </c>
      <c r="BD1" t="s">
        <v>402</v>
      </c>
      <c r="BE1" t="s">
        <v>418</v>
      </c>
      <c r="BF1" t="s">
        <v>397</v>
      </c>
      <c r="BG1" t="s">
        <v>398</v>
      </c>
      <c r="BH1" t="s">
        <v>399</v>
      </c>
      <c r="BI1" t="s">
        <v>400</v>
      </c>
      <c r="BJ1" t="s">
        <v>401</v>
      </c>
      <c r="BK1" t="s">
        <v>402</v>
      </c>
      <c r="BL1" t="s">
        <v>419</v>
      </c>
      <c r="BM1" t="s">
        <v>397</v>
      </c>
      <c r="BN1" t="s">
        <v>398</v>
      </c>
      <c r="BO1" t="s">
        <v>399</v>
      </c>
      <c r="BP1" t="s">
        <v>400</v>
      </c>
      <c r="BQ1" t="s">
        <v>401</v>
      </c>
      <c r="BR1" t="s">
        <v>402</v>
      </c>
      <c r="BS1" t="s">
        <v>384</v>
      </c>
      <c r="BT1" t="s">
        <v>397</v>
      </c>
      <c r="BU1" t="s">
        <v>398</v>
      </c>
      <c r="BV1" t="s">
        <v>399</v>
      </c>
      <c r="BW1" t="s">
        <v>400</v>
      </c>
      <c r="BX1" t="s">
        <v>401</v>
      </c>
      <c r="BY1" t="s">
        <v>402</v>
      </c>
      <c r="BZ1" t="s">
        <v>85</v>
      </c>
      <c r="CA1" t="s">
        <v>397</v>
      </c>
      <c r="CB1" t="s">
        <v>398</v>
      </c>
      <c r="CC1" t="s">
        <v>399</v>
      </c>
      <c r="CD1" t="s">
        <v>400</v>
      </c>
      <c r="CE1" t="s">
        <v>401</v>
      </c>
      <c r="CF1" t="s">
        <v>402</v>
      </c>
      <c r="CG1" t="s">
        <v>420</v>
      </c>
      <c r="CH1" t="s">
        <v>397</v>
      </c>
      <c r="CI1" t="s">
        <v>398</v>
      </c>
      <c r="CJ1" t="s">
        <v>399</v>
      </c>
      <c r="CK1" t="s">
        <v>400</v>
      </c>
      <c r="CL1" t="s">
        <v>401</v>
      </c>
      <c r="CM1" t="s">
        <v>402</v>
      </c>
      <c r="CN1" t="s">
        <v>421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422</v>
      </c>
      <c r="CV1" t="s">
        <v>397</v>
      </c>
      <c r="CW1" t="s">
        <v>398</v>
      </c>
      <c r="CX1" t="s">
        <v>399</v>
      </c>
      <c r="CY1" t="s">
        <v>400</v>
      </c>
      <c r="CZ1" t="s">
        <v>401</v>
      </c>
      <c r="DA1" t="s">
        <v>402</v>
      </c>
      <c r="DB1" t="s">
        <v>423</v>
      </c>
      <c r="DC1" t="s">
        <v>397</v>
      </c>
      <c r="DD1" t="s">
        <v>398</v>
      </c>
      <c r="DE1" t="s">
        <v>399</v>
      </c>
      <c r="DF1" t="s">
        <v>400</v>
      </c>
      <c r="DG1" t="s">
        <v>401</v>
      </c>
      <c r="DH1" t="s">
        <v>402</v>
      </c>
      <c r="DI1" t="s">
        <v>424</v>
      </c>
      <c r="DJ1" t="s">
        <v>397</v>
      </c>
      <c r="DK1" t="s">
        <v>398</v>
      </c>
      <c r="DL1" t="s">
        <v>399</v>
      </c>
      <c r="DM1" t="s">
        <v>400</v>
      </c>
      <c r="DN1" t="s">
        <v>401</v>
      </c>
      <c r="DO1" t="s">
        <v>402</v>
      </c>
      <c r="DP1" t="s">
        <v>425</v>
      </c>
      <c r="DQ1" t="s">
        <v>397</v>
      </c>
      <c r="DR1" t="s">
        <v>398</v>
      </c>
      <c r="DS1" t="s">
        <v>399</v>
      </c>
      <c r="DT1" t="s">
        <v>400</v>
      </c>
      <c r="DU1" t="s">
        <v>401</v>
      </c>
      <c r="DV1" t="s">
        <v>402</v>
      </c>
      <c r="DW1" t="s">
        <v>426</v>
      </c>
      <c r="DX1" t="s">
        <v>397</v>
      </c>
      <c r="DY1" t="s">
        <v>398</v>
      </c>
      <c r="DZ1" t="s">
        <v>399</v>
      </c>
      <c r="EA1" t="s">
        <v>400</v>
      </c>
      <c r="EB1" t="s">
        <v>401</v>
      </c>
      <c r="EC1" t="s">
        <v>402</v>
      </c>
      <c r="ED1" t="s">
        <v>427</v>
      </c>
      <c r="EE1" t="s">
        <v>397</v>
      </c>
      <c r="EF1" t="s">
        <v>398</v>
      </c>
      <c r="EG1" t="s">
        <v>399</v>
      </c>
      <c r="EH1" t="s">
        <v>400</v>
      </c>
      <c r="EI1" t="s">
        <v>401</v>
      </c>
      <c r="EJ1" t="s">
        <v>402</v>
      </c>
      <c r="EK1" t="s">
        <v>428</v>
      </c>
      <c r="EL1" t="s">
        <v>397</v>
      </c>
      <c r="EM1" t="s">
        <v>398</v>
      </c>
      <c r="EN1" t="s">
        <v>399</v>
      </c>
      <c r="EO1" t="s">
        <v>400</v>
      </c>
      <c r="EP1" t="s">
        <v>401</v>
      </c>
      <c r="EQ1" t="s">
        <v>402</v>
      </c>
      <c r="ER1" t="s">
        <v>429</v>
      </c>
      <c r="ES1" t="s">
        <v>397</v>
      </c>
      <c r="ET1" t="s">
        <v>398</v>
      </c>
      <c r="EU1" t="s">
        <v>399</v>
      </c>
      <c r="EV1" t="s">
        <v>400</v>
      </c>
      <c r="EW1" t="s">
        <v>401</v>
      </c>
      <c r="EX1" t="s">
        <v>402</v>
      </c>
      <c r="EY1" t="s">
        <v>430</v>
      </c>
      <c r="EZ1" t="s">
        <v>397</v>
      </c>
      <c r="FA1" t="s">
        <v>398</v>
      </c>
      <c r="FB1" t="s">
        <v>399</v>
      </c>
      <c r="FC1" t="s">
        <v>400</v>
      </c>
      <c r="FD1" t="s">
        <v>401</v>
      </c>
      <c r="FE1" t="s">
        <v>402</v>
      </c>
      <c r="FF1" t="s">
        <v>431</v>
      </c>
      <c r="FG1" t="s">
        <v>397</v>
      </c>
      <c r="FH1" t="s">
        <v>398</v>
      </c>
      <c r="FI1" t="s">
        <v>399</v>
      </c>
      <c r="FJ1" t="s">
        <v>400</v>
      </c>
      <c r="FK1" t="s">
        <v>401</v>
      </c>
      <c r="FL1" t="s">
        <v>402</v>
      </c>
      <c r="FM1" t="s">
        <v>432</v>
      </c>
      <c r="FN1" t="s">
        <v>397</v>
      </c>
      <c r="FO1" t="s">
        <v>398</v>
      </c>
      <c r="FP1" t="s">
        <v>399</v>
      </c>
      <c r="FQ1" t="s">
        <v>400</v>
      </c>
      <c r="FR1" t="s">
        <v>401</v>
      </c>
      <c r="FS1" t="s">
        <v>402</v>
      </c>
      <c r="FT1" t="s">
        <v>433</v>
      </c>
      <c r="FU1" t="s">
        <v>397</v>
      </c>
      <c r="FV1" t="s">
        <v>398</v>
      </c>
      <c r="FW1" t="s">
        <v>399</v>
      </c>
      <c r="FX1" t="s">
        <v>400</v>
      </c>
      <c r="FY1" t="s">
        <v>401</v>
      </c>
      <c r="FZ1" t="s">
        <v>402</v>
      </c>
      <c r="GA1" t="s">
        <v>434</v>
      </c>
      <c r="GB1" t="s">
        <v>397</v>
      </c>
      <c r="GC1" t="s">
        <v>398</v>
      </c>
      <c r="GD1" t="s">
        <v>399</v>
      </c>
      <c r="GE1" t="s">
        <v>400</v>
      </c>
      <c r="GF1" t="s">
        <v>401</v>
      </c>
      <c r="GG1" t="s">
        <v>402</v>
      </c>
      <c r="GH1" t="s">
        <v>435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436</v>
      </c>
      <c r="GP1" t="s">
        <v>397</v>
      </c>
      <c r="GQ1" t="s">
        <v>398</v>
      </c>
      <c r="GR1" t="s">
        <v>399</v>
      </c>
      <c r="GS1" t="s">
        <v>400</v>
      </c>
      <c r="GT1" t="s">
        <v>401</v>
      </c>
      <c r="GU1" t="s">
        <v>402</v>
      </c>
      <c r="GV1" t="s">
        <v>437</v>
      </c>
      <c r="GW1" t="s">
        <v>397</v>
      </c>
      <c r="GX1" t="s">
        <v>398</v>
      </c>
      <c r="GY1" t="s">
        <v>399</v>
      </c>
      <c r="GZ1" t="s">
        <v>400</v>
      </c>
      <c r="HA1" t="s">
        <v>401</v>
      </c>
      <c r="HB1" t="s">
        <v>402</v>
      </c>
      <c r="HC1" t="s">
        <v>438</v>
      </c>
      <c r="HD1" t="s">
        <v>397</v>
      </c>
      <c r="HE1" t="s">
        <v>398</v>
      </c>
      <c r="HF1" t="s">
        <v>399</v>
      </c>
      <c r="HG1" t="s">
        <v>400</v>
      </c>
      <c r="HH1" t="s">
        <v>401</v>
      </c>
      <c r="HI1" t="s">
        <v>402</v>
      </c>
      <c r="HJ1" t="s">
        <v>439</v>
      </c>
      <c r="HK1" t="s">
        <v>397</v>
      </c>
      <c r="HL1" t="s">
        <v>398</v>
      </c>
      <c r="HM1" t="s">
        <v>399</v>
      </c>
      <c r="HN1" t="s">
        <v>400</v>
      </c>
      <c r="HO1" t="s">
        <v>401</v>
      </c>
      <c r="HP1" t="s">
        <v>402</v>
      </c>
      <c r="HQ1" t="s">
        <v>440</v>
      </c>
      <c r="HR1" t="s">
        <v>397</v>
      </c>
      <c r="HS1" t="s">
        <v>398</v>
      </c>
      <c r="HT1" t="s">
        <v>399</v>
      </c>
      <c r="HU1" t="s">
        <v>400</v>
      </c>
      <c r="HV1" t="s">
        <v>401</v>
      </c>
      <c r="HW1" t="s">
        <v>402</v>
      </c>
      <c r="HX1" t="s">
        <v>389</v>
      </c>
      <c r="HY1" t="s">
        <v>397</v>
      </c>
      <c r="HZ1" t="s">
        <v>398</v>
      </c>
      <c r="IA1" t="s">
        <v>399</v>
      </c>
      <c r="IB1" t="s">
        <v>400</v>
      </c>
      <c r="IC1" t="s">
        <v>401</v>
      </c>
      <c r="ID1" t="s">
        <v>402</v>
      </c>
      <c r="IE1" t="s">
        <v>441</v>
      </c>
      <c r="IF1" t="s">
        <v>397</v>
      </c>
      <c r="IG1" t="s">
        <v>398</v>
      </c>
      <c r="IH1" t="s">
        <v>399</v>
      </c>
      <c r="II1" t="s">
        <v>400</v>
      </c>
      <c r="IJ1" t="s">
        <v>401</v>
      </c>
      <c r="IK1" t="s">
        <v>402</v>
      </c>
      <c r="IL1" t="s">
        <v>442</v>
      </c>
      <c r="IM1" t="s">
        <v>397</v>
      </c>
      <c r="IN1" t="s">
        <v>398</v>
      </c>
      <c r="IO1" t="s">
        <v>399</v>
      </c>
      <c r="IP1" t="s">
        <v>400</v>
      </c>
      <c r="IQ1" t="s">
        <v>401</v>
      </c>
      <c r="IR1" t="s">
        <v>402</v>
      </c>
      <c r="IS1" t="s">
        <v>93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443</v>
      </c>
      <c r="JA1" t="s">
        <v>397</v>
      </c>
      <c r="JB1" t="s">
        <v>398</v>
      </c>
      <c r="JC1" t="s">
        <v>399</v>
      </c>
      <c r="JD1" t="s">
        <v>400</v>
      </c>
      <c r="JE1" t="s">
        <v>401</v>
      </c>
      <c r="JF1" t="s">
        <v>402</v>
      </c>
      <c r="JG1" t="s">
        <v>444</v>
      </c>
      <c r="JH1" t="s">
        <v>397</v>
      </c>
      <c r="JI1" t="s">
        <v>398</v>
      </c>
      <c r="JJ1" t="s">
        <v>399</v>
      </c>
      <c r="JK1" t="s">
        <v>400</v>
      </c>
      <c r="JL1" t="s">
        <v>401</v>
      </c>
      <c r="JM1" t="s">
        <v>402</v>
      </c>
      <c r="JN1" t="s">
        <v>445</v>
      </c>
      <c r="JO1" t="s">
        <v>397</v>
      </c>
      <c r="JP1" t="s">
        <v>398</v>
      </c>
      <c r="JQ1" t="s">
        <v>399</v>
      </c>
      <c r="JR1" t="s">
        <v>400</v>
      </c>
      <c r="JS1" t="s">
        <v>401</v>
      </c>
      <c r="JT1" t="s">
        <v>402</v>
      </c>
      <c r="JU1" t="s">
        <v>446</v>
      </c>
      <c r="JV1" t="s">
        <v>397</v>
      </c>
      <c r="JW1" t="s">
        <v>398</v>
      </c>
      <c r="JX1" t="s">
        <v>399</v>
      </c>
      <c r="JY1" t="s">
        <v>400</v>
      </c>
      <c r="JZ1" t="s">
        <v>401</v>
      </c>
      <c r="KA1" t="s">
        <v>402</v>
      </c>
      <c r="KB1" t="s">
        <v>385</v>
      </c>
      <c r="KC1" t="s">
        <v>397</v>
      </c>
      <c r="KD1" t="s">
        <v>398</v>
      </c>
      <c r="KE1" t="s">
        <v>399</v>
      </c>
      <c r="KF1" t="s">
        <v>400</v>
      </c>
      <c r="KG1" t="s">
        <v>401</v>
      </c>
      <c r="KH1" t="s">
        <v>402</v>
      </c>
      <c r="KI1" t="s">
        <v>447</v>
      </c>
      <c r="KJ1" t="s">
        <v>397</v>
      </c>
      <c r="KK1" t="s">
        <v>398</v>
      </c>
      <c r="KL1" t="s">
        <v>399</v>
      </c>
      <c r="KM1" t="s">
        <v>400</v>
      </c>
      <c r="KN1" t="s">
        <v>401</v>
      </c>
      <c r="KO1" t="s">
        <v>402</v>
      </c>
      <c r="KP1" t="s">
        <v>448</v>
      </c>
      <c r="KQ1" t="s">
        <v>397</v>
      </c>
      <c r="KR1" t="s">
        <v>398</v>
      </c>
      <c r="KS1" t="s">
        <v>399</v>
      </c>
      <c r="KT1" t="s">
        <v>400</v>
      </c>
      <c r="KU1" t="s">
        <v>401</v>
      </c>
      <c r="KV1" t="s">
        <v>402</v>
      </c>
      <c r="KW1" t="s">
        <v>449</v>
      </c>
      <c r="KX1" t="s">
        <v>397</v>
      </c>
      <c r="KY1" t="s">
        <v>398</v>
      </c>
      <c r="KZ1" t="s">
        <v>399</v>
      </c>
      <c r="LA1" t="s">
        <v>400</v>
      </c>
      <c r="LB1" t="s">
        <v>401</v>
      </c>
      <c r="LC1" t="s">
        <v>402</v>
      </c>
      <c r="LD1" t="s">
        <v>387</v>
      </c>
      <c r="LE1" t="s">
        <v>397</v>
      </c>
      <c r="LF1" t="s">
        <v>398</v>
      </c>
      <c r="LG1" t="s">
        <v>399</v>
      </c>
      <c r="LH1" t="s">
        <v>400</v>
      </c>
      <c r="LI1" t="s">
        <v>401</v>
      </c>
      <c r="LJ1" t="s">
        <v>402</v>
      </c>
      <c r="LK1" t="s">
        <v>450</v>
      </c>
      <c r="LL1" t="s">
        <v>397</v>
      </c>
      <c r="LM1" t="s">
        <v>398</v>
      </c>
      <c r="LN1" t="s">
        <v>399</v>
      </c>
      <c r="LO1" t="s">
        <v>400</v>
      </c>
      <c r="LP1" t="s">
        <v>401</v>
      </c>
      <c r="LQ1" t="s">
        <v>402</v>
      </c>
      <c r="LR1" t="s">
        <v>451</v>
      </c>
      <c r="LS1" t="s">
        <v>397</v>
      </c>
      <c r="LT1" t="s">
        <v>398</v>
      </c>
      <c r="LU1" t="s">
        <v>399</v>
      </c>
      <c r="LV1" t="s">
        <v>400</v>
      </c>
      <c r="LW1" t="s">
        <v>401</v>
      </c>
      <c r="LX1" t="s">
        <v>402</v>
      </c>
      <c r="LY1" t="s">
        <v>84</v>
      </c>
      <c r="LZ1" t="s">
        <v>397</v>
      </c>
      <c r="MA1" t="s">
        <v>398</v>
      </c>
      <c r="MB1" t="s">
        <v>399</v>
      </c>
      <c r="MC1" t="s">
        <v>400</v>
      </c>
      <c r="MD1" t="s">
        <v>401</v>
      </c>
      <c r="ME1" t="s">
        <v>402</v>
      </c>
    </row>
    <row r="2" spans="1:343" x14ac:dyDescent="0.25">
      <c r="B2" s="24"/>
      <c r="C2">
        <v>2</v>
      </c>
      <c r="D2">
        <v>2</v>
      </c>
      <c r="E2">
        <v>2</v>
      </c>
      <c r="F2">
        <v>43579902457</v>
      </c>
      <c r="G2">
        <v>3391</v>
      </c>
      <c r="I2" s="24"/>
      <c r="J2">
        <v>4</v>
      </c>
      <c r="K2">
        <v>4</v>
      </c>
      <c r="L2">
        <v>4</v>
      </c>
      <c r="M2">
        <v>8333358293</v>
      </c>
      <c r="N2">
        <v>2542</v>
      </c>
      <c r="P2" s="24"/>
      <c r="Q2">
        <v>29</v>
      </c>
      <c r="R2">
        <v>30</v>
      </c>
      <c r="S2">
        <v>30</v>
      </c>
      <c r="T2">
        <v>3159579872</v>
      </c>
      <c r="U2">
        <v>2563</v>
      </c>
      <c r="W2" s="24"/>
      <c r="X2">
        <v>62</v>
      </c>
      <c r="Y2">
        <v>62</v>
      </c>
      <c r="Z2">
        <v>62</v>
      </c>
      <c r="AA2">
        <v>557622667</v>
      </c>
      <c r="AB2">
        <v>1973</v>
      </c>
      <c r="AD2" s="24"/>
      <c r="AE2">
        <v>339</v>
      </c>
      <c r="AF2">
        <v>358</v>
      </c>
      <c r="AG2">
        <v>343</v>
      </c>
      <c r="AH2">
        <v>215291506</v>
      </c>
      <c r="AI2">
        <v>2142</v>
      </c>
      <c r="AK2" s="24"/>
      <c r="AL2">
        <v>1132</v>
      </c>
      <c r="AM2">
        <v>1185</v>
      </c>
      <c r="AN2">
        <v>1149</v>
      </c>
      <c r="AO2">
        <v>35496295</v>
      </c>
      <c r="AP2">
        <v>1773</v>
      </c>
      <c r="AR2" s="24"/>
      <c r="AS2">
        <v>2959</v>
      </c>
      <c r="AT2">
        <v>3198</v>
      </c>
      <c r="AU2">
        <v>3119</v>
      </c>
      <c r="AV2">
        <v>18684224</v>
      </c>
      <c r="AW2">
        <v>1719</v>
      </c>
      <c r="AY2" s="24"/>
      <c r="AZ2">
        <v>363520000</v>
      </c>
      <c r="BA2">
        <v>378000197</v>
      </c>
      <c r="BB2">
        <v>370900158</v>
      </c>
      <c r="BC2">
        <v>2121</v>
      </c>
      <c r="BD2">
        <v>1587</v>
      </c>
      <c r="BF2" s="24"/>
      <c r="BG2">
        <v>20520</v>
      </c>
      <c r="BH2">
        <v>20527</v>
      </c>
      <c r="BI2">
        <v>20525</v>
      </c>
      <c r="BJ2">
        <v>1961590</v>
      </c>
      <c r="BK2">
        <v>168</v>
      </c>
      <c r="BM2" s="24"/>
      <c r="BN2">
        <v>5600095</v>
      </c>
      <c r="BO2">
        <v>5716929</v>
      </c>
      <c r="BP2">
        <v>5600126</v>
      </c>
      <c r="BQ2">
        <v>10795</v>
      </c>
      <c r="BR2">
        <v>291</v>
      </c>
      <c r="BT2" s="24"/>
      <c r="BU2">
        <v>1410</v>
      </c>
      <c r="BV2">
        <v>1477</v>
      </c>
      <c r="BW2">
        <v>1449</v>
      </c>
      <c r="BX2">
        <v>25682965</v>
      </c>
      <c r="BY2">
        <v>239</v>
      </c>
      <c r="CA2" s="24"/>
      <c r="CB2">
        <v>234</v>
      </c>
      <c r="CC2">
        <v>242</v>
      </c>
      <c r="CD2">
        <v>241</v>
      </c>
      <c r="CE2">
        <v>83618780</v>
      </c>
      <c r="CF2">
        <v>260</v>
      </c>
      <c r="CH2" s="24"/>
      <c r="CI2">
        <v>21747</v>
      </c>
      <c r="CJ2">
        <v>22500</v>
      </c>
      <c r="CK2">
        <v>21750</v>
      </c>
      <c r="CL2">
        <v>1176359</v>
      </c>
      <c r="CM2">
        <v>160</v>
      </c>
      <c r="CO2" s="24"/>
      <c r="CP2">
        <v>7019</v>
      </c>
      <c r="CQ2">
        <v>7689</v>
      </c>
      <c r="CR2">
        <v>7446</v>
      </c>
      <c r="CS2">
        <v>1032038</v>
      </c>
      <c r="CT2">
        <v>402</v>
      </c>
      <c r="CV2" s="24"/>
      <c r="CW2">
        <v>1219998</v>
      </c>
      <c r="CX2">
        <v>1220029</v>
      </c>
      <c r="CY2">
        <v>1219998</v>
      </c>
      <c r="CZ2">
        <v>9765</v>
      </c>
      <c r="DA2">
        <v>44</v>
      </c>
      <c r="DC2" s="24"/>
      <c r="DD2">
        <v>245</v>
      </c>
      <c r="DE2">
        <v>249</v>
      </c>
      <c r="DF2">
        <v>249</v>
      </c>
      <c r="DG2">
        <v>45806384</v>
      </c>
      <c r="DH2">
        <v>167</v>
      </c>
      <c r="DJ2" s="24"/>
      <c r="DK2">
        <v>33000024</v>
      </c>
      <c r="DL2">
        <v>36589985</v>
      </c>
      <c r="DM2">
        <v>36499994</v>
      </c>
      <c r="DN2">
        <v>372</v>
      </c>
      <c r="DO2">
        <v>110</v>
      </c>
      <c r="DQ2" s="24"/>
      <c r="DR2">
        <v>1109003</v>
      </c>
      <c r="DS2">
        <v>1150185</v>
      </c>
      <c r="DT2">
        <v>1150177</v>
      </c>
      <c r="DU2">
        <v>10748</v>
      </c>
      <c r="DV2">
        <v>222</v>
      </c>
      <c r="DX2" s="24"/>
      <c r="DY2">
        <v>15009545</v>
      </c>
      <c r="DZ2">
        <v>15999999</v>
      </c>
      <c r="EA2">
        <v>15500066</v>
      </c>
      <c r="EB2">
        <v>704</v>
      </c>
      <c r="EC2">
        <v>128</v>
      </c>
      <c r="EE2" s="24"/>
      <c r="EF2">
        <v>156</v>
      </c>
      <c r="EG2">
        <v>163</v>
      </c>
      <c r="EH2">
        <v>162</v>
      </c>
      <c r="EI2">
        <v>87236348</v>
      </c>
      <c r="EJ2">
        <v>190</v>
      </c>
      <c r="EL2" s="24"/>
      <c r="EM2">
        <v>44005</v>
      </c>
      <c r="EN2">
        <v>45000</v>
      </c>
      <c r="EO2">
        <v>44995</v>
      </c>
      <c r="EP2">
        <v>89210</v>
      </c>
      <c r="EQ2">
        <v>671</v>
      </c>
      <c r="ES2" s="24"/>
      <c r="ET2">
        <v>219</v>
      </c>
      <c r="EU2">
        <v>231</v>
      </c>
      <c r="EV2">
        <v>231</v>
      </c>
      <c r="EW2">
        <v>75219036</v>
      </c>
      <c r="EX2">
        <v>684</v>
      </c>
      <c r="EZ2" s="24"/>
      <c r="FA2">
        <v>2950006</v>
      </c>
      <c r="FB2">
        <v>3084495</v>
      </c>
      <c r="FC2">
        <v>3081499</v>
      </c>
      <c r="FD2">
        <v>1987</v>
      </c>
      <c r="FE2">
        <v>23</v>
      </c>
      <c r="FG2" s="24"/>
      <c r="FH2">
        <v>9923</v>
      </c>
      <c r="FI2">
        <v>10354</v>
      </c>
      <c r="FJ2">
        <v>10354</v>
      </c>
      <c r="FK2">
        <v>1297614</v>
      </c>
      <c r="FL2">
        <v>452</v>
      </c>
      <c r="FN2" s="24"/>
      <c r="FO2">
        <v>15835</v>
      </c>
      <c r="FP2">
        <v>15835</v>
      </c>
      <c r="FQ2">
        <v>15835</v>
      </c>
      <c r="FR2">
        <v>152960</v>
      </c>
      <c r="FS2">
        <v>85</v>
      </c>
      <c r="FU2" s="24"/>
      <c r="FV2">
        <v>29055</v>
      </c>
      <c r="FW2">
        <v>30001</v>
      </c>
      <c r="FX2">
        <v>29250</v>
      </c>
      <c r="FY2">
        <v>386951</v>
      </c>
      <c r="FZ2">
        <v>1382</v>
      </c>
      <c r="GB2" s="24"/>
      <c r="GC2">
        <v>94000040</v>
      </c>
      <c r="GD2">
        <v>103998361</v>
      </c>
      <c r="GE2">
        <v>101004759</v>
      </c>
      <c r="GF2">
        <v>175</v>
      </c>
      <c r="GG2">
        <v>113</v>
      </c>
      <c r="GI2" s="24"/>
      <c r="GJ2">
        <v>24500000</v>
      </c>
      <c r="GK2">
        <v>24500019</v>
      </c>
      <c r="GL2">
        <v>24500003</v>
      </c>
      <c r="GM2">
        <v>566</v>
      </c>
      <c r="GN2">
        <v>80</v>
      </c>
      <c r="GP2" s="24"/>
      <c r="GQ2">
        <v>79</v>
      </c>
      <c r="GR2">
        <v>80</v>
      </c>
      <c r="GS2">
        <v>80</v>
      </c>
      <c r="GT2">
        <v>98467795</v>
      </c>
      <c r="GU2">
        <v>112</v>
      </c>
      <c r="GW2" s="24"/>
      <c r="GX2">
        <v>240</v>
      </c>
      <c r="GY2">
        <v>249</v>
      </c>
      <c r="GZ2">
        <v>249</v>
      </c>
      <c r="HA2">
        <v>73917968</v>
      </c>
      <c r="HB2">
        <v>196</v>
      </c>
      <c r="HD2" s="24"/>
      <c r="HE2">
        <v>3480</v>
      </c>
      <c r="HF2">
        <v>3590</v>
      </c>
      <c r="HG2">
        <v>3587</v>
      </c>
      <c r="HH2">
        <v>15685667</v>
      </c>
      <c r="HI2">
        <v>268</v>
      </c>
      <c r="HK2" s="24"/>
      <c r="HL2">
        <v>101003436</v>
      </c>
      <c r="HM2">
        <v>106980152</v>
      </c>
      <c r="HN2">
        <v>103864738</v>
      </c>
      <c r="HO2">
        <v>140</v>
      </c>
      <c r="HP2">
        <v>101</v>
      </c>
      <c r="HR2" s="24"/>
      <c r="HS2">
        <v>9340</v>
      </c>
      <c r="HT2">
        <v>9878</v>
      </c>
      <c r="HU2">
        <v>9340</v>
      </c>
      <c r="HV2">
        <v>266680</v>
      </c>
      <c r="HW2">
        <v>118</v>
      </c>
      <c r="HY2" s="24"/>
      <c r="HZ2">
        <v>8007</v>
      </c>
      <c r="IA2">
        <v>8399</v>
      </c>
      <c r="IB2">
        <v>8379</v>
      </c>
      <c r="IC2">
        <v>1850207</v>
      </c>
      <c r="ID2">
        <v>477</v>
      </c>
      <c r="IF2" s="24"/>
      <c r="IG2">
        <v>2400</v>
      </c>
      <c r="IH2">
        <v>2494</v>
      </c>
      <c r="II2">
        <v>2494</v>
      </c>
      <c r="IJ2">
        <v>1408168</v>
      </c>
      <c r="IK2">
        <v>139</v>
      </c>
      <c r="IM2" s="24"/>
      <c r="IN2">
        <v>95503005</v>
      </c>
      <c r="IO2">
        <v>107914499</v>
      </c>
      <c r="IP2">
        <v>101726471</v>
      </c>
      <c r="IQ2">
        <v>95</v>
      </c>
      <c r="IR2">
        <v>68</v>
      </c>
      <c r="IT2" s="24"/>
      <c r="IU2">
        <v>7649</v>
      </c>
      <c r="IV2">
        <v>7778</v>
      </c>
      <c r="IW2">
        <v>7699</v>
      </c>
      <c r="IX2">
        <v>1020013</v>
      </c>
      <c r="IY2">
        <v>160</v>
      </c>
      <c r="JA2" s="24"/>
      <c r="JB2">
        <v>101257700</v>
      </c>
      <c r="JC2">
        <v>108976150</v>
      </c>
      <c r="JD2">
        <v>104004292</v>
      </c>
      <c r="JE2">
        <v>168</v>
      </c>
      <c r="JF2">
        <v>115</v>
      </c>
      <c r="JH2" s="24"/>
      <c r="JI2">
        <v>90030715</v>
      </c>
      <c r="JJ2">
        <v>109497000</v>
      </c>
      <c r="JK2">
        <v>103494740</v>
      </c>
      <c r="JL2">
        <v>59</v>
      </c>
      <c r="JM2">
        <v>47</v>
      </c>
      <c r="JO2" s="24"/>
      <c r="JP2">
        <v>64</v>
      </c>
      <c r="JQ2">
        <v>69</v>
      </c>
      <c r="JR2">
        <v>69</v>
      </c>
      <c r="JS2">
        <v>69531523</v>
      </c>
      <c r="JT2">
        <v>74</v>
      </c>
      <c r="JV2" s="24"/>
      <c r="JW2">
        <v>60</v>
      </c>
      <c r="JX2">
        <v>63</v>
      </c>
      <c r="JY2">
        <v>61</v>
      </c>
      <c r="JZ2">
        <v>74017477</v>
      </c>
      <c r="KA2">
        <v>104</v>
      </c>
      <c r="KC2" s="24"/>
      <c r="KD2">
        <v>18</v>
      </c>
      <c r="KE2">
        <v>20</v>
      </c>
      <c r="KF2">
        <v>20</v>
      </c>
      <c r="KG2">
        <v>66715061</v>
      </c>
      <c r="KH2">
        <v>299</v>
      </c>
      <c r="KJ2" s="24"/>
      <c r="KK2">
        <v>64</v>
      </c>
      <c r="KL2">
        <v>66</v>
      </c>
      <c r="KM2">
        <v>65</v>
      </c>
      <c r="KN2">
        <v>201916306</v>
      </c>
      <c r="KO2">
        <v>122</v>
      </c>
      <c r="KQ2" s="24"/>
      <c r="KR2">
        <v>112033</v>
      </c>
      <c r="KS2">
        <v>116001</v>
      </c>
      <c r="KT2">
        <v>114999</v>
      </c>
      <c r="KU2">
        <v>83844</v>
      </c>
      <c r="KV2">
        <v>706</v>
      </c>
      <c r="KX2" s="24"/>
      <c r="KY2">
        <v>530</v>
      </c>
      <c r="KZ2">
        <v>615</v>
      </c>
      <c r="LA2">
        <v>598</v>
      </c>
      <c r="LB2">
        <v>5368247</v>
      </c>
      <c r="LC2">
        <v>177</v>
      </c>
      <c r="LE2" s="24"/>
      <c r="LF2">
        <v>290019</v>
      </c>
      <c r="LG2">
        <v>317998</v>
      </c>
      <c r="LH2">
        <v>310211</v>
      </c>
      <c r="LI2">
        <v>156963</v>
      </c>
      <c r="LJ2">
        <v>1181</v>
      </c>
      <c r="LL2" s="24"/>
      <c r="LM2">
        <v>92164</v>
      </c>
      <c r="LN2">
        <v>94000</v>
      </c>
      <c r="LO2">
        <v>92213</v>
      </c>
      <c r="LP2">
        <v>384903</v>
      </c>
      <c r="LQ2">
        <v>1403</v>
      </c>
      <c r="LS2" s="24"/>
      <c r="LT2">
        <v>231</v>
      </c>
      <c r="LU2">
        <v>233</v>
      </c>
      <c r="LV2">
        <v>232</v>
      </c>
      <c r="LW2">
        <v>102688722</v>
      </c>
      <c r="LX2">
        <v>358</v>
      </c>
      <c r="LZ2" s="24"/>
      <c r="MA2">
        <v>61014</v>
      </c>
      <c r="MB2">
        <v>62298</v>
      </c>
      <c r="MC2">
        <v>62248</v>
      </c>
      <c r="MD2">
        <v>1065321</v>
      </c>
      <c r="ME2">
        <v>114</v>
      </c>
    </row>
    <row r="3" spans="1:343" x14ac:dyDescent="0.25">
      <c r="B3" s="24"/>
      <c r="C3">
        <v>2</v>
      </c>
      <c r="D3">
        <v>2</v>
      </c>
      <c r="E3">
        <v>2</v>
      </c>
      <c r="F3">
        <v>41032427457</v>
      </c>
      <c r="G3">
        <v>3060</v>
      </c>
      <c r="I3" s="24"/>
      <c r="J3">
        <v>4</v>
      </c>
      <c r="K3">
        <v>4</v>
      </c>
      <c r="L3">
        <v>4</v>
      </c>
      <c r="M3">
        <v>6573578260</v>
      </c>
      <c r="N3">
        <v>2302</v>
      </c>
      <c r="P3" s="24"/>
      <c r="Q3">
        <v>29</v>
      </c>
      <c r="R3">
        <v>30</v>
      </c>
      <c r="S3">
        <v>30</v>
      </c>
      <c r="T3">
        <v>2685412938</v>
      </c>
      <c r="U3">
        <v>2172</v>
      </c>
      <c r="W3" s="24"/>
      <c r="X3">
        <v>62</v>
      </c>
      <c r="Y3">
        <v>62</v>
      </c>
      <c r="Z3">
        <v>62</v>
      </c>
      <c r="AA3">
        <v>425644841</v>
      </c>
      <c r="AB3">
        <v>1637</v>
      </c>
      <c r="AD3" s="24"/>
      <c r="AE3">
        <v>374</v>
      </c>
      <c r="AF3">
        <v>392</v>
      </c>
      <c r="AG3">
        <v>377</v>
      </c>
      <c r="AH3">
        <v>145882586</v>
      </c>
      <c r="AI3">
        <v>1860</v>
      </c>
      <c r="AK3" s="24"/>
      <c r="AL3">
        <v>1111</v>
      </c>
      <c r="AM3">
        <v>1146</v>
      </c>
      <c r="AN3">
        <v>1135</v>
      </c>
      <c r="AO3">
        <v>30466608</v>
      </c>
      <c r="AP3">
        <v>1446</v>
      </c>
      <c r="AR3" s="24"/>
      <c r="AS3">
        <v>3018</v>
      </c>
      <c r="AT3">
        <v>3147</v>
      </c>
      <c r="AU3">
        <v>3081</v>
      </c>
      <c r="AV3">
        <v>18768947</v>
      </c>
      <c r="AW3">
        <v>1479</v>
      </c>
      <c r="AY3" s="24"/>
      <c r="AZ3">
        <v>365200000</v>
      </c>
      <c r="BA3">
        <v>377989869</v>
      </c>
      <c r="BB3">
        <v>372501391</v>
      </c>
      <c r="BC3">
        <v>1798</v>
      </c>
      <c r="BD3">
        <v>1332</v>
      </c>
      <c r="BF3" s="24"/>
      <c r="BG3">
        <v>20532</v>
      </c>
      <c r="BH3">
        <v>20534</v>
      </c>
      <c r="BI3">
        <v>20533</v>
      </c>
      <c r="BJ3">
        <v>1773777</v>
      </c>
      <c r="BK3">
        <v>185</v>
      </c>
      <c r="BM3" s="24"/>
      <c r="BN3">
        <v>5600210</v>
      </c>
      <c r="BO3">
        <v>5774997</v>
      </c>
      <c r="BP3">
        <v>5601409</v>
      </c>
      <c r="BQ3">
        <v>9009</v>
      </c>
      <c r="BR3">
        <v>283</v>
      </c>
      <c r="BT3" s="24"/>
      <c r="BU3">
        <v>1461</v>
      </c>
      <c r="BV3">
        <v>1461</v>
      </c>
      <c r="BW3">
        <v>1461</v>
      </c>
      <c r="BX3">
        <v>21130568</v>
      </c>
      <c r="BY3">
        <v>219</v>
      </c>
      <c r="CA3" s="24"/>
      <c r="CB3">
        <v>233</v>
      </c>
      <c r="CC3">
        <v>241</v>
      </c>
      <c r="CD3">
        <v>234</v>
      </c>
      <c r="CE3">
        <v>101774515</v>
      </c>
      <c r="CF3">
        <v>277</v>
      </c>
      <c r="CH3" s="24"/>
      <c r="CI3">
        <v>21756</v>
      </c>
      <c r="CJ3">
        <v>21756</v>
      </c>
      <c r="CK3">
        <v>21756</v>
      </c>
      <c r="CL3">
        <v>1331680</v>
      </c>
      <c r="CM3">
        <v>141</v>
      </c>
      <c r="CO3" s="24"/>
      <c r="CP3">
        <v>7400</v>
      </c>
      <c r="CQ3">
        <v>7799</v>
      </c>
      <c r="CR3">
        <v>7694</v>
      </c>
      <c r="CS3">
        <v>1260208</v>
      </c>
      <c r="CT3">
        <v>465</v>
      </c>
      <c r="CV3" s="24"/>
      <c r="CW3">
        <v>1272992</v>
      </c>
      <c r="CX3">
        <v>1272992</v>
      </c>
      <c r="CY3">
        <v>1272992</v>
      </c>
      <c r="CZ3">
        <v>5141</v>
      </c>
      <c r="DA3">
        <v>37</v>
      </c>
      <c r="DC3" s="24"/>
      <c r="DD3">
        <v>244</v>
      </c>
      <c r="DE3">
        <v>249</v>
      </c>
      <c r="DF3">
        <v>248</v>
      </c>
      <c r="DG3">
        <v>46772538</v>
      </c>
      <c r="DH3">
        <v>157</v>
      </c>
      <c r="DJ3" s="24"/>
      <c r="DK3">
        <v>33705061</v>
      </c>
      <c r="DL3">
        <v>36500000</v>
      </c>
      <c r="DM3">
        <v>34500042</v>
      </c>
      <c r="DN3">
        <v>541</v>
      </c>
      <c r="DO3">
        <v>134</v>
      </c>
      <c r="DQ3" s="24"/>
      <c r="DR3">
        <v>1109036</v>
      </c>
      <c r="DS3">
        <v>1198998</v>
      </c>
      <c r="DT3">
        <v>1109078</v>
      </c>
      <c r="DU3">
        <v>9217</v>
      </c>
      <c r="DV3">
        <v>255</v>
      </c>
      <c r="DX3" s="24"/>
      <c r="DY3">
        <v>15501003</v>
      </c>
      <c r="DZ3">
        <v>15999999</v>
      </c>
      <c r="EA3">
        <v>15999999</v>
      </c>
      <c r="EB3">
        <v>775</v>
      </c>
      <c r="EC3">
        <v>131</v>
      </c>
      <c r="EE3" s="24"/>
      <c r="EF3">
        <v>158</v>
      </c>
      <c r="EG3">
        <v>164</v>
      </c>
      <c r="EH3">
        <v>162</v>
      </c>
      <c r="EI3">
        <v>90769513</v>
      </c>
      <c r="EJ3">
        <v>191</v>
      </c>
      <c r="EL3" s="24"/>
      <c r="EM3">
        <v>45008</v>
      </c>
      <c r="EN3">
        <v>45020</v>
      </c>
      <c r="EO3">
        <v>45019</v>
      </c>
      <c r="EP3">
        <v>74098</v>
      </c>
      <c r="EQ3">
        <v>640</v>
      </c>
      <c r="ES3" s="24"/>
      <c r="ET3">
        <v>243</v>
      </c>
      <c r="EU3">
        <v>253</v>
      </c>
      <c r="EV3">
        <v>248</v>
      </c>
      <c r="EW3">
        <v>42116648</v>
      </c>
      <c r="EX3">
        <v>630</v>
      </c>
      <c r="EZ3" s="24"/>
      <c r="FA3">
        <v>2950012</v>
      </c>
      <c r="FB3">
        <v>2950013</v>
      </c>
      <c r="FC3">
        <v>2950012</v>
      </c>
      <c r="FD3">
        <v>1369</v>
      </c>
      <c r="FE3">
        <v>26</v>
      </c>
      <c r="FG3" s="24"/>
      <c r="FH3">
        <v>10373</v>
      </c>
      <c r="FI3">
        <v>10374</v>
      </c>
      <c r="FJ3">
        <v>10374</v>
      </c>
      <c r="FK3">
        <v>2359334</v>
      </c>
      <c r="FL3">
        <v>455</v>
      </c>
      <c r="FN3" s="24"/>
      <c r="FO3">
        <v>16832</v>
      </c>
      <c r="FP3">
        <v>16832</v>
      </c>
      <c r="FQ3">
        <v>16832</v>
      </c>
      <c r="FR3">
        <v>123252</v>
      </c>
      <c r="FS3">
        <v>79</v>
      </c>
      <c r="FU3" s="24"/>
      <c r="FV3">
        <v>29600</v>
      </c>
      <c r="FW3">
        <v>29611</v>
      </c>
      <c r="FX3">
        <v>29604</v>
      </c>
      <c r="FY3">
        <v>280436</v>
      </c>
      <c r="FZ3">
        <v>1315</v>
      </c>
      <c r="GB3" s="24"/>
      <c r="GC3">
        <v>100095885</v>
      </c>
      <c r="GD3">
        <v>103990505</v>
      </c>
      <c r="GE3">
        <v>101258457</v>
      </c>
      <c r="GF3">
        <v>135</v>
      </c>
      <c r="GG3">
        <v>83</v>
      </c>
      <c r="GI3" s="24"/>
      <c r="GJ3">
        <v>24602012</v>
      </c>
      <c r="GK3">
        <v>25599996</v>
      </c>
      <c r="GL3">
        <v>25000000</v>
      </c>
      <c r="GM3">
        <v>417</v>
      </c>
      <c r="GN3">
        <v>89</v>
      </c>
      <c r="GP3" s="24"/>
      <c r="GQ3">
        <v>80</v>
      </c>
      <c r="GR3">
        <v>82</v>
      </c>
      <c r="GS3">
        <v>80</v>
      </c>
      <c r="GT3">
        <v>93067340</v>
      </c>
      <c r="GU3">
        <v>107</v>
      </c>
      <c r="GW3" s="24"/>
      <c r="GX3">
        <v>241</v>
      </c>
      <c r="GY3">
        <v>248</v>
      </c>
      <c r="GZ3">
        <v>247</v>
      </c>
      <c r="HA3">
        <v>57456608</v>
      </c>
      <c r="HB3">
        <v>217</v>
      </c>
      <c r="HD3" s="24"/>
      <c r="HE3">
        <v>3586</v>
      </c>
      <c r="HF3">
        <v>3587</v>
      </c>
      <c r="HG3">
        <v>3587</v>
      </c>
      <c r="HH3">
        <v>18269413</v>
      </c>
      <c r="HI3">
        <v>278</v>
      </c>
      <c r="HK3" s="24"/>
      <c r="HL3">
        <v>101271048</v>
      </c>
      <c r="HM3">
        <v>106951500</v>
      </c>
      <c r="HN3">
        <v>104302060</v>
      </c>
      <c r="HO3">
        <v>65</v>
      </c>
      <c r="HP3">
        <v>50</v>
      </c>
      <c r="HR3" s="24"/>
      <c r="HS3">
        <v>9343</v>
      </c>
      <c r="HT3">
        <v>9734</v>
      </c>
      <c r="HU3">
        <v>9697</v>
      </c>
      <c r="HV3">
        <v>521456</v>
      </c>
      <c r="HW3">
        <v>122</v>
      </c>
      <c r="HY3" s="24"/>
      <c r="HZ3">
        <v>8107</v>
      </c>
      <c r="IA3">
        <v>8399</v>
      </c>
      <c r="IB3">
        <v>8377</v>
      </c>
      <c r="IC3">
        <v>2376592</v>
      </c>
      <c r="ID3">
        <v>478</v>
      </c>
      <c r="IF3" s="24"/>
      <c r="IG3">
        <v>2398</v>
      </c>
      <c r="IH3">
        <v>2428</v>
      </c>
      <c r="II3">
        <v>2419</v>
      </c>
      <c r="IJ3">
        <v>2851823</v>
      </c>
      <c r="IK3">
        <v>156</v>
      </c>
      <c r="IM3" s="24"/>
      <c r="IN3">
        <v>97504000</v>
      </c>
      <c r="IO3">
        <v>102995689</v>
      </c>
      <c r="IP3">
        <v>100212652</v>
      </c>
      <c r="IQ3">
        <v>99</v>
      </c>
      <c r="IR3">
        <v>61</v>
      </c>
      <c r="IT3" s="24"/>
      <c r="IU3">
        <v>7778</v>
      </c>
      <c r="IV3">
        <v>7778</v>
      </c>
      <c r="IW3">
        <v>7778</v>
      </c>
      <c r="IX3">
        <v>1209437</v>
      </c>
      <c r="IY3">
        <v>127</v>
      </c>
      <c r="JA3" s="24"/>
      <c r="JB3">
        <v>101271421</v>
      </c>
      <c r="JC3">
        <v>108949505</v>
      </c>
      <c r="JD3">
        <v>104513478</v>
      </c>
      <c r="JE3">
        <v>100</v>
      </c>
      <c r="JF3">
        <v>65</v>
      </c>
      <c r="JH3" s="24"/>
      <c r="JI3">
        <v>96000156</v>
      </c>
      <c r="JJ3">
        <v>101992000</v>
      </c>
      <c r="JK3">
        <v>99930058</v>
      </c>
      <c r="JL3">
        <v>84</v>
      </c>
      <c r="JM3">
        <v>49</v>
      </c>
      <c r="JO3" s="24"/>
      <c r="JP3">
        <v>66</v>
      </c>
      <c r="JQ3">
        <v>68</v>
      </c>
      <c r="JR3">
        <v>67</v>
      </c>
      <c r="JS3">
        <v>176790863</v>
      </c>
      <c r="JT3">
        <v>135</v>
      </c>
      <c r="JV3" s="24"/>
      <c r="JW3">
        <v>62</v>
      </c>
      <c r="JX3">
        <v>63</v>
      </c>
      <c r="JY3">
        <v>63</v>
      </c>
      <c r="JZ3">
        <v>148191206</v>
      </c>
      <c r="KA3">
        <v>139</v>
      </c>
      <c r="KC3" s="24"/>
      <c r="KD3">
        <v>18</v>
      </c>
      <c r="KE3">
        <v>20</v>
      </c>
      <c r="KF3">
        <v>19</v>
      </c>
      <c r="KG3">
        <v>55827337</v>
      </c>
      <c r="KH3">
        <v>333</v>
      </c>
      <c r="KJ3" s="24"/>
      <c r="KK3">
        <v>64</v>
      </c>
      <c r="KL3">
        <v>67</v>
      </c>
      <c r="KM3">
        <v>66</v>
      </c>
      <c r="KN3">
        <v>104171830</v>
      </c>
      <c r="KO3">
        <v>131</v>
      </c>
      <c r="KQ3" s="24"/>
      <c r="KR3">
        <v>114001</v>
      </c>
      <c r="KS3">
        <v>117541</v>
      </c>
      <c r="KT3">
        <v>115000</v>
      </c>
      <c r="KU3">
        <v>88551</v>
      </c>
      <c r="KV3">
        <v>636</v>
      </c>
      <c r="KX3" s="24"/>
      <c r="KY3">
        <v>535</v>
      </c>
      <c r="KZ3">
        <v>584</v>
      </c>
      <c r="LA3">
        <v>579</v>
      </c>
      <c r="LB3">
        <v>4774700</v>
      </c>
      <c r="LC3">
        <v>184</v>
      </c>
      <c r="LE3" s="24"/>
      <c r="LF3">
        <v>305005</v>
      </c>
      <c r="LG3">
        <v>315000</v>
      </c>
      <c r="LH3">
        <v>306000</v>
      </c>
      <c r="LI3">
        <v>153215</v>
      </c>
      <c r="LJ3">
        <v>1133</v>
      </c>
      <c r="LL3" s="24"/>
      <c r="LM3">
        <v>93037</v>
      </c>
      <c r="LN3">
        <v>97338</v>
      </c>
      <c r="LO3">
        <v>93051</v>
      </c>
      <c r="LP3">
        <v>319158</v>
      </c>
      <c r="LQ3">
        <v>1364</v>
      </c>
      <c r="LS3" s="24"/>
      <c r="LT3">
        <v>227</v>
      </c>
      <c r="LU3">
        <v>233</v>
      </c>
      <c r="LV3">
        <v>233</v>
      </c>
      <c r="LW3">
        <v>113353562</v>
      </c>
      <c r="LX3">
        <v>371</v>
      </c>
      <c r="LZ3" s="24"/>
      <c r="MA3">
        <v>61500</v>
      </c>
      <c r="MB3">
        <v>62241</v>
      </c>
      <c r="MC3">
        <v>62198</v>
      </c>
      <c r="MD3">
        <v>573542</v>
      </c>
      <c r="ME3">
        <v>73</v>
      </c>
    </row>
    <row r="4" spans="1:343" x14ac:dyDescent="0.25">
      <c r="B4" s="24"/>
      <c r="C4">
        <v>2</v>
      </c>
      <c r="D4">
        <v>2</v>
      </c>
      <c r="E4">
        <v>2</v>
      </c>
      <c r="F4">
        <v>30151929994</v>
      </c>
      <c r="G4">
        <v>3065</v>
      </c>
      <c r="I4" s="24"/>
      <c r="J4">
        <v>4</v>
      </c>
      <c r="K4">
        <v>4</v>
      </c>
      <c r="L4">
        <v>4</v>
      </c>
      <c r="M4">
        <v>8548548164</v>
      </c>
      <c r="N4">
        <v>2401</v>
      </c>
      <c r="P4" s="24"/>
      <c r="Q4">
        <v>29</v>
      </c>
      <c r="R4">
        <v>30</v>
      </c>
      <c r="S4">
        <v>29</v>
      </c>
      <c r="T4">
        <v>2005273537</v>
      </c>
      <c r="U4">
        <v>2203</v>
      </c>
      <c r="W4" s="24"/>
      <c r="X4">
        <v>61</v>
      </c>
      <c r="Y4">
        <v>62</v>
      </c>
      <c r="Z4">
        <v>62</v>
      </c>
      <c r="AA4">
        <v>722263812</v>
      </c>
      <c r="AB4">
        <v>1774</v>
      </c>
      <c r="AD4" s="24"/>
      <c r="AE4">
        <v>385</v>
      </c>
      <c r="AF4">
        <v>393</v>
      </c>
      <c r="AG4">
        <v>392</v>
      </c>
      <c r="AH4">
        <v>106025675</v>
      </c>
      <c r="AI4">
        <v>1840</v>
      </c>
      <c r="AK4" s="24"/>
      <c r="AL4">
        <v>1091</v>
      </c>
      <c r="AM4">
        <v>1125</v>
      </c>
      <c r="AN4">
        <v>1110</v>
      </c>
      <c r="AO4">
        <v>45487377</v>
      </c>
      <c r="AP4">
        <v>1459</v>
      </c>
      <c r="AR4" s="24"/>
      <c r="AS4">
        <v>3033</v>
      </c>
      <c r="AT4">
        <v>3099</v>
      </c>
      <c r="AU4">
        <v>3097</v>
      </c>
      <c r="AV4">
        <v>14488241</v>
      </c>
      <c r="AW4">
        <v>1384</v>
      </c>
      <c r="AY4" s="24"/>
      <c r="AZ4">
        <v>366179877</v>
      </c>
      <c r="BA4">
        <v>372900000</v>
      </c>
      <c r="BB4">
        <v>369999999</v>
      </c>
      <c r="BC4">
        <v>1904</v>
      </c>
      <c r="BD4">
        <v>1375</v>
      </c>
      <c r="BF4" s="24"/>
      <c r="BG4">
        <v>20735</v>
      </c>
      <c r="BH4">
        <v>20735</v>
      </c>
      <c r="BI4">
        <v>20735</v>
      </c>
      <c r="BJ4">
        <v>2029170</v>
      </c>
      <c r="BK4">
        <v>179</v>
      </c>
      <c r="BM4" s="24"/>
      <c r="BN4">
        <v>5606495</v>
      </c>
      <c r="BO4">
        <v>5798997</v>
      </c>
      <c r="BP4">
        <v>5632001</v>
      </c>
      <c r="BQ4">
        <v>10075</v>
      </c>
      <c r="BR4">
        <v>362</v>
      </c>
      <c r="BT4" s="24"/>
      <c r="BU4">
        <v>1430</v>
      </c>
      <c r="BV4">
        <v>1461</v>
      </c>
      <c r="BW4">
        <v>1459</v>
      </c>
      <c r="BX4">
        <v>28246697</v>
      </c>
      <c r="BY4">
        <v>243</v>
      </c>
      <c r="CA4" s="24"/>
      <c r="CB4">
        <v>220</v>
      </c>
      <c r="CC4">
        <v>231</v>
      </c>
      <c r="CD4">
        <v>222</v>
      </c>
      <c r="CE4">
        <v>100157992</v>
      </c>
      <c r="CF4">
        <v>263</v>
      </c>
      <c r="CH4" s="24"/>
      <c r="CI4">
        <v>22000</v>
      </c>
      <c r="CJ4">
        <v>22005</v>
      </c>
      <c r="CK4">
        <v>22001</v>
      </c>
      <c r="CL4">
        <v>928326</v>
      </c>
      <c r="CM4">
        <v>146</v>
      </c>
      <c r="CO4" s="24"/>
      <c r="CP4">
        <v>7396</v>
      </c>
      <c r="CQ4">
        <v>7848</v>
      </c>
      <c r="CR4">
        <v>7500</v>
      </c>
      <c r="CS4">
        <v>1062312</v>
      </c>
      <c r="CT4">
        <v>363</v>
      </c>
      <c r="CV4" s="24"/>
      <c r="CW4">
        <v>1269999</v>
      </c>
      <c r="CX4">
        <v>1329998</v>
      </c>
      <c r="CY4">
        <v>1269999</v>
      </c>
      <c r="CZ4">
        <v>14856</v>
      </c>
      <c r="DA4">
        <v>49</v>
      </c>
      <c r="DC4" s="24"/>
      <c r="DD4">
        <v>240</v>
      </c>
      <c r="DE4">
        <v>246</v>
      </c>
      <c r="DF4">
        <v>246</v>
      </c>
      <c r="DG4">
        <v>40495752</v>
      </c>
      <c r="DH4">
        <v>165</v>
      </c>
      <c r="DJ4" s="24"/>
      <c r="DK4">
        <v>34604014</v>
      </c>
      <c r="DL4">
        <v>37591999</v>
      </c>
      <c r="DM4">
        <v>35850000</v>
      </c>
      <c r="DN4">
        <v>392</v>
      </c>
      <c r="DO4">
        <v>133</v>
      </c>
      <c r="DQ4" s="24"/>
      <c r="DR4">
        <v>1111000</v>
      </c>
      <c r="DS4">
        <v>1198383</v>
      </c>
      <c r="DT4">
        <v>1150000</v>
      </c>
      <c r="DU4">
        <v>7963</v>
      </c>
      <c r="DV4">
        <v>212</v>
      </c>
      <c r="DX4" s="24"/>
      <c r="DY4">
        <v>15506001</v>
      </c>
      <c r="DZ4">
        <v>15608021</v>
      </c>
      <c r="EA4">
        <v>15608011</v>
      </c>
      <c r="EB4">
        <v>468</v>
      </c>
      <c r="EC4">
        <v>91</v>
      </c>
      <c r="EE4" s="24"/>
      <c r="EF4">
        <v>158</v>
      </c>
      <c r="EG4">
        <v>164</v>
      </c>
      <c r="EH4">
        <v>164</v>
      </c>
      <c r="EI4">
        <v>114418544</v>
      </c>
      <c r="EJ4">
        <v>207</v>
      </c>
      <c r="EL4" s="24"/>
      <c r="EM4">
        <v>45021</v>
      </c>
      <c r="EN4">
        <v>45990</v>
      </c>
      <c r="EO4">
        <v>45025</v>
      </c>
      <c r="EP4">
        <v>71734</v>
      </c>
      <c r="EQ4">
        <v>696</v>
      </c>
      <c r="ES4" s="24"/>
      <c r="ET4">
        <v>227</v>
      </c>
      <c r="EU4">
        <v>240</v>
      </c>
      <c r="EV4">
        <v>237</v>
      </c>
      <c r="EW4">
        <v>48107543</v>
      </c>
      <c r="EX4">
        <v>504</v>
      </c>
      <c r="EZ4" s="24"/>
      <c r="FA4">
        <v>2950006</v>
      </c>
      <c r="FB4">
        <v>3046786</v>
      </c>
      <c r="FC4">
        <v>2950012</v>
      </c>
      <c r="FD4">
        <v>717</v>
      </c>
      <c r="FE4">
        <v>17</v>
      </c>
      <c r="FG4" s="24"/>
      <c r="FH4">
        <v>10499</v>
      </c>
      <c r="FI4">
        <v>10681</v>
      </c>
      <c r="FJ4">
        <v>10598</v>
      </c>
      <c r="FK4">
        <v>1571756</v>
      </c>
      <c r="FL4">
        <v>451</v>
      </c>
      <c r="FN4" s="24"/>
      <c r="FO4">
        <v>16830</v>
      </c>
      <c r="FP4">
        <v>16832</v>
      </c>
      <c r="FQ4">
        <v>16830</v>
      </c>
      <c r="FR4">
        <v>244690</v>
      </c>
      <c r="FS4">
        <v>112</v>
      </c>
      <c r="FU4" s="24"/>
      <c r="FV4">
        <v>29611</v>
      </c>
      <c r="FW4">
        <v>30010</v>
      </c>
      <c r="FX4">
        <v>29803</v>
      </c>
      <c r="FY4">
        <v>436385</v>
      </c>
      <c r="FZ4">
        <v>1429</v>
      </c>
      <c r="GB4" s="24"/>
      <c r="GC4">
        <v>105001784</v>
      </c>
      <c r="GD4">
        <v>107995000</v>
      </c>
      <c r="GE4">
        <v>107499994</v>
      </c>
      <c r="GF4">
        <v>142</v>
      </c>
      <c r="GG4">
        <v>82</v>
      </c>
      <c r="GI4" s="24"/>
      <c r="GJ4">
        <v>24608000</v>
      </c>
      <c r="GK4">
        <v>25000000</v>
      </c>
      <c r="GL4">
        <v>24608001</v>
      </c>
      <c r="GM4">
        <v>350</v>
      </c>
      <c r="GN4">
        <v>71</v>
      </c>
      <c r="GP4" s="24"/>
      <c r="GQ4">
        <v>81</v>
      </c>
      <c r="GR4">
        <v>83</v>
      </c>
      <c r="GS4">
        <v>83</v>
      </c>
      <c r="GT4">
        <v>91290449</v>
      </c>
      <c r="GU4">
        <v>108</v>
      </c>
      <c r="GW4" s="24"/>
      <c r="GX4">
        <v>244</v>
      </c>
      <c r="GY4">
        <v>244</v>
      </c>
      <c r="GZ4">
        <v>244</v>
      </c>
      <c r="HA4">
        <v>45411050</v>
      </c>
      <c r="HB4">
        <v>161</v>
      </c>
      <c r="HD4" s="24"/>
      <c r="HE4">
        <v>3637</v>
      </c>
      <c r="HF4">
        <v>3778</v>
      </c>
      <c r="HG4">
        <v>3725</v>
      </c>
      <c r="HH4">
        <v>15097321</v>
      </c>
      <c r="HI4">
        <v>268</v>
      </c>
      <c r="HK4" s="24"/>
      <c r="HL4">
        <v>103006064</v>
      </c>
      <c r="HM4">
        <v>106930672</v>
      </c>
      <c r="HN4">
        <v>105999902</v>
      </c>
      <c r="HO4">
        <v>174</v>
      </c>
      <c r="HP4">
        <v>99</v>
      </c>
      <c r="HR4" s="24"/>
      <c r="HS4">
        <v>9343</v>
      </c>
      <c r="HT4">
        <v>9343</v>
      </c>
      <c r="HU4">
        <v>9343</v>
      </c>
      <c r="HV4">
        <v>935741</v>
      </c>
      <c r="HW4">
        <v>145</v>
      </c>
      <c r="HY4" s="24"/>
      <c r="HZ4">
        <v>7950</v>
      </c>
      <c r="IA4">
        <v>8199</v>
      </c>
      <c r="IB4">
        <v>8099</v>
      </c>
      <c r="IC4">
        <v>1885941</v>
      </c>
      <c r="ID4">
        <v>429</v>
      </c>
      <c r="IF4" s="24"/>
      <c r="IG4">
        <v>2428</v>
      </c>
      <c r="IH4">
        <v>2428</v>
      </c>
      <c r="II4">
        <v>2428</v>
      </c>
      <c r="IJ4">
        <v>1448018</v>
      </c>
      <c r="IK4">
        <v>147</v>
      </c>
      <c r="IM4" s="24"/>
      <c r="IN4">
        <v>99000000</v>
      </c>
      <c r="IO4">
        <v>102888679</v>
      </c>
      <c r="IP4">
        <v>101857654</v>
      </c>
      <c r="IQ4">
        <v>77</v>
      </c>
      <c r="IR4">
        <v>53</v>
      </c>
      <c r="IT4" s="24"/>
      <c r="IU4">
        <v>7675</v>
      </c>
      <c r="IV4">
        <v>7778</v>
      </c>
      <c r="IW4">
        <v>7778</v>
      </c>
      <c r="IX4">
        <v>1844588</v>
      </c>
      <c r="IY4">
        <v>193</v>
      </c>
      <c r="JA4" s="24"/>
      <c r="JB4">
        <v>107078779</v>
      </c>
      <c r="JC4">
        <v>108888888</v>
      </c>
      <c r="JD4">
        <v>108873939</v>
      </c>
      <c r="JE4">
        <v>111</v>
      </c>
      <c r="JF4">
        <v>67</v>
      </c>
      <c r="JH4" s="24"/>
      <c r="JI4">
        <v>101888888</v>
      </c>
      <c r="JJ4">
        <v>108889600</v>
      </c>
      <c r="JK4">
        <v>104003855</v>
      </c>
      <c r="JL4">
        <v>131</v>
      </c>
      <c r="JM4">
        <v>57</v>
      </c>
      <c r="JO4" s="24"/>
      <c r="JP4">
        <v>66</v>
      </c>
      <c r="JQ4">
        <v>68</v>
      </c>
      <c r="JR4">
        <v>68</v>
      </c>
      <c r="JS4">
        <v>114999518</v>
      </c>
      <c r="JT4">
        <v>120</v>
      </c>
      <c r="JV4" s="24"/>
      <c r="JW4">
        <v>61</v>
      </c>
      <c r="JX4">
        <v>63</v>
      </c>
      <c r="JY4">
        <v>63</v>
      </c>
      <c r="JZ4">
        <v>133716699</v>
      </c>
      <c r="KA4">
        <v>113</v>
      </c>
      <c r="KC4" s="24"/>
      <c r="KD4">
        <v>18</v>
      </c>
      <c r="KE4">
        <v>19</v>
      </c>
      <c r="KF4">
        <v>19</v>
      </c>
      <c r="KG4">
        <v>53831005</v>
      </c>
      <c r="KH4">
        <v>262</v>
      </c>
      <c r="KJ4" s="24"/>
      <c r="KK4">
        <v>64</v>
      </c>
      <c r="KL4">
        <v>68</v>
      </c>
      <c r="KM4">
        <v>67</v>
      </c>
      <c r="KN4">
        <v>105905642</v>
      </c>
      <c r="KO4">
        <v>132</v>
      </c>
      <c r="KQ4" s="24"/>
      <c r="KR4">
        <v>114000</v>
      </c>
      <c r="KS4">
        <v>116543</v>
      </c>
      <c r="KT4">
        <v>114003</v>
      </c>
      <c r="KU4">
        <v>95734</v>
      </c>
      <c r="KV4">
        <v>707</v>
      </c>
      <c r="KX4" s="24"/>
      <c r="KY4">
        <v>538</v>
      </c>
      <c r="KZ4">
        <v>571</v>
      </c>
      <c r="LA4">
        <v>559</v>
      </c>
      <c r="LB4">
        <v>8945261</v>
      </c>
      <c r="LC4">
        <v>217</v>
      </c>
      <c r="LE4" s="24"/>
      <c r="LF4">
        <v>307253</v>
      </c>
      <c r="LG4">
        <v>315876</v>
      </c>
      <c r="LH4">
        <v>308101</v>
      </c>
      <c r="LI4">
        <v>129688</v>
      </c>
      <c r="LJ4">
        <v>1174</v>
      </c>
      <c r="LL4" s="24"/>
      <c r="LM4">
        <v>93500</v>
      </c>
      <c r="LN4">
        <v>93799</v>
      </c>
      <c r="LO4">
        <v>93510</v>
      </c>
      <c r="LP4">
        <v>410651</v>
      </c>
      <c r="LQ4">
        <v>1440</v>
      </c>
      <c r="LS4" s="24"/>
      <c r="LT4">
        <v>228</v>
      </c>
      <c r="LU4">
        <v>233</v>
      </c>
      <c r="LV4">
        <v>233</v>
      </c>
      <c r="LW4">
        <v>110619995</v>
      </c>
      <c r="LX4">
        <v>319</v>
      </c>
      <c r="LZ4" s="24"/>
      <c r="MA4">
        <v>60110</v>
      </c>
      <c r="MB4">
        <v>62045</v>
      </c>
      <c r="MC4">
        <v>60271</v>
      </c>
      <c r="MD4">
        <v>1525556</v>
      </c>
      <c r="ME4">
        <v>139</v>
      </c>
    </row>
    <row r="5" spans="1:343" x14ac:dyDescent="0.25">
      <c r="B5" s="24"/>
      <c r="C5">
        <v>2</v>
      </c>
      <c r="D5">
        <v>2</v>
      </c>
      <c r="E5">
        <v>2</v>
      </c>
      <c r="F5">
        <v>43568504710</v>
      </c>
      <c r="G5">
        <v>3372</v>
      </c>
      <c r="I5" s="24"/>
      <c r="J5">
        <v>4</v>
      </c>
      <c r="K5">
        <v>4</v>
      </c>
      <c r="L5">
        <v>4</v>
      </c>
      <c r="M5">
        <v>9649909864</v>
      </c>
      <c r="N5">
        <v>2524</v>
      </c>
      <c r="P5" s="24"/>
      <c r="Q5">
        <v>29</v>
      </c>
      <c r="R5">
        <v>29</v>
      </c>
      <c r="S5">
        <v>29</v>
      </c>
      <c r="T5">
        <v>2187344951</v>
      </c>
      <c r="U5">
        <v>2238</v>
      </c>
      <c r="W5" s="24"/>
      <c r="X5">
        <v>61</v>
      </c>
      <c r="Y5">
        <v>62</v>
      </c>
      <c r="Z5">
        <v>62</v>
      </c>
      <c r="AA5">
        <v>443403768</v>
      </c>
      <c r="AB5">
        <v>1768</v>
      </c>
      <c r="AD5" s="24"/>
      <c r="AE5">
        <v>379</v>
      </c>
      <c r="AF5">
        <v>391</v>
      </c>
      <c r="AG5">
        <v>382</v>
      </c>
      <c r="AH5">
        <v>148635235</v>
      </c>
      <c r="AI5">
        <v>1910</v>
      </c>
      <c r="AK5" s="24"/>
      <c r="AL5">
        <v>1093</v>
      </c>
      <c r="AM5">
        <v>1130</v>
      </c>
      <c r="AN5">
        <v>1124</v>
      </c>
      <c r="AO5">
        <v>44170905</v>
      </c>
      <c r="AP5">
        <v>1605</v>
      </c>
      <c r="AR5" s="24"/>
      <c r="AS5">
        <v>3081</v>
      </c>
      <c r="AT5">
        <v>3500</v>
      </c>
      <c r="AU5">
        <v>3138</v>
      </c>
      <c r="AV5">
        <v>22967363</v>
      </c>
      <c r="AW5">
        <v>1550</v>
      </c>
      <c r="AY5" s="24"/>
      <c r="AZ5">
        <v>358120240</v>
      </c>
      <c r="BA5">
        <v>366995505</v>
      </c>
      <c r="BB5">
        <v>361010351</v>
      </c>
      <c r="BC5">
        <v>2312</v>
      </c>
      <c r="BD5">
        <v>1559</v>
      </c>
      <c r="BF5" s="24"/>
      <c r="BG5">
        <v>20832</v>
      </c>
      <c r="BH5">
        <v>21832</v>
      </c>
      <c r="BI5">
        <v>20931</v>
      </c>
      <c r="BJ5">
        <v>2054473</v>
      </c>
      <c r="BK5">
        <v>189</v>
      </c>
      <c r="BM5" s="24"/>
      <c r="BN5">
        <v>5700009</v>
      </c>
      <c r="BO5">
        <v>5995999</v>
      </c>
      <c r="BP5">
        <v>5718071</v>
      </c>
      <c r="BQ5">
        <v>12396</v>
      </c>
      <c r="BR5">
        <v>357</v>
      </c>
      <c r="BT5" s="24"/>
      <c r="BU5">
        <v>1418</v>
      </c>
      <c r="BV5">
        <v>1461</v>
      </c>
      <c r="BW5">
        <v>1426</v>
      </c>
      <c r="BX5">
        <v>24480362</v>
      </c>
      <c r="BY5">
        <v>245</v>
      </c>
      <c r="CA5" s="24"/>
      <c r="CB5">
        <v>224</v>
      </c>
      <c r="CC5">
        <v>231</v>
      </c>
      <c r="CD5">
        <v>231</v>
      </c>
      <c r="CE5">
        <v>97552703</v>
      </c>
      <c r="CF5">
        <v>308</v>
      </c>
      <c r="CH5" s="24"/>
      <c r="CI5">
        <v>22006</v>
      </c>
      <c r="CJ5">
        <v>23389</v>
      </c>
      <c r="CK5">
        <v>22007</v>
      </c>
      <c r="CL5">
        <v>788689</v>
      </c>
      <c r="CM5">
        <v>182</v>
      </c>
      <c r="CO5" s="24"/>
      <c r="CP5">
        <v>7134</v>
      </c>
      <c r="CQ5">
        <v>7694</v>
      </c>
      <c r="CR5">
        <v>7647</v>
      </c>
      <c r="CS5">
        <v>1674513</v>
      </c>
      <c r="CT5">
        <v>562</v>
      </c>
      <c r="CV5" s="24"/>
      <c r="CW5">
        <v>1300000</v>
      </c>
      <c r="CX5">
        <v>1336000</v>
      </c>
      <c r="CY5">
        <v>1336000</v>
      </c>
      <c r="CZ5">
        <v>5617</v>
      </c>
      <c r="DA5">
        <v>32</v>
      </c>
      <c r="DC5" s="24"/>
      <c r="DD5">
        <v>246</v>
      </c>
      <c r="DE5">
        <v>246</v>
      </c>
      <c r="DF5">
        <v>246</v>
      </c>
      <c r="DG5">
        <v>49630329</v>
      </c>
      <c r="DH5">
        <v>170</v>
      </c>
      <c r="DJ5" s="24"/>
      <c r="DK5">
        <v>35000001</v>
      </c>
      <c r="DL5">
        <v>38000000</v>
      </c>
      <c r="DM5">
        <v>37739895</v>
      </c>
      <c r="DN5">
        <v>470</v>
      </c>
      <c r="DO5">
        <v>127</v>
      </c>
      <c r="DQ5" s="24"/>
      <c r="DR5">
        <v>1114003</v>
      </c>
      <c r="DS5">
        <v>1199999</v>
      </c>
      <c r="DT5">
        <v>1167999</v>
      </c>
      <c r="DU5">
        <v>9819</v>
      </c>
      <c r="DV5">
        <v>257</v>
      </c>
      <c r="DX5" s="24"/>
      <c r="DY5">
        <v>15609002</v>
      </c>
      <c r="DZ5">
        <v>15899989</v>
      </c>
      <c r="EA5">
        <v>15609004</v>
      </c>
      <c r="EB5">
        <v>450</v>
      </c>
      <c r="EC5">
        <v>96</v>
      </c>
      <c r="EE5" s="24"/>
      <c r="EF5">
        <v>146</v>
      </c>
      <c r="EG5">
        <v>161</v>
      </c>
      <c r="EH5">
        <v>155</v>
      </c>
      <c r="EI5">
        <v>98711289</v>
      </c>
      <c r="EJ5">
        <v>220</v>
      </c>
      <c r="EL5" s="24"/>
      <c r="EM5">
        <v>45021</v>
      </c>
      <c r="EN5">
        <v>45028</v>
      </c>
      <c r="EO5">
        <v>45025</v>
      </c>
      <c r="EP5">
        <v>69652</v>
      </c>
      <c r="EQ5">
        <v>773</v>
      </c>
      <c r="ES5" s="24"/>
      <c r="ET5">
        <v>233</v>
      </c>
      <c r="EU5">
        <v>234</v>
      </c>
      <c r="EV5">
        <v>234</v>
      </c>
      <c r="EW5">
        <v>38014901</v>
      </c>
      <c r="EX5">
        <v>567</v>
      </c>
      <c r="EZ5" s="24"/>
      <c r="FA5">
        <v>3046782</v>
      </c>
      <c r="FB5">
        <v>3046782</v>
      </c>
      <c r="FC5">
        <v>3046782</v>
      </c>
      <c r="FD5">
        <v>1178</v>
      </c>
      <c r="FE5">
        <v>18</v>
      </c>
      <c r="FG5" s="24"/>
      <c r="FH5">
        <v>10300</v>
      </c>
      <c r="FI5">
        <v>10684</v>
      </c>
      <c r="FJ5">
        <v>10683</v>
      </c>
      <c r="FK5">
        <v>2685834</v>
      </c>
      <c r="FL5">
        <v>617</v>
      </c>
      <c r="FN5" s="24"/>
      <c r="FO5">
        <v>16599</v>
      </c>
      <c r="FP5">
        <v>16831</v>
      </c>
      <c r="FQ5">
        <v>16830</v>
      </c>
      <c r="FR5">
        <v>286846</v>
      </c>
      <c r="FS5">
        <v>103</v>
      </c>
      <c r="FU5" s="24"/>
      <c r="FV5">
        <v>30027</v>
      </c>
      <c r="FW5">
        <v>30251</v>
      </c>
      <c r="FX5">
        <v>30030</v>
      </c>
      <c r="FY5">
        <v>363868</v>
      </c>
      <c r="FZ5">
        <v>1571</v>
      </c>
      <c r="GB5" s="24"/>
      <c r="GC5">
        <v>99887272</v>
      </c>
      <c r="GD5">
        <v>104005600</v>
      </c>
      <c r="GE5">
        <v>104004154</v>
      </c>
      <c r="GF5">
        <v>123</v>
      </c>
      <c r="GG5">
        <v>74</v>
      </c>
      <c r="GI5" s="24"/>
      <c r="GJ5">
        <v>24610002</v>
      </c>
      <c r="GK5">
        <v>24611000</v>
      </c>
      <c r="GL5">
        <v>24610014</v>
      </c>
      <c r="GM5">
        <v>461</v>
      </c>
      <c r="GN5">
        <v>77</v>
      </c>
      <c r="GP5" s="24"/>
      <c r="GQ5">
        <v>82</v>
      </c>
      <c r="GR5">
        <v>84</v>
      </c>
      <c r="GS5">
        <v>84</v>
      </c>
      <c r="GT5">
        <v>164927826</v>
      </c>
      <c r="GU5">
        <v>150</v>
      </c>
      <c r="GW5" s="24"/>
      <c r="GX5">
        <v>245</v>
      </c>
      <c r="GY5">
        <v>253</v>
      </c>
      <c r="GZ5">
        <v>246</v>
      </c>
      <c r="HA5">
        <v>55494496</v>
      </c>
      <c r="HB5">
        <v>206</v>
      </c>
      <c r="HD5" s="24"/>
      <c r="HE5">
        <v>3670</v>
      </c>
      <c r="HF5">
        <v>3817</v>
      </c>
      <c r="HG5">
        <v>3816</v>
      </c>
      <c r="HH5">
        <v>11241969</v>
      </c>
      <c r="HI5">
        <v>253</v>
      </c>
      <c r="HK5" s="24"/>
      <c r="HL5">
        <v>93011652</v>
      </c>
      <c r="HM5">
        <v>99979738</v>
      </c>
      <c r="HN5">
        <v>97055522</v>
      </c>
      <c r="HO5">
        <v>91</v>
      </c>
      <c r="HP5">
        <v>62</v>
      </c>
      <c r="HR5" s="24"/>
      <c r="HS5">
        <v>9594</v>
      </c>
      <c r="HT5">
        <v>9595</v>
      </c>
      <c r="HU5">
        <v>9595</v>
      </c>
      <c r="HV5">
        <v>976033</v>
      </c>
      <c r="HW5">
        <v>198</v>
      </c>
      <c r="HY5" s="24"/>
      <c r="HZ5">
        <v>7677</v>
      </c>
      <c r="IA5">
        <v>7980</v>
      </c>
      <c r="IB5">
        <v>7977</v>
      </c>
      <c r="IC5">
        <v>3111044</v>
      </c>
      <c r="ID5">
        <v>630</v>
      </c>
      <c r="IF5" s="24"/>
      <c r="IG5">
        <v>2250</v>
      </c>
      <c r="IH5">
        <v>2428</v>
      </c>
      <c r="II5">
        <v>2424</v>
      </c>
      <c r="IJ5">
        <v>2177423</v>
      </c>
      <c r="IK5">
        <v>153</v>
      </c>
      <c r="IM5" s="24"/>
      <c r="IN5">
        <v>99010005</v>
      </c>
      <c r="IO5">
        <v>102994600</v>
      </c>
      <c r="IP5">
        <v>101871034</v>
      </c>
      <c r="IQ5">
        <v>97</v>
      </c>
      <c r="IR5">
        <v>68</v>
      </c>
      <c r="IT5" s="24"/>
      <c r="IU5">
        <v>7471</v>
      </c>
      <c r="IV5">
        <v>7778</v>
      </c>
      <c r="IW5">
        <v>7775</v>
      </c>
      <c r="IX5">
        <v>1403101</v>
      </c>
      <c r="IY5">
        <v>152</v>
      </c>
      <c r="JA5" s="24"/>
      <c r="JB5">
        <v>105017900</v>
      </c>
      <c r="JC5">
        <v>108416795</v>
      </c>
      <c r="JD5">
        <v>106692758</v>
      </c>
      <c r="JE5">
        <v>73</v>
      </c>
      <c r="JF5">
        <v>53</v>
      </c>
      <c r="JH5" s="24"/>
      <c r="JI5">
        <v>105011315</v>
      </c>
      <c r="JJ5">
        <v>108797383</v>
      </c>
      <c r="JK5">
        <v>106757336</v>
      </c>
      <c r="JL5">
        <v>61</v>
      </c>
      <c r="JM5">
        <v>44</v>
      </c>
      <c r="JO5" s="24"/>
      <c r="JP5">
        <v>65</v>
      </c>
      <c r="JQ5">
        <v>66</v>
      </c>
      <c r="JR5">
        <v>65</v>
      </c>
      <c r="JS5">
        <v>74337466</v>
      </c>
      <c r="JT5">
        <v>95</v>
      </c>
      <c r="JV5" s="24"/>
      <c r="JW5">
        <v>62</v>
      </c>
      <c r="JX5">
        <v>64</v>
      </c>
      <c r="JY5">
        <v>62</v>
      </c>
      <c r="JZ5">
        <v>99644762</v>
      </c>
      <c r="KA5">
        <v>122</v>
      </c>
      <c r="KC5" s="24"/>
      <c r="KD5">
        <v>19</v>
      </c>
      <c r="KE5">
        <v>19</v>
      </c>
      <c r="KF5">
        <v>19</v>
      </c>
      <c r="KG5">
        <v>58335520</v>
      </c>
      <c r="KH5">
        <v>317</v>
      </c>
      <c r="KJ5" s="24"/>
      <c r="KK5">
        <v>67</v>
      </c>
      <c r="KL5">
        <v>67</v>
      </c>
      <c r="KM5">
        <v>67</v>
      </c>
      <c r="KN5">
        <v>237502873</v>
      </c>
      <c r="KO5">
        <v>124</v>
      </c>
      <c r="KQ5" s="24"/>
      <c r="KR5">
        <v>114085</v>
      </c>
      <c r="KS5">
        <v>116570</v>
      </c>
      <c r="KT5">
        <v>116000</v>
      </c>
      <c r="KU5">
        <v>51587</v>
      </c>
      <c r="KV5">
        <v>770</v>
      </c>
      <c r="KX5" s="24"/>
      <c r="KY5">
        <v>490</v>
      </c>
      <c r="KZ5">
        <v>551</v>
      </c>
      <c r="LA5">
        <v>507</v>
      </c>
      <c r="LB5">
        <v>7650611</v>
      </c>
      <c r="LC5">
        <v>188</v>
      </c>
      <c r="LE5" s="24"/>
      <c r="LF5">
        <v>311011</v>
      </c>
      <c r="LG5">
        <v>313001</v>
      </c>
      <c r="LH5">
        <v>312520</v>
      </c>
      <c r="LI5">
        <v>143693</v>
      </c>
      <c r="LJ5">
        <v>1231</v>
      </c>
      <c r="LL5" s="24"/>
      <c r="LM5">
        <v>93702</v>
      </c>
      <c r="LN5">
        <v>94000</v>
      </c>
      <c r="LO5">
        <v>93702</v>
      </c>
      <c r="LP5">
        <v>356598</v>
      </c>
      <c r="LQ5">
        <v>1571</v>
      </c>
      <c r="LS5" s="24"/>
      <c r="LT5">
        <v>233</v>
      </c>
      <c r="LU5">
        <v>233</v>
      </c>
      <c r="LV5">
        <v>233</v>
      </c>
      <c r="LW5">
        <v>101408149</v>
      </c>
      <c r="LX5">
        <v>368</v>
      </c>
      <c r="LZ5" s="24"/>
      <c r="MA5">
        <v>58824</v>
      </c>
      <c r="MB5">
        <v>61169</v>
      </c>
      <c r="MC5">
        <v>60159</v>
      </c>
      <c r="MD5">
        <v>930697</v>
      </c>
      <c r="ME5">
        <v>93</v>
      </c>
    </row>
    <row r="6" spans="1:343" x14ac:dyDescent="0.25">
      <c r="B6" s="24"/>
      <c r="C6">
        <v>2</v>
      </c>
      <c r="D6">
        <v>2</v>
      </c>
      <c r="E6">
        <v>2</v>
      </c>
      <c r="F6">
        <v>39016407673</v>
      </c>
      <c r="G6">
        <v>3766</v>
      </c>
      <c r="I6" s="24"/>
      <c r="J6">
        <v>4</v>
      </c>
      <c r="K6">
        <v>4</v>
      </c>
      <c r="L6">
        <v>4</v>
      </c>
      <c r="M6">
        <v>8261223590</v>
      </c>
      <c r="N6">
        <v>2840</v>
      </c>
      <c r="P6" s="24"/>
      <c r="Q6">
        <v>29</v>
      </c>
      <c r="R6">
        <v>29</v>
      </c>
      <c r="S6">
        <v>29</v>
      </c>
      <c r="T6">
        <v>2279952178</v>
      </c>
      <c r="U6">
        <v>2493</v>
      </c>
      <c r="W6" s="24"/>
      <c r="X6">
        <v>60</v>
      </c>
      <c r="Y6">
        <v>61</v>
      </c>
      <c r="Z6">
        <v>61</v>
      </c>
      <c r="AA6">
        <v>355439842</v>
      </c>
      <c r="AB6">
        <v>2017</v>
      </c>
      <c r="AD6" s="24"/>
      <c r="AE6">
        <v>390</v>
      </c>
      <c r="AF6">
        <v>398</v>
      </c>
      <c r="AG6">
        <v>396</v>
      </c>
      <c r="AH6">
        <v>141242495</v>
      </c>
      <c r="AI6">
        <v>2145</v>
      </c>
      <c r="AK6" s="24"/>
      <c r="AL6">
        <v>1110</v>
      </c>
      <c r="AM6">
        <v>1140</v>
      </c>
      <c r="AN6">
        <v>1137</v>
      </c>
      <c r="AO6">
        <v>41298666</v>
      </c>
      <c r="AP6">
        <v>1824</v>
      </c>
      <c r="AR6" s="24"/>
      <c r="AS6">
        <v>3272</v>
      </c>
      <c r="AT6">
        <v>3390</v>
      </c>
      <c r="AU6">
        <v>3375</v>
      </c>
      <c r="AV6">
        <v>18483401</v>
      </c>
      <c r="AW6">
        <v>1670</v>
      </c>
      <c r="AY6" s="24"/>
      <c r="AZ6">
        <v>359999861</v>
      </c>
      <c r="BA6">
        <v>367949886</v>
      </c>
      <c r="BB6">
        <v>361749470</v>
      </c>
      <c r="BC6">
        <v>1933</v>
      </c>
      <c r="BD6">
        <v>1438</v>
      </c>
      <c r="BF6" s="24"/>
      <c r="BG6">
        <v>21633</v>
      </c>
      <c r="BH6">
        <v>22000</v>
      </c>
      <c r="BI6">
        <v>21651</v>
      </c>
      <c r="BJ6">
        <v>3123111</v>
      </c>
      <c r="BK6">
        <v>245</v>
      </c>
      <c r="BM6" s="24"/>
      <c r="BN6">
        <v>5720201</v>
      </c>
      <c r="BO6">
        <v>5800000</v>
      </c>
      <c r="BP6">
        <v>5721082</v>
      </c>
      <c r="BQ6">
        <v>9620</v>
      </c>
      <c r="BR6">
        <v>317</v>
      </c>
      <c r="BT6" s="24"/>
      <c r="BU6">
        <v>1422</v>
      </c>
      <c r="BV6">
        <v>1456</v>
      </c>
      <c r="BW6">
        <v>1455</v>
      </c>
      <c r="BX6">
        <v>30268830</v>
      </c>
      <c r="BY6">
        <v>292</v>
      </c>
      <c r="CA6" s="24"/>
      <c r="CB6">
        <v>230</v>
      </c>
      <c r="CC6">
        <v>230</v>
      </c>
      <c r="CD6">
        <v>230</v>
      </c>
      <c r="CE6">
        <v>89334121</v>
      </c>
      <c r="CF6">
        <v>247</v>
      </c>
      <c r="CH6" s="24"/>
      <c r="CI6">
        <v>23001</v>
      </c>
      <c r="CJ6">
        <v>23003</v>
      </c>
      <c r="CK6">
        <v>23001</v>
      </c>
      <c r="CL6">
        <v>1190898</v>
      </c>
      <c r="CM6">
        <v>172</v>
      </c>
      <c r="CO6" s="24"/>
      <c r="CP6">
        <v>7305</v>
      </c>
      <c r="CQ6">
        <v>7848</v>
      </c>
      <c r="CR6">
        <v>7787</v>
      </c>
      <c r="CS6">
        <v>1135292</v>
      </c>
      <c r="CT6">
        <v>446</v>
      </c>
      <c r="CV6" s="24"/>
      <c r="CW6">
        <v>1250070</v>
      </c>
      <c r="CX6">
        <v>1329999</v>
      </c>
      <c r="CY6">
        <v>1270000</v>
      </c>
      <c r="CZ6">
        <v>10764</v>
      </c>
      <c r="DA6">
        <v>62</v>
      </c>
      <c r="DC6" s="24"/>
      <c r="DD6">
        <v>246</v>
      </c>
      <c r="DE6">
        <v>246</v>
      </c>
      <c r="DF6">
        <v>246</v>
      </c>
      <c r="DG6">
        <v>37769397</v>
      </c>
      <c r="DH6">
        <v>157</v>
      </c>
      <c r="DJ6" s="24"/>
      <c r="DK6">
        <v>37008186</v>
      </c>
      <c r="DL6">
        <v>37999999</v>
      </c>
      <c r="DM6">
        <v>37008233</v>
      </c>
      <c r="DN6">
        <v>410</v>
      </c>
      <c r="DO6">
        <v>134</v>
      </c>
      <c r="DQ6" s="24"/>
      <c r="DR6">
        <v>1158062</v>
      </c>
      <c r="DS6">
        <v>1277996</v>
      </c>
      <c r="DT6">
        <v>1250022</v>
      </c>
      <c r="DU6">
        <v>7511</v>
      </c>
      <c r="DV6">
        <v>241</v>
      </c>
      <c r="DX6" s="24"/>
      <c r="DY6">
        <v>15609018</v>
      </c>
      <c r="DZ6">
        <v>16350000</v>
      </c>
      <c r="EA6">
        <v>15999979</v>
      </c>
      <c r="EB6">
        <v>893</v>
      </c>
      <c r="EC6">
        <v>197</v>
      </c>
      <c r="EE6" s="24"/>
      <c r="EF6">
        <v>150</v>
      </c>
      <c r="EG6">
        <v>156</v>
      </c>
      <c r="EH6">
        <v>156</v>
      </c>
      <c r="EI6">
        <v>172533951</v>
      </c>
      <c r="EJ6">
        <v>329</v>
      </c>
      <c r="EL6" s="24"/>
      <c r="EM6">
        <v>45000</v>
      </c>
      <c r="EN6">
        <v>45024</v>
      </c>
      <c r="EO6">
        <v>45022</v>
      </c>
      <c r="EP6">
        <v>72727</v>
      </c>
      <c r="EQ6">
        <v>845</v>
      </c>
      <c r="ES6" s="24"/>
      <c r="ET6">
        <v>233</v>
      </c>
      <c r="EU6">
        <v>237</v>
      </c>
      <c r="EV6">
        <v>236</v>
      </c>
      <c r="EW6">
        <v>39110585</v>
      </c>
      <c r="EX6">
        <v>641</v>
      </c>
      <c r="EZ6" s="24"/>
      <c r="FA6">
        <v>2800001</v>
      </c>
      <c r="FB6">
        <v>3043999</v>
      </c>
      <c r="FC6">
        <v>3043997</v>
      </c>
      <c r="FD6">
        <v>1065</v>
      </c>
      <c r="FE6">
        <v>23</v>
      </c>
      <c r="FG6" s="24"/>
      <c r="FH6">
        <v>10500</v>
      </c>
      <c r="FI6">
        <v>10784</v>
      </c>
      <c r="FJ6">
        <v>10685</v>
      </c>
      <c r="FK6">
        <v>1895710</v>
      </c>
      <c r="FL6">
        <v>541</v>
      </c>
      <c r="FN6" s="24"/>
      <c r="FO6">
        <v>15500</v>
      </c>
      <c r="FP6">
        <v>16596</v>
      </c>
      <c r="FQ6">
        <v>16205</v>
      </c>
      <c r="FR6">
        <v>301144</v>
      </c>
      <c r="FS6">
        <v>111</v>
      </c>
      <c r="FU6" s="24"/>
      <c r="FV6">
        <v>30034</v>
      </c>
      <c r="FW6">
        <v>30189</v>
      </c>
      <c r="FX6">
        <v>30044</v>
      </c>
      <c r="FY6">
        <v>410698</v>
      </c>
      <c r="FZ6">
        <v>1685</v>
      </c>
      <c r="GB6" s="24"/>
      <c r="GC6">
        <v>99839901</v>
      </c>
      <c r="GD6">
        <v>107854999</v>
      </c>
      <c r="GE6">
        <v>101958586</v>
      </c>
      <c r="GF6">
        <v>88</v>
      </c>
      <c r="GG6">
        <v>70</v>
      </c>
      <c r="GI6" s="24"/>
      <c r="GJ6">
        <v>24609000</v>
      </c>
      <c r="GK6">
        <v>24701001</v>
      </c>
      <c r="GL6">
        <v>24609002</v>
      </c>
      <c r="GM6">
        <v>251</v>
      </c>
      <c r="GN6">
        <v>61</v>
      </c>
      <c r="GP6" s="24"/>
      <c r="GQ6">
        <v>82</v>
      </c>
      <c r="GR6">
        <v>89</v>
      </c>
      <c r="GS6">
        <v>85</v>
      </c>
      <c r="GT6">
        <v>166362006</v>
      </c>
      <c r="GU6">
        <v>168</v>
      </c>
      <c r="GW6" s="24"/>
      <c r="GX6">
        <v>249</v>
      </c>
      <c r="GY6">
        <v>252</v>
      </c>
      <c r="GZ6">
        <v>252</v>
      </c>
      <c r="HA6">
        <v>31861950</v>
      </c>
      <c r="HB6">
        <v>203</v>
      </c>
      <c r="HD6" s="24"/>
      <c r="HE6">
        <v>3789</v>
      </c>
      <c r="HF6">
        <v>3799</v>
      </c>
      <c r="HG6">
        <v>3799</v>
      </c>
      <c r="HH6">
        <v>21983798</v>
      </c>
      <c r="HI6">
        <v>335</v>
      </c>
      <c r="HK6" s="24"/>
      <c r="HL6">
        <v>99972430</v>
      </c>
      <c r="HM6">
        <v>99984861</v>
      </c>
      <c r="HN6">
        <v>99973207</v>
      </c>
      <c r="HO6">
        <v>102</v>
      </c>
      <c r="HP6">
        <v>78</v>
      </c>
      <c r="HR6" s="24"/>
      <c r="HS6">
        <v>9221</v>
      </c>
      <c r="HT6">
        <v>9699</v>
      </c>
      <c r="HU6">
        <v>9669</v>
      </c>
      <c r="HV6">
        <v>459424</v>
      </c>
      <c r="HW6">
        <v>168</v>
      </c>
      <c r="HY6" s="24"/>
      <c r="HZ6">
        <v>7979</v>
      </c>
      <c r="IA6">
        <v>8434</v>
      </c>
      <c r="IB6">
        <v>8089</v>
      </c>
      <c r="IC6">
        <v>2499940</v>
      </c>
      <c r="ID6">
        <v>579</v>
      </c>
      <c r="IF6" s="24"/>
      <c r="IG6">
        <v>2351</v>
      </c>
      <c r="IH6">
        <v>2424</v>
      </c>
      <c r="II6">
        <v>2423</v>
      </c>
      <c r="IJ6">
        <v>2662580</v>
      </c>
      <c r="IK6">
        <v>170</v>
      </c>
      <c r="IM6" s="24"/>
      <c r="IN6">
        <v>102000000</v>
      </c>
      <c r="IO6">
        <v>107888000</v>
      </c>
      <c r="IP6">
        <v>106594421</v>
      </c>
      <c r="IQ6">
        <v>47</v>
      </c>
      <c r="IR6">
        <v>46</v>
      </c>
      <c r="IT6" s="24"/>
      <c r="IU6">
        <v>7610</v>
      </c>
      <c r="IV6">
        <v>7778</v>
      </c>
      <c r="IW6">
        <v>7699</v>
      </c>
      <c r="IX6">
        <v>1683098</v>
      </c>
      <c r="IY6">
        <v>194</v>
      </c>
      <c r="JA6" s="24"/>
      <c r="JB6">
        <v>105030800</v>
      </c>
      <c r="JC6">
        <v>107890000</v>
      </c>
      <c r="JD6">
        <v>106623777</v>
      </c>
      <c r="JE6">
        <v>79</v>
      </c>
      <c r="JF6">
        <v>68</v>
      </c>
      <c r="JH6" s="24"/>
      <c r="JI6">
        <v>105033300</v>
      </c>
      <c r="JJ6">
        <v>107200299</v>
      </c>
      <c r="JK6">
        <v>105882192</v>
      </c>
      <c r="JL6">
        <v>53</v>
      </c>
      <c r="JM6">
        <v>43</v>
      </c>
      <c r="JO6" s="24"/>
      <c r="JP6">
        <v>59</v>
      </c>
      <c r="JQ6">
        <v>62</v>
      </c>
      <c r="JR6">
        <v>59</v>
      </c>
      <c r="JS6">
        <v>221128357</v>
      </c>
      <c r="JT6">
        <v>134</v>
      </c>
      <c r="JV6" s="24"/>
      <c r="JW6">
        <v>64</v>
      </c>
      <c r="JX6">
        <v>64</v>
      </c>
      <c r="JY6">
        <v>64</v>
      </c>
      <c r="JZ6">
        <v>154609003</v>
      </c>
      <c r="KA6">
        <v>127</v>
      </c>
      <c r="KC6" s="24"/>
      <c r="KD6">
        <v>16</v>
      </c>
      <c r="KE6">
        <v>19</v>
      </c>
      <c r="KF6">
        <v>18</v>
      </c>
      <c r="KG6">
        <v>63334518</v>
      </c>
      <c r="KH6">
        <v>312</v>
      </c>
      <c r="KJ6" s="24"/>
      <c r="KK6">
        <v>65</v>
      </c>
      <c r="KL6">
        <v>70</v>
      </c>
      <c r="KM6">
        <v>67</v>
      </c>
      <c r="KN6">
        <v>208826498</v>
      </c>
      <c r="KO6">
        <v>184</v>
      </c>
      <c r="KQ6" s="24"/>
      <c r="KR6">
        <v>114092</v>
      </c>
      <c r="KS6">
        <v>116700</v>
      </c>
      <c r="KT6">
        <v>114112</v>
      </c>
      <c r="KU6">
        <v>68642</v>
      </c>
      <c r="KV6">
        <v>845</v>
      </c>
      <c r="KX6" s="24"/>
      <c r="KY6">
        <v>491</v>
      </c>
      <c r="KZ6">
        <v>520</v>
      </c>
      <c r="LA6">
        <v>515</v>
      </c>
      <c r="LB6">
        <v>9013021</v>
      </c>
      <c r="LC6">
        <v>225</v>
      </c>
      <c r="LE6" s="24"/>
      <c r="LF6">
        <v>310004</v>
      </c>
      <c r="LG6">
        <v>312761</v>
      </c>
      <c r="LH6">
        <v>310010</v>
      </c>
      <c r="LI6">
        <v>157234</v>
      </c>
      <c r="LJ6">
        <v>1310</v>
      </c>
      <c r="LL6" s="24"/>
      <c r="LM6">
        <v>93250</v>
      </c>
      <c r="LN6">
        <v>93623</v>
      </c>
      <c r="LO6">
        <v>93300</v>
      </c>
      <c r="LP6">
        <v>486215</v>
      </c>
      <c r="LQ6">
        <v>1790</v>
      </c>
      <c r="LS6" s="24"/>
      <c r="LT6">
        <v>228</v>
      </c>
      <c r="LU6">
        <v>233</v>
      </c>
      <c r="LV6">
        <v>232</v>
      </c>
      <c r="LW6">
        <v>136867863</v>
      </c>
      <c r="LX6">
        <v>392</v>
      </c>
      <c r="LZ6" s="24"/>
      <c r="MA6">
        <v>59880</v>
      </c>
      <c r="MB6">
        <v>61158</v>
      </c>
      <c r="MC6">
        <v>61152</v>
      </c>
      <c r="MD6">
        <v>841219</v>
      </c>
      <c r="ME6">
        <v>86</v>
      </c>
    </row>
    <row r="7" spans="1:343" x14ac:dyDescent="0.25">
      <c r="B7" s="24"/>
      <c r="C7">
        <v>2</v>
      </c>
      <c r="D7">
        <v>2</v>
      </c>
      <c r="E7">
        <v>2</v>
      </c>
      <c r="F7">
        <v>45650019672</v>
      </c>
      <c r="G7">
        <v>2901</v>
      </c>
      <c r="I7" s="24"/>
      <c r="J7">
        <v>4</v>
      </c>
      <c r="K7">
        <v>4</v>
      </c>
      <c r="L7">
        <v>4</v>
      </c>
      <c r="M7">
        <v>7567967842</v>
      </c>
      <c r="N7">
        <v>2244</v>
      </c>
      <c r="P7" s="24"/>
      <c r="Q7">
        <v>29</v>
      </c>
      <c r="R7">
        <v>29</v>
      </c>
      <c r="S7">
        <v>29</v>
      </c>
      <c r="T7">
        <v>2024595891</v>
      </c>
      <c r="U7">
        <v>2039</v>
      </c>
      <c r="W7" s="24"/>
      <c r="X7">
        <v>60</v>
      </c>
      <c r="Y7">
        <v>61</v>
      </c>
      <c r="Z7">
        <v>61</v>
      </c>
      <c r="AA7">
        <v>386111750</v>
      </c>
      <c r="AB7">
        <v>1625</v>
      </c>
      <c r="AD7" s="24"/>
      <c r="AE7">
        <v>403</v>
      </c>
      <c r="AF7">
        <v>443</v>
      </c>
      <c r="AG7">
        <v>422</v>
      </c>
      <c r="AH7">
        <v>105443066</v>
      </c>
      <c r="AI7">
        <v>1807</v>
      </c>
      <c r="AK7" s="24"/>
      <c r="AL7">
        <v>1111</v>
      </c>
      <c r="AM7">
        <v>1136</v>
      </c>
      <c r="AN7">
        <v>1133</v>
      </c>
      <c r="AO7">
        <v>30704531</v>
      </c>
      <c r="AP7">
        <v>1403</v>
      </c>
      <c r="AR7" s="24"/>
      <c r="AS7">
        <v>3240</v>
      </c>
      <c r="AT7">
        <v>3340</v>
      </c>
      <c r="AU7">
        <v>3300</v>
      </c>
      <c r="AV7">
        <v>16172773</v>
      </c>
      <c r="AW7">
        <v>1363</v>
      </c>
      <c r="AY7" s="24"/>
      <c r="AZ7">
        <v>367151000</v>
      </c>
      <c r="BA7">
        <v>373148750</v>
      </c>
      <c r="BB7">
        <v>369502402</v>
      </c>
      <c r="BC7">
        <v>1659</v>
      </c>
      <c r="BD7">
        <v>1179</v>
      </c>
      <c r="BF7" s="24"/>
      <c r="BG7">
        <v>21732</v>
      </c>
      <c r="BH7">
        <v>22999</v>
      </c>
      <c r="BI7">
        <v>21740</v>
      </c>
      <c r="BJ7">
        <v>2344561</v>
      </c>
      <c r="BK7">
        <v>165</v>
      </c>
      <c r="BM7" s="24"/>
      <c r="BN7">
        <v>5750128</v>
      </c>
      <c r="BO7">
        <v>5849995</v>
      </c>
      <c r="BP7">
        <v>5750140</v>
      </c>
      <c r="BQ7">
        <v>9633</v>
      </c>
      <c r="BR7">
        <v>297</v>
      </c>
      <c r="BT7" s="24"/>
      <c r="BU7">
        <v>1410</v>
      </c>
      <c r="BV7">
        <v>1454</v>
      </c>
      <c r="BW7">
        <v>1453</v>
      </c>
      <c r="BX7">
        <v>31254570</v>
      </c>
      <c r="BY7">
        <v>250</v>
      </c>
      <c r="CA7" s="24"/>
      <c r="CB7">
        <v>224</v>
      </c>
      <c r="CC7">
        <v>230</v>
      </c>
      <c r="CD7">
        <v>227</v>
      </c>
      <c r="CE7">
        <v>116641556</v>
      </c>
      <c r="CF7">
        <v>289</v>
      </c>
      <c r="CH7" s="24"/>
      <c r="CI7">
        <v>23850</v>
      </c>
      <c r="CJ7">
        <v>24498</v>
      </c>
      <c r="CK7">
        <v>23851</v>
      </c>
      <c r="CL7">
        <v>1602297</v>
      </c>
      <c r="CM7">
        <v>139</v>
      </c>
      <c r="CO7" s="24"/>
      <c r="CP7">
        <v>7550</v>
      </c>
      <c r="CQ7">
        <v>7844</v>
      </c>
      <c r="CR7">
        <v>7699</v>
      </c>
      <c r="CS7">
        <v>1159954</v>
      </c>
      <c r="CT7">
        <v>414</v>
      </c>
      <c r="CV7" s="24"/>
      <c r="CW7">
        <v>1250069</v>
      </c>
      <c r="CX7">
        <v>1322444</v>
      </c>
      <c r="CY7">
        <v>1299999</v>
      </c>
      <c r="CZ7">
        <v>13246</v>
      </c>
      <c r="DA7">
        <v>46</v>
      </c>
      <c r="DC7" s="24"/>
      <c r="DD7">
        <v>245</v>
      </c>
      <c r="DE7">
        <v>246</v>
      </c>
      <c r="DF7">
        <v>246</v>
      </c>
      <c r="DG7">
        <v>26461921</v>
      </c>
      <c r="DH7">
        <v>123</v>
      </c>
      <c r="DJ7" s="24"/>
      <c r="DK7">
        <v>37008245</v>
      </c>
      <c r="DL7">
        <v>37008255</v>
      </c>
      <c r="DM7">
        <v>37008250</v>
      </c>
      <c r="DN7">
        <v>591</v>
      </c>
      <c r="DO7">
        <v>105</v>
      </c>
      <c r="DQ7" s="24"/>
      <c r="DR7">
        <v>1161204</v>
      </c>
      <c r="DS7">
        <v>1227996</v>
      </c>
      <c r="DT7">
        <v>1161753</v>
      </c>
      <c r="DU7">
        <v>7718</v>
      </c>
      <c r="DV7">
        <v>212</v>
      </c>
      <c r="DX7" s="24"/>
      <c r="DY7">
        <v>15701031</v>
      </c>
      <c r="DZ7">
        <v>17404999</v>
      </c>
      <c r="EA7">
        <v>15800027</v>
      </c>
      <c r="EB7">
        <v>440</v>
      </c>
      <c r="EC7">
        <v>129</v>
      </c>
      <c r="EE7" s="24"/>
      <c r="EF7">
        <v>153</v>
      </c>
      <c r="EG7">
        <v>159</v>
      </c>
      <c r="EH7">
        <v>159</v>
      </c>
      <c r="EI7">
        <v>133957937</v>
      </c>
      <c r="EJ7">
        <v>201</v>
      </c>
      <c r="EL7" s="24"/>
      <c r="EM7">
        <v>44208</v>
      </c>
      <c r="EN7">
        <v>45893</v>
      </c>
      <c r="EO7">
        <v>45499</v>
      </c>
      <c r="EP7">
        <v>96826</v>
      </c>
      <c r="EQ7">
        <v>707</v>
      </c>
      <c r="ES7" s="24"/>
      <c r="ET7">
        <v>240</v>
      </c>
      <c r="EU7">
        <v>244</v>
      </c>
      <c r="EV7">
        <v>241</v>
      </c>
      <c r="EW7">
        <v>30871367</v>
      </c>
      <c r="EX7">
        <v>525</v>
      </c>
      <c r="EZ7" s="24"/>
      <c r="FA7">
        <v>2801454</v>
      </c>
      <c r="FB7">
        <v>3043996</v>
      </c>
      <c r="FC7">
        <v>3043996</v>
      </c>
      <c r="FD7">
        <v>1514</v>
      </c>
      <c r="FE7">
        <v>14</v>
      </c>
      <c r="FG7" s="24"/>
      <c r="FH7">
        <v>10604</v>
      </c>
      <c r="FI7">
        <v>10972</v>
      </c>
      <c r="FJ7">
        <v>10700</v>
      </c>
      <c r="FK7">
        <v>1996364</v>
      </c>
      <c r="FL7">
        <v>479</v>
      </c>
      <c r="FN7" s="24"/>
      <c r="FO7">
        <v>16594</v>
      </c>
      <c r="FP7">
        <v>16594</v>
      </c>
      <c r="FQ7">
        <v>16594</v>
      </c>
      <c r="FR7">
        <v>217531</v>
      </c>
      <c r="FS7">
        <v>97</v>
      </c>
      <c r="FU7" s="24"/>
      <c r="FV7">
        <v>30313</v>
      </c>
      <c r="FW7">
        <v>30999</v>
      </c>
      <c r="FX7">
        <v>30535</v>
      </c>
      <c r="FY7">
        <v>391695</v>
      </c>
      <c r="FZ7">
        <v>1428</v>
      </c>
      <c r="GB7" s="24"/>
      <c r="GC7">
        <v>104001000</v>
      </c>
      <c r="GD7">
        <v>107853999</v>
      </c>
      <c r="GE7">
        <v>106387841</v>
      </c>
      <c r="GF7">
        <v>62</v>
      </c>
      <c r="GG7">
        <v>53</v>
      </c>
      <c r="GI7" s="24"/>
      <c r="GJ7">
        <v>23207001</v>
      </c>
      <c r="GK7">
        <v>23400000</v>
      </c>
      <c r="GL7">
        <v>23209000</v>
      </c>
      <c r="GM7">
        <v>496</v>
      </c>
      <c r="GN7">
        <v>83</v>
      </c>
      <c r="GP7" s="24"/>
      <c r="GQ7">
        <v>82</v>
      </c>
      <c r="GR7">
        <v>88</v>
      </c>
      <c r="GS7">
        <v>88</v>
      </c>
      <c r="GT7">
        <v>106955782</v>
      </c>
      <c r="GU7">
        <v>105</v>
      </c>
      <c r="GW7" s="24"/>
      <c r="GX7">
        <v>242</v>
      </c>
      <c r="GY7">
        <v>247</v>
      </c>
      <c r="GZ7">
        <v>247</v>
      </c>
      <c r="HA7">
        <v>58909825</v>
      </c>
      <c r="HB7">
        <v>205</v>
      </c>
      <c r="HD7" s="24"/>
      <c r="HE7">
        <v>3718</v>
      </c>
      <c r="HF7">
        <v>3789</v>
      </c>
      <c r="HG7">
        <v>3789</v>
      </c>
      <c r="HH7">
        <v>20858407</v>
      </c>
      <c r="HI7">
        <v>316</v>
      </c>
      <c r="HK7" s="24"/>
      <c r="HL7">
        <v>103000001</v>
      </c>
      <c r="HM7">
        <v>106924000</v>
      </c>
      <c r="HN7">
        <v>105666312</v>
      </c>
      <c r="HO7">
        <v>57</v>
      </c>
      <c r="HP7">
        <v>50</v>
      </c>
      <c r="HR7" s="24"/>
      <c r="HS7">
        <v>9630</v>
      </c>
      <c r="HT7">
        <v>9989</v>
      </c>
      <c r="HU7">
        <v>9897</v>
      </c>
      <c r="HV7">
        <v>615450</v>
      </c>
      <c r="HW7">
        <v>135</v>
      </c>
      <c r="HY7" s="24"/>
      <c r="HZ7">
        <v>7956</v>
      </c>
      <c r="IA7">
        <v>8199</v>
      </c>
      <c r="IB7">
        <v>8089</v>
      </c>
      <c r="IC7">
        <v>1844292</v>
      </c>
      <c r="ID7">
        <v>484</v>
      </c>
      <c r="IF7" s="24"/>
      <c r="IG7">
        <v>2423</v>
      </c>
      <c r="IH7">
        <v>2423</v>
      </c>
      <c r="II7">
        <v>2423</v>
      </c>
      <c r="IJ7">
        <v>3371017</v>
      </c>
      <c r="IK7">
        <v>154</v>
      </c>
      <c r="IM7" s="24"/>
      <c r="IN7">
        <v>105000000</v>
      </c>
      <c r="IO7">
        <v>107885999</v>
      </c>
      <c r="IP7">
        <v>106922150</v>
      </c>
      <c r="IQ7">
        <v>56</v>
      </c>
      <c r="IR7">
        <v>45</v>
      </c>
      <c r="IT7" s="24"/>
      <c r="IU7">
        <v>7774</v>
      </c>
      <c r="IV7">
        <v>7776</v>
      </c>
      <c r="IW7">
        <v>7776</v>
      </c>
      <c r="IX7">
        <v>1439180</v>
      </c>
      <c r="IY7">
        <v>155</v>
      </c>
      <c r="JA7" s="24"/>
      <c r="JB7">
        <v>105030891</v>
      </c>
      <c r="JC7">
        <v>108397499</v>
      </c>
      <c r="JD7">
        <v>107206229</v>
      </c>
      <c r="JE7">
        <v>59</v>
      </c>
      <c r="JF7">
        <v>51</v>
      </c>
      <c r="JH7" s="24"/>
      <c r="JI7">
        <v>105030200</v>
      </c>
      <c r="JJ7">
        <v>107799570</v>
      </c>
      <c r="JK7">
        <v>106918250</v>
      </c>
      <c r="JL7">
        <v>44</v>
      </c>
      <c r="JM7">
        <v>37</v>
      </c>
      <c r="JO7" s="24"/>
      <c r="JP7">
        <v>59</v>
      </c>
      <c r="JQ7">
        <v>62</v>
      </c>
      <c r="JR7">
        <v>61</v>
      </c>
      <c r="JS7">
        <v>117001294</v>
      </c>
      <c r="JT7">
        <v>98</v>
      </c>
      <c r="JV7" s="24"/>
      <c r="JW7">
        <v>63</v>
      </c>
      <c r="JX7">
        <v>65</v>
      </c>
      <c r="JY7">
        <v>63</v>
      </c>
      <c r="JZ7">
        <v>193377972</v>
      </c>
      <c r="KA7">
        <v>126</v>
      </c>
      <c r="KC7" s="24"/>
      <c r="KD7">
        <v>17</v>
      </c>
      <c r="KE7">
        <v>18</v>
      </c>
      <c r="KF7">
        <v>18</v>
      </c>
      <c r="KG7">
        <v>33223073</v>
      </c>
      <c r="KH7">
        <v>265</v>
      </c>
      <c r="KJ7" s="24"/>
      <c r="KK7">
        <v>67</v>
      </c>
      <c r="KL7">
        <v>70</v>
      </c>
      <c r="KM7">
        <v>69</v>
      </c>
      <c r="KN7">
        <v>167065387</v>
      </c>
      <c r="KO7">
        <v>130</v>
      </c>
      <c r="KQ7" s="24"/>
      <c r="KR7">
        <v>114203</v>
      </c>
      <c r="KS7">
        <v>116799</v>
      </c>
      <c r="KT7">
        <v>114513</v>
      </c>
      <c r="KU7">
        <v>98833</v>
      </c>
      <c r="KV7">
        <v>673</v>
      </c>
      <c r="KX7" s="24"/>
      <c r="KY7">
        <v>488</v>
      </c>
      <c r="KZ7">
        <v>497</v>
      </c>
      <c r="LA7">
        <v>497</v>
      </c>
      <c r="LB7">
        <v>8511144</v>
      </c>
      <c r="LC7">
        <v>185</v>
      </c>
      <c r="LE7" s="24"/>
      <c r="LF7">
        <v>310008</v>
      </c>
      <c r="LG7">
        <v>310180</v>
      </c>
      <c r="LH7">
        <v>310101</v>
      </c>
      <c r="LI7">
        <v>115157</v>
      </c>
      <c r="LJ7">
        <v>1044</v>
      </c>
      <c r="LL7" s="24"/>
      <c r="LM7">
        <v>92102</v>
      </c>
      <c r="LN7">
        <v>93356</v>
      </c>
      <c r="LO7">
        <v>92507</v>
      </c>
      <c r="LP7">
        <v>360044</v>
      </c>
      <c r="LQ7">
        <v>1473</v>
      </c>
      <c r="LS7" s="24"/>
      <c r="LT7">
        <v>228</v>
      </c>
      <c r="LU7">
        <v>233</v>
      </c>
      <c r="LV7">
        <v>233</v>
      </c>
      <c r="LW7">
        <v>94290357</v>
      </c>
      <c r="LX7">
        <v>319</v>
      </c>
      <c r="LZ7" s="24"/>
      <c r="MA7">
        <v>60150</v>
      </c>
      <c r="MB7">
        <v>61159</v>
      </c>
      <c r="MC7">
        <v>60173</v>
      </c>
      <c r="MD7">
        <v>1487263</v>
      </c>
      <c r="ME7">
        <v>121</v>
      </c>
    </row>
    <row r="8" spans="1:343" x14ac:dyDescent="0.25">
      <c r="B8" s="24"/>
      <c r="C8">
        <v>2</v>
      </c>
      <c r="D8">
        <v>2</v>
      </c>
      <c r="E8">
        <v>2</v>
      </c>
      <c r="F8">
        <v>45253492668</v>
      </c>
      <c r="G8">
        <v>2616</v>
      </c>
      <c r="I8" s="24"/>
      <c r="J8">
        <v>4</v>
      </c>
      <c r="K8">
        <v>4</v>
      </c>
      <c r="L8">
        <v>4</v>
      </c>
      <c r="M8">
        <v>6899849663</v>
      </c>
      <c r="N8">
        <v>2038</v>
      </c>
      <c r="P8" s="24"/>
      <c r="Q8">
        <v>29</v>
      </c>
      <c r="R8">
        <v>29</v>
      </c>
      <c r="S8">
        <v>29</v>
      </c>
      <c r="T8">
        <v>1856015170</v>
      </c>
      <c r="U8">
        <v>1842</v>
      </c>
      <c r="W8" s="24"/>
      <c r="X8">
        <v>60</v>
      </c>
      <c r="Y8">
        <v>62</v>
      </c>
      <c r="Z8">
        <v>61</v>
      </c>
      <c r="AA8">
        <v>363786128</v>
      </c>
      <c r="AB8">
        <v>1529</v>
      </c>
      <c r="AD8" s="24"/>
      <c r="AE8">
        <v>447</v>
      </c>
      <c r="AF8">
        <v>495</v>
      </c>
      <c r="AG8">
        <v>462</v>
      </c>
      <c r="AH8">
        <v>164695961</v>
      </c>
      <c r="AI8">
        <v>1844</v>
      </c>
      <c r="AK8" s="24"/>
      <c r="AL8">
        <v>1080</v>
      </c>
      <c r="AM8">
        <v>1135</v>
      </c>
      <c r="AN8">
        <v>1110</v>
      </c>
      <c r="AO8">
        <v>43726490</v>
      </c>
      <c r="AP8">
        <v>1441</v>
      </c>
      <c r="AR8" s="24"/>
      <c r="AS8">
        <v>3100</v>
      </c>
      <c r="AT8">
        <v>3221</v>
      </c>
      <c r="AU8">
        <v>3150</v>
      </c>
      <c r="AV8">
        <v>17374732</v>
      </c>
      <c r="AW8">
        <v>1301</v>
      </c>
      <c r="AY8" s="24"/>
      <c r="AZ8">
        <v>364000000</v>
      </c>
      <c r="BA8">
        <v>373328022</v>
      </c>
      <c r="BB8">
        <v>367483823</v>
      </c>
      <c r="BC8">
        <v>1605</v>
      </c>
      <c r="BD8">
        <v>1148</v>
      </c>
      <c r="BF8" s="24"/>
      <c r="BG8">
        <v>21741</v>
      </c>
      <c r="BH8">
        <v>22500</v>
      </c>
      <c r="BI8">
        <v>21741</v>
      </c>
      <c r="BJ8">
        <v>2795298</v>
      </c>
      <c r="BK8">
        <v>182</v>
      </c>
      <c r="BM8" s="24"/>
      <c r="BN8">
        <v>5752045</v>
      </c>
      <c r="BO8">
        <v>5899973</v>
      </c>
      <c r="BP8">
        <v>5760000</v>
      </c>
      <c r="BQ8">
        <v>7530</v>
      </c>
      <c r="BR8">
        <v>252</v>
      </c>
      <c r="BT8" s="24"/>
      <c r="BU8">
        <v>1410</v>
      </c>
      <c r="BV8">
        <v>1449</v>
      </c>
      <c r="BW8">
        <v>1448</v>
      </c>
      <c r="BX8">
        <v>27488265</v>
      </c>
      <c r="BY8">
        <v>209</v>
      </c>
      <c r="CA8" s="24"/>
      <c r="CB8">
        <v>224</v>
      </c>
      <c r="CC8">
        <v>227</v>
      </c>
      <c r="CD8">
        <v>224</v>
      </c>
      <c r="CE8">
        <v>85069534</v>
      </c>
      <c r="CF8">
        <v>228</v>
      </c>
      <c r="CH8" s="24"/>
      <c r="CI8">
        <v>24500</v>
      </c>
      <c r="CJ8">
        <v>24501</v>
      </c>
      <c r="CK8">
        <v>24500</v>
      </c>
      <c r="CL8">
        <v>480263</v>
      </c>
      <c r="CM8">
        <v>141</v>
      </c>
      <c r="CO8" s="24"/>
      <c r="CP8">
        <v>7308</v>
      </c>
      <c r="CQ8">
        <v>7948</v>
      </c>
      <c r="CR8">
        <v>7611</v>
      </c>
      <c r="CS8">
        <v>1345699</v>
      </c>
      <c r="CT8">
        <v>412</v>
      </c>
      <c r="CV8" s="24"/>
      <c r="CW8">
        <v>1260000</v>
      </c>
      <c r="CX8">
        <v>1299999</v>
      </c>
      <c r="CY8">
        <v>1260000</v>
      </c>
      <c r="CZ8">
        <v>10483</v>
      </c>
      <c r="DA8">
        <v>47</v>
      </c>
      <c r="DC8" s="24"/>
      <c r="DD8">
        <v>240</v>
      </c>
      <c r="DE8">
        <v>248</v>
      </c>
      <c r="DF8">
        <v>248</v>
      </c>
      <c r="DG8">
        <v>41143772</v>
      </c>
      <c r="DH8">
        <v>161</v>
      </c>
      <c r="DJ8" s="24"/>
      <c r="DK8">
        <v>35011001</v>
      </c>
      <c r="DL8">
        <v>36999999</v>
      </c>
      <c r="DM8">
        <v>36699999</v>
      </c>
      <c r="DN8">
        <v>323</v>
      </c>
      <c r="DO8">
        <v>104</v>
      </c>
      <c r="DQ8" s="24"/>
      <c r="DR8">
        <v>1160000</v>
      </c>
      <c r="DS8">
        <v>1219999</v>
      </c>
      <c r="DT8">
        <v>1164004</v>
      </c>
      <c r="DU8">
        <v>9805</v>
      </c>
      <c r="DV8">
        <v>244</v>
      </c>
      <c r="DX8" s="24"/>
      <c r="DY8">
        <v>17000012</v>
      </c>
      <c r="DZ8">
        <v>17501174</v>
      </c>
      <c r="EA8">
        <v>17501166</v>
      </c>
      <c r="EB8">
        <v>511</v>
      </c>
      <c r="EC8">
        <v>113</v>
      </c>
      <c r="EE8" s="24"/>
      <c r="EF8">
        <v>155</v>
      </c>
      <c r="EG8">
        <v>162</v>
      </c>
      <c r="EH8">
        <v>161</v>
      </c>
      <c r="EI8">
        <v>112461056</v>
      </c>
      <c r="EJ8">
        <v>206</v>
      </c>
      <c r="EL8" s="24"/>
      <c r="EM8">
        <v>44700</v>
      </c>
      <c r="EN8">
        <v>45884</v>
      </c>
      <c r="EO8">
        <v>44900</v>
      </c>
      <c r="EP8">
        <v>73667</v>
      </c>
      <c r="EQ8">
        <v>640</v>
      </c>
      <c r="ES8" s="24"/>
      <c r="ET8">
        <v>245</v>
      </c>
      <c r="EU8">
        <v>247</v>
      </c>
      <c r="EV8">
        <v>246</v>
      </c>
      <c r="EW8">
        <v>31341891</v>
      </c>
      <c r="EX8">
        <v>501</v>
      </c>
      <c r="EZ8" s="24"/>
      <c r="FA8">
        <v>3029998</v>
      </c>
      <c r="FB8">
        <v>3033989</v>
      </c>
      <c r="FC8">
        <v>3029998</v>
      </c>
      <c r="FD8">
        <v>1223</v>
      </c>
      <c r="FE8">
        <v>25</v>
      </c>
      <c r="FG8" s="24"/>
      <c r="FH8">
        <v>10504</v>
      </c>
      <c r="FI8">
        <v>10899</v>
      </c>
      <c r="FJ8">
        <v>10800</v>
      </c>
      <c r="FK8">
        <v>1857021</v>
      </c>
      <c r="FL8">
        <v>454</v>
      </c>
      <c r="FN8" s="24"/>
      <c r="FO8">
        <v>16596</v>
      </c>
      <c r="FP8">
        <v>16596</v>
      </c>
      <c r="FQ8">
        <v>16596</v>
      </c>
      <c r="FR8">
        <v>97797</v>
      </c>
      <c r="FS8">
        <v>77</v>
      </c>
      <c r="FU8" s="24"/>
      <c r="FV8">
        <v>30604</v>
      </c>
      <c r="FW8">
        <v>30605</v>
      </c>
      <c r="FX8">
        <v>30605</v>
      </c>
      <c r="FY8">
        <v>376108</v>
      </c>
      <c r="FZ8">
        <v>1252</v>
      </c>
      <c r="GB8" s="24"/>
      <c r="GC8">
        <v>107000200</v>
      </c>
      <c r="GD8">
        <v>108001000</v>
      </c>
      <c r="GE8">
        <v>107859483</v>
      </c>
      <c r="GF8">
        <v>128</v>
      </c>
      <c r="GG8">
        <v>72</v>
      </c>
      <c r="GI8" s="24"/>
      <c r="GJ8">
        <v>23200000</v>
      </c>
      <c r="GK8">
        <v>23207032</v>
      </c>
      <c r="GL8">
        <v>23207026</v>
      </c>
      <c r="GM8">
        <v>430</v>
      </c>
      <c r="GN8">
        <v>75</v>
      </c>
      <c r="GP8" s="24"/>
      <c r="GQ8">
        <v>83</v>
      </c>
      <c r="GR8">
        <v>87</v>
      </c>
      <c r="GS8">
        <v>87</v>
      </c>
      <c r="GT8">
        <v>101711353</v>
      </c>
      <c r="GU8">
        <v>111</v>
      </c>
      <c r="GW8" s="24"/>
      <c r="GX8">
        <v>245</v>
      </c>
      <c r="GY8">
        <v>246</v>
      </c>
      <c r="GZ8">
        <v>246</v>
      </c>
      <c r="HA8">
        <v>64443016</v>
      </c>
      <c r="HB8">
        <v>228</v>
      </c>
      <c r="HD8" s="24"/>
      <c r="HE8">
        <v>3712</v>
      </c>
      <c r="HF8">
        <v>3848</v>
      </c>
      <c r="HG8">
        <v>3847</v>
      </c>
      <c r="HH8">
        <v>10999139</v>
      </c>
      <c r="HI8">
        <v>233</v>
      </c>
      <c r="HK8" s="24"/>
      <c r="HL8">
        <v>104005000</v>
      </c>
      <c r="HM8">
        <v>107000000</v>
      </c>
      <c r="HN8">
        <v>106005000</v>
      </c>
      <c r="HO8">
        <v>122</v>
      </c>
      <c r="HP8">
        <v>76</v>
      </c>
      <c r="HR8" s="24"/>
      <c r="HS8">
        <v>9651</v>
      </c>
      <c r="HT8">
        <v>10028</v>
      </c>
      <c r="HU8">
        <v>9897</v>
      </c>
      <c r="HV8">
        <v>617271</v>
      </c>
      <c r="HW8">
        <v>149</v>
      </c>
      <c r="HY8" s="24"/>
      <c r="HZ8">
        <v>7756</v>
      </c>
      <c r="IA8">
        <v>8110</v>
      </c>
      <c r="IB8">
        <v>8000</v>
      </c>
      <c r="IC8">
        <v>1953739</v>
      </c>
      <c r="ID8">
        <v>427</v>
      </c>
      <c r="IF8" s="24"/>
      <c r="IG8">
        <v>2344</v>
      </c>
      <c r="IH8">
        <v>2423</v>
      </c>
      <c r="II8">
        <v>2405</v>
      </c>
      <c r="IJ8">
        <v>1967828</v>
      </c>
      <c r="IK8">
        <v>148</v>
      </c>
      <c r="IM8" s="24"/>
      <c r="IN8">
        <v>107000400</v>
      </c>
      <c r="IO8">
        <v>107891500</v>
      </c>
      <c r="IP8">
        <v>107882000</v>
      </c>
      <c r="IQ8">
        <v>102</v>
      </c>
      <c r="IR8">
        <v>59</v>
      </c>
      <c r="IT8" s="24"/>
      <c r="IU8">
        <v>7773</v>
      </c>
      <c r="IV8">
        <v>7774</v>
      </c>
      <c r="IW8">
        <v>7774</v>
      </c>
      <c r="IX8">
        <v>1887925</v>
      </c>
      <c r="IY8">
        <v>169</v>
      </c>
      <c r="JA8" s="24"/>
      <c r="JB8">
        <v>105038262</v>
      </c>
      <c r="JC8">
        <v>108389797</v>
      </c>
      <c r="JD8">
        <v>106101000</v>
      </c>
      <c r="JE8">
        <v>118</v>
      </c>
      <c r="JF8">
        <v>63</v>
      </c>
      <c r="JH8" s="24"/>
      <c r="JI8">
        <v>108784224</v>
      </c>
      <c r="JJ8">
        <v>112793256</v>
      </c>
      <c r="JK8">
        <v>109171726</v>
      </c>
      <c r="JL8">
        <v>83</v>
      </c>
      <c r="JM8">
        <v>41</v>
      </c>
      <c r="JO8" s="24"/>
      <c r="JP8">
        <v>61</v>
      </c>
      <c r="JQ8">
        <v>61</v>
      </c>
      <c r="JR8">
        <v>61</v>
      </c>
      <c r="JS8">
        <v>169816313</v>
      </c>
      <c r="JT8">
        <v>111</v>
      </c>
      <c r="JV8" s="24"/>
      <c r="JW8">
        <v>65</v>
      </c>
      <c r="JX8">
        <v>67</v>
      </c>
      <c r="JY8">
        <v>67</v>
      </c>
      <c r="JZ8">
        <v>146999077</v>
      </c>
      <c r="KA8">
        <v>130</v>
      </c>
      <c r="KC8" s="24"/>
      <c r="KD8">
        <v>18</v>
      </c>
      <c r="KE8">
        <v>19</v>
      </c>
      <c r="KF8">
        <v>18</v>
      </c>
      <c r="KG8">
        <v>39981414</v>
      </c>
      <c r="KH8">
        <v>301</v>
      </c>
      <c r="KJ8" s="24"/>
      <c r="KK8">
        <v>69</v>
      </c>
      <c r="KL8">
        <v>69</v>
      </c>
      <c r="KM8">
        <v>69</v>
      </c>
      <c r="KN8">
        <v>139615070</v>
      </c>
      <c r="KO8">
        <v>102</v>
      </c>
      <c r="KQ8" s="24"/>
      <c r="KR8">
        <v>114250</v>
      </c>
      <c r="KS8">
        <v>118398</v>
      </c>
      <c r="KT8">
        <v>114251</v>
      </c>
      <c r="KU8">
        <v>78148</v>
      </c>
      <c r="KV8">
        <v>648</v>
      </c>
      <c r="KX8" s="24"/>
      <c r="KY8">
        <v>495</v>
      </c>
      <c r="KZ8">
        <v>496</v>
      </c>
      <c r="LA8">
        <v>495</v>
      </c>
      <c r="LB8">
        <v>12741840</v>
      </c>
      <c r="LC8">
        <v>188</v>
      </c>
      <c r="LE8" s="24"/>
      <c r="LF8">
        <v>293010</v>
      </c>
      <c r="LG8">
        <v>310120</v>
      </c>
      <c r="LH8">
        <v>310050</v>
      </c>
      <c r="LI8">
        <v>109696</v>
      </c>
      <c r="LJ8">
        <v>975</v>
      </c>
      <c r="LL8" s="24"/>
      <c r="LM8">
        <v>91800</v>
      </c>
      <c r="LN8">
        <v>92305</v>
      </c>
      <c r="LO8">
        <v>92100</v>
      </c>
      <c r="LP8">
        <v>319961</v>
      </c>
      <c r="LQ8">
        <v>1322</v>
      </c>
      <c r="LS8" s="24"/>
      <c r="LT8">
        <v>227</v>
      </c>
      <c r="LU8">
        <v>232</v>
      </c>
      <c r="LV8">
        <v>230</v>
      </c>
      <c r="LW8">
        <v>126110060</v>
      </c>
      <c r="LX8">
        <v>327</v>
      </c>
      <c r="LZ8" s="24"/>
      <c r="MA8">
        <v>59980</v>
      </c>
      <c r="MB8">
        <v>62592</v>
      </c>
      <c r="MC8">
        <v>61000</v>
      </c>
      <c r="MD8">
        <v>997269</v>
      </c>
      <c r="ME8">
        <v>132</v>
      </c>
    </row>
    <row r="9" spans="1:343" x14ac:dyDescent="0.25">
      <c r="B9" s="24"/>
      <c r="C9">
        <v>2</v>
      </c>
      <c r="D9">
        <v>2</v>
      </c>
      <c r="E9">
        <v>2</v>
      </c>
      <c r="F9">
        <v>43269202991</v>
      </c>
      <c r="G9">
        <v>2750</v>
      </c>
      <c r="I9" s="24"/>
      <c r="J9">
        <v>4</v>
      </c>
      <c r="K9">
        <v>4</v>
      </c>
      <c r="L9">
        <v>4</v>
      </c>
      <c r="M9">
        <v>7190623189</v>
      </c>
      <c r="N9">
        <v>2013</v>
      </c>
      <c r="P9" s="24"/>
      <c r="Q9">
        <v>29</v>
      </c>
      <c r="R9">
        <v>29</v>
      </c>
      <c r="S9">
        <v>29</v>
      </c>
      <c r="T9">
        <v>1677662069</v>
      </c>
      <c r="U9">
        <v>1785</v>
      </c>
      <c r="W9" s="24"/>
      <c r="X9">
        <v>61</v>
      </c>
      <c r="Y9">
        <v>62</v>
      </c>
      <c r="Z9">
        <v>62</v>
      </c>
      <c r="AA9">
        <v>393429271</v>
      </c>
      <c r="AB9">
        <v>1475</v>
      </c>
      <c r="AD9" s="24"/>
      <c r="AE9">
        <v>462</v>
      </c>
      <c r="AF9">
        <v>502</v>
      </c>
      <c r="AG9">
        <v>492</v>
      </c>
      <c r="AH9">
        <v>161708585</v>
      </c>
      <c r="AI9">
        <v>1731</v>
      </c>
      <c r="AK9" s="24"/>
      <c r="AL9">
        <v>1075</v>
      </c>
      <c r="AM9">
        <v>1133</v>
      </c>
      <c r="AN9">
        <v>1105</v>
      </c>
      <c r="AO9">
        <v>41807071</v>
      </c>
      <c r="AP9">
        <v>1377</v>
      </c>
      <c r="AR9" s="24"/>
      <c r="AS9">
        <v>3091</v>
      </c>
      <c r="AT9">
        <v>3212</v>
      </c>
      <c r="AU9">
        <v>3149</v>
      </c>
      <c r="AV9">
        <v>18876255</v>
      </c>
      <c r="AW9">
        <v>1314</v>
      </c>
      <c r="AY9" s="24"/>
      <c r="AZ9">
        <v>365500128</v>
      </c>
      <c r="BA9">
        <v>372999458</v>
      </c>
      <c r="BB9">
        <v>367295886</v>
      </c>
      <c r="BC9">
        <v>1677</v>
      </c>
      <c r="BD9">
        <v>1194</v>
      </c>
      <c r="BF9" s="24"/>
      <c r="BG9">
        <v>21800</v>
      </c>
      <c r="BH9">
        <v>21800</v>
      </c>
      <c r="BI9">
        <v>21800</v>
      </c>
      <c r="BJ9">
        <v>1424446</v>
      </c>
      <c r="BK9">
        <v>190</v>
      </c>
      <c r="BM9" s="24"/>
      <c r="BN9">
        <v>5780123</v>
      </c>
      <c r="BO9">
        <v>5899985</v>
      </c>
      <c r="BP9">
        <v>5780357</v>
      </c>
      <c r="BQ9">
        <v>9599</v>
      </c>
      <c r="BR9">
        <v>289</v>
      </c>
      <c r="BT9" s="24"/>
      <c r="BU9">
        <v>1403</v>
      </c>
      <c r="BV9">
        <v>1446</v>
      </c>
      <c r="BW9">
        <v>1404</v>
      </c>
      <c r="BX9">
        <v>21038553</v>
      </c>
      <c r="BY9">
        <v>205</v>
      </c>
      <c r="CA9" s="24"/>
      <c r="CB9">
        <v>224</v>
      </c>
      <c r="CC9">
        <v>224</v>
      </c>
      <c r="CD9">
        <v>224</v>
      </c>
      <c r="CE9">
        <v>78885922</v>
      </c>
      <c r="CF9">
        <v>224</v>
      </c>
      <c r="CH9" s="24"/>
      <c r="CI9">
        <v>25000</v>
      </c>
      <c r="CJ9">
        <v>25100</v>
      </c>
      <c r="CK9">
        <v>25000</v>
      </c>
      <c r="CL9">
        <v>1039826</v>
      </c>
      <c r="CM9">
        <v>165</v>
      </c>
      <c r="CO9" s="24"/>
      <c r="CP9">
        <v>7265</v>
      </c>
      <c r="CQ9">
        <v>7691</v>
      </c>
      <c r="CR9">
        <v>7597</v>
      </c>
      <c r="CS9">
        <v>1600148</v>
      </c>
      <c r="CT9">
        <v>410</v>
      </c>
      <c r="CV9" s="24"/>
      <c r="CW9">
        <v>1260000</v>
      </c>
      <c r="CX9">
        <v>1322498</v>
      </c>
      <c r="CY9">
        <v>1322498</v>
      </c>
      <c r="CZ9">
        <v>14460</v>
      </c>
      <c r="DA9">
        <v>58</v>
      </c>
      <c r="DC9" s="24"/>
      <c r="DD9">
        <v>259</v>
      </c>
      <c r="DE9">
        <v>267</v>
      </c>
      <c r="DF9">
        <v>262</v>
      </c>
      <c r="DG9">
        <v>31368486</v>
      </c>
      <c r="DH9">
        <v>146</v>
      </c>
      <c r="DJ9" s="24"/>
      <c r="DK9">
        <v>36110009</v>
      </c>
      <c r="DL9">
        <v>38208000</v>
      </c>
      <c r="DM9">
        <v>38205989</v>
      </c>
      <c r="DN9">
        <v>510</v>
      </c>
      <c r="DO9">
        <v>114</v>
      </c>
      <c r="DQ9" s="24"/>
      <c r="DR9">
        <v>902048</v>
      </c>
      <c r="DS9">
        <v>1247588</v>
      </c>
      <c r="DT9">
        <v>1189998</v>
      </c>
      <c r="DU9">
        <v>6090</v>
      </c>
      <c r="DV9">
        <v>229</v>
      </c>
      <c r="DX9" s="24"/>
      <c r="DY9">
        <v>17000010</v>
      </c>
      <c r="DZ9">
        <v>17449999</v>
      </c>
      <c r="EA9">
        <v>17001000</v>
      </c>
      <c r="EB9">
        <v>674</v>
      </c>
      <c r="EC9">
        <v>110</v>
      </c>
      <c r="EE9" s="24"/>
      <c r="EF9">
        <v>155</v>
      </c>
      <c r="EG9">
        <v>162</v>
      </c>
      <c r="EH9">
        <v>160</v>
      </c>
      <c r="EI9">
        <v>114868657</v>
      </c>
      <c r="EJ9">
        <v>229</v>
      </c>
      <c r="EL9" s="24"/>
      <c r="EM9">
        <v>45007</v>
      </c>
      <c r="EN9">
        <v>45885</v>
      </c>
      <c r="EO9">
        <v>45012</v>
      </c>
      <c r="EP9">
        <v>57093</v>
      </c>
      <c r="EQ9">
        <v>688</v>
      </c>
      <c r="ES9" s="24"/>
      <c r="ET9">
        <v>240</v>
      </c>
      <c r="EU9">
        <v>247</v>
      </c>
      <c r="EV9">
        <v>246</v>
      </c>
      <c r="EW9">
        <v>36275128</v>
      </c>
      <c r="EX9">
        <v>495</v>
      </c>
      <c r="EZ9" s="24"/>
      <c r="FA9">
        <v>2801510</v>
      </c>
      <c r="FB9">
        <v>3027998</v>
      </c>
      <c r="FC9">
        <v>3024998</v>
      </c>
      <c r="FD9">
        <v>1419</v>
      </c>
      <c r="FE9">
        <v>19</v>
      </c>
      <c r="FG9" s="24"/>
      <c r="FH9">
        <v>10411</v>
      </c>
      <c r="FI9">
        <v>10877</v>
      </c>
      <c r="FJ9">
        <v>10800</v>
      </c>
      <c r="FK9">
        <v>1674933</v>
      </c>
      <c r="FL9">
        <v>471</v>
      </c>
      <c r="FN9" s="24"/>
      <c r="FO9">
        <v>15502</v>
      </c>
      <c r="FP9">
        <v>15928</v>
      </c>
      <c r="FQ9">
        <v>15914</v>
      </c>
      <c r="FR9">
        <v>499211</v>
      </c>
      <c r="FS9">
        <v>99</v>
      </c>
      <c r="FU9" s="24"/>
      <c r="FV9">
        <v>30018</v>
      </c>
      <c r="FW9">
        <v>30600</v>
      </c>
      <c r="FX9">
        <v>30536</v>
      </c>
      <c r="FY9">
        <v>298173</v>
      </c>
      <c r="FZ9">
        <v>1245</v>
      </c>
      <c r="GB9" s="24"/>
      <c r="GC9">
        <v>107000000</v>
      </c>
      <c r="GD9">
        <v>110999779</v>
      </c>
      <c r="GE9">
        <v>108355883</v>
      </c>
      <c r="GF9">
        <v>79</v>
      </c>
      <c r="GG9">
        <v>57</v>
      </c>
      <c r="GI9" s="24"/>
      <c r="GJ9">
        <v>22501014</v>
      </c>
      <c r="GK9">
        <v>23597998</v>
      </c>
      <c r="GL9">
        <v>22700000</v>
      </c>
      <c r="GM9">
        <v>392</v>
      </c>
      <c r="GN9">
        <v>82</v>
      </c>
      <c r="GP9" s="24"/>
      <c r="GQ9">
        <v>87</v>
      </c>
      <c r="GR9">
        <v>87</v>
      </c>
      <c r="GS9">
        <v>87</v>
      </c>
      <c r="GT9">
        <v>73755951</v>
      </c>
      <c r="GU9">
        <v>113</v>
      </c>
      <c r="GW9" s="24"/>
      <c r="GX9">
        <v>246</v>
      </c>
      <c r="GY9">
        <v>247</v>
      </c>
      <c r="GZ9">
        <v>246</v>
      </c>
      <c r="HA9">
        <v>45830361</v>
      </c>
      <c r="HB9">
        <v>178</v>
      </c>
      <c r="HD9" s="24"/>
      <c r="HE9">
        <v>3735</v>
      </c>
      <c r="HF9">
        <v>3836</v>
      </c>
      <c r="HG9">
        <v>3834</v>
      </c>
      <c r="HH9">
        <v>15647711</v>
      </c>
      <c r="HI9">
        <v>236</v>
      </c>
      <c r="HK9" s="24"/>
      <c r="HL9">
        <v>106005600</v>
      </c>
      <c r="HM9">
        <v>109999995</v>
      </c>
      <c r="HN9">
        <v>108085266</v>
      </c>
      <c r="HO9">
        <v>78</v>
      </c>
      <c r="HP9">
        <v>57</v>
      </c>
      <c r="HR9" s="24"/>
      <c r="HS9">
        <v>9721</v>
      </c>
      <c r="HT9">
        <v>9721</v>
      </c>
      <c r="HU9">
        <v>9721</v>
      </c>
      <c r="HV9">
        <v>1061005</v>
      </c>
      <c r="HW9">
        <v>151</v>
      </c>
      <c r="HY9" s="24"/>
      <c r="HZ9">
        <v>7986</v>
      </c>
      <c r="IA9">
        <v>7989</v>
      </c>
      <c r="IB9">
        <v>7987</v>
      </c>
      <c r="IC9">
        <v>2133560</v>
      </c>
      <c r="ID9">
        <v>380</v>
      </c>
      <c r="IF9" s="24"/>
      <c r="IG9">
        <v>2423</v>
      </c>
      <c r="IH9">
        <v>2423</v>
      </c>
      <c r="II9">
        <v>2423</v>
      </c>
      <c r="IJ9">
        <v>1330816</v>
      </c>
      <c r="IK9">
        <v>123</v>
      </c>
      <c r="IM9" s="24"/>
      <c r="IN9">
        <v>101101402</v>
      </c>
      <c r="IO9">
        <v>109248299</v>
      </c>
      <c r="IP9">
        <v>105533138</v>
      </c>
      <c r="IQ9">
        <v>82</v>
      </c>
      <c r="IR9">
        <v>53</v>
      </c>
      <c r="IT9" s="24"/>
      <c r="IU9">
        <v>7661</v>
      </c>
      <c r="IV9">
        <v>7773</v>
      </c>
      <c r="IW9">
        <v>7773</v>
      </c>
      <c r="IX9">
        <v>1212330</v>
      </c>
      <c r="IY9">
        <v>132</v>
      </c>
      <c r="JA9" s="24"/>
      <c r="JB9">
        <v>105039281</v>
      </c>
      <c r="JC9">
        <v>108386399</v>
      </c>
      <c r="JD9">
        <v>106811671</v>
      </c>
      <c r="JE9">
        <v>80</v>
      </c>
      <c r="JF9">
        <v>59</v>
      </c>
      <c r="JH9" s="24"/>
      <c r="JI9">
        <v>108000400</v>
      </c>
      <c r="JJ9">
        <v>112775800</v>
      </c>
      <c r="JK9">
        <v>111256068</v>
      </c>
      <c r="JL9">
        <v>31</v>
      </c>
      <c r="JM9">
        <v>27</v>
      </c>
      <c r="JO9" s="24"/>
      <c r="JP9">
        <v>62</v>
      </c>
      <c r="JQ9">
        <v>68</v>
      </c>
      <c r="JR9">
        <v>66</v>
      </c>
      <c r="JS9">
        <v>84470399</v>
      </c>
      <c r="JT9">
        <v>116</v>
      </c>
      <c r="JV9" s="24"/>
      <c r="JW9">
        <v>62</v>
      </c>
      <c r="JX9">
        <v>65</v>
      </c>
      <c r="JY9">
        <v>64</v>
      </c>
      <c r="JZ9">
        <v>112710241</v>
      </c>
      <c r="KA9">
        <v>122</v>
      </c>
      <c r="KC9" s="24"/>
      <c r="KD9">
        <v>18</v>
      </c>
      <c r="KE9">
        <v>19</v>
      </c>
      <c r="KF9">
        <v>19</v>
      </c>
      <c r="KG9">
        <v>36694684</v>
      </c>
      <c r="KH9">
        <v>271</v>
      </c>
      <c r="KJ9" s="24"/>
      <c r="KK9">
        <v>70</v>
      </c>
      <c r="KL9">
        <v>73</v>
      </c>
      <c r="KM9">
        <v>70</v>
      </c>
      <c r="KN9">
        <v>135107509</v>
      </c>
      <c r="KO9">
        <v>130</v>
      </c>
      <c r="KQ9" s="24"/>
      <c r="KR9">
        <v>100005</v>
      </c>
      <c r="KS9">
        <v>116502</v>
      </c>
      <c r="KT9">
        <v>105025</v>
      </c>
      <c r="KU9">
        <v>48267</v>
      </c>
      <c r="KV9">
        <v>627</v>
      </c>
      <c r="KX9" s="24"/>
      <c r="KY9">
        <v>484</v>
      </c>
      <c r="KZ9">
        <v>506</v>
      </c>
      <c r="LA9">
        <v>506</v>
      </c>
      <c r="LB9">
        <v>5476498</v>
      </c>
      <c r="LC9">
        <v>177</v>
      </c>
      <c r="LE9" s="24"/>
      <c r="LF9">
        <v>292111</v>
      </c>
      <c r="LG9">
        <v>297006</v>
      </c>
      <c r="LH9">
        <v>293288</v>
      </c>
      <c r="LI9">
        <v>120847</v>
      </c>
      <c r="LJ9">
        <v>950</v>
      </c>
      <c r="LL9" s="24"/>
      <c r="LM9">
        <v>91026</v>
      </c>
      <c r="LN9">
        <v>91802</v>
      </c>
      <c r="LO9">
        <v>91800</v>
      </c>
      <c r="LP9">
        <v>294888</v>
      </c>
      <c r="LQ9">
        <v>1317</v>
      </c>
      <c r="LS9" s="24"/>
      <c r="LT9">
        <v>227</v>
      </c>
      <c r="LU9">
        <v>231</v>
      </c>
      <c r="LV9">
        <v>231</v>
      </c>
      <c r="LW9">
        <v>137514772</v>
      </c>
      <c r="LX9">
        <v>283</v>
      </c>
      <c r="LZ9" s="24"/>
      <c r="MA9">
        <v>60529</v>
      </c>
      <c r="MB9">
        <v>64131</v>
      </c>
      <c r="MC9">
        <v>62046</v>
      </c>
      <c r="MD9">
        <v>724916</v>
      </c>
      <c r="ME9">
        <v>98</v>
      </c>
    </row>
    <row r="10" spans="1:343" x14ac:dyDescent="0.25">
      <c r="B10" s="24"/>
      <c r="C10">
        <v>2</v>
      </c>
      <c r="D10">
        <v>2</v>
      </c>
      <c r="E10">
        <v>2</v>
      </c>
      <c r="F10">
        <v>47894405796</v>
      </c>
      <c r="G10">
        <v>2676</v>
      </c>
      <c r="I10" s="24"/>
      <c r="J10">
        <v>4</v>
      </c>
      <c r="K10">
        <v>4</v>
      </c>
      <c r="L10">
        <v>4</v>
      </c>
      <c r="M10">
        <v>5104641346</v>
      </c>
      <c r="N10">
        <v>2002</v>
      </c>
      <c r="P10" s="24"/>
      <c r="Q10">
        <v>29</v>
      </c>
      <c r="R10">
        <v>29</v>
      </c>
      <c r="S10">
        <v>29</v>
      </c>
      <c r="T10">
        <v>2128220763</v>
      </c>
      <c r="U10">
        <v>1823</v>
      </c>
      <c r="W10" s="24"/>
      <c r="X10">
        <v>60</v>
      </c>
      <c r="Y10">
        <v>62</v>
      </c>
      <c r="Z10">
        <v>61</v>
      </c>
      <c r="AA10">
        <v>321040996</v>
      </c>
      <c r="AB10">
        <v>1474</v>
      </c>
      <c r="AD10" s="24"/>
      <c r="AE10">
        <v>480</v>
      </c>
      <c r="AF10">
        <v>492</v>
      </c>
      <c r="AG10">
        <v>480</v>
      </c>
      <c r="AH10">
        <v>82216579</v>
      </c>
      <c r="AI10">
        <v>1586</v>
      </c>
      <c r="AK10" s="24"/>
      <c r="AL10">
        <v>1015</v>
      </c>
      <c r="AM10">
        <v>1101</v>
      </c>
      <c r="AN10">
        <v>1076</v>
      </c>
      <c r="AO10">
        <v>32223794</v>
      </c>
      <c r="AP10">
        <v>1312</v>
      </c>
      <c r="AR10" s="24"/>
      <c r="AS10">
        <v>3006</v>
      </c>
      <c r="AT10">
        <v>3181</v>
      </c>
      <c r="AU10">
        <v>3070</v>
      </c>
      <c r="AV10">
        <v>15615363</v>
      </c>
      <c r="AW10">
        <v>1280</v>
      </c>
      <c r="AY10" s="24"/>
      <c r="AZ10">
        <v>365005074</v>
      </c>
      <c r="BA10">
        <v>371999872</v>
      </c>
      <c r="BB10">
        <v>369199695</v>
      </c>
      <c r="BC10">
        <v>1718</v>
      </c>
      <c r="BD10">
        <v>1098</v>
      </c>
      <c r="BF10" s="24"/>
      <c r="BG10">
        <v>21144</v>
      </c>
      <c r="BH10">
        <v>21200</v>
      </c>
      <c r="BI10">
        <v>21144</v>
      </c>
      <c r="BJ10">
        <v>2923161</v>
      </c>
      <c r="BK10">
        <v>145</v>
      </c>
      <c r="BM10" s="24"/>
      <c r="BN10">
        <v>5780393</v>
      </c>
      <c r="BO10">
        <v>5790003</v>
      </c>
      <c r="BP10">
        <v>5788001</v>
      </c>
      <c r="BQ10">
        <v>10855</v>
      </c>
      <c r="BR10">
        <v>332</v>
      </c>
      <c r="BT10" s="24"/>
      <c r="BU10">
        <v>1335</v>
      </c>
      <c r="BV10">
        <v>1393</v>
      </c>
      <c r="BW10">
        <v>1391</v>
      </c>
      <c r="BX10">
        <v>19473401</v>
      </c>
      <c r="BY10">
        <v>209</v>
      </c>
      <c r="CA10" s="24"/>
      <c r="CB10">
        <v>217</v>
      </c>
      <c r="CC10">
        <v>227</v>
      </c>
      <c r="CD10">
        <v>227</v>
      </c>
      <c r="CE10">
        <v>79930525</v>
      </c>
      <c r="CF10">
        <v>248</v>
      </c>
      <c r="CH10" s="24"/>
      <c r="CI10">
        <v>24800</v>
      </c>
      <c r="CJ10">
        <v>25100</v>
      </c>
      <c r="CK10">
        <v>25001</v>
      </c>
      <c r="CL10">
        <v>1386951</v>
      </c>
      <c r="CM10">
        <v>115</v>
      </c>
      <c r="CO10" s="24"/>
      <c r="CP10">
        <v>7499</v>
      </c>
      <c r="CQ10">
        <v>7859</v>
      </c>
      <c r="CR10">
        <v>7800</v>
      </c>
      <c r="CS10">
        <v>720269</v>
      </c>
      <c r="CT10">
        <v>320</v>
      </c>
      <c r="CV10" s="24"/>
      <c r="CW10">
        <v>1322498</v>
      </c>
      <c r="CX10">
        <v>1322498</v>
      </c>
      <c r="CY10">
        <v>1322498</v>
      </c>
      <c r="CZ10">
        <v>7437</v>
      </c>
      <c r="DA10">
        <v>50</v>
      </c>
      <c r="DC10" s="24"/>
      <c r="DD10">
        <v>265</v>
      </c>
      <c r="DE10">
        <v>281</v>
      </c>
      <c r="DF10">
        <v>280</v>
      </c>
      <c r="DG10">
        <v>29930171</v>
      </c>
      <c r="DH10">
        <v>132</v>
      </c>
      <c r="DJ10" s="24"/>
      <c r="DK10">
        <v>36870007</v>
      </c>
      <c r="DL10">
        <v>39999998</v>
      </c>
      <c r="DM10">
        <v>37020009</v>
      </c>
      <c r="DN10">
        <v>253</v>
      </c>
      <c r="DO10">
        <v>67</v>
      </c>
      <c r="DQ10" s="24"/>
      <c r="DR10">
        <v>1001046</v>
      </c>
      <c r="DS10">
        <v>1243000</v>
      </c>
      <c r="DT10">
        <v>1177469</v>
      </c>
      <c r="DU10">
        <v>6171</v>
      </c>
      <c r="DV10">
        <v>205</v>
      </c>
      <c r="DX10" s="24"/>
      <c r="DY10">
        <v>15915004</v>
      </c>
      <c r="DZ10">
        <v>16798000</v>
      </c>
      <c r="EA10">
        <v>15915017</v>
      </c>
      <c r="EB10">
        <v>451</v>
      </c>
      <c r="EC10">
        <v>105</v>
      </c>
      <c r="EE10" s="24"/>
      <c r="EF10">
        <v>160</v>
      </c>
      <c r="EG10">
        <v>162</v>
      </c>
      <c r="EH10">
        <v>162</v>
      </c>
      <c r="EI10">
        <v>71109412</v>
      </c>
      <c r="EJ10">
        <v>168</v>
      </c>
      <c r="EL10" s="24"/>
      <c r="EM10">
        <v>45198</v>
      </c>
      <c r="EN10">
        <v>45895</v>
      </c>
      <c r="EO10">
        <v>45223</v>
      </c>
      <c r="EP10">
        <v>65191</v>
      </c>
      <c r="EQ10">
        <v>600</v>
      </c>
      <c r="ES10" s="24"/>
      <c r="ET10">
        <v>233</v>
      </c>
      <c r="EU10">
        <v>244</v>
      </c>
      <c r="EV10">
        <v>242</v>
      </c>
      <c r="EW10">
        <v>39470711</v>
      </c>
      <c r="EX10">
        <v>473</v>
      </c>
      <c r="EZ10" s="24"/>
      <c r="FA10">
        <v>2820008</v>
      </c>
      <c r="FB10">
        <v>3022998</v>
      </c>
      <c r="FC10">
        <v>3020998</v>
      </c>
      <c r="FD10">
        <v>1102</v>
      </c>
      <c r="FE10">
        <v>22</v>
      </c>
      <c r="FG10" s="24"/>
      <c r="FH10">
        <v>10996</v>
      </c>
      <c r="FI10">
        <v>11149</v>
      </c>
      <c r="FJ10">
        <v>10996</v>
      </c>
      <c r="FK10">
        <v>2454493</v>
      </c>
      <c r="FL10">
        <v>444</v>
      </c>
      <c r="FN10" s="24"/>
      <c r="FO10">
        <v>16596</v>
      </c>
      <c r="FP10">
        <v>16596</v>
      </c>
      <c r="FQ10">
        <v>16596</v>
      </c>
      <c r="FR10">
        <v>134432</v>
      </c>
      <c r="FS10">
        <v>74</v>
      </c>
      <c r="FU10" s="24"/>
      <c r="FV10">
        <v>30048</v>
      </c>
      <c r="FW10">
        <v>30247</v>
      </c>
      <c r="FX10">
        <v>30048</v>
      </c>
      <c r="FY10">
        <v>325502</v>
      </c>
      <c r="FZ10">
        <v>1235</v>
      </c>
      <c r="GB10" s="24"/>
      <c r="GC10">
        <v>107000005</v>
      </c>
      <c r="GD10">
        <v>110962170</v>
      </c>
      <c r="GE10">
        <v>109449971</v>
      </c>
      <c r="GF10">
        <v>48</v>
      </c>
      <c r="GG10">
        <v>44</v>
      </c>
      <c r="GI10" s="24"/>
      <c r="GJ10">
        <v>22502007</v>
      </c>
      <c r="GK10">
        <v>23383997</v>
      </c>
      <c r="GL10">
        <v>22502017</v>
      </c>
      <c r="GM10">
        <v>413</v>
      </c>
      <c r="GN10">
        <v>85</v>
      </c>
      <c r="GP10" s="24"/>
      <c r="GQ10">
        <v>84</v>
      </c>
      <c r="GR10">
        <v>87</v>
      </c>
      <c r="GS10">
        <v>87</v>
      </c>
      <c r="GT10">
        <v>148531047</v>
      </c>
      <c r="GU10">
        <v>127</v>
      </c>
      <c r="GW10" s="24"/>
      <c r="GX10">
        <v>242</v>
      </c>
      <c r="GY10">
        <v>252</v>
      </c>
      <c r="GZ10">
        <v>252</v>
      </c>
      <c r="HA10">
        <v>38409329</v>
      </c>
      <c r="HB10">
        <v>167</v>
      </c>
      <c r="HD10" s="24"/>
      <c r="HE10">
        <v>3748</v>
      </c>
      <c r="HF10">
        <v>3831</v>
      </c>
      <c r="HG10">
        <v>3829</v>
      </c>
      <c r="HH10">
        <v>12650810</v>
      </c>
      <c r="HI10">
        <v>206</v>
      </c>
      <c r="HK10" s="24"/>
      <c r="HL10">
        <v>109998600</v>
      </c>
      <c r="HM10">
        <v>112995999</v>
      </c>
      <c r="HN10">
        <v>110527324</v>
      </c>
      <c r="HO10">
        <v>70</v>
      </c>
      <c r="HP10">
        <v>51</v>
      </c>
      <c r="HR10" s="24"/>
      <c r="HS10">
        <v>9898</v>
      </c>
      <c r="HT10">
        <v>10030</v>
      </c>
      <c r="HU10">
        <v>10000</v>
      </c>
      <c r="HV10">
        <v>702529</v>
      </c>
      <c r="HW10">
        <v>124</v>
      </c>
      <c r="HY10" s="24"/>
      <c r="HZ10">
        <v>7760</v>
      </c>
      <c r="IA10">
        <v>7999</v>
      </c>
      <c r="IB10">
        <v>7957</v>
      </c>
      <c r="IC10">
        <v>1691363</v>
      </c>
      <c r="ID10">
        <v>384</v>
      </c>
      <c r="IF10" s="24"/>
      <c r="IG10">
        <v>2347</v>
      </c>
      <c r="IH10">
        <v>2423</v>
      </c>
      <c r="II10">
        <v>2350</v>
      </c>
      <c r="IJ10">
        <v>2905448</v>
      </c>
      <c r="IK10">
        <v>147</v>
      </c>
      <c r="IM10" s="24"/>
      <c r="IN10">
        <v>105001700</v>
      </c>
      <c r="IO10">
        <v>108998000</v>
      </c>
      <c r="IP10">
        <v>106823149</v>
      </c>
      <c r="IQ10">
        <v>68</v>
      </c>
      <c r="IR10">
        <v>55</v>
      </c>
      <c r="IT10" s="24"/>
      <c r="IU10">
        <v>7785</v>
      </c>
      <c r="IV10">
        <v>7897</v>
      </c>
      <c r="IW10">
        <v>7896</v>
      </c>
      <c r="IX10">
        <v>1289024</v>
      </c>
      <c r="IY10">
        <v>153</v>
      </c>
      <c r="JA10" s="24"/>
      <c r="JB10">
        <v>108384506</v>
      </c>
      <c r="JC10">
        <v>108999358</v>
      </c>
      <c r="JD10">
        <v>108399400</v>
      </c>
      <c r="JE10">
        <v>113</v>
      </c>
      <c r="JF10">
        <v>76</v>
      </c>
      <c r="JH10" s="24"/>
      <c r="JI10">
        <v>108009044</v>
      </c>
      <c r="JJ10">
        <v>112497378</v>
      </c>
      <c r="JK10">
        <v>110087902</v>
      </c>
      <c r="JL10">
        <v>55</v>
      </c>
      <c r="JM10">
        <v>49</v>
      </c>
      <c r="JO10" s="24"/>
      <c r="JP10">
        <v>68</v>
      </c>
      <c r="JQ10">
        <v>68</v>
      </c>
      <c r="JR10">
        <v>68</v>
      </c>
      <c r="JS10">
        <v>86866722</v>
      </c>
      <c r="JT10">
        <v>81</v>
      </c>
      <c r="JV10" s="24"/>
      <c r="JW10">
        <v>68</v>
      </c>
      <c r="JX10">
        <v>76</v>
      </c>
      <c r="JY10">
        <v>70</v>
      </c>
      <c r="JZ10">
        <v>113225148</v>
      </c>
      <c r="KA10">
        <v>112</v>
      </c>
      <c r="KC10" s="24"/>
      <c r="KD10">
        <v>17</v>
      </c>
      <c r="KE10">
        <v>18</v>
      </c>
      <c r="KF10">
        <v>18</v>
      </c>
      <c r="KG10">
        <v>135657648</v>
      </c>
      <c r="KH10">
        <v>273</v>
      </c>
      <c r="KJ10" s="24"/>
      <c r="KK10">
        <v>73</v>
      </c>
      <c r="KL10">
        <v>73</v>
      </c>
      <c r="KM10">
        <v>73</v>
      </c>
      <c r="KN10">
        <v>74625466</v>
      </c>
      <c r="KO10">
        <v>84</v>
      </c>
      <c r="KQ10" s="24"/>
      <c r="KR10">
        <v>112009</v>
      </c>
      <c r="KS10">
        <v>114997</v>
      </c>
      <c r="KT10">
        <v>113001</v>
      </c>
      <c r="KU10">
        <v>58489</v>
      </c>
      <c r="KV10">
        <v>593</v>
      </c>
      <c r="KX10" s="24"/>
      <c r="KY10">
        <v>486</v>
      </c>
      <c r="KZ10">
        <v>506</v>
      </c>
      <c r="LA10">
        <v>506</v>
      </c>
      <c r="LB10">
        <v>13367072</v>
      </c>
      <c r="LC10">
        <v>168</v>
      </c>
      <c r="LE10" s="24"/>
      <c r="LF10">
        <v>292211</v>
      </c>
      <c r="LG10">
        <v>292230</v>
      </c>
      <c r="LH10">
        <v>292213</v>
      </c>
      <c r="LI10">
        <v>97542</v>
      </c>
      <c r="LJ10">
        <v>896</v>
      </c>
      <c r="LL10" s="24"/>
      <c r="LM10">
        <v>87731</v>
      </c>
      <c r="LN10">
        <v>89984</v>
      </c>
      <c r="LO10">
        <v>88000</v>
      </c>
      <c r="LP10">
        <v>273302</v>
      </c>
      <c r="LQ10">
        <v>1236</v>
      </c>
      <c r="LS10" s="24"/>
      <c r="LT10">
        <v>225</v>
      </c>
      <c r="LU10">
        <v>231</v>
      </c>
      <c r="LV10">
        <v>230</v>
      </c>
      <c r="LW10">
        <v>119607022</v>
      </c>
      <c r="LX10">
        <v>300</v>
      </c>
      <c r="LZ10" s="24"/>
      <c r="MA10">
        <v>63786</v>
      </c>
      <c r="MB10">
        <v>63874</v>
      </c>
      <c r="MC10">
        <v>63874</v>
      </c>
      <c r="MD10">
        <v>551978</v>
      </c>
      <c r="ME10">
        <v>71</v>
      </c>
    </row>
    <row r="11" spans="1:343" x14ac:dyDescent="0.25">
      <c r="B11" s="24"/>
      <c r="C11">
        <v>2</v>
      </c>
      <c r="D11">
        <v>2</v>
      </c>
      <c r="E11">
        <v>2</v>
      </c>
      <c r="F11">
        <v>38584094826</v>
      </c>
      <c r="G11">
        <v>2625</v>
      </c>
      <c r="I11" s="24"/>
      <c r="J11">
        <v>4</v>
      </c>
      <c r="K11">
        <v>4</v>
      </c>
      <c r="L11">
        <v>4</v>
      </c>
      <c r="M11">
        <v>7624378545</v>
      </c>
      <c r="N11">
        <v>1950</v>
      </c>
      <c r="P11" s="24"/>
      <c r="Q11">
        <v>28</v>
      </c>
      <c r="R11">
        <v>29</v>
      </c>
      <c r="S11">
        <v>29</v>
      </c>
      <c r="T11">
        <v>1915128683</v>
      </c>
      <c r="U11">
        <v>1787</v>
      </c>
      <c r="W11" s="24"/>
      <c r="X11">
        <v>60</v>
      </c>
      <c r="Y11">
        <v>61</v>
      </c>
      <c r="Z11">
        <v>61</v>
      </c>
      <c r="AA11">
        <v>380944602</v>
      </c>
      <c r="AB11">
        <v>1402</v>
      </c>
      <c r="AD11" s="24"/>
      <c r="AE11">
        <v>467</v>
      </c>
      <c r="AF11">
        <v>485</v>
      </c>
      <c r="AG11">
        <v>477</v>
      </c>
      <c r="AH11">
        <v>153798021</v>
      </c>
      <c r="AI11">
        <v>1644</v>
      </c>
      <c r="AK11" s="24"/>
      <c r="AL11">
        <v>1057</v>
      </c>
      <c r="AM11">
        <v>1099</v>
      </c>
      <c r="AN11">
        <v>1095</v>
      </c>
      <c r="AO11">
        <v>38913580</v>
      </c>
      <c r="AP11">
        <v>1307</v>
      </c>
      <c r="AR11" s="24"/>
      <c r="AS11">
        <v>2921</v>
      </c>
      <c r="AT11">
        <v>3118</v>
      </c>
      <c r="AU11">
        <v>3109</v>
      </c>
      <c r="AV11">
        <v>13946726</v>
      </c>
      <c r="AW11">
        <v>1231</v>
      </c>
      <c r="AY11" s="24"/>
      <c r="AZ11">
        <v>366497913</v>
      </c>
      <c r="BA11">
        <v>373400000</v>
      </c>
      <c r="BB11">
        <v>372255188</v>
      </c>
      <c r="BC11">
        <v>1440</v>
      </c>
      <c r="BD11">
        <v>1000</v>
      </c>
      <c r="BF11" s="24"/>
      <c r="BG11">
        <v>20536</v>
      </c>
      <c r="BH11">
        <v>20801</v>
      </c>
      <c r="BI11">
        <v>20536</v>
      </c>
      <c r="BJ11">
        <v>2013394</v>
      </c>
      <c r="BK11">
        <v>161</v>
      </c>
      <c r="BM11" s="24"/>
      <c r="BN11">
        <v>5790007</v>
      </c>
      <c r="BO11">
        <v>5793000</v>
      </c>
      <c r="BP11">
        <v>5792010</v>
      </c>
      <c r="BQ11">
        <v>6756</v>
      </c>
      <c r="BR11">
        <v>251</v>
      </c>
      <c r="BT11" s="24"/>
      <c r="BU11">
        <v>1347</v>
      </c>
      <c r="BV11">
        <v>1387</v>
      </c>
      <c r="BW11">
        <v>1386</v>
      </c>
      <c r="BX11">
        <v>28315272</v>
      </c>
      <c r="BY11">
        <v>241</v>
      </c>
      <c r="CA11" s="24"/>
      <c r="CB11">
        <v>226</v>
      </c>
      <c r="CC11">
        <v>227</v>
      </c>
      <c r="CD11">
        <v>226</v>
      </c>
      <c r="CE11">
        <v>53131531</v>
      </c>
      <c r="CF11">
        <v>194</v>
      </c>
      <c r="CH11" s="24"/>
      <c r="CI11">
        <v>25006</v>
      </c>
      <c r="CJ11">
        <v>25012</v>
      </c>
      <c r="CK11">
        <v>25006</v>
      </c>
      <c r="CL11">
        <v>486705</v>
      </c>
      <c r="CM11">
        <v>103</v>
      </c>
      <c r="CO11" s="24"/>
      <c r="CP11">
        <v>7311</v>
      </c>
      <c r="CQ11">
        <v>7699</v>
      </c>
      <c r="CR11">
        <v>7614</v>
      </c>
      <c r="CS11">
        <v>922959</v>
      </c>
      <c r="CT11">
        <v>361</v>
      </c>
      <c r="CV11" s="24"/>
      <c r="CW11">
        <v>1250032</v>
      </c>
      <c r="CX11">
        <v>1290000</v>
      </c>
      <c r="CY11">
        <v>1250047</v>
      </c>
      <c r="CZ11">
        <v>6783</v>
      </c>
      <c r="DA11">
        <v>48</v>
      </c>
      <c r="DC11" s="24"/>
      <c r="DD11">
        <v>257</v>
      </c>
      <c r="DE11">
        <v>270</v>
      </c>
      <c r="DF11">
        <v>257</v>
      </c>
      <c r="DG11">
        <v>62554857</v>
      </c>
      <c r="DH11">
        <v>151</v>
      </c>
      <c r="DJ11" s="24"/>
      <c r="DK11">
        <v>38100020</v>
      </c>
      <c r="DL11">
        <v>40499998</v>
      </c>
      <c r="DM11">
        <v>39001007</v>
      </c>
      <c r="DN11">
        <v>280</v>
      </c>
      <c r="DO11">
        <v>92</v>
      </c>
      <c r="DQ11" s="24"/>
      <c r="DR11">
        <v>1115025</v>
      </c>
      <c r="DS11">
        <v>1242000</v>
      </c>
      <c r="DT11">
        <v>1116027</v>
      </c>
      <c r="DU11">
        <v>4817</v>
      </c>
      <c r="DV11">
        <v>197</v>
      </c>
      <c r="DX11" s="24"/>
      <c r="DY11">
        <v>16000666</v>
      </c>
      <c r="DZ11">
        <v>16999990</v>
      </c>
      <c r="EA11">
        <v>16005009</v>
      </c>
      <c r="EB11">
        <v>495</v>
      </c>
      <c r="EC11">
        <v>122</v>
      </c>
      <c r="EE11" s="24"/>
      <c r="EF11">
        <v>159</v>
      </c>
      <c r="EG11">
        <v>162</v>
      </c>
      <c r="EH11">
        <v>162</v>
      </c>
      <c r="EI11">
        <v>87341558</v>
      </c>
      <c r="EJ11">
        <v>169</v>
      </c>
      <c r="EL11" s="24"/>
      <c r="EM11">
        <v>45901</v>
      </c>
      <c r="EN11">
        <v>47326</v>
      </c>
      <c r="EO11">
        <v>46217</v>
      </c>
      <c r="EP11">
        <v>78363</v>
      </c>
      <c r="EQ11">
        <v>680</v>
      </c>
      <c r="ES11" s="24"/>
      <c r="ET11">
        <v>234</v>
      </c>
      <c r="EU11">
        <v>241</v>
      </c>
      <c r="EV11">
        <v>236</v>
      </c>
      <c r="EW11">
        <v>32229848</v>
      </c>
      <c r="EX11">
        <v>481</v>
      </c>
      <c r="EZ11" s="24"/>
      <c r="FA11">
        <v>2820012</v>
      </c>
      <c r="FB11">
        <v>2820020</v>
      </c>
      <c r="FC11">
        <v>2820012</v>
      </c>
      <c r="FD11">
        <v>1163</v>
      </c>
      <c r="FE11">
        <v>31</v>
      </c>
      <c r="FG11" s="24"/>
      <c r="FH11">
        <v>11000</v>
      </c>
      <c r="FI11">
        <v>11487</v>
      </c>
      <c r="FJ11">
        <v>11486</v>
      </c>
      <c r="FK11">
        <v>1781642</v>
      </c>
      <c r="FL11">
        <v>445</v>
      </c>
      <c r="FN11" s="24"/>
      <c r="FO11">
        <v>15501</v>
      </c>
      <c r="FP11">
        <v>15596</v>
      </c>
      <c r="FQ11">
        <v>15596</v>
      </c>
      <c r="FR11">
        <v>199442</v>
      </c>
      <c r="FS11">
        <v>78</v>
      </c>
      <c r="FU11" s="24"/>
      <c r="FV11">
        <v>30252</v>
      </c>
      <c r="FW11">
        <v>31248</v>
      </c>
      <c r="FX11">
        <v>30296</v>
      </c>
      <c r="FY11">
        <v>476803</v>
      </c>
      <c r="FZ11">
        <v>1343</v>
      </c>
      <c r="GB11" s="24"/>
      <c r="GC11">
        <v>107000954</v>
      </c>
      <c r="GD11">
        <v>110956800</v>
      </c>
      <c r="GE11">
        <v>108957990</v>
      </c>
      <c r="GF11">
        <v>46</v>
      </c>
      <c r="GG11">
        <v>34</v>
      </c>
      <c r="GI11" s="24"/>
      <c r="GJ11">
        <v>22506000</v>
      </c>
      <c r="GK11">
        <v>23383994</v>
      </c>
      <c r="GL11">
        <v>22700002</v>
      </c>
      <c r="GM11">
        <v>361</v>
      </c>
      <c r="GN11">
        <v>89</v>
      </c>
      <c r="GP11" s="24"/>
      <c r="GQ11">
        <v>85</v>
      </c>
      <c r="GR11">
        <v>88</v>
      </c>
      <c r="GS11">
        <v>88</v>
      </c>
      <c r="GT11">
        <v>102214002</v>
      </c>
      <c r="GU11">
        <v>109</v>
      </c>
      <c r="GW11" s="24"/>
      <c r="GX11">
        <v>238</v>
      </c>
      <c r="GY11">
        <v>247</v>
      </c>
      <c r="GZ11">
        <v>238</v>
      </c>
      <c r="HA11">
        <v>47104732</v>
      </c>
      <c r="HB11">
        <v>180</v>
      </c>
      <c r="HD11" s="24"/>
      <c r="HE11">
        <v>3750</v>
      </c>
      <c r="HF11">
        <v>3828</v>
      </c>
      <c r="HG11">
        <v>3827</v>
      </c>
      <c r="HH11">
        <v>15489512</v>
      </c>
      <c r="HI11">
        <v>228</v>
      </c>
      <c r="HK11" s="24"/>
      <c r="HL11">
        <v>106005000</v>
      </c>
      <c r="HM11">
        <v>109003800</v>
      </c>
      <c r="HN11">
        <v>108989897</v>
      </c>
      <c r="HO11">
        <v>93</v>
      </c>
      <c r="HP11">
        <v>49</v>
      </c>
      <c r="HR11" s="24"/>
      <c r="HS11">
        <v>10000</v>
      </c>
      <c r="HT11">
        <v>10000</v>
      </c>
      <c r="HU11">
        <v>10000</v>
      </c>
      <c r="HV11">
        <v>574101</v>
      </c>
      <c r="HW11">
        <v>108</v>
      </c>
      <c r="HY11" s="24"/>
      <c r="HZ11">
        <v>7428</v>
      </c>
      <c r="IA11">
        <v>7946</v>
      </c>
      <c r="IB11">
        <v>7848</v>
      </c>
      <c r="IC11">
        <v>1143169</v>
      </c>
      <c r="ID11">
        <v>390</v>
      </c>
      <c r="IF11" s="24"/>
      <c r="IG11">
        <v>2253</v>
      </c>
      <c r="IH11">
        <v>2423</v>
      </c>
      <c r="II11">
        <v>2423</v>
      </c>
      <c r="IJ11">
        <v>1728680</v>
      </c>
      <c r="IK11">
        <v>131</v>
      </c>
      <c r="IM11" s="24"/>
      <c r="IN11">
        <v>108997799</v>
      </c>
      <c r="IO11">
        <v>112499996</v>
      </c>
      <c r="IP11">
        <v>109352446</v>
      </c>
      <c r="IQ11">
        <v>51</v>
      </c>
      <c r="IR11">
        <v>37</v>
      </c>
      <c r="IT11" s="24"/>
      <c r="IU11">
        <v>7794</v>
      </c>
      <c r="IV11">
        <v>8186</v>
      </c>
      <c r="IW11">
        <v>8186</v>
      </c>
      <c r="IX11">
        <v>1566734</v>
      </c>
      <c r="IY11">
        <v>144</v>
      </c>
      <c r="JA11" s="24"/>
      <c r="JB11">
        <v>108001087</v>
      </c>
      <c r="JC11">
        <v>109009400</v>
      </c>
      <c r="JD11">
        <v>109006500</v>
      </c>
      <c r="JE11">
        <v>126</v>
      </c>
      <c r="JF11">
        <v>67</v>
      </c>
      <c r="JH11" s="24"/>
      <c r="JI11">
        <v>99001000</v>
      </c>
      <c r="JJ11">
        <v>109006006</v>
      </c>
      <c r="JK11">
        <v>107120490</v>
      </c>
      <c r="JL11">
        <v>90</v>
      </c>
      <c r="JM11">
        <v>40</v>
      </c>
      <c r="JO11" s="24"/>
      <c r="JP11">
        <v>68</v>
      </c>
      <c r="JQ11">
        <v>68</v>
      </c>
      <c r="JR11">
        <v>68</v>
      </c>
      <c r="JS11">
        <v>109393777</v>
      </c>
      <c r="JT11">
        <v>75</v>
      </c>
      <c r="JV11" s="24"/>
      <c r="JW11">
        <v>74</v>
      </c>
      <c r="JX11">
        <v>75</v>
      </c>
      <c r="JY11">
        <v>75</v>
      </c>
      <c r="JZ11">
        <v>69354861</v>
      </c>
      <c r="KA11">
        <v>92</v>
      </c>
      <c r="KC11" s="24"/>
      <c r="KD11">
        <v>18</v>
      </c>
      <c r="KE11">
        <v>18</v>
      </c>
      <c r="KF11">
        <v>18</v>
      </c>
      <c r="KG11">
        <v>75096288</v>
      </c>
      <c r="KH11">
        <v>261</v>
      </c>
      <c r="KJ11" s="24"/>
      <c r="KK11">
        <v>71</v>
      </c>
      <c r="KL11">
        <v>73</v>
      </c>
      <c r="KM11">
        <v>73</v>
      </c>
      <c r="KN11">
        <v>114648941</v>
      </c>
      <c r="KO11">
        <v>116</v>
      </c>
      <c r="KQ11" s="24"/>
      <c r="KR11">
        <v>113123</v>
      </c>
      <c r="KS11">
        <v>118499</v>
      </c>
      <c r="KT11">
        <v>114998</v>
      </c>
      <c r="KU11">
        <v>86769</v>
      </c>
      <c r="KV11">
        <v>669</v>
      </c>
      <c r="KX11" s="24"/>
      <c r="KY11">
        <v>490</v>
      </c>
      <c r="KZ11">
        <v>509</v>
      </c>
      <c r="LA11">
        <v>506</v>
      </c>
      <c r="LB11">
        <v>6114536</v>
      </c>
      <c r="LC11">
        <v>158</v>
      </c>
      <c r="LE11" s="24"/>
      <c r="LF11">
        <v>292210</v>
      </c>
      <c r="LG11">
        <v>292300</v>
      </c>
      <c r="LH11">
        <v>292215</v>
      </c>
      <c r="LI11">
        <v>124286</v>
      </c>
      <c r="LJ11">
        <v>954</v>
      </c>
      <c r="LL11" s="24"/>
      <c r="LM11">
        <v>88030</v>
      </c>
      <c r="LN11">
        <v>92994</v>
      </c>
      <c r="LO11">
        <v>88336</v>
      </c>
      <c r="LP11">
        <v>385399</v>
      </c>
      <c r="LQ11">
        <v>1375</v>
      </c>
      <c r="LS11" s="24"/>
      <c r="LT11">
        <v>221</v>
      </c>
      <c r="LU11">
        <v>230</v>
      </c>
      <c r="LV11">
        <v>224</v>
      </c>
      <c r="LW11">
        <v>144727248</v>
      </c>
      <c r="LX11">
        <v>355</v>
      </c>
      <c r="LZ11" s="24"/>
      <c r="MA11">
        <v>61594</v>
      </c>
      <c r="MB11">
        <v>62868</v>
      </c>
      <c r="MC11">
        <v>61613</v>
      </c>
      <c r="MD11">
        <v>1297799</v>
      </c>
      <c r="ME11">
        <v>139</v>
      </c>
    </row>
    <row r="12" spans="1:343" x14ac:dyDescent="0.25">
      <c r="B12" s="24"/>
      <c r="C12">
        <v>2</v>
      </c>
      <c r="D12">
        <v>2</v>
      </c>
      <c r="E12">
        <v>2</v>
      </c>
      <c r="F12">
        <v>39712755382</v>
      </c>
      <c r="G12">
        <v>3004</v>
      </c>
      <c r="I12" s="24"/>
      <c r="J12">
        <v>4</v>
      </c>
      <c r="K12">
        <v>4</v>
      </c>
      <c r="L12">
        <v>4</v>
      </c>
      <c r="M12">
        <v>7356382691</v>
      </c>
      <c r="N12">
        <v>2265</v>
      </c>
      <c r="P12" s="24"/>
      <c r="Q12">
        <v>28</v>
      </c>
      <c r="R12">
        <v>30</v>
      </c>
      <c r="S12">
        <v>29</v>
      </c>
      <c r="T12">
        <v>2178659108</v>
      </c>
      <c r="U12">
        <v>2197</v>
      </c>
      <c r="W12" s="24"/>
      <c r="X12">
        <v>60</v>
      </c>
      <c r="Y12">
        <v>62</v>
      </c>
      <c r="Z12">
        <v>62</v>
      </c>
      <c r="AA12">
        <v>433444363</v>
      </c>
      <c r="AB12">
        <v>1696</v>
      </c>
      <c r="AD12" s="24"/>
      <c r="AE12">
        <v>449</v>
      </c>
      <c r="AF12">
        <v>474</v>
      </c>
      <c r="AG12">
        <v>465</v>
      </c>
      <c r="AH12">
        <v>169761276</v>
      </c>
      <c r="AI12">
        <v>1968</v>
      </c>
      <c r="AK12" s="24"/>
      <c r="AL12">
        <v>1074</v>
      </c>
      <c r="AM12">
        <v>1124</v>
      </c>
      <c r="AN12">
        <v>1099</v>
      </c>
      <c r="AO12">
        <v>28712586</v>
      </c>
      <c r="AP12">
        <v>1448</v>
      </c>
      <c r="AR12" s="24"/>
      <c r="AS12">
        <v>3089</v>
      </c>
      <c r="AT12">
        <v>3188</v>
      </c>
      <c r="AU12">
        <v>3115</v>
      </c>
      <c r="AV12">
        <v>11760100</v>
      </c>
      <c r="AW12">
        <v>1358</v>
      </c>
      <c r="AY12" s="24"/>
      <c r="AZ12">
        <v>366059765</v>
      </c>
      <c r="BA12">
        <v>373998799</v>
      </c>
      <c r="BB12">
        <v>369922956</v>
      </c>
      <c r="BC12">
        <v>1617</v>
      </c>
      <c r="BD12">
        <v>1170</v>
      </c>
      <c r="BF12" s="24"/>
      <c r="BG12">
        <v>21013</v>
      </c>
      <c r="BH12">
        <v>21300</v>
      </c>
      <c r="BI12">
        <v>21013</v>
      </c>
      <c r="BJ12">
        <v>1678150</v>
      </c>
      <c r="BK12">
        <v>188</v>
      </c>
      <c r="BM12" s="24"/>
      <c r="BN12">
        <v>5790002</v>
      </c>
      <c r="BO12">
        <v>5915995</v>
      </c>
      <c r="BP12">
        <v>5792016</v>
      </c>
      <c r="BQ12">
        <v>13464</v>
      </c>
      <c r="BR12">
        <v>385</v>
      </c>
      <c r="BT12" s="24"/>
      <c r="BU12">
        <v>1386</v>
      </c>
      <c r="BV12">
        <v>1402</v>
      </c>
      <c r="BW12">
        <v>1389</v>
      </c>
      <c r="BX12">
        <v>36656044</v>
      </c>
      <c r="BY12">
        <v>258</v>
      </c>
      <c r="CA12" s="24"/>
      <c r="CB12">
        <v>222</v>
      </c>
      <c r="CC12">
        <v>226</v>
      </c>
      <c r="CD12">
        <v>226</v>
      </c>
      <c r="CE12">
        <v>93462794</v>
      </c>
      <c r="CF12">
        <v>294</v>
      </c>
      <c r="CH12" s="24"/>
      <c r="CI12">
        <v>24750</v>
      </c>
      <c r="CJ12">
        <v>25012</v>
      </c>
      <c r="CK12">
        <v>25012</v>
      </c>
      <c r="CL12">
        <v>1371548</v>
      </c>
      <c r="CM12">
        <v>175</v>
      </c>
      <c r="CO12" s="24"/>
      <c r="CP12">
        <v>7398</v>
      </c>
      <c r="CQ12">
        <v>7597</v>
      </c>
      <c r="CR12">
        <v>7500</v>
      </c>
      <c r="CS12">
        <v>1604827</v>
      </c>
      <c r="CT12">
        <v>512</v>
      </c>
      <c r="CV12" s="24"/>
      <c r="CW12">
        <v>1250065</v>
      </c>
      <c r="CX12">
        <v>1298881</v>
      </c>
      <c r="CY12">
        <v>1294998</v>
      </c>
      <c r="CZ12">
        <v>8884</v>
      </c>
      <c r="DA12">
        <v>55</v>
      </c>
      <c r="DC12" s="24"/>
      <c r="DD12">
        <v>239</v>
      </c>
      <c r="DE12">
        <v>257</v>
      </c>
      <c r="DF12">
        <v>254</v>
      </c>
      <c r="DG12">
        <v>91348529</v>
      </c>
      <c r="DH12">
        <v>238</v>
      </c>
      <c r="DJ12" s="24"/>
      <c r="DK12">
        <v>39444077</v>
      </c>
      <c r="DL12">
        <v>40900000</v>
      </c>
      <c r="DM12">
        <v>39444103</v>
      </c>
      <c r="DN12">
        <v>408</v>
      </c>
      <c r="DO12">
        <v>122</v>
      </c>
      <c r="DQ12" s="24"/>
      <c r="DR12">
        <v>1111023</v>
      </c>
      <c r="DS12">
        <v>1200000</v>
      </c>
      <c r="DT12">
        <v>1140001</v>
      </c>
      <c r="DU12">
        <v>8987</v>
      </c>
      <c r="DV12">
        <v>302</v>
      </c>
      <c r="DX12" s="24"/>
      <c r="DY12">
        <v>16120002</v>
      </c>
      <c r="DZ12">
        <v>16999999</v>
      </c>
      <c r="EA12">
        <v>16170001</v>
      </c>
      <c r="EB12">
        <v>635</v>
      </c>
      <c r="EC12">
        <v>134</v>
      </c>
      <c r="EE12" s="24"/>
      <c r="EF12">
        <v>161</v>
      </c>
      <c r="EG12">
        <v>166</v>
      </c>
      <c r="EH12">
        <v>163</v>
      </c>
      <c r="EI12">
        <v>149441768</v>
      </c>
      <c r="EJ12">
        <v>212</v>
      </c>
      <c r="EL12" s="24"/>
      <c r="EM12">
        <v>47801</v>
      </c>
      <c r="EN12">
        <v>48509</v>
      </c>
      <c r="EO12">
        <v>48308</v>
      </c>
      <c r="EP12">
        <v>162784</v>
      </c>
      <c r="EQ12">
        <v>757</v>
      </c>
      <c r="ES12" s="24"/>
      <c r="ET12">
        <v>241</v>
      </c>
      <c r="EU12">
        <v>245</v>
      </c>
      <c r="EV12">
        <v>243</v>
      </c>
      <c r="EW12">
        <v>38449273</v>
      </c>
      <c r="EX12">
        <v>594</v>
      </c>
      <c r="EZ12" s="24"/>
      <c r="FA12">
        <v>2997999</v>
      </c>
      <c r="FB12">
        <v>2998000</v>
      </c>
      <c r="FC12">
        <v>2997999</v>
      </c>
      <c r="FD12">
        <v>1362</v>
      </c>
      <c r="FE12">
        <v>33</v>
      </c>
      <c r="FG12" s="24"/>
      <c r="FH12">
        <v>11487</v>
      </c>
      <c r="FI12">
        <v>11697</v>
      </c>
      <c r="FJ12">
        <v>11593</v>
      </c>
      <c r="FK12">
        <v>3308286</v>
      </c>
      <c r="FL12">
        <v>577</v>
      </c>
      <c r="FN12" s="24"/>
      <c r="FO12">
        <v>16149</v>
      </c>
      <c r="FP12">
        <v>16449</v>
      </c>
      <c r="FQ12">
        <v>16150</v>
      </c>
      <c r="FR12">
        <v>130803</v>
      </c>
      <c r="FS12">
        <v>79</v>
      </c>
      <c r="FU12" s="24"/>
      <c r="FV12">
        <v>30402</v>
      </c>
      <c r="FW12">
        <v>30414</v>
      </c>
      <c r="FX12">
        <v>30414</v>
      </c>
      <c r="FY12">
        <v>506550</v>
      </c>
      <c r="FZ12">
        <v>1473</v>
      </c>
      <c r="GB12" s="24"/>
      <c r="GC12">
        <v>101015002</v>
      </c>
      <c r="GD12">
        <v>107006701</v>
      </c>
      <c r="GE12">
        <v>105826927</v>
      </c>
      <c r="GF12">
        <v>93</v>
      </c>
      <c r="GG12">
        <v>65</v>
      </c>
      <c r="GI12" s="24"/>
      <c r="GJ12">
        <v>22800000</v>
      </c>
      <c r="GK12">
        <v>23232000</v>
      </c>
      <c r="GL12">
        <v>22807001</v>
      </c>
      <c r="GM12">
        <v>614</v>
      </c>
      <c r="GN12">
        <v>109</v>
      </c>
      <c r="GP12" s="24"/>
      <c r="GQ12">
        <v>92</v>
      </c>
      <c r="GR12">
        <v>100</v>
      </c>
      <c r="GS12">
        <v>94</v>
      </c>
      <c r="GT12">
        <v>170746671</v>
      </c>
      <c r="GU12">
        <v>151</v>
      </c>
      <c r="GW12" s="24"/>
      <c r="GX12">
        <v>245</v>
      </c>
      <c r="GY12">
        <v>248</v>
      </c>
      <c r="GZ12">
        <v>245</v>
      </c>
      <c r="HA12">
        <v>65843506</v>
      </c>
      <c r="HB12">
        <v>235</v>
      </c>
      <c r="HD12" s="24"/>
      <c r="HE12">
        <v>3824</v>
      </c>
      <c r="HF12">
        <v>3828</v>
      </c>
      <c r="HG12">
        <v>3826</v>
      </c>
      <c r="HH12">
        <v>23845792</v>
      </c>
      <c r="HI12">
        <v>272</v>
      </c>
      <c r="HK12" s="24"/>
      <c r="HL12">
        <v>99250000</v>
      </c>
      <c r="HM12">
        <v>106998700</v>
      </c>
      <c r="HN12">
        <v>104455891</v>
      </c>
      <c r="HO12">
        <v>87</v>
      </c>
      <c r="HP12">
        <v>64</v>
      </c>
      <c r="HR12" s="24"/>
      <c r="HS12">
        <v>9505</v>
      </c>
      <c r="HT12">
        <v>9939</v>
      </c>
      <c r="HU12">
        <v>9505</v>
      </c>
      <c r="HV12">
        <v>1517447</v>
      </c>
      <c r="HW12">
        <v>143</v>
      </c>
      <c r="HY12" s="24"/>
      <c r="HZ12">
        <v>7556</v>
      </c>
      <c r="IA12">
        <v>7899</v>
      </c>
      <c r="IB12">
        <v>7844</v>
      </c>
      <c r="IC12">
        <v>2506114</v>
      </c>
      <c r="ID12">
        <v>549</v>
      </c>
      <c r="IF12" s="24"/>
      <c r="IG12">
        <v>2421</v>
      </c>
      <c r="IH12">
        <v>2421</v>
      </c>
      <c r="II12">
        <v>2421</v>
      </c>
      <c r="IJ12">
        <v>1425401</v>
      </c>
      <c r="IK12">
        <v>144</v>
      </c>
      <c r="IM12" s="24"/>
      <c r="IN12">
        <v>101102001</v>
      </c>
      <c r="IO12">
        <v>107011200</v>
      </c>
      <c r="IP12">
        <v>106819617</v>
      </c>
      <c r="IQ12">
        <v>95</v>
      </c>
      <c r="IR12">
        <v>69</v>
      </c>
      <c r="IT12" s="24"/>
      <c r="IU12">
        <v>8186</v>
      </c>
      <c r="IV12">
        <v>8191</v>
      </c>
      <c r="IW12">
        <v>8186</v>
      </c>
      <c r="IX12">
        <v>1520749</v>
      </c>
      <c r="IY12">
        <v>161</v>
      </c>
      <c r="JA12" s="24"/>
      <c r="JB12">
        <v>101016864</v>
      </c>
      <c r="JC12">
        <v>107976989</v>
      </c>
      <c r="JD12">
        <v>103481654</v>
      </c>
      <c r="JE12">
        <v>68</v>
      </c>
      <c r="JF12">
        <v>59</v>
      </c>
      <c r="JH12" s="24"/>
      <c r="JI12">
        <v>99003878</v>
      </c>
      <c r="JJ12">
        <v>112197203</v>
      </c>
      <c r="JK12">
        <v>106546793</v>
      </c>
      <c r="JL12">
        <v>38</v>
      </c>
      <c r="JM12">
        <v>34</v>
      </c>
      <c r="JO12" s="24"/>
      <c r="JP12">
        <v>66</v>
      </c>
      <c r="JQ12">
        <v>68</v>
      </c>
      <c r="JR12">
        <v>66</v>
      </c>
      <c r="JS12">
        <v>180864860</v>
      </c>
      <c r="JT12">
        <v>125</v>
      </c>
      <c r="JV12" s="24"/>
      <c r="JW12">
        <v>72</v>
      </c>
      <c r="JX12">
        <v>74</v>
      </c>
      <c r="JY12">
        <v>74</v>
      </c>
      <c r="JZ12">
        <v>148273635</v>
      </c>
      <c r="KA12">
        <v>131</v>
      </c>
      <c r="KC12" s="24"/>
      <c r="KD12">
        <v>17</v>
      </c>
      <c r="KE12">
        <v>18</v>
      </c>
      <c r="KF12">
        <v>18</v>
      </c>
      <c r="KG12">
        <v>45068673</v>
      </c>
      <c r="KH12">
        <v>354</v>
      </c>
      <c r="KJ12" s="24"/>
      <c r="KK12">
        <v>73</v>
      </c>
      <c r="KL12">
        <v>74</v>
      </c>
      <c r="KM12">
        <v>74</v>
      </c>
      <c r="KN12">
        <v>218690669</v>
      </c>
      <c r="KO12">
        <v>132</v>
      </c>
      <c r="KQ12" s="24"/>
      <c r="KR12">
        <v>114206</v>
      </c>
      <c r="KS12">
        <v>114306</v>
      </c>
      <c r="KT12">
        <v>114207</v>
      </c>
      <c r="KU12">
        <v>58977</v>
      </c>
      <c r="KV12">
        <v>708</v>
      </c>
      <c r="KX12" s="24"/>
      <c r="KY12">
        <v>508</v>
      </c>
      <c r="KZ12">
        <v>509</v>
      </c>
      <c r="LA12">
        <v>508</v>
      </c>
      <c r="LB12">
        <v>8424907</v>
      </c>
      <c r="LC12">
        <v>180</v>
      </c>
      <c r="LE12" s="24"/>
      <c r="LF12">
        <v>270000</v>
      </c>
      <c r="LG12">
        <v>281968</v>
      </c>
      <c r="LH12">
        <v>275016</v>
      </c>
      <c r="LI12">
        <v>111614</v>
      </c>
      <c r="LJ12">
        <v>1096</v>
      </c>
      <c r="LL12" s="24"/>
      <c r="LM12">
        <v>89960</v>
      </c>
      <c r="LN12">
        <v>90513</v>
      </c>
      <c r="LO12">
        <v>90200</v>
      </c>
      <c r="LP12">
        <v>412909</v>
      </c>
      <c r="LQ12">
        <v>1506</v>
      </c>
      <c r="LS12" s="24"/>
      <c r="LT12">
        <v>228</v>
      </c>
      <c r="LU12">
        <v>228</v>
      </c>
      <c r="LV12">
        <v>228</v>
      </c>
      <c r="LW12">
        <v>133365015</v>
      </c>
      <c r="LX12">
        <v>381</v>
      </c>
      <c r="LZ12" s="24"/>
      <c r="MA12">
        <v>63016</v>
      </c>
      <c r="MB12">
        <v>64114</v>
      </c>
      <c r="MC12">
        <v>64076</v>
      </c>
      <c r="MD12">
        <v>522669</v>
      </c>
      <c r="ME12">
        <v>67</v>
      </c>
    </row>
    <row r="13" spans="1:343" x14ac:dyDescent="0.25">
      <c r="B13" s="24"/>
      <c r="C13">
        <v>2</v>
      </c>
      <c r="D13">
        <v>2</v>
      </c>
      <c r="E13">
        <v>2</v>
      </c>
      <c r="F13">
        <v>42323147780</v>
      </c>
      <c r="G13">
        <v>3163</v>
      </c>
      <c r="I13" s="24"/>
      <c r="J13">
        <v>4</v>
      </c>
      <c r="K13">
        <v>4</v>
      </c>
      <c r="L13">
        <v>4</v>
      </c>
      <c r="M13">
        <v>5036089940</v>
      </c>
      <c r="N13">
        <v>2345</v>
      </c>
      <c r="P13" s="24"/>
      <c r="Q13">
        <v>28</v>
      </c>
      <c r="R13">
        <v>29</v>
      </c>
      <c r="S13">
        <v>29</v>
      </c>
      <c r="T13">
        <v>1868102623</v>
      </c>
      <c r="U13">
        <v>2174</v>
      </c>
      <c r="W13" s="24"/>
      <c r="X13">
        <v>61</v>
      </c>
      <c r="Y13">
        <v>63</v>
      </c>
      <c r="Z13">
        <v>62</v>
      </c>
      <c r="AA13">
        <v>316453958</v>
      </c>
      <c r="AB13">
        <v>1705</v>
      </c>
      <c r="AD13" s="24"/>
      <c r="AE13">
        <v>449</v>
      </c>
      <c r="AF13">
        <v>481</v>
      </c>
      <c r="AG13">
        <v>461</v>
      </c>
      <c r="AH13">
        <v>104561197</v>
      </c>
      <c r="AI13">
        <v>1942</v>
      </c>
      <c r="AK13" s="24"/>
      <c r="AL13">
        <v>1076</v>
      </c>
      <c r="AM13">
        <v>1113</v>
      </c>
      <c r="AN13">
        <v>1086</v>
      </c>
      <c r="AO13">
        <v>29494720</v>
      </c>
      <c r="AP13">
        <v>1418</v>
      </c>
      <c r="AR13" s="24"/>
      <c r="AS13">
        <v>3104</v>
      </c>
      <c r="AT13">
        <v>3189</v>
      </c>
      <c r="AU13">
        <v>3112</v>
      </c>
      <c r="AV13">
        <v>12904632</v>
      </c>
      <c r="AW13">
        <v>1383</v>
      </c>
      <c r="AY13" s="24"/>
      <c r="AZ13">
        <v>365001002</v>
      </c>
      <c r="BA13">
        <v>373499987</v>
      </c>
      <c r="BB13">
        <v>370004148</v>
      </c>
      <c r="BC13">
        <v>1657</v>
      </c>
      <c r="BD13">
        <v>1151</v>
      </c>
      <c r="BF13" s="24"/>
      <c r="BG13">
        <v>21299</v>
      </c>
      <c r="BH13">
        <v>21302</v>
      </c>
      <c r="BI13">
        <v>21302</v>
      </c>
      <c r="BJ13">
        <v>985461</v>
      </c>
      <c r="BK13">
        <v>208</v>
      </c>
      <c r="BM13" s="24"/>
      <c r="BN13">
        <v>5616004</v>
      </c>
      <c r="BO13">
        <v>5617001</v>
      </c>
      <c r="BP13">
        <v>5616399</v>
      </c>
      <c r="BQ13">
        <v>9400</v>
      </c>
      <c r="BR13">
        <v>340</v>
      </c>
      <c r="BT13" s="24"/>
      <c r="BU13">
        <v>1374</v>
      </c>
      <c r="BV13">
        <v>1439</v>
      </c>
      <c r="BW13">
        <v>1402</v>
      </c>
      <c r="BX13">
        <v>34512975</v>
      </c>
      <c r="BY13">
        <v>291</v>
      </c>
      <c r="CA13" s="24"/>
      <c r="CB13">
        <v>226</v>
      </c>
      <c r="CC13">
        <v>226</v>
      </c>
      <c r="CD13">
        <v>226</v>
      </c>
      <c r="CE13">
        <v>90080625</v>
      </c>
      <c r="CF13">
        <v>268</v>
      </c>
      <c r="CH13" s="24"/>
      <c r="CI13">
        <v>23853</v>
      </c>
      <c r="CJ13">
        <v>23853</v>
      </c>
      <c r="CK13">
        <v>23853</v>
      </c>
      <c r="CL13">
        <v>1101230</v>
      </c>
      <c r="CM13">
        <v>160</v>
      </c>
      <c r="CO13" s="24"/>
      <c r="CP13">
        <v>7325</v>
      </c>
      <c r="CQ13">
        <v>7596</v>
      </c>
      <c r="CR13">
        <v>7499</v>
      </c>
      <c r="CS13">
        <v>1448719</v>
      </c>
      <c r="CT13">
        <v>464</v>
      </c>
      <c r="CV13" s="24"/>
      <c r="CW13">
        <v>1293900</v>
      </c>
      <c r="CX13">
        <v>1294699</v>
      </c>
      <c r="CY13">
        <v>1294622</v>
      </c>
      <c r="CZ13">
        <v>11101</v>
      </c>
      <c r="DA13">
        <v>71</v>
      </c>
      <c r="DC13" s="24"/>
      <c r="DD13">
        <v>238</v>
      </c>
      <c r="DE13">
        <v>238</v>
      </c>
      <c r="DF13">
        <v>238</v>
      </c>
      <c r="DG13">
        <v>46217364</v>
      </c>
      <c r="DH13">
        <v>174</v>
      </c>
      <c r="DJ13" s="24"/>
      <c r="DK13">
        <v>39444100</v>
      </c>
      <c r="DL13">
        <v>39445002</v>
      </c>
      <c r="DM13">
        <v>39444103</v>
      </c>
      <c r="DN13">
        <v>453</v>
      </c>
      <c r="DO13">
        <v>109</v>
      </c>
      <c r="DQ13" s="24"/>
      <c r="DR13">
        <v>1111041</v>
      </c>
      <c r="DS13">
        <v>1199999</v>
      </c>
      <c r="DT13">
        <v>1112000</v>
      </c>
      <c r="DU13">
        <v>8638</v>
      </c>
      <c r="DV13">
        <v>258</v>
      </c>
      <c r="DX13" s="24"/>
      <c r="DY13">
        <v>16820013</v>
      </c>
      <c r="DZ13">
        <v>17748999</v>
      </c>
      <c r="EA13">
        <v>17200000</v>
      </c>
      <c r="EB13">
        <v>612</v>
      </c>
      <c r="EC13">
        <v>151</v>
      </c>
      <c r="EE13" s="24"/>
      <c r="EF13">
        <v>156</v>
      </c>
      <c r="EG13">
        <v>164</v>
      </c>
      <c r="EH13">
        <v>161</v>
      </c>
      <c r="EI13">
        <v>110478305</v>
      </c>
      <c r="EJ13">
        <v>225</v>
      </c>
      <c r="EL13" s="24"/>
      <c r="EM13">
        <v>45680</v>
      </c>
      <c r="EN13">
        <v>48987</v>
      </c>
      <c r="EO13">
        <v>45699</v>
      </c>
      <c r="EP13">
        <v>92208</v>
      </c>
      <c r="EQ13">
        <v>788</v>
      </c>
      <c r="ES13" s="24"/>
      <c r="ET13">
        <v>244</v>
      </c>
      <c r="EU13">
        <v>250</v>
      </c>
      <c r="EV13">
        <v>248</v>
      </c>
      <c r="EW13">
        <v>44863031</v>
      </c>
      <c r="EX13">
        <v>652</v>
      </c>
      <c r="EZ13" s="24"/>
      <c r="FA13">
        <v>2989999</v>
      </c>
      <c r="FB13">
        <v>2998019</v>
      </c>
      <c r="FC13">
        <v>2990000</v>
      </c>
      <c r="FD13">
        <v>2068</v>
      </c>
      <c r="FE13">
        <v>36</v>
      </c>
      <c r="FG13" s="24"/>
      <c r="FH13">
        <v>12201</v>
      </c>
      <c r="FI13">
        <v>13102</v>
      </c>
      <c r="FJ13">
        <v>12721</v>
      </c>
      <c r="FK13">
        <v>2590793</v>
      </c>
      <c r="FL13">
        <v>609</v>
      </c>
      <c r="FN13" s="24"/>
      <c r="FO13">
        <v>16140</v>
      </c>
      <c r="FP13">
        <v>16148</v>
      </c>
      <c r="FQ13">
        <v>16147</v>
      </c>
      <c r="FR13">
        <v>234919</v>
      </c>
      <c r="FS13">
        <v>112</v>
      </c>
      <c r="FU13" s="24"/>
      <c r="FV13">
        <v>29630</v>
      </c>
      <c r="FW13">
        <v>30403</v>
      </c>
      <c r="FX13">
        <v>30400</v>
      </c>
      <c r="FY13">
        <v>420933</v>
      </c>
      <c r="FZ13">
        <v>1512</v>
      </c>
      <c r="GB13" s="24"/>
      <c r="GC13">
        <v>101015003</v>
      </c>
      <c r="GD13">
        <v>105996798</v>
      </c>
      <c r="GE13">
        <v>103734359</v>
      </c>
      <c r="GF13">
        <v>67</v>
      </c>
      <c r="GG13">
        <v>55</v>
      </c>
      <c r="GI13" s="24"/>
      <c r="GJ13">
        <v>22507044</v>
      </c>
      <c r="GK13">
        <v>23211000</v>
      </c>
      <c r="GL13">
        <v>22507100</v>
      </c>
      <c r="GM13">
        <v>508</v>
      </c>
      <c r="GN13">
        <v>110</v>
      </c>
      <c r="GP13" s="24"/>
      <c r="GQ13">
        <v>90</v>
      </c>
      <c r="GR13">
        <v>100</v>
      </c>
      <c r="GS13">
        <v>95</v>
      </c>
      <c r="GT13">
        <v>176691003</v>
      </c>
      <c r="GU13">
        <v>192</v>
      </c>
      <c r="GW13" s="24"/>
      <c r="GX13">
        <v>240</v>
      </c>
      <c r="GY13">
        <v>259</v>
      </c>
      <c r="GZ13">
        <v>258</v>
      </c>
      <c r="HA13">
        <v>65937919</v>
      </c>
      <c r="HB13">
        <v>244</v>
      </c>
      <c r="HD13" s="24"/>
      <c r="HE13">
        <v>3899</v>
      </c>
      <c r="HF13">
        <v>3970</v>
      </c>
      <c r="HG13">
        <v>3899</v>
      </c>
      <c r="HH13">
        <v>18664756</v>
      </c>
      <c r="HI13">
        <v>282</v>
      </c>
      <c r="HK13" s="24"/>
      <c r="HL13">
        <v>103201400</v>
      </c>
      <c r="HM13">
        <v>106997390</v>
      </c>
      <c r="HN13">
        <v>105930835</v>
      </c>
      <c r="HO13">
        <v>53</v>
      </c>
      <c r="HP13">
        <v>46</v>
      </c>
      <c r="HR13" s="24"/>
      <c r="HS13">
        <v>9200</v>
      </c>
      <c r="HT13">
        <v>9499</v>
      </c>
      <c r="HU13">
        <v>9419</v>
      </c>
      <c r="HV13">
        <v>614139</v>
      </c>
      <c r="HW13">
        <v>145</v>
      </c>
      <c r="HY13" s="24"/>
      <c r="HZ13">
        <v>7799</v>
      </c>
      <c r="IA13">
        <v>7999</v>
      </c>
      <c r="IB13">
        <v>7958</v>
      </c>
      <c r="IC13">
        <v>2245068</v>
      </c>
      <c r="ID13">
        <v>546</v>
      </c>
      <c r="IF13" s="24"/>
      <c r="IG13">
        <v>2421</v>
      </c>
      <c r="IH13">
        <v>2421</v>
      </c>
      <c r="II13">
        <v>2421</v>
      </c>
      <c r="IJ13">
        <v>1964716</v>
      </c>
      <c r="IK13">
        <v>167</v>
      </c>
      <c r="IM13" s="24"/>
      <c r="IN13">
        <v>103200001</v>
      </c>
      <c r="IO13">
        <v>108497789</v>
      </c>
      <c r="IP13">
        <v>105680381</v>
      </c>
      <c r="IQ13">
        <v>71</v>
      </c>
      <c r="IR13">
        <v>54</v>
      </c>
      <c r="IT13" s="24"/>
      <c r="IU13">
        <v>8243</v>
      </c>
      <c r="IV13">
        <v>8400</v>
      </c>
      <c r="IW13">
        <v>8300</v>
      </c>
      <c r="IX13">
        <v>2561378</v>
      </c>
      <c r="IY13">
        <v>191</v>
      </c>
      <c r="JA13" s="24"/>
      <c r="JB13">
        <v>102001901</v>
      </c>
      <c r="JC13">
        <v>105993293</v>
      </c>
      <c r="JD13">
        <v>103000000</v>
      </c>
      <c r="JE13">
        <v>107</v>
      </c>
      <c r="JF13">
        <v>70</v>
      </c>
      <c r="JH13" s="24"/>
      <c r="JI13">
        <v>102003200</v>
      </c>
      <c r="JJ13">
        <v>104998908</v>
      </c>
      <c r="JK13">
        <v>103717295</v>
      </c>
      <c r="JL13">
        <v>53</v>
      </c>
      <c r="JM13">
        <v>35</v>
      </c>
      <c r="JO13" s="24"/>
      <c r="JP13">
        <v>65</v>
      </c>
      <c r="JQ13">
        <v>68</v>
      </c>
      <c r="JR13">
        <v>68</v>
      </c>
      <c r="JS13">
        <v>83157683</v>
      </c>
      <c r="JT13">
        <v>99</v>
      </c>
      <c r="JV13" s="24"/>
      <c r="JW13">
        <v>72</v>
      </c>
      <c r="JX13">
        <v>73</v>
      </c>
      <c r="JY13">
        <v>72</v>
      </c>
      <c r="JZ13">
        <v>175089878</v>
      </c>
      <c r="KA13">
        <v>151</v>
      </c>
      <c r="KC13" s="24"/>
      <c r="KD13">
        <v>18</v>
      </c>
      <c r="KE13">
        <v>18</v>
      </c>
      <c r="KF13">
        <v>18</v>
      </c>
      <c r="KG13">
        <v>71008998</v>
      </c>
      <c r="KH13">
        <v>314</v>
      </c>
      <c r="KJ13" s="24"/>
      <c r="KK13">
        <v>73</v>
      </c>
      <c r="KL13">
        <v>79</v>
      </c>
      <c r="KM13">
        <v>77</v>
      </c>
      <c r="KN13">
        <v>113831711</v>
      </c>
      <c r="KO13">
        <v>148</v>
      </c>
      <c r="KQ13" s="24"/>
      <c r="KR13">
        <v>100224</v>
      </c>
      <c r="KS13">
        <v>113106</v>
      </c>
      <c r="KT13">
        <v>107022</v>
      </c>
      <c r="KU13">
        <v>72809</v>
      </c>
      <c r="KV13">
        <v>795</v>
      </c>
      <c r="KX13" s="24"/>
      <c r="KY13">
        <v>506</v>
      </c>
      <c r="KZ13">
        <v>509</v>
      </c>
      <c r="LA13">
        <v>507</v>
      </c>
      <c r="LB13">
        <v>9611693</v>
      </c>
      <c r="LC13">
        <v>191</v>
      </c>
      <c r="LE13" s="24"/>
      <c r="LF13">
        <v>275033</v>
      </c>
      <c r="LG13">
        <v>281694</v>
      </c>
      <c r="LH13">
        <v>281589</v>
      </c>
      <c r="LI13">
        <v>102948</v>
      </c>
      <c r="LJ13">
        <v>1198</v>
      </c>
      <c r="LL13" s="24"/>
      <c r="LM13">
        <v>90502</v>
      </c>
      <c r="LN13">
        <v>90535</v>
      </c>
      <c r="LO13">
        <v>90521</v>
      </c>
      <c r="LP13">
        <v>393684</v>
      </c>
      <c r="LQ13">
        <v>1663</v>
      </c>
      <c r="LS13" s="24"/>
      <c r="LT13">
        <v>217</v>
      </c>
      <c r="LU13">
        <v>226</v>
      </c>
      <c r="LV13">
        <v>225</v>
      </c>
      <c r="LW13">
        <v>603521200</v>
      </c>
      <c r="LX13">
        <v>448</v>
      </c>
      <c r="LZ13" s="24"/>
      <c r="MA13">
        <v>64099</v>
      </c>
      <c r="MB13">
        <v>64099</v>
      </c>
      <c r="MC13">
        <v>64099</v>
      </c>
      <c r="MD13">
        <v>867522</v>
      </c>
      <c r="ME13">
        <v>100</v>
      </c>
    </row>
    <row r="14" spans="1:343" x14ac:dyDescent="0.25">
      <c r="B14" s="24"/>
      <c r="C14">
        <v>2</v>
      </c>
      <c r="D14">
        <v>2</v>
      </c>
      <c r="E14">
        <v>2</v>
      </c>
      <c r="F14">
        <v>31762296810</v>
      </c>
      <c r="G14">
        <v>2766</v>
      </c>
      <c r="I14" s="24"/>
      <c r="J14">
        <v>4</v>
      </c>
      <c r="K14">
        <v>4</v>
      </c>
      <c r="L14">
        <v>4</v>
      </c>
      <c r="M14">
        <v>5559388169</v>
      </c>
      <c r="N14">
        <v>2075</v>
      </c>
      <c r="P14" s="24"/>
      <c r="Q14">
        <v>28</v>
      </c>
      <c r="R14">
        <v>29</v>
      </c>
      <c r="S14">
        <v>29</v>
      </c>
      <c r="T14">
        <v>2017186535</v>
      </c>
      <c r="U14">
        <v>1946</v>
      </c>
      <c r="W14" s="24"/>
      <c r="X14">
        <v>62</v>
      </c>
      <c r="Y14">
        <v>65</v>
      </c>
      <c r="Z14">
        <v>63</v>
      </c>
      <c r="AA14">
        <v>337916201</v>
      </c>
      <c r="AB14">
        <v>1537</v>
      </c>
      <c r="AD14" s="24"/>
      <c r="AE14">
        <v>460</v>
      </c>
      <c r="AF14">
        <v>480</v>
      </c>
      <c r="AG14">
        <v>475</v>
      </c>
      <c r="AH14">
        <v>125243596</v>
      </c>
      <c r="AI14">
        <v>1791</v>
      </c>
      <c r="AK14" s="24"/>
      <c r="AL14">
        <v>1062</v>
      </c>
      <c r="AM14">
        <v>1082</v>
      </c>
      <c r="AN14">
        <v>1079</v>
      </c>
      <c r="AO14">
        <v>48396988</v>
      </c>
      <c r="AP14">
        <v>1373</v>
      </c>
      <c r="AR14" s="24"/>
      <c r="AS14">
        <v>3010</v>
      </c>
      <c r="AT14">
        <v>3097</v>
      </c>
      <c r="AU14">
        <v>3052</v>
      </c>
      <c r="AV14">
        <v>18271413</v>
      </c>
      <c r="AW14">
        <v>1355</v>
      </c>
      <c r="AY14" s="24"/>
      <c r="AZ14">
        <v>370396666</v>
      </c>
      <c r="BA14">
        <v>378999484</v>
      </c>
      <c r="BB14">
        <v>373619903</v>
      </c>
      <c r="BC14">
        <v>1466</v>
      </c>
      <c r="BD14">
        <v>1057</v>
      </c>
      <c r="BF14" s="24"/>
      <c r="BG14">
        <v>21302</v>
      </c>
      <c r="BH14">
        <v>21302</v>
      </c>
      <c r="BI14">
        <v>21302</v>
      </c>
      <c r="BJ14">
        <v>2377302</v>
      </c>
      <c r="BK14">
        <v>188</v>
      </c>
      <c r="BM14" s="24"/>
      <c r="BN14">
        <v>5618203</v>
      </c>
      <c r="BO14">
        <v>5769989</v>
      </c>
      <c r="BP14">
        <v>5619319</v>
      </c>
      <c r="BQ14">
        <v>8722</v>
      </c>
      <c r="BR14">
        <v>327</v>
      </c>
      <c r="BT14" s="24"/>
      <c r="BU14">
        <v>1438</v>
      </c>
      <c r="BV14">
        <v>1456</v>
      </c>
      <c r="BW14">
        <v>1438</v>
      </c>
      <c r="BX14">
        <v>29129736</v>
      </c>
      <c r="BY14">
        <v>262</v>
      </c>
      <c r="CA14" s="24"/>
      <c r="CB14">
        <v>218</v>
      </c>
      <c r="CC14">
        <v>226</v>
      </c>
      <c r="CD14">
        <v>223</v>
      </c>
      <c r="CE14">
        <v>104596452</v>
      </c>
      <c r="CF14">
        <v>254</v>
      </c>
      <c r="CH14" s="24"/>
      <c r="CI14">
        <v>24385</v>
      </c>
      <c r="CJ14">
        <v>24385</v>
      </c>
      <c r="CK14">
        <v>24385</v>
      </c>
      <c r="CL14">
        <v>649662</v>
      </c>
      <c r="CM14">
        <v>124</v>
      </c>
      <c r="CO14" s="24"/>
      <c r="CP14">
        <v>7327</v>
      </c>
      <c r="CQ14">
        <v>7679</v>
      </c>
      <c r="CR14">
        <v>7645</v>
      </c>
      <c r="CS14">
        <v>1833257</v>
      </c>
      <c r="CT14">
        <v>388</v>
      </c>
      <c r="CV14" s="24"/>
      <c r="CW14">
        <v>1250123</v>
      </c>
      <c r="CX14">
        <v>1297881</v>
      </c>
      <c r="CY14">
        <v>1294622</v>
      </c>
      <c r="CZ14">
        <v>9500</v>
      </c>
      <c r="DA14">
        <v>67</v>
      </c>
      <c r="DC14" s="24"/>
      <c r="DD14">
        <v>241</v>
      </c>
      <c r="DE14">
        <v>244</v>
      </c>
      <c r="DF14">
        <v>242</v>
      </c>
      <c r="DG14">
        <v>37344926</v>
      </c>
      <c r="DH14">
        <v>146</v>
      </c>
      <c r="DJ14" s="24"/>
      <c r="DK14">
        <v>35080113</v>
      </c>
      <c r="DL14">
        <v>36979998</v>
      </c>
      <c r="DM14">
        <v>36056030</v>
      </c>
      <c r="DN14">
        <v>920</v>
      </c>
      <c r="DO14">
        <v>134</v>
      </c>
      <c r="DQ14" s="24"/>
      <c r="DR14">
        <v>1001051</v>
      </c>
      <c r="DS14">
        <v>1125005</v>
      </c>
      <c r="DT14">
        <v>1111060</v>
      </c>
      <c r="DU14">
        <v>11651</v>
      </c>
      <c r="DV14">
        <v>235</v>
      </c>
      <c r="DX14" s="24"/>
      <c r="DY14">
        <v>17610006</v>
      </c>
      <c r="DZ14">
        <v>17770000</v>
      </c>
      <c r="EA14">
        <v>17655000</v>
      </c>
      <c r="EB14">
        <v>714</v>
      </c>
      <c r="EC14">
        <v>128</v>
      </c>
      <c r="EE14" s="24"/>
      <c r="EF14">
        <v>155</v>
      </c>
      <c r="EG14">
        <v>164</v>
      </c>
      <c r="EH14">
        <v>162</v>
      </c>
      <c r="EI14">
        <v>121793591</v>
      </c>
      <c r="EJ14">
        <v>265</v>
      </c>
      <c r="EL14" s="24"/>
      <c r="EM14">
        <v>45715</v>
      </c>
      <c r="EN14">
        <v>46398</v>
      </c>
      <c r="EO14">
        <v>45769</v>
      </c>
      <c r="EP14">
        <v>84600</v>
      </c>
      <c r="EQ14">
        <v>637</v>
      </c>
      <c r="ES14" s="24"/>
      <c r="ET14">
        <v>240</v>
      </c>
      <c r="EU14">
        <v>250</v>
      </c>
      <c r="EV14">
        <v>245</v>
      </c>
      <c r="EW14">
        <v>57122214</v>
      </c>
      <c r="EX14">
        <v>534</v>
      </c>
      <c r="EZ14" s="24"/>
      <c r="FA14">
        <v>3022997</v>
      </c>
      <c r="FB14">
        <v>3022997</v>
      </c>
      <c r="FC14">
        <v>3022997</v>
      </c>
      <c r="FD14">
        <v>1026</v>
      </c>
      <c r="FE14">
        <v>15</v>
      </c>
      <c r="FG14" s="24"/>
      <c r="FH14">
        <v>12204</v>
      </c>
      <c r="FI14">
        <v>12714</v>
      </c>
      <c r="FJ14">
        <v>12698</v>
      </c>
      <c r="FK14">
        <v>2592974</v>
      </c>
      <c r="FL14">
        <v>484</v>
      </c>
      <c r="FN14" s="24"/>
      <c r="FO14">
        <v>15600</v>
      </c>
      <c r="FP14">
        <v>16593</v>
      </c>
      <c r="FQ14">
        <v>16012</v>
      </c>
      <c r="FR14">
        <v>339518</v>
      </c>
      <c r="FS14">
        <v>106</v>
      </c>
      <c r="FU14" s="24"/>
      <c r="FV14">
        <v>28876</v>
      </c>
      <c r="FW14">
        <v>29799</v>
      </c>
      <c r="FX14">
        <v>29101</v>
      </c>
      <c r="FY14">
        <v>282618</v>
      </c>
      <c r="FZ14">
        <v>1229</v>
      </c>
      <c r="GB14" s="24"/>
      <c r="GC14">
        <v>101015005</v>
      </c>
      <c r="GD14">
        <v>105994594</v>
      </c>
      <c r="GE14">
        <v>104409826</v>
      </c>
      <c r="GF14">
        <v>61</v>
      </c>
      <c r="GG14">
        <v>51</v>
      </c>
      <c r="GI14" s="24"/>
      <c r="GJ14">
        <v>22507095</v>
      </c>
      <c r="GK14">
        <v>25199999</v>
      </c>
      <c r="GL14">
        <v>23205998</v>
      </c>
      <c r="GM14">
        <v>990</v>
      </c>
      <c r="GN14">
        <v>130</v>
      </c>
      <c r="GP14" s="24"/>
      <c r="GQ14">
        <v>86</v>
      </c>
      <c r="GR14">
        <v>95</v>
      </c>
      <c r="GS14">
        <v>88</v>
      </c>
      <c r="GT14">
        <v>211793482</v>
      </c>
      <c r="GU14">
        <v>162</v>
      </c>
      <c r="GW14" s="24"/>
      <c r="GX14">
        <v>254</v>
      </c>
      <c r="GY14">
        <v>255</v>
      </c>
      <c r="GZ14">
        <v>254</v>
      </c>
      <c r="HA14">
        <v>66827959</v>
      </c>
      <c r="HB14">
        <v>226</v>
      </c>
      <c r="HD14" s="24"/>
      <c r="HE14">
        <v>3978</v>
      </c>
      <c r="HF14">
        <v>4047</v>
      </c>
      <c r="HG14">
        <v>4044</v>
      </c>
      <c r="HH14">
        <v>20566566</v>
      </c>
      <c r="HI14">
        <v>287</v>
      </c>
      <c r="HK14" s="24"/>
      <c r="HL14">
        <v>103202600</v>
      </c>
      <c r="HM14">
        <v>106997793</v>
      </c>
      <c r="HN14">
        <v>106799595</v>
      </c>
      <c r="HO14">
        <v>132</v>
      </c>
      <c r="HP14">
        <v>93</v>
      </c>
      <c r="HR14" s="24"/>
      <c r="HS14">
        <v>9379</v>
      </c>
      <c r="HT14">
        <v>9379</v>
      </c>
      <c r="HU14">
        <v>9379</v>
      </c>
      <c r="HV14">
        <v>646287</v>
      </c>
      <c r="HW14">
        <v>130</v>
      </c>
      <c r="HY14" s="24"/>
      <c r="HZ14">
        <v>7898</v>
      </c>
      <c r="IA14">
        <v>8597</v>
      </c>
      <c r="IB14">
        <v>8049</v>
      </c>
      <c r="IC14">
        <v>2967068</v>
      </c>
      <c r="ID14">
        <v>504</v>
      </c>
      <c r="IF14" s="24"/>
      <c r="IG14">
        <v>2400</v>
      </c>
      <c r="IH14">
        <v>2494</v>
      </c>
      <c r="II14">
        <v>2421</v>
      </c>
      <c r="IJ14">
        <v>3074788</v>
      </c>
      <c r="IK14">
        <v>168</v>
      </c>
      <c r="IM14" s="24"/>
      <c r="IN14">
        <v>103600000</v>
      </c>
      <c r="IO14">
        <v>107499590</v>
      </c>
      <c r="IP14">
        <v>105738232</v>
      </c>
      <c r="IQ14">
        <v>67</v>
      </c>
      <c r="IR14">
        <v>55</v>
      </c>
      <c r="IT14" s="24"/>
      <c r="IU14">
        <v>8300</v>
      </c>
      <c r="IV14">
        <v>8954</v>
      </c>
      <c r="IW14">
        <v>8947</v>
      </c>
      <c r="IX14">
        <v>1434400</v>
      </c>
      <c r="IY14">
        <v>177</v>
      </c>
      <c r="JA14" s="24"/>
      <c r="JB14">
        <v>101261328</v>
      </c>
      <c r="JC14">
        <v>105894459</v>
      </c>
      <c r="JD14">
        <v>105435882</v>
      </c>
      <c r="JE14">
        <v>80</v>
      </c>
      <c r="JF14">
        <v>62</v>
      </c>
      <c r="JH14" s="24"/>
      <c r="JI14">
        <v>102003335</v>
      </c>
      <c r="JJ14">
        <v>104993178</v>
      </c>
      <c r="JK14">
        <v>103610419</v>
      </c>
      <c r="JL14">
        <v>75</v>
      </c>
      <c r="JM14">
        <v>52</v>
      </c>
      <c r="JO14" s="24"/>
      <c r="JP14">
        <v>64</v>
      </c>
      <c r="JQ14">
        <v>68</v>
      </c>
      <c r="JR14">
        <v>65</v>
      </c>
      <c r="JS14">
        <v>220099714</v>
      </c>
      <c r="JT14">
        <v>147</v>
      </c>
      <c r="JV14" s="24"/>
      <c r="JW14">
        <v>70</v>
      </c>
      <c r="JX14">
        <v>73</v>
      </c>
      <c r="JY14">
        <v>73</v>
      </c>
      <c r="JZ14">
        <v>154758153</v>
      </c>
      <c r="KA14">
        <v>139</v>
      </c>
      <c r="KC14" s="24"/>
      <c r="KD14">
        <v>17</v>
      </c>
      <c r="KE14">
        <v>18</v>
      </c>
      <c r="KF14">
        <v>17</v>
      </c>
      <c r="KG14">
        <v>71484282</v>
      </c>
      <c r="KH14">
        <v>296</v>
      </c>
      <c r="KJ14" s="24"/>
      <c r="KK14">
        <v>73</v>
      </c>
      <c r="KL14">
        <v>77</v>
      </c>
      <c r="KM14">
        <v>75</v>
      </c>
      <c r="KN14">
        <v>166109549</v>
      </c>
      <c r="KO14">
        <v>146</v>
      </c>
      <c r="KQ14" s="24"/>
      <c r="KR14">
        <v>109490</v>
      </c>
      <c r="KS14">
        <v>111122</v>
      </c>
      <c r="KT14">
        <v>110012</v>
      </c>
      <c r="KU14">
        <v>57268</v>
      </c>
      <c r="KV14">
        <v>612</v>
      </c>
      <c r="KX14" s="24"/>
      <c r="KY14">
        <v>500</v>
      </c>
      <c r="KZ14">
        <v>512</v>
      </c>
      <c r="LA14">
        <v>512</v>
      </c>
      <c r="LB14">
        <v>7239560</v>
      </c>
      <c r="LC14">
        <v>188</v>
      </c>
      <c r="LE14" s="24"/>
      <c r="LF14">
        <v>281696</v>
      </c>
      <c r="LG14">
        <v>288999</v>
      </c>
      <c r="LH14">
        <v>281706</v>
      </c>
      <c r="LI14">
        <v>97692</v>
      </c>
      <c r="LJ14">
        <v>990</v>
      </c>
      <c r="LL14" s="24"/>
      <c r="LM14">
        <v>90602</v>
      </c>
      <c r="LN14">
        <v>92529</v>
      </c>
      <c r="LO14">
        <v>90633</v>
      </c>
      <c r="LP14">
        <v>319906</v>
      </c>
      <c r="LQ14">
        <v>1376</v>
      </c>
      <c r="LS14" s="24"/>
      <c r="LT14">
        <v>223</v>
      </c>
      <c r="LU14">
        <v>225</v>
      </c>
      <c r="LV14">
        <v>224</v>
      </c>
      <c r="LW14">
        <v>149042436</v>
      </c>
      <c r="LX14">
        <v>356</v>
      </c>
      <c r="LZ14" s="24"/>
      <c r="MA14">
        <v>62852</v>
      </c>
      <c r="MB14">
        <v>64097</v>
      </c>
      <c r="MC14">
        <v>63995</v>
      </c>
      <c r="MD14">
        <v>930703</v>
      </c>
      <c r="ME14">
        <v>99</v>
      </c>
    </row>
    <row r="15" spans="1:343" x14ac:dyDescent="0.25">
      <c r="B15" s="24"/>
      <c r="C15">
        <v>2</v>
      </c>
      <c r="D15">
        <v>2</v>
      </c>
      <c r="E15">
        <v>2</v>
      </c>
      <c r="F15">
        <v>28338522847</v>
      </c>
      <c r="G15">
        <v>2826</v>
      </c>
      <c r="I15" s="24"/>
      <c r="J15">
        <v>4</v>
      </c>
      <c r="K15">
        <v>4</v>
      </c>
      <c r="L15">
        <v>4</v>
      </c>
      <c r="M15">
        <v>6434787703</v>
      </c>
      <c r="N15">
        <v>2108</v>
      </c>
      <c r="P15" s="24"/>
      <c r="Q15">
        <v>28</v>
      </c>
      <c r="R15">
        <v>30</v>
      </c>
      <c r="S15">
        <v>29</v>
      </c>
      <c r="T15">
        <v>2108699860</v>
      </c>
      <c r="U15">
        <v>2035</v>
      </c>
      <c r="W15" s="24"/>
      <c r="X15">
        <v>62</v>
      </c>
      <c r="Y15">
        <v>62</v>
      </c>
      <c r="Z15">
        <v>62</v>
      </c>
      <c r="AA15">
        <v>468648672</v>
      </c>
      <c r="AB15">
        <v>1607</v>
      </c>
      <c r="AD15" s="24"/>
      <c r="AE15">
        <v>475</v>
      </c>
      <c r="AF15">
        <v>483</v>
      </c>
      <c r="AG15">
        <v>478</v>
      </c>
      <c r="AH15">
        <v>118774018</v>
      </c>
      <c r="AI15">
        <v>1727</v>
      </c>
      <c r="AK15" s="24"/>
      <c r="AL15">
        <v>1057</v>
      </c>
      <c r="AM15">
        <v>1078</v>
      </c>
      <c r="AN15">
        <v>1077</v>
      </c>
      <c r="AO15">
        <v>32912502</v>
      </c>
      <c r="AP15">
        <v>1355</v>
      </c>
      <c r="AR15" s="24"/>
      <c r="AS15">
        <v>2977</v>
      </c>
      <c r="AT15">
        <v>3077</v>
      </c>
      <c r="AU15">
        <v>3071</v>
      </c>
      <c r="AV15">
        <v>16645598</v>
      </c>
      <c r="AW15">
        <v>1306</v>
      </c>
      <c r="AY15" s="24"/>
      <c r="AZ15">
        <v>371371243</v>
      </c>
      <c r="BA15">
        <v>378767812</v>
      </c>
      <c r="BB15">
        <v>377899878</v>
      </c>
      <c r="BC15">
        <v>1634</v>
      </c>
      <c r="BD15">
        <v>1126</v>
      </c>
      <c r="BF15" s="24"/>
      <c r="BG15">
        <v>20515</v>
      </c>
      <c r="BH15">
        <v>21302</v>
      </c>
      <c r="BI15">
        <v>21000</v>
      </c>
      <c r="BJ15">
        <v>818808</v>
      </c>
      <c r="BK15">
        <v>123</v>
      </c>
      <c r="BM15" s="24"/>
      <c r="BN15">
        <v>5633004</v>
      </c>
      <c r="BO15">
        <v>5789999</v>
      </c>
      <c r="BP15">
        <v>5686030</v>
      </c>
      <c r="BQ15">
        <v>7554</v>
      </c>
      <c r="BR15">
        <v>266</v>
      </c>
      <c r="BT15" s="24"/>
      <c r="BU15">
        <v>1455</v>
      </c>
      <c r="BV15">
        <v>1509</v>
      </c>
      <c r="BW15">
        <v>1485</v>
      </c>
      <c r="BX15">
        <v>24442122</v>
      </c>
      <c r="BY15">
        <v>252</v>
      </c>
      <c r="CA15" s="24"/>
      <c r="CB15">
        <v>215</v>
      </c>
      <c r="CC15">
        <v>224</v>
      </c>
      <c r="CD15">
        <v>223</v>
      </c>
      <c r="CE15">
        <v>84690650</v>
      </c>
      <c r="CF15">
        <v>252</v>
      </c>
      <c r="CH15" s="24"/>
      <c r="CI15">
        <v>23856</v>
      </c>
      <c r="CJ15">
        <v>24899</v>
      </c>
      <c r="CK15">
        <v>23857</v>
      </c>
      <c r="CL15">
        <v>2170033</v>
      </c>
      <c r="CM15">
        <v>134</v>
      </c>
      <c r="CO15" s="24"/>
      <c r="CP15">
        <v>7547</v>
      </c>
      <c r="CQ15">
        <v>7699</v>
      </c>
      <c r="CR15">
        <v>7600</v>
      </c>
      <c r="CS15">
        <v>1095758</v>
      </c>
      <c r="CT15">
        <v>333</v>
      </c>
      <c r="CV15" s="24"/>
      <c r="CW15">
        <v>1300000</v>
      </c>
      <c r="CX15">
        <v>1395000</v>
      </c>
      <c r="CY15">
        <v>1322492</v>
      </c>
      <c r="CZ15">
        <v>8731</v>
      </c>
      <c r="DA15">
        <v>50</v>
      </c>
      <c r="DC15" s="24"/>
      <c r="DD15">
        <v>236</v>
      </c>
      <c r="DE15">
        <v>245</v>
      </c>
      <c r="DF15">
        <v>244</v>
      </c>
      <c r="DG15">
        <v>38663105</v>
      </c>
      <c r="DH15">
        <v>128</v>
      </c>
      <c r="DJ15" s="24"/>
      <c r="DK15">
        <v>35185119</v>
      </c>
      <c r="DL15">
        <v>36979994</v>
      </c>
      <c r="DM15">
        <v>35200005</v>
      </c>
      <c r="DN15">
        <v>435</v>
      </c>
      <c r="DO15">
        <v>91</v>
      </c>
      <c r="DQ15" s="24"/>
      <c r="DR15">
        <v>1100001</v>
      </c>
      <c r="DS15">
        <v>1189998</v>
      </c>
      <c r="DT15">
        <v>1188999</v>
      </c>
      <c r="DU15">
        <v>4309</v>
      </c>
      <c r="DV15">
        <v>187</v>
      </c>
      <c r="DX15" s="24"/>
      <c r="DY15">
        <v>17800001</v>
      </c>
      <c r="DZ15">
        <v>18449997</v>
      </c>
      <c r="EA15">
        <v>17800006</v>
      </c>
      <c r="EB15">
        <v>289</v>
      </c>
      <c r="EC15">
        <v>88</v>
      </c>
      <c r="EE15" s="24"/>
      <c r="EF15">
        <v>152</v>
      </c>
      <c r="EG15">
        <v>161</v>
      </c>
      <c r="EH15">
        <v>159</v>
      </c>
      <c r="EI15">
        <v>80541865</v>
      </c>
      <c r="EJ15">
        <v>218</v>
      </c>
      <c r="EL15" s="24"/>
      <c r="EM15">
        <v>45790</v>
      </c>
      <c r="EN15">
        <v>46785</v>
      </c>
      <c r="EO15">
        <v>45792</v>
      </c>
      <c r="EP15">
        <v>110995</v>
      </c>
      <c r="EQ15">
        <v>696</v>
      </c>
      <c r="ES15" s="24"/>
      <c r="ET15">
        <v>236</v>
      </c>
      <c r="EU15">
        <v>245</v>
      </c>
      <c r="EV15">
        <v>236</v>
      </c>
      <c r="EW15">
        <v>56413455</v>
      </c>
      <c r="EX15">
        <v>495</v>
      </c>
      <c r="EZ15" s="24"/>
      <c r="FA15">
        <v>3027996</v>
      </c>
      <c r="FB15">
        <v>3027997</v>
      </c>
      <c r="FC15">
        <v>3027996</v>
      </c>
      <c r="FD15">
        <v>757</v>
      </c>
      <c r="FE15">
        <v>28</v>
      </c>
      <c r="FG15" s="24"/>
      <c r="FH15">
        <v>11404</v>
      </c>
      <c r="FI15">
        <v>12638</v>
      </c>
      <c r="FJ15">
        <v>11900</v>
      </c>
      <c r="FK15">
        <v>1760131</v>
      </c>
      <c r="FL15">
        <v>475</v>
      </c>
      <c r="FN15" s="24"/>
      <c r="FO15">
        <v>16200</v>
      </c>
      <c r="FP15">
        <v>16592</v>
      </c>
      <c r="FQ15">
        <v>16592</v>
      </c>
      <c r="FR15">
        <v>114406</v>
      </c>
      <c r="FS15">
        <v>88</v>
      </c>
      <c r="FU15" s="24"/>
      <c r="FV15">
        <v>29103</v>
      </c>
      <c r="FW15">
        <v>29993</v>
      </c>
      <c r="FX15">
        <v>29110</v>
      </c>
      <c r="FY15">
        <v>366541</v>
      </c>
      <c r="FZ15">
        <v>1285</v>
      </c>
      <c r="GB15" s="24"/>
      <c r="GC15">
        <v>105100000</v>
      </c>
      <c r="GD15">
        <v>105992000</v>
      </c>
      <c r="GE15">
        <v>105990000</v>
      </c>
      <c r="GF15">
        <v>124</v>
      </c>
      <c r="GG15">
        <v>70</v>
      </c>
      <c r="GI15" s="24"/>
      <c r="GJ15">
        <v>23200000</v>
      </c>
      <c r="GK15">
        <v>24498000</v>
      </c>
      <c r="GL15">
        <v>23700005</v>
      </c>
      <c r="GM15">
        <v>324</v>
      </c>
      <c r="GN15">
        <v>66</v>
      </c>
      <c r="GP15" s="24"/>
      <c r="GQ15">
        <v>86</v>
      </c>
      <c r="GR15">
        <v>89</v>
      </c>
      <c r="GS15">
        <v>87</v>
      </c>
      <c r="GT15">
        <v>156989816</v>
      </c>
      <c r="GU15">
        <v>157</v>
      </c>
      <c r="GW15" s="24"/>
      <c r="GX15">
        <v>237</v>
      </c>
      <c r="GY15">
        <v>258</v>
      </c>
      <c r="GZ15">
        <v>256</v>
      </c>
      <c r="HA15">
        <v>47828420</v>
      </c>
      <c r="HB15">
        <v>207</v>
      </c>
      <c r="HD15" s="24"/>
      <c r="HE15">
        <v>3869</v>
      </c>
      <c r="HF15">
        <v>4037</v>
      </c>
      <c r="HG15">
        <v>4029</v>
      </c>
      <c r="HH15">
        <v>13948596</v>
      </c>
      <c r="HI15">
        <v>254</v>
      </c>
      <c r="HK15" s="24"/>
      <c r="HL15">
        <v>106997792</v>
      </c>
      <c r="HM15">
        <v>114895930</v>
      </c>
      <c r="HN15">
        <v>108849307</v>
      </c>
      <c r="HO15">
        <v>71</v>
      </c>
      <c r="HP15">
        <v>55</v>
      </c>
      <c r="HR15" s="24"/>
      <c r="HS15">
        <v>9465</v>
      </c>
      <c r="HT15">
        <v>9639</v>
      </c>
      <c r="HU15">
        <v>9600</v>
      </c>
      <c r="HV15">
        <v>463891</v>
      </c>
      <c r="HW15">
        <v>124</v>
      </c>
      <c r="HY15" s="24"/>
      <c r="HZ15">
        <v>8249</v>
      </c>
      <c r="IA15">
        <v>8799</v>
      </c>
      <c r="IB15">
        <v>8600</v>
      </c>
      <c r="IC15">
        <v>3924140</v>
      </c>
      <c r="ID15">
        <v>442</v>
      </c>
      <c r="IF15" s="24"/>
      <c r="IG15">
        <v>2494</v>
      </c>
      <c r="IH15">
        <v>2681</v>
      </c>
      <c r="II15">
        <v>2681</v>
      </c>
      <c r="IJ15">
        <v>1117046</v>
      </c>
      <c r="IK15">
        <v>130</v>
      </c>
      <c r="IM15" s="24"/>
      <c r="IN15">
        <v>103628979</v>
      </c>
      <c r="IO15">
        <v>107393200</v>
      </c>
      <c r="IP15">
        <v>107392748</v>
      </c>
      <c r="IQ15">
        <v>143</v>
      </c>
      <c r="IR15">
        <v>89</v>
      </c>
      <c r="IT15" s="24"/>
      <c r="IU15">
        <v>8503</v>
      </c>
      <c r="IV15">
        <v>8789</v>
      </c>
      <c r="IW15">
        <v>8701</v>
      </c>
      <c r="IX15">
        <v>1525723</v>
      </c>
      <c r="IY15">
        <v>158</v>
      </c>
      <c r="JA15" s="24"/>
      <c r="JB15">
        <v>105886070</v>
      </c>
      <c r="JC15">
        <v>107969000</v>
      </c>
      <c r="JD15">
        <v>106147688</v>
      </c>
      <c r="JE15">
        <v>87</v>
      </c>
      <c r="JF15">
        <v>68</v>
      </c>
      <c r="JH15" s="24"/>
      <c r="JI15">
        <v>104994000</v>
      </c>
      <c r="JJ15">
        <v>111997571</v>
      </c>
      <c r="JK15">
        <v>106810886</v>
      </c>
      <c r="JL15">
        <v>65</v>
      </c>
      <c r="JM15">
        <v>42</v>
      </c>
      <c r="JO15" s="24"/>
      <c r="JP15">
        <v>64</v>
      </c>
      <c r="JQ15">
        <v>67</v>
      </c>
      <c r="JR15">
        <v>67</v>
      </c>
      <c r="JS15">
        <v>81371776</v>
      </c>
      <c r="JT15">
        <v>100</v>
      </c>
      <c r="JV15" s="24"/>
      <c r="JW15">
        <v>70</v>
      </c>
      <c r="JX15">
        <v>74</v>
      </c>
      <c r="JY15">
        <v>74</v>
      </c>
      <c r="JZ15">
        <v>83982349</v>
      </c>
      <c r="KA15">
        <v>109</v>
      </c>
      <c r="KC15" s="24"/>
      <c r="KD15">
        <v>16</v>
      </c>
      <c r="KE15">
        <v>18</v>
      </c>
      <c r="KF15">
        <v>17</v>
      </c>
      <c r="KG15">
        <v>76365586</v>
      </c>
      <c r="KH15">
        <v>260</v>
      </c>
      <c r="KJ15" s="24"/>
      <c r="KK15">
        <v>76</v>
      </c>
      <c r="KL15">
        <v>77</v>
      </c>
      <c r="KM15">
        <v>77</v>
      </c>
      <c r="KN15">
        <v>70256443</v>
      </c>
      <c r="KO15">
        <v>98</v>
      </c>
      <c r="KQ15" s="24"/>
      <c r="KR15">
        <v>113009</v>
      </c>
      <c r="KS15">
        <v>116220</v>
      </c>
      <c r="KT15">
        <v>114015</v>
      </c>
      <c r="KU15">
        <v>87729</v>
      </c>
      <c r="KV15">
        <v>688</v>
      </c>
      <c r="KX15" s="24"/>
      <c r="KY15">
        <v>483</v>
      </c>
      <c r="KZ15">
        <v>550</v>
      </c>
      <c r="LA15">
        <v>501</v>
      </c>
      <c r="LB15">
        <v>6146513</v>
      </c>
      <c r="LC15">
        <v>186</v>
      </c>
      <c r="LE15" s="24"/>
      <c r="LF15">
        <v>281713</v>
      </c>
      <c r="LG15">
        <v>283000</v>
      </c>
      <c r="LH15">
        <v>281806</v>
      </c>
      <c r="LI15">
        <v>104912</v>
      </c>
      <c r="LJ15">
        <v>951</v>
      </c>
      <c r="LL15" s="24"/>
      <c r="LM15">
        <v>90687</v>
      </c>
      <c r="LN15">
        <v>91101</v>
      </c>
      <c r="LO15">
        <v>90902</v>
      </c>
      <c r="LP15">
        <v>350042</v>
      </c>
      <c r="LQ15">
        <v>1322</v>
      </c>
      <c r="LS15" s="24"/>
      <c r="LT15">
        <v>221</v>
      </c>
      <c r="LU15">
        <v>224</v>
      </c>
      <c r="LV15">
        <v>224</v>
      </c>
      <c r="LW15">
        <v>97341907</v>
      </c>
      <c r="LX15">
        <v>328</v>
      </c>
      <c r="LZ15" s="24"/>
      <c r="MA15">
        <v>63996</v>
      </c>
      <c r="MB15">
        <v>64097</v>
      </c>
      <c r="MC15">
        <v>64095</v>
      </c>
      <c r="MD15">
        <v>577846</v>
      </c>
      <c r="ME15">
        <v>79</v>
      </c>
    </row>
    <row r="16" spans="1:343" x14ac:dyDescent="0.25">
      <c r="B16" s="24"/>
      <c r="C16">
        <v>2</v>
      </c>
      <c r="D16">
        <v>2</v>
      </c>
      <c r="E16">
        <v>2</v>
      </c>
      <c r="F16">
        <v>24795906309</v>
      </c>
      <c r="G16">
        <v>2052</v>
      </c>
      <c r="I16" s="24"/>
      <c r="J16">
        <v>4</v>
      </c>
      <c r="K16">
        <v>4</v>
      </c>
      <c r="L16">
        <v>4</v>
      </c>
      <c r="M16">
        <v>5230883333</v>
      </c>
      <c r="N16">
        <v>1456</v>
      </c>
      <c r="P16" s="24"/>
      <c r="Q16">
        <v>29</v>
      </c>
      <c r="R16">
        <v>29</v>
      </c>
      <c r="S16">
        <v>29</v>
      </c>
      <c r="T16">
        <v>1165971969</v>
      </c>
      <c r="U16">
        <v>1340</v>
      </c>
      <c r="W16" s="24"/>
      <c r="X16">
        <v>62</v>
      </c>
      <c r="Y16">
        <v>62</v>
      </c>
      <c r="Z16">
        <v>62</v>
      </c>
      <c r="AA16">
        <v>201400333</v>
      </c>
      <c r="AB16">
        <v>1056</v>
      </c>
      <c r="AD16" s="24"/>
      <c r="AE16">
        <v>497</v>
      </c>
      <c r="AF16">
        <v>507</v>
      </c>
      <c r="AG16">
        <v>498</v>
      </c>
      <c r="AH16">
        <v>95016531</v>
      </c>
      <c r="AI16">
        <v>1220</v>
      </c>
      <c r="AK16" s="24"/>
      <c r="AL16">
        <v>1043</v>
      </c>
      <c r="AM16">
        <v>1099</v>
      </c>
      <c r="AN16">
        <v>1080</v>
      </c>
      <c r="AO16">
        <v>30699095</v>
      </c>
      <c r="AP16">
        <v>1023</v>
      </c>
      <c r="AR16" s="24"/>
      <c r="AS16">
        <v>2999</v>
      </c>
      <c r="AT16">
        <v>3087</v>
      </c>
      <c r="AU16">
        <v>3006</v>
      </c>
      <c r="AV16">
        <v>11211606</v>
      </c>
      <c r="AW16">
        <v>863</v>
      </c>
      <c r="AY16" s="24"/>
      <c r="AZ16">
        <v>371311817</v>
      </c>
      <c r="BA16">
        <v>378949237</v>
      </c>
      <c r="BB16">
        <v>372900000</v>
      </c>
      <c r="BC16">
        <v>1462</v>
      </c>
      <c r="BD16">
        <v>1025</v>
      </c>
      <c r="BF16" s="24"/>
      <c r="BG16">
        <v>21000</v>
      </c>
      <c r="BH16">
        <v>21000</v>
      </c>
      <c r="BI16">
        <v>21000</v>
      </c>
      <c r="BJ16">
        <v>1804127</v>
      </c>
      <c r="BK16">
        <v>121</v>
      </c>
      <c r="BM16" s="24"/>
      <c r="BN16">
        <v>5690010</v>
      </c>
      <c r="BO16">
        <v>5816392</v>
      </c>
      <c r="BP16">
        <v>5690045</v>
      </c>
      <c r="BQ16">
        <v>7399</v>
      </c>
      <c r="BR16">
        <v>227</v>
      </c>
      <c r="BT16" s="24"/>
      <c r="BU16">
        <v>1458</v>
      </c>
      <c r="BV16">
        <v>1503</v>
      </c>
      <c r="BW16">
        <v>1502</v>
      </c>
      <c r="BX16">
        <v>15972779</v>
      </c>
      <c r="BY16">
        <v>174</v>
      </c>
      <c r="CA16" s="24"/>
      <c r="CB16">
        <v>216</v>
      </c>
      <c r="CC16">
        <v>225</v>
      </c>
      <c r="CD16">
        <v>224</v>
      </c>
      <c r="CE16">
        <v>51568874</v>
      </c>
      <c r="CF16">
        <v>209</v>
      </c>
      <c r="CH16" s="24"/>
      <c r="CI16">
        <v>23857</v>
      </c>
      <c r="CJ16">
        <v>24746</v>
      </c>
      <c r="CK16">
        <v>23857</v>
      </c>
      <c r="CL16">
        <v>1855921</v>
      </c>
      <c r="CM16">
        <v>108</v>
      </c>
      <c r="CO16" s="24"/>
      <c r="CP16">
        <v>7455</v>
      </c>
      <c r="CQ16">
        <v>7743</v>
      </c>
      <c r="CR16">
        <v>7499</v>
      </c>
      <c r="CS16">
        <v>739036</v>
      </c>
      <c r="CT16">
        <v>229</v>
      </c>
      <c r="CV16" s="24"/>
      <c r="CW16">
        <v>1393498</v>
      </c>
      <c r="CX16">
        <v>1394000</v>
      </c>
      <c r="CY16">
        <v>1393499</v>
      </c>
      <c r="CZ16">
        <v>4786</v>
      </c>
      <c r="DA16">
        <v>31</v>
      </c>
      <c r="DC16" s="24"/>
      <c r="DD16">
        <v>245</v>
      </c>
      <c r="DE16">
        <v>245</v>
      </c>
      <c r="DF16">
        <v>245</v>
      </c>
      <c r="DG16">
        <v>20744319</v>
      </c>
      <c r="DH16">
        <v>110</v>
      </c>
      <c r="DJ16" s="24"/>
      <c r="DK16">
        <v>35940004</v>
      </c>
      <c r="DL16">
        <v>36993999</v>
      </c>
      <c r="DM16">
        <v>35999999</v>
      </c>
      <c r="DN16">
        <v>388</v>
      </c>
      <c r="DO16">
        <v>88</v>
      </c>
      <c r="DQ16" s="24"/>
      <c r="DR16">
        <v>1100589</v>
      </c>
      <c r="DS16">
        <v>1224995</v>
      </c>
      <c r="DT16">
        <v>1222200</v>
      </c>
      <c r="DU16">
        <v>5075</v>
      </c>
      <c r="DV16">
        <v>152</v>
      </c>
      <c r="DX16" s="24"/>
      <c r="DY16">
        <v>17820011</v>
      </c>
      <c r="DZ16">
        <v>18399993</v>
      </c>
      <c r="EA16">
        <v>18000000</v>
      </c>
      <c r="EB16">
        <v>309</v>
      </c>
      <c r="EC16">
        <v>76</v>
      </c>
      <c r="EE16" s="24"/>
      <c r="EF16">
        <v>159</v>
      </c>
      <c r="EG16">
        <v>159</v>
      </c>
      <c r="EH16">
        <v>159</v>
      </c>
      <c r="EI16">
        <v>88025587</v>
      </c>
      <c r="EJ16">
        <v>114</v>
      </c>
      <c r="EL16" s="24"/>
      <c r="EM16">
        <v>45699</v>
      </c>
      <c r="EN16">
        <v>46790</v>
      </c>
      <c r="EO16">
        <v>45787</v>
      </c>
      <c r="EP16">
        <v>55052</v>
      </c>
      <c r="EQ16">
        <v>505</v>
      </c>
      <c r="ES16" s="24"/>
      <c r="ET16">
        <v>230</v>
      </c>
      <c r="EU16">
        <v>239</v>
      </c>
      <c r="EV16">
        <v>231</v>
      </c>
      <c r="EW16">
        <v>54656876</v>
      </c>
      <c r="EX16">
        <v>427</v>
      </c>
      <c r="EZ16" s="24"/>
      <c r="FA16">
        <v>2880000</v>
      </c>
      <c r="FB16">
        <v>2880000</v>
      </c>
      <c r="FC16">
        <v>2880000</v>
      </c>
      <c r="FD16">
        <v>827</v>
      </c>
      <c r="FE16">
        <v>11</v>
      </c>
      <c r="FG16" s="24"/>
      <c r="FH16">
        <v>11512</v>
      </c>
      <c r="FI16">
        <v>12720</v>
      </c>
      <c r="FJ16">
        <v>12647</v>
      </c>
      <c r="FK16">
        <v>1660325</v>
      </c>
      <c r="FL16">
        <v>377</v>
      </c>
      <c r="FN16" s="24"/>
      <c r="FO16">
        <v>16594</v>
      </c>
      <c r="FP16">
        <v>16594</v>
      </c>
      <c r="FQ16">
        <v>16594</v>
      </c>
      <c r="FR16">
        <v>140375</v>
      </c>
      <c r="FS16">
        <v>49</v>
      </c>
      <c r="FU16" s="24"/>
      <c r="FV16">
        <v>29308</v>
      </c>
      <c r="FW16">
        <v>29400</v>
      </c>
      <c r="FX16">
        <v>29310</v>
      </c>
      <c r="FY16">
        <v>257864</v>
      </c>
      <c r="FZ16">
        <v>924</v>
      </c>
      <c r="GB16" s="24"/>
      <c r="GC16">
        <v>110932996</v>
      </c>
      <c r="GD16">
        <v>119668540</v>
      </c>
      <c r="GE16">
        <v>114835000</v>
      </c>
      <c r="GF16">
        <v>119</v>
      </c>
      <c r="GG16">
        <v>107</v>
      </c>
      <c r="GI16" s="24"/>
      <c r="GJ16">
        <v>23700006</v>
      </c>
      <c r="GK16">
        <v>24411005</v>
      </c>
      <c r="GL16">
        <v>24099999</v>
      </c>
      <c r="GM16">
        <v>300</v>
      </c>
      <c r="GN16">
        <v>77</v>
      </c>
      <c r="GP16" s="24"/>
      <c r="GQ16">
        <v>86</v>
      </c>
      <c r="GR16">
        <v>86</v>
      </c>
      <c r="GS16">
        <v>86</v>
      </c>
      <c r="GT16">
        <v>100474006</v>
      </c>
      <c r="GU16">
        <v>91</v>
      </c>
      <c r="GW16" s="24"/>
      <c r="GX16">
        <v>250</v>
      </c>
      <c r="GY16">
        <v>253</v>
      </c>
      <c r="GZ16">
        <v>253</v>
      </c>
      <c r="HA16">
        <v>32373721</v>
      </c>
      <c r="HB16">
        <v>141</v>
      </c>
      <c r="HD16" s="24"/>
      <c r="HE16">
        <v>3879</v>
      </c>
      <c r="HF16">
        <v>4004</v>
      </c>
      <c r="HG16">
        <v>3999</v>
      </c>
      <c r="HH16">
        <v>12283856</v>
      </c>
      <c r="HI16">
        <v>189</v>
      </c>
      <c r="HK16" s="24"/>
      <c r="HL16">
        <v>110099999</v>
      </c>
      <c r="HM16">
        <v>119189991</v>
      </c>
      <c r="HN16">
        <v>114200000</v>
      </c>
      <c r="HO16">
        <v>167</v>
      </c>
      <c r="HP16">
        <v>130</v>
      </c>
      <c r="HR16" s="24"/>
      <c r="HS16">
        <v>9999</v>
      </c>
      <c r="HT16">
        <v>10000</v>
      </c>
      <c r="HU16">
        <v>10000</v>
      </c>
      <c r="HV16">
        <v>557000</v>
      </c>
      <c r="HW16">
        <v>110</v>
      </c>
      <c r="HY16" s="24"/>
      <c r="HZ16">
        <v>8201</v>
      </c>
      <c r="IA16">
        <v>8700</v>
      </c>
      <c r="IB16">
        <v>8549</v>
      </c>
      <c r="IC16">
        <v>1589545</v>
      </c>
      <c r="ID16">
        <v>297</v>
      </c>
      <c r="IF16" s="24"/>
      <c r="IG16">
        <v>2450</v>
      </c>
      <c r="IH16">
        <v>2655</v>
      </c>
      <c r="II16">
        <v>2644</v>
      </c>
      <c r="IJ16">
        <v>2208935</v>
      </c>
      <c r="IK16">
        <v>103</v>
      </c>
      <c r="IM16" s="24"/>
      <c r="IN16">
        <v>110298399</v>
      </c>
      <c r="IO16">
        <v>119791353</v>
      </c>
      <c r="IP16">
        <v>114434999</v>
      </c>
      <c r="IQ16">
        <v>124</v>
      </c>
      <c r="IR16">
        <v>106</v>
      </c>
      <c r="IT16" s="24"/>
      <c r="IU16">
        <v>8700</v>
      </c>
      <c r="IV16">
        <v>8786</v>
      </c>
      <c r="IW16">
        <v>8786</v>
      </c>
      <c r="IX16">
        <v>1885809</v>
      </c>
      <c r="IY16">
        <v>118</v>
      </c>
      <c r="JA16" s="24"/>
      <c r="JB16">
        <v>112279998</v>
      </c>
      <c r="JC16">
        <v>121000000</v>
      </c>
      <c r="JD16">
        <v>115997999</v>
      </c>
      <c r="JE16">
        <v>138</v>
      </c>
      <c r="JF16">
        <v>120</v>
      </c>
      <c r="JH16" s="24"/>
      <c r="JI16">
        <v>111994884</v>
      </c>
      <c r="JJ16">
        <v>116398789</v>
      </c>
      <c r="JK16">
        <v>111999595</v>
      </c>
      <c r="JL16">
        <v>105</v>
      </c>
      <c r="JM16">
        <v>80</v>
      </c>
      <c r="JO16" s="24"/>
      <c r="JP16">
        <v>61</v>
      </c>
      <c r="JQ16">
        <v>66</v>
      </c>
      <c r="JR16">
        <v>65</v>
      </c>
      <c r="JS16">
        <v>61667792</v>
      </c>
      <c r="JT16">
        <v>62</v>
      </c>
      <c r="JV16" s="24"/>
      <c r="JW16">
        <v>73</v>
      </c>
      <c r="JX16">
        <v>73</v>
      </c>
      <c r="JY16">
        <v>73</v>
      </c>
      <c r="JZ16">
        <v>46925641</v>
      </c>
      <c r="KA16">
        <v>64</v>
      </c>
      <c r="KC16" s="24"/>
      <c r="KD16">
        <v>16</v>
      </c>
      <c r="KE16">
        <v>16</v>
      </c>
      <c r="KF16">
        <v>16</v>
      </c>
      <c r="KG16">
        <v>139915905</v>
      </c>
      <c r="KH16">
        <v>182</v>
      </c>
      <c r="KJ16" s="24"/>
      <c r="KK16">
        <v>77</v>
      </c>
      <c r="KL16">
        <v>77</v>
      </c>
      <c r="KM16">
        <v>77</v>
      </c>
      <c r="KN16">
        <v>132767630</v>
      </c>
      <c r="KO16">
        <v>94</v>
      </c>
      <c r="KQ16" s="24"/>
      <c r="KR16">
        <v>114017</v>
      </c>
      <c r="KS16">
        <v>114019</v>
      </c>
      <c r="KT16">
        <v>114018</v>
      </c>
      <c r="KU16">
        <v>70214</v>
      </c>
      <c r="KV16">
        <v>466</v>
      </c>
      <c r="KX16" s="24"/>
      <c r="KY16">
        <v>525</v>
      </c>
      <c r="KZ16">
        <v>549</v>
      </c>
      <c r="LA16">
        <v>549</v>
      </c>
      <c r="LB16">
        <v>3176514</v>
      </c>
      <c r="LC16">
        <v>108</v>
      </c>
      <c r="LE16" s="24"/>
      <c r="LF16">
        <v>281809</v>
      </c>
      <c r="LG16">
        <v>281813</v>
      </c>
      <c r="LH16">
        <v>281810</v>
      </c>
      <c r="LI16">
        <v>79537</v>
      </c>
      <c r="LJ16">
        <v>700</v>
      </c>
      <c r="LL16" s="24"/>
      <c r="LM16">
        <v>91021</v>
      </c>
      <c r="LN16">
        <v>91202</v>
      </c>
      <c r="LO16">
        <v>91024</v>
      </c>
      <c r="LP16">
        <v>269432</v>
      </c>
      <c r="LQ16">
        <v>999</v>
      </c>
      <c r="LS16" s="24"/>
      <c r="LT16">
        <v>220</v>
      </c>
      <c r="LU16">
        <v>223</v>
      </c>
      <c r="LV16">
        <v>223</v>
      </c>
      <c r="LW16">
        <v>66465686</v>
      </c>
      <c r="LX16">
        <v>232</v>
      </c>
      <c r="LZ16" s="24"/>
      <c r="MA16">
        <v>62101</v>
      </c>
      <c r="MB16">
        <v>64069</v>
      </c>
      <c r="MC16">
        <v>62105</v>
      </c>
      <c r="MD16">
        <v>504586</v>
      </c>
      <c r="ME16">
        <v>48</v>
      </c>
    </row>
    <row r="17" spans="2:343" x14ac:dyDescent="0.25">
      <c r="B17" s="24"/>
      <c r="C17">
        <v>2</v>
      </c>
      <c r="D17">
        <v>2</v>
      </c>
      <c r="E17">
        <v>2</v>
      </c>
      <c r="F17">
        <v>42647679061</v>
      </c>
      <c r="G17">
        <v>2733</v>
      </c>
      <c r="I17" s="24"/>
      <c r="J17">
        <v>4</v>
      </c>
      <c r="K17">
        <v>4</v>
      </c>
      <c r="L17">
        <v>4</v>
      </c>
      <c r="M17">
        <v>5828400134</v>
      </c>
      <c r="N17">
        <v>1974</v>
      </c>
      <c r="P17" s="24"/>
      <c r="Q17">
        <v>28</v>
      </c>
      <c r="R17">
        <v>29</v>
      </c>
      <c r="S17">
        <v>29</v>
      </c>
      <c r="T17">
        <v>1659276614</v>
      </c>
      <c r="U17">
        <v>1881</v>
      </c>
      <c r="W17" s="24"/>
      <c r="X17">
        <v>61</v>
      </c>
      <c r="Y17">
        <v>64</v>
      </c>
      <c r="Z17">
        <v>62</v>
      </c>
      <c r="AA17">
        <v>300528707</v>
      </c>
      <c r="AB17">
        <v>1418</v>
      </c>
      <c r="AD17" s="24"/>
      <c r="AE17">
        <v>502</v>
      </c>
      <c r="AF17">
        <v>532</v>
      </c>
      <c r="AG17">
        <v>503</v>
      </c>
      <c r="AH17">
        <v>128444586</v>
      </c>
      <c r="AI17">
        <v>1649</v>
      </c>
      <c r="AK17" s="24"/>
      <c r="AL17">
        <v>1050</v>
      </c>
      <c r="AM17">
        <v>1109</v>
      </c>
      <c r="AN17">
        <v>1087</v>
      </c>
      <c r="AO17">
        <v>29901714</v>
      </c>
      <c r="AP17">
        <v>1288</v>
      </c>
      <c r="AR17" s="24"/>
      <c r="AS17">
        <v>2962</v>
      </c>
      <c r="AT17">
        <v>3080</v>
      </c>
      <c r="AU17">
        <v>3028</v>
      </c>
      <c r="AV17">
        <v>13916014</v>
      </c>
      <c r="AW17">
        <v>1262</v>
      </c>
      <c r="AY17" s="24"/>
      <c r="AZ17">
        <v>361000120</v>
      </c>
      <c r="BA17">
        <v>369891202</v>
      </c>
      <c r="BB17">
        <v>364000000</v>
      </c>
      <c r="BC17">
        <v>2056</v>
      </c>
      <c r="BD17">
        <v>1446</v>
      </c>
      <c r="BF17" s="24"/>
      <c r="BG17">
        <v>21004</v>
      </c>
      <c r="BH17">
        <v>21352</v>
      </c>
      <c r="BI17">
        <v>21051</v>
      </c>
      <c r="BJ17">
        <v>4714454</v>
      </c>
      <c r="BK17">
        <v>226</v>
      </c>
      <c r="BM17" s="24"/>
      <c r="BN17">
        <v>5897801</v>
      </c>
      <c r="BO17">
        <v>6000000</v>
      </c>
      <c r="BP17">
        <v>5898010</v>
      </c>
      <c r="BQ17">
        <v>9556</v>
      </c>
      <c r="BR17">
        <v>328</v>
      </c>
      <c r="BT17" s="24"/>
      <c r="BU17">
        <v>1396</v>
      </c>
      <c r="BV17">
        <v>1488</v>
      </c>
      <c r="BW17">
        <v>1455</v>
      </c>
      <c r="BX17">
        <v>30778460</v>
      </c>
      <c r="BY17">
        <v>297</v>
      </c>
      <c r="CA17" s="24"/>
      <c r="CB17">
        <v>226</v>
      </c>
      <c r="CC17">
        <v>227</v>
      </c>
      <c r="CD17">
        <v>227</v>
      </c>
      <c r="CE17">
        <v>104521614</v>
      </c>
      <c r="CF17">
        <v>320</v>
      </c>
      <c r="CH17" s="24"/>
      <c r="CI17">
        <v>23858</v>
      </c>
      <c r="CJ17">
        <v>25650</v>
      </c>
      <c r="CK17">
        <v>23858</v>
      </c>
      <c r="CL17">
        <v>1050290</v>
      </c>
      <c r="CM17">
        <v>173</v>
      </c>
      <c r="CO17" s="24"/>
      <c r="CP17">
        <v>7336</v>
      </c>
      <c r="CQ17">
        <v>7599</v>
      </c>
      <c r="CR17">
        <v>7546</v>
      </c>
      <c r="CS17">
        <v>1185422</v>
      </c>
      <c r="CT17">
        <v>342</v>
      </c>
      <c r="CV17" s="24"/>
      <c r="CW17">
        <v>1393497</v>
      </c>
      <c r="CX17">
        <v>1395998</v>
      </c>
      <c r="CY17">
        <v>1395998</v>
      </c>
      <c r="CZ17">
        <v>11340</v>
      </c>
      <c r="DA17">
        <v>70</v>
      </c>
      <c r="DC17" s="24"/>
      <c r="DD17">
        <v>243</v>
      </c>
      <c r="DE17">
        <v>245</v>
      </c>
      <c r="DF17">
        <v>244</v>
      </c>
      <c r="DG17">
        <v>35161204</v>
      </c>
      <c r="DH17">
        <v>173</v>
      </c>
      <c r="DJ17" s="24"/>
      <c r="DK17">
        <v>36054003</v>
      </c>
      <c r="DL17">
        <v>37699999</v>
      </c>
      <c r="DM17">
        <v>36080001</v>
      </c>
      <c r="DN17">
        <v>426</v>
      </c>
      <c r="DO17">
        <v>123</v>
      </c>
      <c r="DQ17" s="24"/>
      <c r="DR17">
        <v>1100600</v>
      </c>
      <c r="DS17">
        <v>1223000</v>
      </c>
      <c r="DT17">
        <v>1150003</v>
      </c>
      <c r="DU17">
        <v>6783</v>
      </c>
      <c r="DV17">
        <v>213</v>
      </c>
      <c r="DX17" s="24"/>
      <c r="DY17">
        <v>17050001</v>
      </c>
      <c r="DZ17">
        <v>18270995</v>
      </c>
      <c r="EA17">
        <v>17820011</v>
      </c>
      <c r="EB17">
        <v>535</v>
      </c>
      <c r="EC17">
        <v>125</v>
      </c>
      <c r="EE17" s="24"/>
      <c r="EF17">
        <v>155</v>
      </c>
      <c r="EG17">
        <v>163</v>
      </c>
      <c r="EH17">
        <v>159</v>
      </c>
      <c r="EI17">
        <v>100066248</v>
      </c>
      <c r="EJ17">
        <v>216</v>
      </c>
      <c r="EL17" s="24"/>
      <c r="EM17">
        <v>45699</v>
      </c>
      <c r="EN17">
        <v>46750</v>
      </c>
      <c r="EO17">
        <v>45802</v>
      </c>
      <c r="EP17">
        <v>85157</v>
      </c>
      <c r="EQ17">
        <v>722</v>
      </c>
      <c r="ES17" s="24"/>
      <c r="ET17">
        <v>238</v>
      </c>
      <c r="EU17">
        <v>238</v>
      </c>
      <c r="EV17">
        <v>238</v>
      </c>
      <c r="EW17">
        <v>40780888</v>
      </c>
      <c r="EX17">
        <v>611</v>
      </c>
      <c r="EZ17" s="24"/>
      <c r="FA17">
        <v>2880001</v>
      </c>
      <c r="FB17">
        <v>3027998</v>
      </c>
      <c r="FC17">
        <v>3027998</v>
      </c>
      <c r="FD17">
        <v>3169</v>
      </c>
      <c r="FE17">
        <v>36</v>
      </c>
      <c r="FG17" s="24"/>
      <c r="FH17">
        <v>12007</v>
      </c>
      <c r="FI17">
        <v>12999</v>
      </c>
      <c r="FJ17">
        <v>12010</v>
      </c>
      <c r="FK17">
        <v>2274544</v>
      </c>
      <c r="FL17">
        <v>521</v>
      </c>
      <c r="FN17" s="24"/>
      <c r="FO17">
        <v>16000</v>
      </c>
      <c r="FP17">
        <v>16349</v>
      </c>
      <c r="FQ17">
        <v>16150</v>
      </c>
      <c r="FR17">
        <v>222636</v>
      </c>
      <c r="FS17">
        <v>106</v>
      </c>
      <c r="FU17" s="24"/>
      <c r="FV17">
        <v>28915</v>
      </c>
      <c r="FW17">
        <v>29400</v>
      </c>
      <c r="FX17">
        <v>29173</v>
      </c>
      <c r="FY17">
        <v>354987</v>
      </c>
      <c r="FZ17">
        <v>1307</v>
      </c>
      <c r="GB17" s="24"/>
      <c r="GC17">
        <v>114000000</v>
      </c>
      <c r="GD17">
        <v>122252795</v>
      </c>
      <c r="GE17">
        <v>117000400</v>
      </c>
      <c r="GF17">
        <v>176</v>
      </c>
      <c r="GG17">
        <v>113</v>
      </c>
      <c r="GI17" s="24"/>
      <c r="GJ17">
        <v>24200000</v>
      </c>
      <c r="GK17">
        <v>25286995</v>
      </c>
      <c r="GL17">
        <v>24800000</v>
      </c>
      <c r="GM17">
        <v>621</v>
      </c>
      <c r="GN17">
        <v>95</v>
      </c>
      <c r="GP17" s="24"/>
      <c r="GQ17">
        <v>83</v>
      </c>
      <c r="GR17">
        <v>89</v>
      </c>
      <c r="GS17">
        <v>87</v>
      </c>
      <c r="GT17">
        <v>147314202</v>
      </c>
      <c r="GU17">
        <v>167</v>
      </c>
      <c r="GW17" s="24"/>
      <c r="GX17">
        <v>239</v>
      </c>
      <c r="GY17">
        <v>253</v>
      </c>
      <c r="GZ17">
        <v>253</v>
      </c>
      <c r="HA17">
        <v>58179490</v>
      </c>
      <c r="HB17">
        <v>215</v>
      </c>
      <c r="HD17" s="24"/>
      <c r="HE17">
        <v>3914</v>
      </c>
      <c r="HF17">
        <v>3995</v>
      </c>
      <c r="HG17">
        <v>3995</v>
      </c>
      <c r="HH17">
        <v>15181958</v>
      </c>
      <c r="HI17">
        <v>301</v>
      </c>
      <c r="HK17" s="24"/>
      <c r="HL17">
        <v>114300009</v>
      </c>
      <c r="HM17">
        <v>119189896</v>
      </c>
      <c r="HN17">
        <v>119148989</v>
      </c>
      <c r="HO17">
        <v>241</v>
      </c>
      <c r="HP17">
        <v>178</v>
      </c>
      <c r="HR17" s="24"/>
      <c r="HS17">
        <v>9900</v>
      </c>
      <c r="HT17">
        <v>10455</v>
      </c>
      <c r="HU17">
        <v>10198</v>
      </c>
      <c r="HV17">
        <v>755236</v>
      </c>
      <c r="HW17">
        <v>160</v>
      </c>
      <c r="HY17" s="24"/>
      <c r="HZ17">
        <v>7999</v>
      </c>
      <c r="IA17">
        <v>8842</v>
      </c>
      <c r="IB17">
        <v>8699</v>
      </c>
      <c r="IC17">
        <v>1637215</v>
      </c>
      <c r="ID17">
        <v>437</v>
      </c>
      <c r="IF17" s="24"/>
      <c r="IG17">
        <v>2493</v>
      </c>
      <c r="IH17">
        <v>2649</v>
      </c>
      <c r="II17">
        <v>2649</v>
      </c>
      <c r="IJ17">
        <v>1343464</v>
      </c>
      <c r="IK17">
        <v>143</v>
      </c>
      <c r="IM17" s="24"/>
      <c r="IN17">
        <v>112000107</v>
      </c>
      <c r="IO17">
        <v>119795000</v>
      </c>
      <c r="IP17">
        <v>116000200</v>
      </c>
      <c r="IQ17">
        <v>157</v>
      </c>
      <c r="IR17">
        <v>110</v>
      </c>
      <c r="IT17" s="24"/>
      <c r="IU17">
        <v>8008</v>
      </c>
      <c r="IV17">
        <v>8787</v>
      </c>
      <c r="IW17">
        <v>8520</v>
      </c>
      <c r="IX17">
        <v>1397555</v>
      </c>
      <c r="IY17">
        <v>202</v>
      </c>
      <c r="JA17" s="24"/>
      <c r="JB17">
        <v>119799998</v>
      </c>
      <c r="JC17">
        <v>122000223</v>
      </c>
      <c r="JD17">
        <v>119800000</v>
      </c>
      <c r="JE17">
        <v>223</v>
      </c>
      <c r="JF17">
        <v>173</v>
      </c>
      <c r="JH17" s="24"/>
      <c r="JI17">
        <v>114000009</v>
      </c>
      <c r="JJ17">
        <v>119232943</v>
      </c>
      <c r="JK17">
        <v>116775314</v>
      </c>
      <c r="JL17">
        <v>90</v>
      </c>
      <c r="JM17">
        <v>74</v>
      </c>
      <c r="JO17" s="24"/>
      <c r="JP17">
        <v>63</v>
      </c>
      <c r="JQ17">
        <v>66</v>
      </c>
      <c r="JR17">
        <v>66</v>
      </c>
      <c r="JS17">
        <v>76893106</v>
      </c>
      <c r="JT17">
        <v>109</v>
      </c>
      <c r="JV17" s="24"/>
      <c r="JW17">
        <v>70</v>
      </c>
      <c r="JX17">
        <v>73</v>
      </c>
      <c r="JY17">
        <v>73</v>
      </c>
      <c r="JZ17">
        <v>94016701</v>
      </c>
      <c r="KA17">
        <v>108</v>
      </c>
      <c r="KC17" s="24"/>
      <c r="KD17">
        <v>17</v>
      </c>
      <c r="KE17">
        <v>17</v>
      </c>
      <c r="KF17">
        <v>17</v>
      </c>
      <c r="KG17">
        <v>39517093</v>
      </c>
      <c r="KH17">
        <v>296</v>
      </c>
      <c r="KJ17" s="24"/>
      <c r="KK17">
        <v>75</v>
      </c>
      <c r="KL17">
        <v>79</v>
      </c>
      <c r="KM17">
        <v>76</v>
      </c>
      <c r="KN17">
        <v>89322876</v>
      </c>
      <c r="KO17">
        <v>124</v>
      </c>
      <c r="KQ17" s="24"/>
      <c r="KR17">
        <v>105017</v>
      </c>
      <c r="KS17">
        <v>106024</v>
      </c>
      <c r="KT17">
        <v>105022</v>
      </c>
      <c r="KU17">
        <v>53286</v>
      </c>
      <c r="KV17">
        <v>664</v>
      </c>
      <c r="KX17" s="24"/>
      <c r="KY17">
        <v>505</v>
      </c>
      <c r="KZ17">
        <v>539</v>
      </c>
      <c r="LA17">
        <v>539</v>
      </c>
      <c r="LB17">
        <v>6329144</v>
      </c>
      <c r="LC17">
        <v>208</v>
      </c>
      <c r="LE17" s="24"/>
      <c r="LF17">
        <v>270000</v>
      </c>
      <c r="LG17">
        <v>281808</v>
      </c>
      <c r="LH17">
        <v>275037</v>
      </c>
      <c r="LI17">
        <v>126215</v>
      </c>
      <c r="LJ17">
        <v>1061</v>
      </c>
      <c r="LL17" s="24"/>
      <c r="LM17">
        <v>88656</v>
      </c>
      <c r="LN17">
        <v>91032</v>
      </c>
      <c r="LO17">
        <v>91023</v>
      </c>
      <c r="LP17">
        <v>406690</v>
      </c>
      <c r="LQ17">
        <v>1415</v>
      </c>
      <c r="LS17" s="24"/>
      <c r="LT17">
        <v>220</v>
      </c>
      <c r="LU17">
        <v>224</v>
      </c>
      <c r="LV17">
        <v>224</v>
      </c>
      <c r="LW17">
        <v>112453971</v>
      </c>
      <c r="LX17">
        <v>389</v>
      </c>
      <c r="LZ17" s="24"/>
      <c r="MA17">
        <v>62126</v>
      </c>
      <c r="MB17">
        <v>64049</v>
      </c>
      <c r="MC17">
        <v>63047</v>
      </c>
      <c r="MD17">
        <v>1198331</v>
      </c>
      <c r="ME17">
        <v>135</v>
      </c>
    </row>
    <row r="18" spans="2:343" x14ac:dyDescent="0.25">
      <c r="B18" s="24"/>
      <c r="C18">
        <v>2</v>
      </c>
      <c r="D18">
        <v>2</v>
      </c>
      <c r="E18">
        <v>2</v>
      </c>
      <c r="F18">
        <v>30637659315</v>
      </c>
      <c r="G18">
        <v>3225</v>
      </c>
      <c r="I18" s="24"/>
      <c r="J18">
        <v>4</v>
      </c>
      <c r="K18">
        <v>4</v>
      </c>
      <c r="L18">
        <v>4</v>
      </c>
      <c r="M18">
        <v>5324171812</v>
      </c>
      <c r="N18">
        <v>2344</v>
      </c>
      <c r="P18" s="24"/>
      <c r="Q18">
        <v>28</v>
      </c>
      <c r="R18">
        <v>28</v>
      </c>
      <c r="S18">
        <v>28</v>
      </c>
      <c r="T18">
        <v>1689940911</v>
      </c>
      <c r="U18">
        <v>2109</v>
      </c>
      <c r="W18" s="24"/>
      <c r="X18">
        <v>62</v>
      </c>
      <c r="Y18">
        <v>62</v>
      </c>
      <c r="Z18">
        <v>62</v>
      </c>
      <c r="AA18">
        <v>285701545</v>
      </c>
      <c r="AB18">
        <v>1643</v>
      </c>
      <c r="AD18" s="24"/>
      <c r="AE18">
        <v>505</v>
      </c>
      <c r="AF18">
        <v>517</v>
      </c>
      <c r="AG18">
        <v>514</v>
      </c>
      <c r="AH18">
        <v>73531257</v>
      </c>
      <c r="AI18">
        <v>1943</v>
      </c>
      <c r="AK18" s="24"/>
      <c r="AL18">
        <v>1055</v>
      </c>
      <c r="AM18">
        <v>1077</v>
      </c>
      <c r="AN18">
        <v>1077</v>
      </c>
      <c r="AO18">
        <v>28295443</v>
      </c>
      <c r="AP18">
        <v>1450</v>
      </c>
      <c r="AR18" s="24"/>
      <c r="AS18">
        <v>3000</v>
      </c>
      <c r="AT18">
        <v>3025</v>
      </c>
      <c r="AU18">
        <v>3024</v>
      </c>
      <c r="AV18">
        <v>14729120</v>
      </c>
      <c r="AW18">
        <v>1392</v>
      </c>
      <c r="AY18" s="24"/>
      <c r="AZ18">
        <v>357500000</v>
      </c>
      <c r="BA18">
        <v>367489375</v>
      </c>
      <c r="BB18">
        <v>362243332</v>
      </c>
      <c r="BC18">
        <v>2045</v>
      </c>
      <c r="BD18">
        <v>1468</v>
      </c>
      <c r="BF18" s="24"/>
      <c r="BG18">
        <v>21005</v>
      </c>
      <c r="BH18">
        <v>21006</v>
      </c>
      <c r="BI18">
        <v>21006</v>
      </c>
      <c r="BJ18">
        <v>2755838</v>
      </c>
      <c r="BK18">
        <v>222</v>
      </c>
      <c r="BM18" s="24"/>
      <c r="BN18">
        <v>5932000</v>
      </c>
      <c r="BO18">
        <v>6189997</v>
      </c>
      <c r="BP18">
        <v>6100000</v>
      </c>
      <c r="BQ18">
        <v>10382</v>
      </c>
      <c r="BR18">
        <v>358</v>
      </c>
      <c r="BT18" s="24"/>
      <c r="BU18">
        <v>1351</v>
      </c>
      <c r="BV18">
        <v>1398</v>
      </c>
      <c r="BW18">
        <v>1397</v>
      </c>
      <c r="BX18">
        <v>38380681</v>
      </c>
      <c r="BY18">
        <v>321</v>
      </c>
      <c r="CA18" s="24"/>
      <c r="CB18">
        <v>225</v>
      </c>
      <c r="CC18">
        <v>230</v>
      </c>
      <c r="CD18">
        <v>230</v>
      </c>
      <c r="CE18">
        <v>89321533</v>
      </c>
      <c r="CF18">
        <v>314</v>
      </c>
      <c r="CH18" s="24"/>
      <c r="CI18">
        <v>23862</v>
      </c>
      <c r="CJ18">
        <v>23862</v>
      </c>
      <c r="CK18">
        <v>23862</v>
      </c>
      <c r="CL18">
        <v>1378935</v>
      </c>
      <c r="CM18">
        <v>132</v>
      </c>
      <c r="CO18" s="24"/>
      <c r="CP18">
        <v>7337</v>
      </c>
      <c r="CQ18">
        <v>7584</v>
      </c>
      <c r="CR18">
        <v>7573</v>
      </c>
      <c r="CS18">
        <v>1127203</v>
      </c>
      <c r="CT18">
        <v>417</v>
      </c>
      <c r="CV18" s="24"/>
      <c r="CW18">
        <v>1269501</v>
      </c>
      <c r="CX18">
        <v>1410687</v>
      </c>
      <c r="CY18">
        <v>1409969</v>
      </c>
      <c r="CZ18">
        <v>8291</v>
      </c>
      <c r="DA18">
        <v>51</v>
      </c>
      <c r="DC18" s="24"/>
      <c r="DD18">
        <v>242</v>
      </c>
      <c r="DE18">
        <v>253</v>
      </c>
      <c r="DF18">
        <v>246</v>
      </c>
      <c r="DG18">
        <v>41239180</v>
      </c>
      <c r="DH18">
        <v>186</v>
      </c>
      <c r="DJ18" s="24"/>
      <c r="DK18">
        <v>37000000</v>
      </c>
      <c r="DL18">
        <v>38999000</v>
      </c>
      <c r="DM18">
        <v>37499999</v>
      </c>
      <c r="DN18">
        <v>481</v>
      </c>
      <c r="DO18">
        <v>108</v>
      </c>
      <c r="DQ18" s="24"/>
      <c r="DR18">
        <v>1004129</v>
      </c>
      <c r="DS18">
        <v>1223996</v>
      </c>
      <c r="DT18">
        <v>1148999</v>
      </c>
      <c r="DU18">
        <v>7270</v>
      </c>
      <c r="DV18">
        <v>236</v>
      </c>
      <c r="DX18" s="24"/>
      <c r="DY18">
        <v>17105001</v>
      </c>
      <c r="DZ18">
        <v>17870998</v>
      </c>
      <c r="EA18">
        <v>17322000</v>
      </c>
      <c r="EB18">
        <v>728</v>
      </c>
      <c r="EC18">
        <v>143</v>
      </c>
      <c r="EE18" s="24"/>
      <c r="EF18">
        <v>158</v>
      </c>
      <c r="EG18">
        <v>167</v>
      </c>
      <c r="EH18">
        <v>166</v>
      </c>
      <c r="EI18">
        <v>109195119</v>
      </c>
      <c r="EJ18">
        <v>239</v>
      </c>
      <c r="EL18" s="24"/>
      <c r="EM18">
        <v>46012</v>
      </c>
      <c r="EN18">
        <v>49027</v>
      </c>
      <c r="EO18">
        <v>46044</v>
      </c>
      <c r="EP18">
        <v>86646</v>
      </c>
      <c r="EQ18">
        <v>836</v>
      </c>
      <c r="ES18" s="24"/>
      <c r="ET18">
        <v>226</v>
      </c>
      <c r="EU18">
        <v>238</v>
      </c>
      <c r="EV18">
        <v>234</v>
      </c>
      <c r="EW18">
        <v>74577369</v>
      </c>
      <c r="EX18">
        <v>696</v>
      </c>
      <c r="EZ18" s="24"/>
      <c r="FA18">
        <v>3043994</v>
      </c>
      <c r="FB18">
        <v>3084001</v>
      </c>
      <c r="FC18">
        <v>3043994</v>
      </c>
      <c r="FD18">
        <v>2205</v>
      </c>
      <c r="FE18">
        <v>32</v>
      </c>
      <c r="FG18" s="24"/>
      <c r="FH18">
        <v>11977</v>
      </c>
      <c r="FI18">
        <v>12363</v>
      </c>
      <c r="FJ18">
        <v>12007</v>
      </c>
      <c r="FK18">
        <v>1932969</v>
      </c>
      <c r="FL18">
        <v>539</v>
      </c>
      <c r="FN18" s="24"/>
      <c r="FO18">
        <v>16299</v>
      </c>
      <c r="FP18">
        <v>16349</v>
      </c>
      <c r="FQ18">
        <v>16299</v>
      </c>
      <c r="FR18">
        <v>136115</v>
      </c>
      <c r="FS18">
        <v>94</v>
      </c>
      <c r="FU18" s="24"/>
      <c r="FV18">
        <v>29178</v>
      </c>
      <c r="FW18">
        <v>30993</v>
      </c>
      <c r="FX18">
        <v>29456</v>
      </c>
      <c r="FY18">
        <v>421983</v>
      </c>
      <c r="FZ18">
        <v>1527</v>
      </c>
      <c r="GB18" s="24"/>
      <c r="GC18">
        <v>110503000</v>
      </c>
      <c r="GD18">
        <v>118991000</v>
      </c>
      <c r="GE18">
        <v>112000001</v>
      </c>
      <c r="GF18">
        <v>138</v>
      </c>
      <c r="GG18">
        <v>109</v>
      </c>
      <c r="GI18" s="24"/>
      <c r="GJ18">
        <v>23000001</v>
      </c>
      <c r="GK18">
        <v>24500005</v>
      </c>
      <c r="GL18">
        <v>23999999</v>
      </c>
      <c r="GM18">
        <v>450</v>
      </c>
      <c r="GN18">
        <v>98</v>
      </c>
      <c r="GP18" s="24"/>
      <c r="GQ18">
        <v>89</v>
      </c>
      <c r="GR18">
        <v>89</v>
      </c>
      <c r="GS18">
        <v>89</v>
      </c>
      <c r="GT18">
        <v>131172923</v>
      </c>
      <c r="GU18">
        <v>161</v>
      </c>
      <c r="GW18" s="24"/>
      <c r="GX18">
        <v>237</v>
      </c>
      <c r="GY18">
        <v>251</v>
      </c>
      <c r="GZ18">
        <v>249</v>
      </c>
      <c r="HA18">
        <v>59440654</v>
      </c>
      <c r="HB18">
        <v>250</v>
      </c>
      <c r="HD18" s="24"/>
      <c r="HE18">
        <v>3991</v>
      </c>
      <c r="HF18">
        <v>4030</v>
      </c>
      <c r="HG18">
        <v>3991</v>
      </c>
      <c r="HH18">
        <v>18714364</v>
      </c>
      <c r="HI18">
        <v>310</v>
      </c>
      <c r="HK18" s="24"/>
      <c r="HL18">
        <v>111251700</v>
      </c>
      <c r="HM18">
        <v>118998998</v>
      </c>
      <c r="HN18">
        <v>114000600</v>
      </c>
      <c r="HO18">
        <v>159</v>
      </c>
      <c r="HP18">
        <v>114</v>
      </c>
      <c r="HR18" s="24"/>
      <c r="HS18">
        <v>9721</v>
      </c>
      <c r="HT18">
        <v>10079</v>
      </c>
      <c r="HU18">
        <v>9910</v>
      </c>
      <c r="HV18">
        <v>721966</v>
      </c>
      <c r="HW18">
        <v>146</v>
      </c>
      <c r="HY18" s="24"/>
      <c r="HZ18">
        <v>7864</v>
      </c>
      <c r="IA18">
        <v>8150</v>
      </c>
      <c r="IB18">
        <v>8137</v>
      </c>
      <c r="IC18">
        <v>2313785</v>
      </c>
      <c r="ID18">
        <v>542</v>
      </c>
      <c r="IF18" s="24"/>
      <c r="IG18">
        <v>2648</v>
      </c>
      <c r="IH18">
        <v>2649</v>
      </c>
      <c r="II18">
        <v>2649</v>
      </c>
      <c r="IJ18">
        <v>1635460</v>
      </c>
      <c r="IK18">
        <v>160</v>
      </c>
      <c r="IM18" s="24"/>
      <c r="IN18">
        <v>111000000</v>
      </c>
      <c r="IO18">
        <v>119263000</v>
      </c>
      <c r="IP18">
        <v>115000105</v>
      </c>
      <c r="IQ18">
        <v>156</v>
      </c>
      <c r="IR18">
        <v>121</v>
      </c>
      <c r="IT18" s="24"/>
      <c r="IU18">
        <v>8771</v>
      </c>
      <c r="IV18">
        <v>8773</v>
      </c>
      <c r="IW18">
        <v>8773</v>
      </c>
      <c r="IX18">
        <v>1010682</v>
      </c>
      <c r="IY18">
        <v>174</v>
      </c>
      <c r="JA18" s="24"/>
      <c r="JB18">
        <v>109660000</v>
      </c>
      <c r="JC18">
        <v>119798994</v>
      </c>
      <c r="JD18">
        <v>111001000</v>
      </c>
      <c r="JE18">
        <v>174</v>
      </c>
      <c r="JF18">
        <v>125</v>
      </c>
      <c r="JH18" s="24"/>
      <c r="JI18">
        <v>109014000</v>
      </c>
      <c r="JJ18">
        <v>119009100</v>
      </c>
      <c r="JK18">
        <v>112000000</v>
      </c>
      <c r="JL18">
        <v>108</v>
      </c>
      <c r="JM18">
        <v>62</v>
      </c>
      <c r="JO18" s="24"/>
      <c r="JP18">
        <v>63</v>
      </c>
      <c r="JQ18">
        <v>66</v>
      </c>
      <c r="JR18">
        <v>66</v>
      </c>
      <c r="JS18">
        <v>173497925</v>
      </c>
      <c r="JT18">
        <v>136</v>
      </c>
      <c r="JV18" s="24"/>
      <c r="JW18">
        <v>71</v>
      </c>
      <c r="JX18">
        <v>73</v>
      </c>
      <c r="JY18">
        <v>73</v>
      </c>
      <c r="JZ18">
        <v>137569043</v>
      </c>
      <c r="KA18">
        <v>133</v>
      </c>
      <c r="KC18" s="24"/>
      <c r="KD18">
        <v>15</v>
      </c>
      <c r="KE18">
        <v>17</v>
      </c>
      <c r="KF18">
        <v>16</v>
      </c>
      <c r="KG18">
        <v>72563127</v>
      </c>
      <c r="KH18">
        <v>327</v>
      </c>
      <c r="KJ18" s="24"/>
      <c r="KK18">
        <v>79</v>
      </c>
      <c r="KL18">
        <v>84</v>
      </c>
      <c r="KM18">
        <v>80</v>
      </c>
      <c r="KN18">
        <v>143488715</v>
      </c>
      <c r="KO18">
        <v>166</v>
      </c>
      <c r="KQ18" s="24"/>
      <c r="KR18">
        <v>110101</v>
      </c>
      <c r="KS18">
        <v>111997</v>
      </c>
      <c r="KT18">
        <v>110109</v>
      </c>
      <c r="KU18">
        <v>87536</v>
      </c>
      <c r="KV18">
        <v>769</v>
      </c>
      <c r="KX18" s="24"/>
      <c r="KY18">
        <v>521</v>
      </c>
      <c r="KZ18">
        <v>539</v>
      </c>
      <c r="LA18">
        <v>538</v>
      </c>
      <c r="LB18">
        <v>10735524</v>
      </c>
      <c r="LC18">
        <v>237</v>
      </c>
      <c r="LE18" s="24"/>
      <c r="LF18">
        <v>270807</v>
      </c>
      <c r="LG18">
        <v>276000</v>
      </c>
      <c r="LH18">
        <v>271000</v>
      </c>
      <c r="LI18">
        <v>131937</v>
      </c>
      <c r="LJ18">
        <v>1152</v>
      </c>
      <c r="LL18" s="24"/>
      <c r="LM18">
        <v>88705</v>
      </c>
      <c r="LN18">
        <v>89032</v>
      </c>
      <c r="LO18">
        <v>88878</v>
      </c>
      <c r="LP18">
        <v>652801</v>
      </c>
      <c r="LQ18">
        <v>1629</v>
      </c>
      <c r="LS18" s="24"/>
      <c r="LT18">
        <v>218</v>
      </c>
      <c r="LU18">
        <v>224</v>
      </c>
      <c r="LV18">
        <v>224</v>
      </c>
      <c r="LW18">
        <v>103086269</v>
      </c>
      <c r="LX18">
        <v>388</v>
      </c>
      <c r="LZ18" s="24"/>
      <c r="MA18">
        <v>61183</v>
      </c>
      <c r="MB18">
        <v>62983</v>
      </c>
      <c r="MC18">
        <v>61396</v>
      </c>
      <c r="MD18">
        <v>751188</v>
      </c>
      <c r="ME18">
        <v>73</v>
      </c>
    </row>
    <row r="19" spans="2:343" x14ac:dyDescent="0.25">
      <c r="B19" s="24"/>
      <c r="C19">
        <v>2</v>
      </c>
      <c r="D19">
        <v>2</v>
      </c>
      <c r="E19">
        <v>2</v>
      </c>
      <c r="F19">
        <v>51929565933</v>
      </c>
      <c r="G19">
        <v>3352</v>
      </c>
      <c r="I19" s="24"/>
      <c r="J19">
        <v>4</v>
      </c>
      <c r="K19">
        <v>4</v>
      </c>
      <c r="L19">
        <v>4</v>
      </c>
      <c r="M19">
        <v>7198454871</v>
      </c>
      <c r="N19">
        <v>2470</v>
      </c>
      <c r="P19" s="24"/>
      <c r="Q19">
        <v>28</v>
      </c>
      <c r="R19">
        <v>28</v>
      </c>
      <c r="S19">
        <v>28</v>
      </c>
      <c r="T19">
        <v>2868420094</v>
      </c>
      <c r="U19">
        <v>2201</v>
      </c>
      <c r="W19" s="24"/>
      <c r="X19">
        <v>62</v>
      </c>
      <c r="Y19">
        <v>64</v>
      </c>
      <c r="Z19">
        <v>62</v>
      </c>
      <c r="AA19">
        <v>484579450</v>
      </c>
      <c r="AB19">
        <v>1793</v>
      </c>
      <c r="AD19" s="24"/>
      <c r="AE19">
        <v>503</v>
      </c>
      <c r="AF19">
        <v>515</v>
      </c>
      <c r="AG19">
        <v>512</v>
      </c>
      <c r="AH19">
        <v>114294146</v>
      </c>
      <c r="AI19">
        <v>1942</v>
      </c>
      <c r="AK19" s="24"/>
      <c r="AL19">
        <v>1050</v>
      </c>
      <c r="AM19">
        <v>1074</v>
      </c>
      <c r="AN19">
        <v>1073</v>
      </c>
      <c r="AO19">
        <v>35376409</v>
      </c>
      <c r="AP19">
        <v>1556</v>
      </c>
      <c r="AR19" s="24"/>
      <c r="AS19">
        <v>3085</v>
      </c>
      <c r="AT19">
        <v>3139</v>
      </c>
      <c r="AU19">
        <v>3093</v>
      </c>
      <c r="AV19">
        <v>14650411</v>
      </c>
      <c r="AW19">
        <v>1461</v>
      </c>
      <c r="AY19" s="24"/>
      <c r="AZ19">
        <v>353000000</v>
      </c>
      <c r="BA19">
        <v>362499942</v>
      </c>
      <c r="BB19">
        <v>358850000</v>
      </c>
      <c r="BC19">
        <v>2083</v>
      </c>
      <c r="BD19">
        <v>1431</v>
      </c>
      <c r="BF19" s="24"/>
      <c r="BG19">
        <v>19010</v>
      </c>
      <c r="BH19">
        <v>20998</v>
      </c>
      <c r="BI19">
        <v>19500</v>
      </c>
      <c r="BJ19">
        <v>2739212</v>
      </c>
      <c r="BK19">
        <v>219</v>
      </c>
      <c r="BM19" s="24"/>
      <c r="BN19">
        <v>6140014</v>
      </c>
      <c r="BO19">
        <v>6300999</v>
      </c>
      <c r="BP19">
        <v>6140026</v>
      </c>
      <c r="BQ19">
        <v>9184</v>
      </c>
      <c r="BR19">
        <v>304</v>
      </c>
      <c r="BT19" s="24"/>
      <c r="BU19">
        <v>1399</v>
      </c>
      <c r="BV19">
        <v>1447</v>
      </c>
      <c r="BW19">
        <v>1410</v>
      </c>
      <c r="BX19">
        <v>34373139</v>
      </c>
      <c r="BY19">
        <v>286</v>
      </c>
      <c r="CA19" s="24"/>
      <c r="CB19">
        <v>230</v>
      </c>
      <c r="CC19">
        <v>249</v>
      </c>
      <c r="CD19">
        <v>231</v>
      </c>
      <c r="CE19">
        <v>71560499</v>
      </c>
      <c r="CF19">
        <v>298</v>
      </c>
      <c r="CH19" s="24"/>
      <c r="CI19">
        <v>23865</v>
      </c>
      <c r="CJ19">
        <v>24494</v>
      </c>
      <c r="CK19">
        <v>23865</v>
      </c>
      <c r="CL19">
        <v>1735122</v>
      </c>
      <c r="CM19">
        <v>174</v>
      </c>
      <c r="CO19" s="24"/>
      <c r="CP19">
        <v>7336</v>
      </c>
      <c r="CQ19">
        <v>7491</v>
      </c>
      <c r="CR19">
        <v>7399</v>
      </c>
      <c r="CS19">
        <v>1408451</v>
      </c>
      <c r="CT19">
        <v>433</v>
      </c>
      <c r="CV19" s="24"/>
      <c r="CW19">
        <v>1287604</v>
      </c>
      <c r="CX19">
        <v>1332998</v>
      </c>
      <c r="CY19">
        <v>1332968</v>
      </c>
      <c r="CZ19">
        <v>15278</v>
      </c>
      <c r="DA19">
        <v>78</v>
      </c>
      <c r="DC19" s="24"/>
      <c r="DD19">
        <v>258</v>
      </c>
      <c r="DE19">
        <v>262</v>
      </c>
      <c r="DF19">
        <v>259</v>
      </c>
      <c r="DG19">
        <v>33916690</v>
      </c>
      <c r="DH19">
        <v>183</v>
      </c>
      <c r="DJ19" s="24"/>
      <c r="DK19">
        <v>37070000</v>
      </c>
      <c r="DL19">
        <v>37999999</v>
      </c>
      <c r="DM19">
        <v>37490001</v>
      </c>
      <c r="DN19">
        <v>555</v>
      </c>
      <c r="DO19">
        <v>111</v>
      </c>
      <c r="DQ19" s="24"/>
      <c r="DR19">
        <v>1057685</v>
      </c>
      <c r="DS19">
        <v>1170000</v>
      </c>
      <c r="DT19">
        <v>1169997</v>
      </c>
      <c r="DU19">
        <v>7370</v>
      </c>
      <c r="DV19">
        <v>230</v>
      </c>
      <c r="DX19" s="24"/>
      <c r="DY19">
        <v>17440000</v>
      </c>
      <c r="DZ19">
        <v>18499993</v>
      </c>
      <c r="EA19">
        <v>18225943</v>
      </c>
      <c r="EB19">
        <v>690</v>
      </c>
      <c r="EC19">
        <v>150</v>
      </c>
      <c r="EE19" s="24"/>
      <c r="EF19">
        <v>161</v>
      </c>
      <c r="EG19">
        <v>168</v>
      </c>
      <c r="EH19">
        <v>168</v>
      </c>
      <c r="EI19">
        <v>113472658</v>
      </c>
      <c r="EJ19">
        <v>277</v>
      </c>
      <c r="EL19" s="24"/>
      <c r="EM19">
        <v>49293</v>
      </c>
      <c r="EN19">
        <v>49478</v>
      </c>
      <c r="EO19">
        <v>49301</v>
      </c>
      <c r="EP19">
        <v>102885</v>
      </c>
      <c r="EQ19">
        <v>783</v>
      </c>
      <c r="ES19" s="24"/>
      <c r="ET19">
        <v>226</v>
      </c>
      <c r="EU19">
        <v>237</v>
      </c>
      <c r="EV19">
        <v>233</v>
      </c>
      <c r="EW19">
        <v>70413309</v>
      </c>
      <c r="EX19">
        <v>694</v>
      </c>
      <c r="EZ19" s="24"/>
      <c r="FA19">
        <v>2920000</v>
      </c>
      <c r="FB19">
        <v>3088887</v>
      </c>
      <c r="FC19">
        <v>3088887</v>
      </c>
      <c r="FD19">
        <v>1273</v>
      </c>
      <c r="FE19">
        <v>20</v>
      </c>
      <c r="FG19" s="24"/>
      <c r="FH19">
        <v>11376</v>
      </c>
      <c r="FI19">
        <v>11879</v>
      </c>
      <c r="FJ19">
        <v>11419</v>
      </c>
      <c r="FK19">
        <v>2798330</v>
      </c>
      <c r="FL19">
        <v>617</v>
      </c>
      <c r="FN19" s="24"/>
      <c r="FO19">
        <v>16157</v>
      </c>
      <c r="FP19">
        <v>16596</v>
      </c>
      <c r="FQ19">
        <v>16595</v>
      </c>
      <c r="FR19">
        <v>370441</v>
      </c>
      <c r="FS19">
        <v>123</v>
      </c>
      <c r="FU19" s="24"/>
      <c r="FV19">
        <v>30134</v>
      </c>
      <c r="FW19">
        <v>30180</v>
      </c>
      <c r="FX19">
        <v>30149</v>
      </c>
      <c r="FY19">
        <v>365887</v>
      </c>
      <c r="FZ19">
        <v>1527</v>
      </c>
      <c r="GB19" s="24"/>
      <c r="GC19">
        <v>112600152</v>
      </c>
      <c r="GD19">
        <v>118949000</v>
      </c>
      <c r="GE19">
        <v>112999000</v>
      </c>
      <c r="GF19">
        <v>148</v>
      </c>
      <c r="GG19">
        <v>104</v>
      </c>
      <c r="GI19" s="24"/>
      <c r="GJ19">
        <v>25003003</v>
      </c>
      <c r="GK19">
        <v>26999977</v>
      </c>
      <c r="GL19">
        <v>25003016</v>
      </c>
      <c r="GM19">
        <v>342</v>
      </c>
      <c r="GN19">
        <v>97</v>
      </c>
      <c r="GP19" s="24"/>
      <c r="GQ19">
        <v>87</v>
      </c>
      <c r="GR19">
        <v>90</v>
      </c>
      <c r="GS19">
        <v>89</v>
      </c>
      <c r="GT19">
        <v>139953546</v>
      </c>
      <c r="GU19">
        <v>147</v>
      </c>
      <c r="GW19" s="24"/>
      <c r="GX19">
        <v>238</v>
      </c>
      <c r="GY19">
        <v>253</v>
      </c>
      <c r="GZ19">
        <v>252</v>
      </c>
      <c r="HA19">
        <v>65674203</v>
      </c>
      <c r="HB19">
        <v>248</v>
      </c>
      <c r="HD19" s="24"/>
      <c r="HE19">
        <v>4471</v>
      </c>
      <c r="HF19">
        <v>4494</v>
      </c>
      <c r="HG19">
        <v>4477</v>
      </c>
      <c r="HH19">
        <v>12223683</v>
      </c>
      <c r="HI19">
        <v>293</v>
      </c>
      <c r="HK19" s="24"/>
      <c r="HL19">
        <v>111003800</v>
      </c>
      <c r="HM19">
        <v>118997099</v>
      </c>
      <c r="HN19">
        <v>115189998</v>
      </c>
      <c r="HO19">
        <v>148</v>
      </c>
      <c r="HP19">
        <v>104</v>
      </c>
      <c r="HR19" s="24"/>
      <c r="HS19">
        <v>9300</v>
      </c>
      <c r="HT19">
        <v>9749</v>
      </c>
      <c r="HU19">
        <v>9650</v>
      </c>
      <c r="HV19">
        <v>447486</v>
      </c>
      <c r="HW19">
        <v>115</v>
      </c>
      <c r="HY19" s="24"/>
      <c r="HZ19">
        <v>8098</v>
      </c>
      <c r="IA19">
        <v>8442</v>
      </c>
      <c r="IB19">
        <v>8199</v>
      </c>
      <c r="IC19">
        <v>2492222</v>
      </c>
      <c r="ID19">
        <v>599</v>
      </c>
      <c r="IF19" s="24"/>
      <c r="IG19">
        <v>2497</v>
      </c>
      <c r="IH19">
        <v>2648</v>
      </c>
      <c r="II19">
        <v>2547</v>
      </c>
      <c r="IJ19">
        <v>1786795</v>
      </c>
      <c r="IK19">
        <v>188</v>
      </c>
      <c r="IM19" s="24"/>
      <c r="IN19">
        <v>110506000</v>
      </c>
      <c r="IO19">
        <v>119247461</v>
      </c>
      <c r="IP19">
        <v>115557362</v>
      </c>
      <c r="IQ19">
        <v>88</v>
      </c>
      <c r="IR19">
        <v>76</v>
      </c>
      <c r="IT19" s="24"/>
      <c r="IU19">
        <v>8501</v>
      </c>
      <c r="IV19">
        <v>8769</v>
      </c>
      <c r="IW19">
        <v>8767</v>
      </c>
      <c r="IX19">
        <v>1428974</v>
      </c>
      <c r="IY19">
        <v>204</v>
      </c>
      <c r="JA19" s="24"/>
      <c r="JB19">
        <v>110000500</v>
      </c>
      <c r="JC19">
        <v>119795377</v>
      </c>
      <c r="JD19">
        <v>119795150</v>
      </c>
      <c r="JE19">
        <v>124</v>
      </c>
      <c r="JF19">
        <v>97</v>
      </c>
      <c r="JH19" s="24"/>
      <c r="JI19">
        <v>109013000</v>
      </c>
      <c r="JJ19">
        <v>115499200</v>
      </c>
      <c r="JK19">
        <v>112687480</v>
      </c>
      <c r="JL19">
        <v>77</v>
      </c>
      <c r="JM19">
        <v>50</v>
      </c>
      <c r="JO19" s="24"/>
      <c r="JP19">
        <v>63</v>
      </c>
      <c r="JQ19">
        <v>66</v>
      </c>
      <c r="JR19">
        <v>66</v>
      </c>
      <c r="JS19">
        <v>113855806</v>
      </c>
      <c r="JT19">
        <v>131</v>
      </c>
      <c r="JV19" s="24"/>
      <c r="JW19">
        <v>71</v>
      </c>
      <c r="JX19">
        <v>73</v>
      </c>
      <c r="JY19">
        <v>72</v>
      </c>
      <c r="JZ19">
        <v>130065074</v>
      </c>
      <c r="KA19">
        <v>150</v>
      </c>
      <c r="KC19" s="24"/>
      <c r="KD19">
        <v>15</v>
      </c>
      <c r="KE19">
        <v>17</v>
      </c>
      <c r="KF19">
        <v>16</v>
      </c>
      <c r="KG19">
        <v>73513917</v>
      </c>
      <c r="KH19">
        <v>364</v>
      </c>
      <c r="KJ19" s="24"/>
      <c r="KK19">
        <v>80</v>
      </c>
      <c r="KL19">
        <v>84</v>
      </c>
      <c r="KM19">
        <v>83</v>
      </c>
      <c r="KN19">
        <v>145646786</v>
      </c>
      <c r="KO19">
        <v>210</v>
      </c>
      <c r="KQ19" s="24"/>
      <c r="KR19">
        <v>104499</v>
      </c>
      <c r="KS19">
        <v>110999</v>
      </c>
      <c r="KT19">
        <v>110100</v>
      </c>
      <c r="KU19">
        <v>77311</v>
      </c>
      <c r="KV19">
        <v>755</v>
      </c>
      <c r="KX19" s="24"/>
      <c r="KY19">
        <v>503</v>
      </c>
      <c r="KZ19">
        <v>537</v>
      </c>
      <c r="LA19">
        <v>528</v>
      </c>
      <c r="LB19">
        <v>8737834</v>
      </c>
      <c r="LC19">
        <v>234</v>
      </c>
      <c r="LE19" s="24"/>
      <c r="LF19">
        <v>270820</v>
      </c>
      <c r="LG19">
        <v>271081</v>
      </c>
      <c r="LH19">
        <v>271008</v>
      </c>
      <c r="LI19">
        <v>128360</v>
      </c>
      <c r="LJ19">
        <v>1216</v>
      </c>
      <c r="LL19" s="24"/>
      <c r="LM19">
        <v>75009</v>
      </c>
      <c r="LN19">
        <v>82811</v>
      </c>
      <c r="LO19">
        <v>82515</v>
      </c>
      <c r="LP19">
        <v>352189</v>
      </c>
      <c r="LQ19">
        <v>1597</v>
      </c>
      <c r="LS19" s="24"/>
      <c r="LT19">
        <v>220</v>
      </c>
      <c r="LU19">
        <v>224</v>
      </c>
      <c r="LV19">
        <v>224</v>
      </c>
      <c r="LW19">
        <v>124031740</v>
      </c>
      <c r="LX19">
        <v>397</v>
      </c>
      <c r="LZ19" s="24"/>
      <c r="MA19">
        <v>61751</v>
      </c>
      <c r="MB19">
        <v>62998</v>
      </c>
      <c r="MC19">
        <v>61751</v>
      </c>
      <c r="MD19">
        <v>1089585</v>
      </c>
      <c r="ME19">
        <v>67</v>
      </c>
    </row>
    <row r="20" spans="2:343" x14ac:dyDescent="0.25">
      <c r="B20" s="24"/>
      <c r="C20">
        <v>2</v>
      </c>
      <c r="D20">
        <v>2</v>
      </c>
      <c r="E20">
        <v>2</v>
      </c>
      <c r="F20">
        <v>30185281050</v>
      </c>
      <c r="G20">
        <v>3576</v>
      </c>
      <c r="I20" s="24"/>
      <c r="J20">
        <v>4</v>
      </c>
      <c r="K20">
        <v>4</v>
      </c>
      <c r="L20">
        <v>4</v>
      </c>
      <c r="M20">
        <v>5715548522</v>
      </c>
      <c r="N20">
        <v>2673</v>
      </c>
      <c r="P20" s="24"/>
      <c r="Q20">
        <v>28</v>
      </c>
      <c r="R20">
        <v>28</v>
      </c>
      <c r="S20">
        <v>28</v>
      </c>
      <c r="T20">
        <v>1993915655</v>
      </c>
      <c r="U20">
        <v>2554</v>
      </c>
      <c r="W20" s="24"/>
      <c r="X20">
        <v>62</v>
      </c>
      <c r="Y20">
        <v>64</v>
      </c>
      <c r="Z20">
        <v>63</v>
      </c>
      <c r="AA20">
        <v>392324383</v>
      </c>
      <c r="AB20">
        <v>2039</v>
      </c>
      <c r="AD20" s="24"/>
      <c r="AE20">
        <v>503</v>
      </c>
      <c r="AF20">
        <v>514</v>
      </c>
      <c r="AG20">
        <v>511</v>
      </c>
      <c r="AH20">
        <v>122178637</v>
      </c>
      <c r="AI20">
        <v>2246</v>
      </c>
      <c r="AK20" s="24"/>
      <c r="AL20">
        <v>1041</v>
      </c>
      <c r="AM20">
        <v>1076</v>
      </c>
      <c r="AN20">
        <v>1070</v>
      </c>
      <c r="AO20">
        <v>39885550</v>
      </c>
      <c r="AP20">
        <v>1845</v>
      </c>
      <c r="AR20" s="24"/>
      <c r="AS20">
        <v>3090</v>
      </c>
      <c r="AT20">
        <v>3187</v>
      </c>
      <c r="AU20">
        <v>3103</v>
      </c>
      <c r="AV20">
        <v>20916671</v>
      </c>
      <c r="AW20">
        <v>1802</v>
      </c>
      <c r="AY20" s="24"/>
      <c r="AZ20">
        <v>351205002</v>
      </c>
      <c r="BA20">
        <v>363000000</v>
      </c>
      <c r="BB20">
        <v>355960000</v>
      </c>
      <c r="BC20">
        <v>2219</v>
      </c>
      <c r="BD20">
        <v>1533</v>
      </c>
      <c r="BF20" s="24"/>
      <c r="BG20">
        <v>21015</v>
      </c>
      <c r="BH20">
        <v>22000</v>
      </c>
      <c r="BI20">
        <v>21034</v>
      </c>
      <c r="BJ20">
        <v>2456462</v>
      </c>
      <c r="BK20">
        <v>259</v>
      </c>
      <c r="BM20" s="24"/>
      <c r="BN20">
        <v>6225002</v>
      </c>
      <c r="BO20">
        <v>6347999</v>
      </c>
      <c r="BP20">
        <v>6227015</v>
      </c>
      <c r="BQ20">
        <v>13947</v>
      </c>
      <c r="BR20">
        <v>419</v>
      </c>
      <c r="BT20" s="24"/>
      <c r="BU20">
        <v>1401</v>
      </c>
      <c r="BV20">
        <v>1436</v>
      </c>
      <c r="BW20">
        <v>1434</v>
      </c>
      <c r="BX20">
        <v>32902488</v>
      </c>
      <c r="BY20">
        <v>312</v>
      </c>
      <c r="CA20" s="24"/>
      <c r="CB20">
        <v>246</v>
      </c>
      <c r="CC20">
        <v>249</v>
      </c>
      <c r="CD20">
        <v>247</v>
      </c>
      <c r="CE20">
        <v>74376826</v>
      </c>
      <c r="CF20">
        <v>312</v>
      </c>
      <c r="CH20" s="24"/>
      <c r="CI20">
        <v>24516</v>
      </c>
      <c r="CJ20">
        <v>24864</v>
      </c>
      <c r="CK20">
        <v>24550</v>
      </c>
      <c r="CL20">
        <v>188438</v>
      </c>
      <c r="CM20">
        <v>175</v>
      </c>
      <c r="CO20" s="24"/>
      <c r="CP20">
        <v>6901</v>
      </c>
      <c r="CQ20">
        <v>7300</v>
      </c>
      <c r="CR20">
        <v>7290</v>
      </c>
      <c r="CS20">
        <v>1119666</v>
      </c>
      <c r="CT20">
        <v>445</v>
      </c>
      <c r="CV20" s="24"/>
      <c r="CW20">
        <v>1250000</v>
      </c>
      <c r="CX20">
        <v>1284600</v>
      </c>
      <c r="CY20">
        <v>1269999</v>
      </c>
      <c r="CZ20">
        <v>21335</v>
      </c>
      <c r="DA20">
        <v>80</v>
      </c>
      <c r="DC20" s="24"/>
      <c r="DD20">
        <v>258</v>
      </c>
      <c r="DE20">
        <v>277</v>
      </c>
      <c r="DF20">
        <v>265</v>
      </c>
      <c r="DG20">
        <v>45303250</v>
      </c>
      <c r="DH20">
        <v>182</v>
      </c>
      <c r="DJ20" s="24"/>
      <c r="DK20">
        <v>37400007</v>
      </c>
      <c r="DL20">
        <v>38474999</v>
      </c>
      <c r="DM20">
        <v>37530000</v>
      </c>
      <c r="DN20">
        <v>523</v>
      </c>
      <c r="DO20">
        <v>132</v>
      </c>
      <c r="DQ20" s="24"/>
      <c r="DR20">
        <v>1155017</v>
      </c>
      <c r="DS20">
        <v>1223989</v>
      </c>
      <c r="DT20">
        <v>1175000</v>
      </c>
      <c r="DU20">
        <v>9107</v>
      </c>
      <c r="DV20">
        <v>333</v>
      </c>
      <c r="DX20" s="24"/>
      <c r="DY20">
        <v>19000000</v>
      </c>
      <c r="DZ20">
        <v>19510000</v>
      </c>
      <c r="EA20">
        <v>19020000</v>
      </c>
      <c r="EB20">
        <v>427</v>
      </c>
      <c r="EC20">
        <v>105</v>
      </c>
      <c r="EE20" s="24"/>
      <c r="EF20">
        <v>162</v>
      </c>
      <c r="EG20">
        <v>168</v>
      </c>
      <c r="EH20">
        <v>168</v>
      </c>
      <c r="EI20">
        <v>118200533</v>
      </c>
      <c r="EJ20">
        <v>275</v>
      </c>
      <c r="EL20" s="24"/>
      <c r="EM20">
        <v>49471</v>
      </c>
      <c r="EN20">
        <v>49492</v>
      </c>
      <c r="EO20">
        <v>49478</v>
      </c>
      <c r="EP20">
        <v>83353</v>
      </c>
      <c r="EQ20">
        <v>930</v>
      </c>
      <c r="ES20" s="24"/>
      <c r="ET20">
        <v>226</v>
      </c>
      <c r="EU20">
        <v>232</v>
      </c>
      <c r="EV20">
        <v>230</v>
      </c>
      <c r="EW20">
        <v>49893371</v>
      </c>
      <c r="EX20">
        <v>666</v>
      </c>
      <c r="EZ20" s="24"/>
      <c r="FA20">
        <v>3088499</v>
      </c>
      <c r="FB20">
        <v>3088884</v>
      </c>
      <c r="FC20">
        <v>3088499</v>
      </c>
      <c r="FD20">
        <v>1600</v>
      </c>
      <c r="FE20">
        <v>22</v>
      </c>
      <c r="FG20" s="24"/>
      <c r="FH20">
        <v>11301</v>
      </c>
      <c r="FI20">
        <v>11699</v>
      </c>
      <c r="FJ20">
        <v>11362</v>
      </c>
      <c r="FK20">
        <v>6002653</v>
      </c>
      <c r="FL20">
        <v>661</v>
      </c>
      <c r="FN20" s="24"/>
      <c r="FO20">
        <v>16596</v>
      </c>
      <c r="FP20">
        <v>16596</v>
      </c>
      <c r="FQ20">
        <v>16596</v>
      </c>
      <c r="FR20">
        <v>331705</v>
      </c>
      <c r="FS20">
        <v>111</v>
      </c>
      <c r="FU20" s="24"/>
      <c r="FV20">
        <v>30182</v>
      </c>
      <c r="FW20">
        <v>30215</v>
      </c>
      <c r="FX20">
        <v>30210</v>
      </c>
      <c r="FY20">
        <v>415211</v>
      </c>
      <c r="FZ20">
        <v>1791</v>
      </c>
      <c r="GB20" s="24"/>
      <c r="GC20">
        <v>112602600</v>
      </c>
      <c r="GD20">
        <v>119999187</v>
      </c>
      <c r="GE20">
        <v>115950667</v>
      </c>
      <c r="GF20">
        <v>99</v>
      </c>
      <c r="GG20">
        <v>68</v>
      </c>
      <c r="GI20" s="24"/>
      <c r="GJ20">
        <v>25055010</v>
      </c>
      <c r="GK20">
        <v>26499989</v>
      </c>
      <c r="GL20">
        <v>25056015</v>
      </c>
      <c r="GM20">
        <v>551</v>
      </c>
      <c r="GN20">
        <v>128</v>
      </c>
      <c r="GP20" s="24"/>
      <c r="GQ20">
        <v>92</v>
      </c>
      <c r="GR20">
        <v>98</v>
      </c>
      <c r="GS20">
        <v>95</v>
      </c>
      <c r="GT20">
        <v>142973788</v>
      </c>
      <c r="GU20">
        <v>177</v>
      </c>
      <c r="GW20" s="24"/>
      <c r="GX20">
        <v>245</v>
      </c>
      <c r="GY20">
        <v>249</v>
      </c>
      <c r="GZ20">
        <v>249</v>
      </c>
      <c r="HA20">
        <v>59438570</v>
      </c>
      <c r="HB20">
        <v>260</v>
      </c>
      <c r="HD20" s="24"/>
      <c r="HE20">
        <v>4110</v>
      </c>
      <c r="HF20">
        <v>4320</v>
      </c>
      <c r="HG20">
        <v>4251</v>
      </c>
      <c r="HH20">
        <v>32603124</v>
      </c>
      <c r="HI20">
        <v>416</v>
      </c>
      <c r="HK20" s="24"/>
      <c r="HL20">
        <v>115200188</v>
      </c>
      <c r="HM20">
        <v>119988580</v>
      </c>
      <c r="HN20">
        <v>119898500</v>
      </c>
      <c r="HO20">
        <v>102</v>
      </c>
      <c r="HP20">
        <v>75</v>
      </c>
      <c r="HR20" s="24"/>
      <c r="HS20">
        <v>9368</v>
      </c>
      <c r="HT20">
        <v>9707</v>
      </c>
      <c r="HU20">
        <v>9706</v>
      </c>
      <c r="HV20">
        <v>922916</v>
      </c>
      <c r="HW20">
        <v>177</v>
      </c>
      <c r="HY20" s="24"/>
      <c r="HZ20">
        <v>7850</v>
      </c>
      <c r="IA20">
        <v>8198</v>
      </c>
      <c r="IB20">
        <v>8099</v>
      </c>
      <c r="IC20">
        <v>1964370</v>
      </c>
      <c r="ID20">
        <v>534</v>
      </c>
      <c r="IF20" s="24"/>
      <c r="IG20">
        <v>2501</v>
      </c>
      <c r="IH20">
        <v>2632</v>
      </c>
      <c r="II20">
        <v>2589</v>
      </c>
      <c r="IJ20">
        <v>3430394</v>
      </c>
      <c r="IK20">
        <v>211</v>
      </c>
      <c r="IM20" s="24"/>
      <c r="IN20">
        <v>115000600</v>
      </c>
      <c r="IO20">
        <v>119232398</v>
      </c>
      <c r="IP20">
        <v>119218499</v>
      </c>
      <c r="IQ20">
        <v>108</v>
      </c>
      <c r="IR20">
        <v>75</v>
      </c>
      <c r="IT20" s="24"/>
      <c r="IU20">
        <v>8602</v>
      </c>
      <c r="IV20">
        <v>8757</v>
      </c>
      <c r="IW20">
        <v>8757</v>
      </c>
      <c r="IX20">
        <v>1960317</v>
      </c>
      <c r="IY20">
        <v>192</v>
      </c>
      <c r="JA20" s="24"/>
      <c r="JB20">
        <v>116000188</v>
      </c>
      <c r="JC20">
        <v>122999901</v>
      </c>
      <c r="JD20">
        <v>118908213</v>
      </c>
      <c r="JE20">
        <v>96</v>
      </c>
      <c r="JF20">
        <v>73</v>
      </c>
      <c r="JH20" s="24"/>
      <c r="JI20">
        <v>113200400</v>
      </c>
      <c r="JJ20">
        <v>116000000</v>
      </c>
      <c r="JK20">
        <v>114567578</v>
      </c>
      <c r="JL20">
        <v>86</v>
      </c>
      <c r="JM20">
        <v>50</v>
      </c>
      <c r="JO20" s="24"/>
      <c r="JP20">
        <v>63</v>
      </c>
      <c r="JQ20">
        <v>67</v>
      </c>
      <c r="JR20">
        <v>67</v>
      </c>
      <c r="JS20">
        <v>212173350</v>
      </c>
      <c r="JT20">
        <v>154</v>
      </c>
      <c r="JV20" s="24"/>
      <c r="JW20">
        <v>70</v>
      </c>
      <c r="JX20">
        <v>73</v>
      </c>
      <c r="JY20">
        <v>72</v>
      </c>
      <c r="JZ20">
        <v>149104178</v>
      </c>
      <c r="KA20">
        <v>144</v>
      </c>
      <c r="KC20" s="24"/>
      <c r="KD20">
        <v>16</v>
      </c>
      <c r="KE20">
        <v>17</v>
      </c>
      <c r="KF20">
        <v>17</v>
      </c>
      <c r="KG20">
        <v>67919344</v>
      </c>
      <c r="KH20">
        <v>364</v>
      </c>
      <c r="KJ20" s="24"/>
      <c r="KK20">
        <v>83</v>
      </c>
      <c r="KL20">
        <v>84</v>
      </c>
      <c r="KM20">
        <v>83</v>
      </c>
      <c r="KN20">
        <v>159709530</v>
      </c>
      <c r="KO20">
        <v>185</v>
      </c>
      <c r="KQ20" s="24"/>
      <c r="KR20">
        <v>107002</v>
      </c>
      <c r="KS20">
        <v>108011</v>
      </c>
      <c r="KT20">
        <v>107028</v>
      </c>
      <c r="KU20">
        <v>80259</v>
      </c>
      <c r="KV20">
        <v>928</v>
      </c>
      <c r="KX20" s="24"/>
      <c r="KY20">
        <v>485</v>
      </c>
      <c r="KZ20">
        <v>486</v>
      </c>
      <c r="LA20">
        <v>486</v>
      </c>
      <c r="LB20">
        <v>12758762</v>
      </c>
      <c r="LC20">
        <v>266</v>
      </c>
      <c r="LE20" s="24"/>
      <c r="LF20">
        <v>262306</v>
      </c>
      <c r="LG20">
        <v>268999</v>
      </c>
      <c r="LH20">
        <v>266000</v>
      </c>
      <c r="LI20">
        <v>119822</v>
      </c>
      <c r="LJ20">
        <v>1382</v>
      </c>
      <c r="LL20" s="24"/>
      <c r="LM20">
        <v>82831</v>
      </c>
      <c r="LN20">
        <v>84116</v>
      </c>
      <c r="LO20">
        <v>83010</v>
      </c>
      <c r="LP20">
        <v>380774</v>
      </c>
      <c r="LQ20">
        <v>1869</v>
      </c>
      <c r="LS20" s="24"/>
      <c r="LT20">
        <v>217</v>
      </c>
      <c r="LU20">
        <v>223</v>
      </c>
      <c r="LV20">
        <v>222</v>
      </c>
      <c r="LW20">
        <v>106377273</v>
      </c>
      <c r="LX20">
        <v>465</v>
      </c>
      <c r="LZ20" s="24"/>
      <c r="MA20">
        <v>61342</v>
      </c>
      <c r="MB20">
        <v>62998</v>
      </c>
      <c r="MC20">
        <v>62995</v>
      </c>
      <c r="MD20">
        <v>1299248</v>
      </c>
      <c r="ME20">
        <v>116</v>
      </c>
    </row>
    <row r="21" spans="2:343" x14ac:dyDescent="0.25">
      <c r="B21" s="24"/>
      <c r="C21">
        <v>2</v>
      </c>
      <c r="D21">
        <v>2</v>
      </c>
      <c r="E21">
        <v>2</v>
      </c>
      <c r="F21">
        <v>36740956730</v>
      </c>
      <c r="G21">
        <v>3177</v>
      </c>
      <c r="I21" s="24"/>
      <c r="J21">
        <v>4</v>
      </c>
      <c r="K21">
        <v>4</v>
      </c>
      <c r="L21">
        <v>4</v>
      </c>
      <c r="M21">
        <v>5487473531</v>
      </c>
      <c r="N21">
        <v>2400</v>
      </c>
      <c r="P21" s="24"/>
      <c r="Q21">
        <v>28</v>
      </c>
      <c r="R21">
        <v>29</v>
      </c>
      <c r="S21">
        <v>28</v>
      </c>
      <c r="T21">
        <v>2115641649</v>
      </c>
      <c r="U21">
        <v>2271</v>
      </c>
      <c r="W21" s="24"/>
      <c r="X21">
        <v>62</v>
      </c>
      <c r="Y21">
        <v>65</v>
      </c>
      <c r="Z21">
        <v>63</v>
      </c>
      <c r="AA21">
        <v>424056009</v>
      </c>
      <c r="AB21">
        <v>1706</v>
      </c>
      <c r="AD21" s="24"/>
      <c r="AE21">
        <v>506</v>
      </c>
      <c r="AF21">
        <v>519</v>
      </c>
      <c r="AG21">
        <v>508</v>
      </c>
      <c r="AH21">
        <v>103448504</v>
      </c>
      <c r="AI21">
        <v>1830</v>
      </c>
      <c r="AK21" s="24"/>
      <c r="AL21">
        <v>1056</v>
      </c>
      <c r="AM21">
        <v>1104</v>
      </c>
      <c r="AN21">
        <v>1062</v>
      </c>
      <c r="AO21">
        <v>32426372</v>
      </c>
      <c r="AP21">
        <v>1559</v>
      </c>
      <c r="AR21" s="24"/>
      <c r="AS21">
        <v>2980</v>
      </c>
      <c r="AT21">
        <v>3119</v>
      </c>
      <c r="AU21">
        <v>3086</v>
      </c>
      <c r="AV21">
        <v>18225369</v>
      </c>
      <c r="AW21">
        <v>1434</v>
      </c>
      <c r="AY21" s="24"/>
      <c r="AZ21">
        <v>350551900</v>
      </c>
      <c r="BA21">
        <v>359598976</v>
      </c>
      <c r="BB21">
        <v>356999764</v>
      </c>
      <c r="BC21">
        <v>2078</v>
      </c>
      <c r="BD21">
        <v>1446</v>
      </c>
      <c r="BF21" s="24"/>
      <c r="BG21">
        <v>21091</v>
      </c>
      <c r="BH21">
        <v>21103</v>
      </c>
      <c r="BI21">
        <v>21102</v>
      </c>
      <c r="BJ21">
        <v>3905542</v>
      </c>
      <c r="BK21">
        <v>272</v>
      </c>
      <c r="BM21" s="24"/>
      <c r="BN21">
        <v>5945000</v>
      </c>
      <c r="BO21">
        <v>6227042</v>
      </c>
      <c r="BP21">
        <v>6000006</v>
      </c>
      <c r="BQ21">
        <v>9551</v>
      </c>
      <c r="BR21">
        <v>295</v>
      </c>
      <c r="BT21" s="24"/>
      <c r="BU21">
        <v>1422</v>
      </c>
      <c r="BV21">
        <v>1433</v>
      </c>
      <c r="BW21">
        <v>1432</v>
      </c>
      <c r="BX21">
        <v>30687298</v>
      </c>
      <c r="BY21">
        <v>278</v>
      </c>
      <c r="CA21" s="24"/>
      <c r="CB21">
        <v>241</v>
      </c>
      <c r="CC21">
        <v>254</v>
      </c>
      <c r="CD21">
        <v>241</v>
      </c>
      <c r="CE21">
        <v>120532959</v>
      </c>
      <c r="CF21">
        <v>300</v>
      </c>
      <c r="CH21" s="24"/>
      <c r="CI21">
        <v>25045</v>
      </c>
      <c r="CJ21">
        <v>26400</v>
      </c>
      <c r="CK21">
        <v>26000</v>
      </c>
      <c r="CL21">
        <v>1019932</v>
      </c>
      <c r="CM21">
        <v>198</v>
      </c>
      <c r="CO21" s="24"/>
      <c r="CP21">
        <v>6901</v>
      </c>
      <c r="CQ21">
        <v>7290</v>
      </c>
      <c r="CR21">
        <v>7288</v>
      </c>
      <c r="CS21">
        <v>1905010</v>
      </c>
      <c r="CT21">
        <v>495</v>
      </c>
      <c r="CV21" s="24"/>
      <c r="CW21">
        <v>1257037</v>
      </c>
      <c r="CX21">
        <v>1329998</v>
      </c>
      <c r="CY21">
        <v>1329998</v>
      </c>
      <c r="CZ21">
        <v>6987</v>
      </c>
      <c r="DA21">
        <v>51</v>
      </c>
      <c r="DC21" s="24"/>
      <c r="DD21">
        <v>258</v>
      </c>
      <c r="DE21">
        <v>264</v>
      </c>
      <c r="DF21">
        <v>262</v>
      </c>
      <c r="DG21">
        <v>49345465</v>
      </c>
      <c r="DH21">
        <v>166</v>
      </c>
      <c r="DJ21" s="24"/>
      <c r="DK21">
        <v>37422000</v>
      </c>
      <c r="DL21">
        <v>39799999</v>
      </c>
      <c r="DM21">
        <v>38800000</v>
      </c>
      <c r="DN21">
        <v>504</v>
      </c>
      <c r="DO21">
        <v>102</v>
      </c>
      <c r="DQ21" s="24"/>
      <c r="DR21">
        <v>1065000</v>
      </c>
      <c r="DS21">
        <v>1180005</v>
      </c>
      <c r="DT21">
        <v>1155006</v>
      </c>
      <c r="DU21">
        <v>8865</v>
      </c>
      <c r="DV21">
        <v>232</v>
      </c>
      <c r="DX21" s="24"/>
      <c r="DY21">
        <v>19518000</v>
      </c>
      <c r="DZ21">
        <v>19999997</v>
      </c>
      <c r="EA21">
        <v>19518002</v>
      </c>
      <c r="EB21">
        <v>647</v>
      </c>
      <c r="EC21">
        <v>139</v>
      </c>
      <c r="EE21" s="24"/>
      <c r="EF21">
        <v>158</v>
      </c>
      <c r="EG21">
        <v>167</v>
      </c>
      <c r="EH21">
        <v>163</v>
      </c>
      <c r="EI21">
        <v>129577901</v>
      </c>
      <c r="EJ21">
        <v>232</v>
      </c>
      <c r="EL21" s="24"/>
      <c r="EM21">
        <v>48000</v>
      </c>
      <c r="EN21">
        <v>50018</v>
      </c>
      <c r="EO21">
        <v>50000</v>
      </c>
      <c r="EP21">
        <v>89931</v>
      </c>
      <c r="EQ21">
        <v>733</v>
      </c>
      <c r="ES21" s="24"/>
      <c r="ET21">
        <v>226</v>
      </c>
      <c r="EU21">
        <v>229</v>
      </c>
      <c r="EV21">
        <v>227</v>
      </c>
      <c r="EW21">
        <v>54153237</v>
      </c>
      <c r="EX21">
        <v>638</v>
      </c>
      <c r="EZ21" s="24"/>
      <c r="FA21">
        <v>2911007</v>
      </c>
      <c r="FB21">
        <v>2911007</v>
      </c>
      <c r="FC21">
        <v>2911007</v>
      </c>
      <c r="FD21">
        <v>1747</v>
      </c>
      <c r="FE21">
        <v>31</v>
      </c>
      <c r="FG21" s="24"/>
      <c r="FH21">
        <v>10250</v>
      </c>
      <c r="FI21">
        <v>10769</v>
      </c>
      <c r="FJ21">
        <v>10499</v>
      </c>
      <c r="FK21">
        <v>3193082</v>
      </c>
      <c r="FL21">
        <v>528</v>
      </c>
      <c r="FN21" s="24"/>
      <c r="FO21">
        <v>16596</v>
      </c>
      <c r="FP21">
        <v>16847</v>
      </c>
      <c r="FQ21">
        <v>16832</v>
      </c>
      <c r="FR21">
        <v>356803</v>
      </c>
      <c r="FS21">
        <v>92</v>
      </c>
      <c r="FU21" s="24"/>
      <c r="FV21">
        <v>30221</v>
      </c>
      <c r="FW21">
        <v>30527</v>
      </c>
      <c r="FX21">
        <v>30253</v>
      </c>
      <c r="FY21">
        <v>400406</v>
      </c>
      <c r="FZ21">
        <v>1501</v>
      </c>
      <c r="GB21" s="24"/>
      <c r="GC21">
        <v>112700800</v>
      </c>
      <c r="GD21">
        <v>117402597</v>
      </c>
      <c r="GE21">
        <v>114837631</v>
      </c>
      <c r="GF21">
        <v>93</v>
      </c>
      <c r="GG21">
        <v>77</v>
      </c>
      <c r="GI21" s="24"/>
      <c r="GJ21">
        <v>25056019</v>
      </c>
      <c r="GK21">
        <v>25999999</v>
      </c>
      <c r="GL21">
        <v>25056028</v>
      </c>
      <c r="GM21">
        <v>595</v>
      </c>
      <c r="GN21">
        <v>95</v>
      </c>
      <c r="GP21" s="24"/>
      <c r="GQ21">
        <v>98</v>
      </c>
      <c r="GR21">
        <v>104</v>
      </c>
      <c r="GS21">
        <v>100</v>
      </c>
      <c r="GT21">
        <v>182882948</v>
      </c>
      <c r="GU21">
        <v>161</v>
      </c>
      <c r="GW21" s="24"/>
      <c r="GX21">
        <v>245</v>
      </c>
      <c r="GY21">
        <v>249</v>
      </c>
      <c r="GZ21">
        <v>249</v>
      </c>
      <c r="HA21">
        <v>55555465</v>
      </c>
      <c r="HB21">
        <v>221</v>
      </c>
      <c r="HD21" s="24"/>
      <c r="HE21">
        <v>4014</v>
      </c>
      <c r="HF21">
        <v>4161</v>
      </c>
      <c r="HG21">
        <v>4121</v>
      </c>
      <c r="HH21">
        <v>17896022</v>
      </c>
      <c r="HI21">
        <v>321</v>
      </c>
      <c r="HK21" s="24"/>
      <c r="HL21">
        <v>115201002</v>
      </c>
      <c r="HM21">
        <v>119699999</v>
      </c>
      <c r="HN21">
        <v>115201200</v>
      </c>
      <c r="HO21">
        <v>138</v>
      </c>
      <c r="HP21">
        <v>96</v>
      </c>
      <c r="HR21" s="24"/>
      <c r="HS21">
        <v>9375</v>
      </c>
      <c r="HT21">
        <v>9701</v>
      </c>
      <c r="HU21">
        <v>9568</v>
      </c>
      <c r="HV21">
        <v>347158</v>
      </c>
      <c r="HW21">
        <v>133</v>
      </c>
      <c r="HY21" s="24"/>
      <c r="HZ21">
        <v>8099</v>
      </c>
      <c r="IA21">
        <v>8399</v>
      </c>
      <c r="IB21">
        <v>8379</v>
      </c>
      <c r="IC21">
        <v>2659230</v>
      </c>
      <c r="ID21">
        <v>621</v>
      </c>
      <c r="IF21" s="24"/>
      <c r="IG21">
        <v>2486</v>
      </c>
      <c r="IH21">
        <v>2619</v>
      </c>
      <c r="II21">
        <v>2500</v>
      </c>
      <c r="IJ21">
        <v>2662741</v>
      </c>
      <c r="IK21">
        <v>180</v>
      </c>
      <c r="IM21" s="24"/>
      <c r="IN21">
        <v>113013500</v>
      </c>
      <c r="IO21">
        <v>119213000</v>
      </c>
      <c r="IP21">
        <v>115863291</v>
      </c>
      <c r="IQ21">
        <v>90</v>
      </c>
      <c r="IR21">
        <v>62</v>
      </c>
      <c r="IT21" s="24"/>
      <c r="IU21">
        <v>8220</v>
      </c>
      <c r="IV21">
        <v>8754</v>
      </c>
      <c r="IW21">
        <v>8754</v>
      </c>
      <c r="IX21">
        <v>2475455</v>
      </c>
      <c r="IY21">
        <v>203</v>
      </c>
      <c r="JA21" s="24"/>
      <c r="JB21">
        <v>116000500</v>
      </c>
      <c r="JC21">
        <v>119998800</v>
      </c>
      <c r="JD21">
        <v>118279954</v>
      </c>
      <c r="JE21">
        <v>78</v>
      </c>
      <c r="JF21">
        <v>64</v>
      </c>
      <c r="JH21" s="24"/>
      <c r="JI21">
        <v>113201001</v>
      </c>
      <c r="JJ21">
        <v>118999998</v>
      </c>
      <c r="JK21">
        <v>117114451</v>
      </c>
      <c r="JL21">
        <v>40</v>
      </c>
      <c r="JM21">
        <v>34</v>
      </c>
      <c r="JO21" s="24"/>
      <c r="JP21">
        <v>65</v>
      </c>
      <c r="JQ21">
        <v>67</v>
      </c>
      <c r="JR21">
        <v>67</v>
      </c>
      <c r="JS21">
        <v>102606050</v>
      </c>
      <c r="JT21">
        <v>107</v>
      </c>
      <c r="JV21" s="24"/>
      <c r="JW21">
        <v>70</v>
      </c>
      <c r="JX21">
        <v>73</v>
      </c>
      <c r="JY21">
        <v>73</v>
      </c>
      <c r="JZ21">
        <v>183600584</v>
      </c>
      <c r="KA21">
        <v>161</v>
      </c>
      <c r="KC21" s="24"/>
      <c r="KD21">
        <v>15</v>
      </c>
      <c r="KE21">
        <v>16</v>
      </c>
      <c r="KF21">
        <v>16</v>
      </c>
      <c r="KG21">
        <v>54829051</v>
      </c>
      <c r="KH21">
        <v>370</v>
      </c>
      <c r="KJ21" s="24"/>
      <c r="KK21">
        <v>83</v>
      </c>
      <c r="KL21">
        <v>84</v>
      </c>
      <c r="KM21">
        <v>84</v>
      </c>
      <c r="KN21">
        <v>166584013</v>
      </c>
      <c r="KO21">
        <v>150</v>
      </c>
      <c r="KQ21" s="24"/>
      <c r="KR21">
        <v>108006</v>
      </c>
      <c r="KS21">
        <v>108427</v>
      </c>
      <c r="KT21">
        <v>108015</v>
      </c>
      <c r="KU21">
        <v>78801</v>
      </c>
      <c r="KV21">
        <v>734</v>
      </c>
      <c r="KX21" s="24"/>
      <c r="KY21">
        <v>485</v>
      </c>
      <c r="KZ21">
        <v>485</v>
      </c>
      <c r="LA21">
        <v>485</v>
      </c>
      <c r="LB21">
        <v>9421915</v>
      </c>
      <c r="LC21">
        <v>210</v>
      </c>
      <c r="LE21" s="24"/>
      <c r="LF21">
        <v>266361</v>
      </c>
      <c r="LG21">
        <v>267582</v>
      </c>
      <c r="LH21">
        <v>266564</v>
      </c>
      <c r="LI21">
        <v>129340</v>
      </c>
      <c r="LJ21">
        <v>1099</v>
      </c>
      <c r="LL21" s="24"/>
      <c r="LM21">
        <v>84356</v>
      </c>
      <c r="LN21">
        <v>86510</v>
      </c>
      <c r="LO21">
        <v>85011</v>
      </c>
      <c r="LP21">
        <v>408799</v>
      </c>
      <c r="LQ21">
        <v>1516</v>
      </c>
      <c r="LS21" s="24"/>
      <c r="LT21">
        <v>218</v>
      </c>
      <c r="LU21">
        <v>224</v>
      </c>
      <c r="LV21">
        <v>223</v>
      </c>
      <c r="LW21">
        <v>167797638</v>
      </c>
      <c r="LX21">
        <v>453</v>
      </c>
      <c r="LZ21" s="24"/>
      <c r="MA21">
        <v>62140</v>
      </c>
      <c r="MB21">
        <v>64892</v>
      </c>
      <c r="MC21">
        <v>64798</v>
      </c>
      <c r="MD21">
        <v>483129</v>
      </c>
      <c r="ME21">
        <v>71</v>
      </c>
    </row>
    <row r="22" spans="2:343" x14ac:dyDescent="0.25">
      <c r="B22" s="24"/>
      <c r="C22">
        <v>2</v>
      </c>
      <c r="D22">
        <v>2</v>
      </c>
      <c r="E22">
        <v>2</v>
      </c>
      <c r="F22">
        <v>54983833082</v>
      </c>
      <c r="G22">
        <v>2962</v>
      </c>
      <c r="I22" s="24"/>
      <c r="J22">
        <v>4</v>
      </c>
      <c r="K22">
        <v>4</v>
      </c>
      <c r="L22">
        <v>4</v>
      </c>
      <c r="M22">
        <v>7710451929</v>
      </c>
      <c r="N22">
        <v>2110</v>
      </c>
      <c r="P22" s="24"/>
      <c r="Q22">
        <v>28</v>
      </c>
      <c r="R22">
        <v>28</v>
      </c>
      <c r="S22">
        <v>28</v>
      </c>
      <c r="T22">
        <v>1370477376</v>
      </c>
      <c r="U22">
        <v>1925</v>
      </c>
      <c r="W22" s="24"/>
      <c r="X22">
        <v>63</v>
      </c>
      <c r="Y22">
        <v>64</v>
      </c>
      <c r="Z22">
        <v>64</v>
      </c>
      <c r="AA22">
        <v>318621197</v>
      </c>
      <c r="AB22">
        <v>1528</v>
      </c>
      <c r="AD22" s="24"/>
      <c r="AE22">
        <v>501</v>
      </c>
      <c r="AF22">
        <v>517</v>
      </c>
      <c r="AG22">
        <v>510</v>
      </c>
      <c r="AH22">
        <v>90979079</v>
      </c>
      <c r="AI22">
        <v>1726</v>
      </c>
      <c r="AK22" s="24"/>
      <c r="AL22">
        <v>1039</v>
      </c>
      <c r="AM22">
        <v>1070</v>
      </c>
      <c r="AN22">
        <v>1057</v>
      </c>
      <c r="AO22">
        <v>38325053</v>
      </c>
      <c r="AP22">
        <v>1500</v>
      </c>
      <c r="AR22" s="24"/>
      <c r="AS22">
        <v>3050</v>
      </c>
      <c r="AT22">
        <v>3110</v>
      </c>
      <c r="AU22">
        <v>3053</v>
      </c>
      <c r="AV22">
        <v>15861566</v>
      </c>
      <c r="AW22">
        <v>1355</v>
      </c>
      <c r="AY22" s="24"/>
      <c r="AZ22">
        <v>348521731</v>
      </c>
      <c r="BA22">
        <v>356900000</v>
      </c>
      <c r="BB22">
        <v>354999706</v>
      </c>
      <c r="BC22">
        <v>1984</v>
      </c>
      <c r="BD22">
        <v>1409</v>
      </c>
      <c r="BF22" s="24"/>
      <c r="BG22">
        <v>21137</v>
      </c>
      <c r="BH22">
        <v>21142</v>
      </c>
      <c r="BI22">
        <v>21138</v>
      </c>
      <c r="BJ22">
        <v>5375334</v>
      </c>
      <c r="BK22">
        <v>220</v>
      </c>
      <c r="BM22" s="24"/>
      <c r="BN22">
        <v>6053998</v>
      </c>
      <c r="BO22">
        <v>6273996</v>
      </c>
      <c r="BP22">
        <v>6054048</v>
      </c>
      <c r="BQ22">
        <v>8667</v>
      </c>
      <c r="BR22">
        <v>300</v>
      </c>
      <c r="BT22" s="24"/>
      <c r="BU22">
        <v>1429</v>
      </c>
      <c r="BV22">
        <v>1433</v>
      </c>
      <c r="BW22">
        <v>1432</v>
      </c>
      <c r="BX22">
        <v>27226050</v>
      </c>
      <c r="BY22">
        <v>260</v>
      </c>
      <c r="CA22" s="24"/>
      <c r="CB22">
        <v>241</v>
      </c>
      <c r="CC22">
        <v>247</v>
      </c>
      <c r="CD22">
        <v>246</v>
      </c>
      <c r="CE22">
        <v>87186673</v>
      </c>
      <c r="CF22">
        <v>267</v>
      </c>
      <c r="CH22" s="24"/>
      <c r="CI22">
        <v>25442</v>
      </c>
      <c r="CJ22">
        <v>25442</v>
      </c>
      <c r="CK22">
        <v>25442</v>
      </c>
      <c r="CL22">
        <v>530067</v>
      </c>
      <c r="CM22">
        <v>135</v>
      </c>
      <c r="CO22" s="24"/>
      <c r="CP22">
        <v>6910</v>
      </c>
      <c r="CQ22">
        <v>7144</v>
      </c>
      <c r="CR22">
        <v>7000</v>
      </c>
      <c r="CS22">
        <v>1411225</v>
      </c>
      <c r="CT22">
        <v>460</v>
      </c>
      <c r="CV22" s="24"/>
      <c r="CW22">
        <v>1257039</v>
      </c>
      <c r="CX22">
        <v>1323332</v>
      </c>
      <c r="CY22">
        <v>1322999</v>
      </c>
      <c r="CZ22">
        <v>9909</v>
      </c>
      <c r="DA22">
        <v>47</v>
      </c>
      <c r="DC22" s="24"/>
      <c r="DD22">
        <v>251</v>
      </c>
      <c r="DE22">
        <v>260</v>
      </c>
      <c r="DF22">
        <v>259</v>
      </c>
      <c r="DG22">
        <v>43048398</v>
      </c>
      <c r="DH22">
        <v>160</v>
      </c>
      <c r="DJ22" s="24"/>
      <c r="DK22">
        <v>37550010</v>
      </c>
      <c r="DL22">
        <v>37735001</v>
      </c>
      <c r="DM22">
        <v>37575018</v>
      </c>
      <c r="DN22">
        <v>226</v>
      </c>
      <c r="DO22">
        <v>81</v>
      </c>
      <c r="DQ22" s="24"/>
      <c r="DR22">
        <v>1099000</v>
      </c>
      <c r="DS22">
        <v>1200995</v>
      </c>
      <c r="DT22">
        <v>1161002</v>
      </c>
      <c r="DU22">
        <v>7833</v>
      </c>
      <c r="DV22">
        <v>244</v>
      </c>
      <c r="DX22" s="24"/>
      <c r="DY22">
        <v>19031003</v>
      </c>
      <c r="DZ22">
        <v>19999997</v>
      </c>
      <c r="EA22">
        <v>19731007</v>
      </c>
      <c r="EB22">
        <v>609</v>
      </c>
      <c r="EC22">
        <v>119</v>
      </c>
      <c r="EE22" s="24"/>
      <c r="EF22">
        <v>160</v>
      </c>
      <c r="EG22">
        <v>166</v>
      </c>
      <c r="EH22">
        <v>161</v>
      </c>
      <c r="EI22">
        <v>118879311</v>
      </c>
      <c r="EJ22">
        <v>197</v>
      </c>
      <c r="EL22" s="24"/>
      <c r="EM22">
        <v>46929</v>
      </c>
      <c r="EN22">
        <v>48048</v>
      </c>
      <c r="EO22">
        <v>48027</v>
      </c>
      <c r="EP22">
        <v>136176</v>
      </c>
      <c r="EQ22">
        <v>699</v>
      </c>
      <c r="ES22" s="24"/>
      <c r="ET22">
        <v>228</v>
      </c>
      <c r="EU22">
        <v>230</v>
      </c>
      <c r="EV22">
        <v>229</v>
      </c>
      <c r="EW22">
        <v>38562307</v>
      </c>
      <c r="EX22">
        <v>613</v>
      </c>
      <c r="EZ22" s="24"/>
      <c r="FA22">
        <v>3088888</v>
      </c>
      <c r="FB22">
        <v>3099999</v>
      </c>
      <c r="FC22">
        <v>3089000</v>
      </c>
      <c r="FD22">
        <v>1130</v>
      </c>
      <c r="FE22">
        <v>20</v>
      </c>
      <c r="FG22" s="24"/>
      <c r="FH22">
        <v>10352</v>
      </c>
      <c r="FI22">
        <v>10886</v>
      </c>
      <c r="FJ22">
        <v>10639</v>
      </c>
      <c r="FK22">
        <v>2785972</v>
      </c>
      <c r="FL22">
        <v>570</v>
      </c>
      <c r="FN22" s="24"/>
      <c r="FO22">
        <v>17000</v>
      </c>
      <c r="FP22">
        <v>17999</v>
      </c>
      <c r="FQ22">
        <v>17999</v>
      </c>
      <c r="FR22">
        <v>242150</v>
      </c>
      <c r="FS22">
        <v>77</v>
      </c>
      <c r="FU22" s="24"/>
      <c r="FV22">
        <v>30569</v>
      </c>
      <c r="FW22">
        <v>30608</v>
      </c>
      <c r="FX22">
        <v>30582</v>
      </c>
      <c r="FY22">
        <v>383711</v>
      </c>
      <c r="FZ22">
        <v>1409</v>
      </c>
      <c r="GB22" s="24"/>
      <c r="GC22">
        <v>108312000</v>
      </c>
      <c r="GD22">
        <v>115997939</v>
      </c>
      <c r="GE22">
        <v>108312200</v>
      </c>
      <c r="GF22">
        <v>137</v>
      </c>
      <c r="GG22">
        <v>89</v>
      </c>
      <c r="GI22" s="24"/>
      <c r="GJ22">
        <v>25056031</v>
      </c>
      <c r="GK22">
        <v>25899993</v>
      </c>
      <c r="GL22">
        <v>25899984</v>
      </c>
      <c r="GM22">
        <v>670</v>
      </c>
      <c r="GN22">
        <v>97</v>
      </c>
      <c r="GP22" s="24"/>
      <c r="GQ22">
        <v>106</v>
      </c>
      <c r="GR22">
        <v>131</v>
      </c>
      <c r="GS22">
        <v>121</v>
      </c>
      <c r="GT22">
        <v>92002170</v>
      </c>
      <c r="GU22">
        <v>141</v>
      </c>
      <c r="GW22" s="24"/>
      <c r="GX22">
        <v>242</v>
      </c>
      <c r="GY22">
        <v>252</v>
      </c>
      <c r="GZ22">
        <v>249</v>
      </c>
      <c r="HA22">
        <v>39982052</v>
      </c>
      <c r="HB22">
        <v>207</v>
      </c>
      <c r="HD22" s="24"/>
      <c r="HE22">
        <v>4053</v>
      </c>
      <c r="HF22">
        <v>4106</v>
      </c>
      <c r="HG22">
        <v>4094</v>
      </c>
      <c r="HH22">
        <v>20984737</v>
      </c>
      <c r="HI22">
        <v>265</v>
      </c>
      <c r="HK22" s="24"/>
      <c r="HL22">
        <v>113006603</v>
      </c>
      <c r="HM22">
        <v>119497985</v>
      </c>
      <c r="HN22">
        <v>115201201</v>
      </c>
      <c r="HO22">
        <v>119</v>
      </c>
      <c r="HP22">
        <v>91</v>
      </c>
      <c r="HR22" s="24"/>
      <c r="HS22">
        <v>9500</v>
      </c>
      <c r="HT22">
        <v>9701</v>
      </c>
      <c r="HU22">
        <v>9700</v>
      </c>
      <c r="HV22">
        <v>496917</v>
      </c>
      <c r="HW22">
        <v>122</v>
      </c>
      <c r="HY22" s="24"/>
      <c r="HZ22">
        <v>7830</v>
      </c>
      <c r="IA22">
        <v>8199</v>
      </c>
      <c r="IB22">
        <v>8099</v>
      </c>
      <c r="IC22">
        <v>2123875</v>
      </c>
      <c r="ID22">
        <v>515</v>
      </c>
      <c r="IF22" s="24"/>
      <c r="IG22">
        <v>2617</v>
      </c>
      <c r="IH22">
        <v>2617</v>
      </c>
      <c r="II22">
        <v>2617</v>
      </c>
      <c r="IJ22">
        <v>2944391</v>
      </c>
      <c r="IK22">
        <v>136</v>
      </c>
      <c r="IM22" s="24"/>
      <c r="IN22">
        <v>119199999</v>
      </c>
      <c r="IO22">
        <v>119209870</v>
      </c>
      <c r="IP22">
        <v>119200066</v>
      </c>
      <c r="IQ22">
        <v>108</v>
      </c>
      <c r="IR22">
        <v>76</v>
      </c>
      <c r="IT22" s="24"/>
      <c r="IU22">
        <v>8250</v>
      </c>
      <c r="IV22">
        <v>8751</v>
      </c>
      <c r="IW22">
        <v>8300</v>
      </c>
      <c r="IX22">
        <v>1837568</v>
      </c>
      <c r="IY22">
        <v>169</v>
      </c>
      <c r="JA22" s="24"/>
      <c r="JB22">
        <v>112555817</v>
      </c>
      <c r="JC22">
        <v>114250200</v>
      </c>
      <c r="JD22">
        <v>113001601</v>
      </c>
      <c r="JE22">
        <v>179</v>
      </c>
      <c r="JF22">
        <v>105</v>
      </c>
      <c r="JH22" s="24"/>
      <c r="JI22">
        <v>113203403</v>
      </c>
      <c r="JJ22">
        <v>118998358</v>
      </c>
      <c r="JK22">
        <v>113205000</v>
      </c>
      <c r="JL22">
        <v>129</v>
      </c>
      <c r="JM22">
        <v>79</v>
      </c>
      <c r="JO22" s="24"/>
      <c r="JP22">
        <v>64</v>
      </c>
      <c r="JQ22">
        <v>66</v>
      </c>
      <c r="JR22">
        <v>65</v>
      </c>
      <c r="JS22">
        <v>189657829</v>
      </c>
      <c r="JT22">
        <v>133</v>
      </c>
      <c r="JV22" s="24"/>
      <c r="JW22">
        <v>72</v>
      </c>
      <c r="JX22">
        <v>74</v>
      </c>
      <c r="JY22">
        <v>72</v>
      </c>
      <c r="JZ22">
        <v>120949316</v>
      </c>
      <c r="KA22">
        <v>112</v>
      </c>
      <c r="KC22" s="24"/>
      <c r="KD22">
        <v>16</v>
      </c>
      <c r="KE22">
        <v>16</v>
      </c>
      <c r="KF22">
        <v>16</v>
      </c>
      <c r="KG22">
        <v>58810280</v>
      </c>
      <c r="KH22">
        <v>341</v>
      </c>
      <c r="KJ22" s="24"/>
      <c r="KK22">
        <v>94</v>
      </c>
      <c r="KL22">
        <v>98</v>
      </c>
      <c r="KM22">
        <v>94</v>
      </c>
      <c r="KN22">
        <v>200078251</v>
      </c>
      <c r="KO22">
        <v>139</v>
      </c>
      <c r="KQ22" s="24"/>
      <c r="KR22">
        <v>108430</v>
      </c>
      <c r="KS22">
        <v>115999</v>
      </c>
      <c r="KT22">
        <v>109000</v>
      </c>
      <c r="KU22">
        <v>99062</v>
      </c>
      <c r="KV22">
        <v>719</v>
      </c>
      <c r="KX22" s="24"/>
      <c r="KY22">
        <v>486</v>
      </c>
      <c r="KZ22">
        <v>486</v>
      </c>
      <c r="LA22">
        <v>486</v>
      </c>
      <c r="LB22">
        <v>9145877</v>
      </c>
      <c r="LC22">
        <v>203</v>
      </c>
      <c r="LE22" s="24"/>
      <c r="LF22">
        <v>267602</v>
      </c>
      <c r="LG22">
        <v>268000</v>
      </c>
      <c r="LH22">
        <v>267652</v>
      </c>
      <c r="LI22">
        <v>141649</v>
      </c>
      <c r="LJ22">
        <v>1120</v>
      </c>
      <c r="LL22" s="24"/>
      <c r="LM22">
        <v>87018</v>
      </c>
      <c r="LN22">
        <v>87907</v>
      </c>
      <c r="LO22">
        <v>87501</v>
      </c>
      <c r="LP22">
        <v>636062</v>
      </c>
      <c r="LQ22">
        <v>1490</v>
      </c>
      <c r="LS22" s="24"/>
      <c r="LT22">
        <v>222</v>
      </c>
      <c r="LU22">
        <v>224</v>
      </c>
      <c r="LV22">
        <v>223</v>
      </c>
      <c r="LW22">
        <v>97267946</v>
      </c>
      <c r="LX22">
        <v>416</v>
      </c>
      <c r="LZ22" s="24"/>
      <c r="MA22">
        <v>63158</v>
      </c>
      <c r="MB22">
        <v>64780</v>
      </c>
      <c r="MC22">
        <v>63800</v>
      </c>
      <c r="MD22">
        <v>644837</v>
      </c>
      <c r="ME22">
        <v>57</v>
      </c>
    </row>
    <row r="23" spans="2:343" x14ac:dyDescent="0.25">
      <c r="B23" s="24"/>
      <c r="C23">
        <v>2</v>
      </c>
      <c r="D23">
        <v>2</v>
      </c>
      <c r="E23">
        <v>2</v>
      </c>
      <c r="F23">
        <v>40930235185</v>
      </c>
      <c r="G23">
        <v>3022</v>
      </c>
      <c r="I23" s="24"/>
      <c r="J23">
        <v>4</v>
      </c>
      <c r="K23">
        <v>4</v>
      </c>
      <c r="L23">
        <v>4</v>
      </c>
      <c r="M23">
        <v>7094972720</v>
      </c>
      <c r="N23">
        <v>2225</v>
      </c>
      <c r="P23" s="24"/>
      <c r="Q23">
        <v>28</v>
      </c>
      <c r="R23">
        <v>28</v>
      </c>
      <c r="S23">
        <v>28</v>
      </c>
      <c r="T23">
        <v>1745591231</v>
      </c>
      <c r="U23">
        <v>2012</v>
      </c>
      <c r="W23" s="24"/>
      <c r="X23">
        <v>63</v>
      </c>
      <c r="Y23">
        <v>64</v>
      </c>
      <c r="Z23">
        <v>64</v>
      </c>
      <c r="AA23">
        <v>899779673</v>
      </c>
      <c r="AB23">
        <v>1644</v>
      </c>
      <c r="AD23" s="24"/>
      <c r="AE23">
        <v>505</v>
      </c>
      <c r="AF23">
        <v>514</v>
      </c>
      <c r="AG23">
        <v>514</v>
      </c>
      <c r="AH23">
        <v>81628490</v>
      </c>
      <c r="AI23">
        <v>1697</v>
      </c>
      <c r="AK23" s="24"/>
      <c r="AL23">
        <v>1050</v>
      </c>
      <c r="AM23">
        <v>1064</v>
      </c>
      <c r="AN23">
        <v>1059</v>
      </c>
      <c r="AO23">
        <v>31743594</v>
      </c>
      <c r="AP23">
        <v>1425</v>
      </c>
      <c r="AR23" s="24"/>
      <c r="AS23">
        <v>3012</v>
      </c>
      <c r="AT23">
        <v>3062</v>
      </c>
      <c r="AU23">
        <v>3049</v>
      </c>
      <c r="AV23">
        <v>13791476</v>
      </c>
      <c r="AW23">
        <v>1296</v>
      </c>
      <c r="AY23" s="24"/>
      <c r="AZ23">
        <v>350851000</v>
      </c>
      <c r="BA23">
        <v>357899813</v>
      </c>
      <c r="BB23">
        <v>354999577</v>
      </c>
      <c r="BC23">
        <v>1980</v>
      </c>
      <c r="BD23">
        <v>1355</v>
      </c>
      <c r="BF23" s="24"/>
      <c r="BG23">
        <v>21105</v>
      </c>
      <c r="BH23">
        <v>21105</v>
      </c>
      <c r="BI23">
        <v>21105</v>
      </c>
      <c r="BJ23">
        <v>1857868</v>
      </c>
      <c r="BK23">
        <v>205</v>
      </c>
      <c r="BM23" s="24"/>
      <c r="BN23">
        <v>6070000</v>
      </c>
      <c r="BO23">
        <v>6337886</v>
      </c>
      <c r="BP23">
        <v>6189598</v>
      </c>
      <c r="BQ23">
        <v>14737</v>
      </c>
      <c r="BR23">
        <v>354</v>
      </c>
      <c r="BT23" s="24"/>
      <c r="BU23">
        <v>1427</v>
      </c>
      <c r="BV23">
        <v>1447</v>
      </c>
      <c r="BW23">
        <v>1447</v>
      </c>
      <c r="BX23">
        <v>29855363</v>
      </c>
      <c r="BY23">
        <v>271</v>
      </c>
      <c r="CA23" s="24"/>
      <c r="CB23">
        <v>240</v>
      </c>
      <c r="CC23">
        <v>246</v>
      </c>
      <c r="CD23">
        <v>240</v>
      </c>
      <c r="CE23">
        <v>101567042</v>
      </c>
      <c r="CF23">
        <v>281</v>
      </c>
      <c r="CH23" s="24"/>
      <c r="CI23">
        <v>25498</v>
      </c>
      <c r="CJ23">
        <v>25510</v>
      </c>
      <c r="CK23">
        <v>25504</v>
      </c>
      <c r="CL23">
        <v>1078003</v>
      </c>
      <c r="CM23">
        <v>169</v>
      </c>
      <c r="CO23" s="24"/>
      <c r="CP23">
        <v>6988</v>
      </c>
      <c r="CQ23">
        <v>7198</v>
      </c>
      <c r="CR23">
        <v>7188</v>
      </c>
      <c r="CS23">
        <v>1003724</v>
      </c>
      <c r="CT23">
        <v>413</v>
      </c>
      <c r="CV23" s="24"/>
      <c r="CW23">
        <v>1258000</v>
      </c>
      <c r="CX23">
        <v>1318332</v>
      </c>
      <c r="CY23">
        <v>1318332</v>
      </c>
      <c r="CZ23">
        <v>14471</v>
      </c>
      <c r="DA23">
        <v>56</v>
      </c>
      <c r="DC23" s="24"/>
      <c r="DD23">
        <v>248</v>
      </c>
      <c r="DE23">
        <v>252</v>
      </c>
      <c r="DF23">
        <v>252</v>
      </c>
      <c r="DG23">
        <v>41972576</v>
      </c>
      <c r="DH23">
        <v>164</v>
      </c>
      <c r="DJ23" s="24"/>
      <c r="DK23">
        <v>37758000</v>
      </c>
      <c r="DL23">
        <v>37763000</v>
      </c>
      <c r="DM23">
        <v>37758001</v>
      </c>
      <c r="DN23">
        <v>307</v>
      </c>
      <c r="DO23">
        <v>79</v>
      </c>
      <c r="DQ23" s="24"/>
      <c r="DR23">
        <v>1100105</v>
      </c>
      <c r="DS23">
        <v>1105002</v>
      </c>
      <c r="DT23">
        <v>1101006</v>
      </c>
      <c r="DU23">
        <v>4591</v>
      </c>
      <c r="DV23">
        <v>213</v>
      </c>
      <c r="DX23" s="24"/>
      <c r="DY23">
        <v>19253020</v>
      </c>
      <c r="DZ23">
        <v>19257020</v>
      </c>
      <c r="EA23">
        <v>19257002</v>
      </c>
      <c r="EB23">
        <v>453</v>
      </c>
      <c r="EC23">
        <v>96</v>
      </c>
      <c r="EE23" s="24"/>
      <c r="EF23">
        <v>161</v>
      </c>
      <c r="EG23">
        <v>164</v>
      </c>
      <c r="EH23">
        <v>163</v>
      </c>
      <c r="EI23">
        <v>158076193</v>
      </c>
      <c r="EJ23">
        <v>284</v>
      </c>
      <c r="EL23" s="24"/>
      <c r="EM23">
        <v>46373</v>
      </c>
      <c r="EN23">
        <v>48060</v>
      </c>
      <c r="EO23">
        <v>46895</v>
      </c>
      <c r="EP23">
        <v>98921</v>
      </c>
      <c r="EQ23">
        <v>766</v>
      </c>
      <c r="ES23" s="24"/>
      <c r="ET23">
        <v>225</v>
      </c>
      <c r="EU23">
        <v>235</v>
      </c>
      <c r="EV23">
        <v>229</v>
      </c>
      <c r="EW23">
        <v>64850732</v>
      </c>
      <c r="EX23">
        <v>686</v>
      </c>
      <c r="EZ23" s="24"/>
      <c r="FA23">
        <v>3000000</v>
      </c>
      <c r="FB23">
        <v>3099999</v>
      </c>
      <c r="FC23">
        <v>3099999</v>
      </c>
      <c r="FD23">
        <v>1517</v>
      </c>
      <c r="FE23">
        <v>20</v>
      </c>
      <c r="FG23" s="24"/>
      <c r="FH23">
        <v>10360</v>
      </c>
      <c r="FI23">
        <v>10739</v>
      </c>
      <c r="FJ23">
        <v>10376</v>
      </c>
      <c r="FK23">
        <v>3671159</v>
      </c>
      <c r="FL23">
        <v>532</v>
      </c>
      <c r="FN23" s="24"/>
      <c r="FO23">
        <v>16718</v>
      </c>
      <c r="FP23">
        <v>17998</v>
      </c>
      <c r="FQ23">
        <v>17998</v>
      </c>
      <c r="FR23">
        <v>255728</v>
      </c>
      <c r="FS23">
        <v>117</v>
      </c>
      <c r="FU23" s="24"/>
      <c r="FV23">
        <v>31019</v>
      </c>
      <c r="FW23">
        <v>31290</v>
      </c>
      <c r="FX23">
        <v>31251</v>
      </c>
      <c r="FY23">
        <v>348411</v>
      </c>
      <c r="FZ23">
        <v>1391</v>
      </c>
      <c r="GB23" s="24"/>
      <c r="GC23">
        <v>111000000</v>
      </c>
      <c r="GD23">
        <v>120211002</v>
      </c>
      <c r="GE23">
        <v>116488586</v>
      </c>
      <c r="GF23">
        <v>89</v>
      </c>
      <c r="GG23">
        <v>39</v>
      </c>
      <c r="GI23" s="24"/>
      <c r="GJ23">
        <v>25251043</v>
      </c>
      <c r="GK23">
        <v>25255002</v>
      </c>
      <c r="GL23">
        <v>25255002</v>
      </c>
      <c r="GM23">
        <v>341</v>
      </c>
      <c r="GN23">
        <v>81</v>
      </c>
      <c r="GP23" s="24"/>
      <c r="GQ23">
        <v>112</v>
      </c>
      <c r="GR23">
        <v>117</v>
      </c>
      <c r="GS23">
        <v>112</v>
      </c>
      <c r="GT23">
        <v>236690933</v>
      </c>
      <c r="GU23">
        <v>177</v>
      </c>
      <c r="GW23" s="24"/>
      <c r="GX23">
        <v>242</v>
      </c>
      <c r="GY23">
        <v>255</v>
      </c>
      <c r="GZ23">
        <v>253</v>
      </c>
      <c r="HA23">
        <v>48244733</v>
      </c>
      <c r="HB23">
        <v>207</v>
      </c>
      <c r="HD23" s="24"/>
      <c r="HE23">
        <v>4089</v>
      </c>
      <c r="HF23">
        <v>4093</v>
      </c>
      <c r="HG23">
        <v>4093</v>
      </c>
      <c r="HH23">
        <v>19534231</v>
      </c>
      <c r="HI23">
        <v>318</v>
      </c>
      <c r="HK23" s="24"/>
      <c r="HL23">
        <v>113006604</v>
      </c>
      <c r="HM23">
        <v>119495299</v>
      </c>
      <c r="HN23">
        <v>118872951</v>
      </c>
      <c r="HO23">
        <v>85</v>
      </c>
      <c r="HP23">
        <v>65</v>
      </c>
      <c r="HR23" s="24"/>
      <c r="HS23">
        <v>9315</v>
      </c>
      <c r="HT23">
        <v>9698</v>
      </c>
      <c r="HU23">
        <v>9688</v>
      </c>
      <c r="HV23">
        <v>446294</v>
      </c>
      <c r="HW23">
        <v>122</v>
      </c>
      <c r="HY23" s="24"/>
      <c r="HZ23">
        <v>7997</v>
      </c>
      <c r="IA23">
        <v>8299</v>
      </c>
      <c r="IB23">
        <v>8096</v>
      </c>
      <c r="IC23">
        <v>1605013</v>
      </c>
      <c r="ID23">
        <v>511</v>
      </c>
      <c r="IF23" s="24"/>
      <c r="IG23">
        <v>2605</v>
      </c>
      <c r="IH23">
        <v>2615</v>
      </c>
      <c r="II23">
        <v>2615</v>
      </c>
      <c r="IJ23">
        <v>1909132</v>
      </c>
      <c r="IK23">
        <v>163</v>
      </c>
      <c r="IM23" s="24"/>
      <c r="IN23">
        <v>114905800</v>
      </c>
      <c r="IO23">
        <v>139999991</v>
      </c>
      <c r="IP23">
        <v>123720676</v>
      </c>
      <c r="IQ23">
        <v>100</v>
      </c>
      <c r="IR23">
        <v>66</v>
      </c>
      <c r="IT23" s="24"/>
      <c r="IU23">
        <v>8288</v>
      </c>
      <c r="IV23">
        <v>8669</v>
      </c>
      <c r="IW23">
        <v>8609</v>
      </c>
      <c r="IX23">
        <v>1993607</v>
      </c>
      <c r="IY23">
        <v>189</v>
      </c>
      <c r="JA23" s="24"/>
      <c r="JB23">
        <v>113000000</v>
      </c>
      <c r="JC23">
        <v>117996394</v>
      </c>
      <c r="JD23">
        <v>115955589</v>
      </c>
      <c r="JE23">
        <v>85</v>
      </c>
      <c r="JF23">
        <v>65</v>
      </c>
      <c r="JH23" s="24"/>
      <c r="JI23">
        <v>113206400</v>
      </c>
      <c r="JJ23">
        <v>118993699</v>
      </c>
      <c r="JK23">
        <v>115162462</v>
      </c>
      <c r="JL23">
        <v>45</v>
      </c>
      <c r="JM23">
        <v>27</v>
      </c>
      <c r="JO23" s="24"/>
      <c r="JP23">
        <v>63</v>
      </c>
      <c r="JQ23">
        <v>66</v>
      </c>
      <c r="JR23">
        <v>65</v>
      </c>
      <c r="JS23">
        <v>144126110</v>
      </c>
      <c r="JT23">
        <v>112</v>
      </c>
      <c r="JV23" s="24"/>
      <c r="JW23">
        <v>72</v>
      </c>
      <c r="JX23">
        <v>74</v>
      </c>
      <c r="JY23">
        <v>74</v>
      </c>
      <c r="JZ23">
        <v>157350078</v>
      </c>
      <c r="KA23">
        <v>127</v>
      </c>
      <c r="KC23" s="24"/>
      <c r="KD23">
        <v>15</v>
      </c>
      <c r="KE23">
        <v>16</v>
      </c>
      <c r="KF23">
        <v>16</v>
      </c>
      <c r="KG23">
        <v>71890112</v>
      </c>
      <c r="KH23">
        <v>333</v>
      </c>
      <c r="KJ23" s="24"/>
      <c r="KK23">
        <v>89</v>
      </c>
      <c r="KL23">
        <v>94</v>
      </c>
      <c r="KM23">
        <v>90</v>
      </c>
      <c r="KN23">
        <v>333911509</v>
      </c>
      <c r="KO23">
        <v>223</v>
      </c>
      <c r="KQ23" s="24"/>
      <c r="KR23">
        <v>108459</v>
      </c>
      <c r="KS23">
        <v>113949</v>
      </c>
      <c r="KT23">
        <v>108473</v>
      </c>
      <c r="KU23">
        <v>45228</v>
      </c>
      <c r="KV23">
        <v>710</v>
      </c>
      <c r="KX23" s="24"/>
      <c r="KY23">
        <v>527</v>
      </c>
      <c r="KZ23">
        <v>536</v>
      </c>
      <c r="LA23">
        <v>528</v>
      </c>
      <c r="LB23">
        <v>6303472</v>
      </c>
      <c r="LC23">
        <v>226</v>
      </c>
      <c r="LE23" s="24"/>
      <c r="LF23">
        <v>269512</v>
      </c>
      <c r="LG23">
        <v>271900</v>
      </c>
      <c r="LH23">
        <v>269523</v>
      </c>
      <c r="LI23">
        <v>106409</v>
      </c>
      <c r="LJ23">
        <v>1112</v>
      </c>
      <c r="LL23" s="24"/>
      <c r="LM23">
        <v>84500</v>
      </c>
      <c r="LN23">
        <v>87619</v>
      </c>
      <c r="LO23">
        <v>87606</v>
      </c>
      <c r="LP23">
        <v>325206</v>
      </c>
      <c r="LQ23">
        <v>1476</v>
      </c>
      <c r="LS23" s="24"/>
      <c r="LT23">
        <v>218</v>
      </c>
      <c r="LU23">
        <v>231</v>
      </c>
      <c r="LV23">
        <v>227</v>
      </c>
      <c r="LW23">
        <v>150924790</v>
      </c>
      <c r="LX23">
        <v>427</v>
      </c>
      <c r="LZ23" s="24"/>
      <c r="MA23">
        <v>63748</v>
      </c>
      <c r="MB23">
        <v>64749</v>
      </c>
      <c r="MC23">
        <v>64000</v>
      </c>
      <c r="MD23">
        <v>978648</v>
      </c>
      <c r="ME23">
        <v>83</v>
      </c>
    </row>
    <row r="24" spans="2:343" x14ac:dyDescent="0.25">
      <c r="B24" s="24"/>
      <c r="C24">
        <v>2</v>
      </c>
      <c r="D24">
        <v>2</v>
      </c>
      <c r="E24">
        <v>2</v>
      </c>
      <c r="F24">
        <v>40659917184</v>
      </c>
      <c r="G24">
        <v>3042</v>
      </c>
      <c r="I24" s="24"/>
      <c r="J24">
        <v>4</v>
      </c>
      <c r="K24">
        <v>4</v>
      </c>
      <c r="L24">
        <v>4</v>
      </c>
      <c r="M24">
        <v>7057045275</v>
      </c>
      <c r="N24">
        <v>2170</v>
      </c>
      <c r="P24" s="24"/>
      <c r="Q24">
        <v>28</v>
      </c>
      <c r="R24">
        <v>28</v>
      </c>
      <c r="S24">
        <v>28</v>
      </c>
      <c r="T24">
        <v>2142753656</v>
      </c>
      <c r="U24">
        <v>2122</v>
      </c>
      <c r="W24" s="24"/>
      <c r="X24">
        <v>62</v>
      </c>
      <c r="Y24">
        <v>64</v>
      </c>
      <c r="Z24">
        <v>63</v>
      </c>
      <c r="AA24">
        <v>383365297</v>
      </c>
      <c r="AB24">
        <v>1579</v>
      </c>
      <c r="AD24" s="24"/>
      <c r="AE24">
        <v>509</v>
      </c>
      <c r="AF24">
        <v>513</v>
      </c>
      <c r="AG24">
        <v>513</v>
      </c>
      <c r="AH24">
        <v>114448306</v>
      </c>
      <c r="AI24">
        <v>1693</v>
      </c>
      <c r="AK24" s="24"/>
      <c r="AL24">
        <v>1050</v>
      </c>
      <c r="AM24">
        <v>1060</v>
      </c>
      <c r="AN24">
        <v>1058</v>
      </c>
      <c r="AO24">
        <v>43302241</v>
      </c>
      <c r="AP24">
        <v>1396</v>
      </c>
      <c r="AR24" s="24"/>
      <c r="AS24">
        <v>3017</v>
      </c>
      <c r="AT24">
        <v>3061</v>
      </c>
      <c r="AU24">
        <v>3058</v>
      </c>
      <c r="AV24">
        <v>14034753</v>
      </c>
      <c r="AW24">
        <v>1319</v>
      </c>
      <c r="AY24" s="24"/>
      <c r="AZ24">
        <v>347923635</v>
      </c>
      <c r="BA24">
        <v>356899999</v>
      </c>
      <c r="BB24">
        <v>353799999</v>
      </c>
      <c r="BC24">
        <v>2105</v>
      </c>
      <c r="BD24">
        <v>1458</v>
      </c>
      <c r="BF24" s="24"/>
      <c r="BG24">
        <v>20747</v>
      </c>
      <c r="BH24">
        <v>20750</v>
      </c>
      <c r="BI24">
        <v>20749</v>
      </c>
      <c r="BJ24">
        <v>768182</v>
      </c>
      <c r="BK24">
        <v>198</v>
      </c>
      <c r="BM24" s="24"/>
      <c r="BN24">
        <v>6109006</v>
      </c>
      <c r="BO24">
        <v>6331297</v>
      </c>
      <c r="BP24">
        <v>6151298</v>
      </c>
      <c r="BQ24">
        <v>10843</v>
      </c>
      <c r="BR24">
        <v>300</v>
      </c>
      <c r="BT24" s="24"/>
      <c r="BU24">
        <v>1444</v>
      </c>
      <c r="BV24">
        <v>1444</v>
      </c>
      <c r="BW24">
        <v>1444</v>
      </c>
      <c r="BX24">
        <v>24277371</v>
      </c>
      <c r="BY24">
        <v>245</v>
      </c>
      <c r="CA24" s="24"/>
      <c r="CB24">
        <v>240</v>
      </c>
      <c r="CC24">
        <v>245</v>
      </c>
      <c r="CD24">
        <v>245</v>
      </c>
      <c r="CE24">
        <v>60443100</v>
      </c>
      <c r="CF24">
        <v>235</v>
      </c>
      <c r="CH24" s="24"/>
      <c r="CI24">
        <v>25703</v>
      </c>
      <c r="CJ24">
        <v>25721</v>
      </c>
      <c r="CK24">
        <v>25718</v>
      </c>
      <c r="CL24">
        <v>2231067</v>
      </c>
      <c r="CM24">
        <v>214</v>
      </c>
      <c r="CO24" s="24"/>
      <c r="CP24">
        <v>6916</v>
      </c>
      <c r="CQ24">
        <v>7348</v>
      </c>
      <c r="CR24">
        <v>7282</v>
      </c>
      <c r="CS24">
        <v>959080</v>
      </c>
      <c r="CT24">
        <v>350</v>
      </c>
      <c r="CV24" s="24"/>
      <c r="CW24">
        <v>1257236</v>
      </c>
      <c r="CX24">
        <v>1317996</v>
      </c>
      <c r="CY24">
        <v>1299999</v>
      </c>
      <c r="CZ24">
        <v>9722</v>
      </c>
      <c r="DA24">
        <v>57</v>
      </c>
      <c r="DC24" s="24"/>
      <c r="DD24">
        <v>255</v>
      </c>
      <c r="DE24">
        <v>267</v>
      </c>
      <c r="DF24">
        <v>259</v>
      </c>
      <c r="DG24">
        <v>35682112</v>
      </c>
      <c r="DH24">
        <v>158</v>
      </c>
      <c r="DJ24" s="24"/>
      <c r="DK24">
        <v>37763036</v>
      </c>
      <c r="DL24">
        <v>38740000</v>
      </c>
      <c r="DM24">
        <v>38499999</v>
      </c>
      <c r="DN24">
        <v>444</v>
      </c>
      <c r="DO24">
        <v>95</v>
      </c>
      <c r="DQ24" s="24"/>
      <c r="DR24">
        <v>1111018</v>
      </c>
      <c r="DS24">
        <v>1169999</v>
      </c>
      <c r="DT24">
        <v>1144999</v>
      </c>
      <c r="DU24">
        <v>6893</v>
      </c>
      <c r="DV24">
        <v>262</v>
      </c>
      <c r="DX24" s="24"/>
      <c r="DY24">
        <v>19250001</v>
      </c>
      <c r="DZ24">
        <v>19378999</v>
      </c>
      <c r="EA24">
        <v>19257001</v>
      </c>
      <c r="EB24">
        <v>707</v>
      </c>
      <c r="EC24">
        <v>134</v>
      </c>
      <c r="EE24" s="24"/>
      <c r="EF24">
        <v>157</v>
      </c>
      <c r="EG24">
        <v>165</v>
      </c>
      <c r="EH24">
        <v>161</v>
      </c>
      <c r="EI24">
        <v>113260060</v>
      </c>
      <c r="EJ24">
        <v>214</v>
      </c>
      <c r="EL24" s="24"/>
      <c r="EM24">
        <v>51032</v>
      </c>
      <c r="EN24">
        <v>53869</v>
      </c>
      <c r="EO24">
        <v>51033</v>
      </c>
      <c r="EP24">
        <v>87896</v>
      </c>
      <c r="EQ24">
        <v>737</v>
      </c>
      <c r="ES24" s="24"/>
      <c r="ET24">
        <v>233</v>
      </c>
      <c r="EU24">
        <v>234</v>
      </c>
      <c r="EV24">
        <v>233</v>
      </c>
      <c r="EW24">
        <v>32839637</v>
      </c>
      <c r="EX24">
        <v>582</v>
      </c>
      <c r="EZ24" s="24"/>
      <c r="FA24">
        <v>3192997</v>
      </c>
      <c r="FB24">
        <v>3192997</v>
      </c>
      <c r="FC24">
        <v>3192997</v>
      </c>
      <c r="FD24">
        <v>393</v>
      </c>
      <c r="FE24">
        <v>10</v>
      </c>
      <c r="FG24" s="24"/>
      <c r="FH24">
        <v>10352</v>
      </c>
      <c r="FI24">
        <v>10654</v>
      </c>
      <c r="FJ24">
        <v>10596</v>
      </c>
      <c r="FK24">
        <v>3333085</v>
      </c>
      <c r="FL24">
        <v>484</v>
      </c>
      <c r="FN24" s="24"/>
      <c r="FO24">
        <v>17968</v>
      </c>
      <c r="FP24">
        <v>17991</v>
      </c>
      <c r="FQ24">
        <v>17985</v>
      </c>
      <c r="FR24">
        <v>107801</v>
      </c>
      <c r="FS24">
        <v>93</v>
      </c>
      <c r="FU24" s="24"/>
      <c r="FV24">
        <v>31261</v>
      </c>
      <c r="FW24">
        <v>31271</v>
      </c>
      <c r="FX24">
        <v>31266</v>
      </c>
      <c r="FY24">
        <v>429883</v>
      </c>
      <c r="FZ24">
        <v>1397</v>
      </c>
      <c r="GB24" s="24"/>
      <c r="GC24">
        <v>109041200</v>
      </c>
      <c r="GD24">
        <v>114998600</v>
      </c>
      <c r="GE24">
        <v>110000002</v>
      </c>
      <c r="GF24">
        <v>169</v>
      </c>
      <c r="GG24">
        <v>102</v>
      </c>
      <c r="GI24" s="24"/>
      <c r="GJ24">
        <v>25500010</v>
      </c>
      <c r="GK24">
        <v>26649999</v>
      </c>
      <c r="GL24">
        <v>26000001</v>
      </c>
      <c r="GM24">
        <v>429</v>
      </c>
      <c r="GN24">
        <v>78</v>
      </c>
      <c r="GP24" s="24"/>
      <c r="GQ24">
        <v>107</v>
      </c>
      <c r="GR24">
        <v>111</v>
      </c>
      <c r="GS24">
        <v>108</v>
      </c>
      <c r="GT24">
        <v>113937871</v>
      </c>
      <c r="GU24">
        <v>153</v>
      </c>
      <c r="GW24" s="24"/>
      <c r="GX24">
        <v>243</v>
      </c>
      <c r="GY24">
        <v>254</v>
      </c>
      <c r="GZ24">
        <v>252</v>
      </c>
      <c r="HA24">
        <v>68148675</v>
      </c>
      <c r="HB24">
        <v>261</v>
      </c>
      <c r="HD24" s="24"/>
      <c r="HE24">
        <v>4040</v>
      </c>
      <c r="HF24">
        <v>4116</v>
      </c>
      <c r="HG24">
        <v>4089</v>
      </c>
      <c r="HH24">
        <v>20338936</v>
      </c>
      <c r="HI24">
        <v>287</v>
      </c>
      <c r="HK24" s="24"/>
      <c r="HL24">
        <v>111003601</v>
      </c>
      <c r="HM24">
        <v>116004196</v>
      </c>
      <c r="HN24">
        <v>111005457</v>
      </c>
      <c r="HO24">
        <v>120</v>
      </c>
      <c r="HP24">
        <v>73</v>
      </c>
      <c r="HR24" s="24"/>
      <c r="HS24">
        <v>9688</v>
      </c>
      <c r="HT24">
        <v>9769</v>
      </c>
      <c r="HU24">
        <v>9706</v>
      </c>
      <c r="HV24">
        <v>710811</v>
      </c>
      <c r="HW24">
        <v>145</v>
      </c>
      <c r="HY24" s="24"/>
      <c r="HZ24">
        <v>8006</v>
      </c>
      <c r="IA24">
        <v>8300</v>
      </c>
      <c r="IB24">
        <v>8291</v>
      </c>
      <c r="IC24">
        <v>1730921</v>
      </c>
      <c r="ID24">
        <v>480</v>
      </c>
      <c r="IF24" s="24"/>
      <c r="IG24">
        <v>2614</v>
      </c>
      <c r="IH24">
        <v>2614</v>
      </c>
      <c r="II24">
        <v>2614</v>
      </c>
      <c r="IJ24">
        <v>1571693</v>
      </c>
      <c r="IK24">
        <v>135</v>
      </c>
      <c r="IM24" s="24"/>
      <c r="IN24">
        <v>111000007</v>
      </c>
      <c r="IO24">
        <v>119989921</v>
      </c>
      <c r="IP24">
        <v>114627893</v>
      </c>
      <c r="IQ24">
        <v>86</v>
      </c>
      <c r="IR24">
        <v>59</v>
      </c>
      <c r="IT24" s="24"/>
      <c r="IU24">
        <v>8582</v>
      </c>
      <c r="IV24">
        <v>8667</v>
      </c>
      <c r="IW24">
        <v>8667</v>
      </c>
      <c r="IX24">
        <v>1413545</v>
      </c>
      <c r="IY24">
        <v>160</v>
      </c>
      <c r="JA24" s="24"/>
      <c r="JB24">
        <v>109754201</v>
      </c>
      <c r="JC24">
        <v>114749940</v>
      </c>
      <c r="JD24">
        <v>112660396</v>
      </c>
      <c r="JE24">
        <v>196</v>
      </c>
      <c r="JF24">
        <v>105</v>
      </c>
      <c r="JH24" s="24"/>
      <c r="JI24">
        <v>109015003</v>
      </c>
      <c r="JJ24">
        <v>113998167</v>
      </c>
      <c r="JK24">
        <v>112188559</v>
      </c>
      <c r="JL24">
        <v>79</v>
      </c>
      <c r="JM24">
        <v>49</v>
      </c>
      <c r="JO24" s="24"/>
      <c r="JP24">
        <v>66</v>
      </c>
      <c r="JQ24">
        <v>71</v>
      </c>
      <c r="JR24">
        <v>68</v>
      </c>
      <c r="JS24">
        <v>195200029</v>
      </c>
      <c r="JT24">
        <v>138</v>
      </c>
      <c r="JV24" s="24"/>
      <c r="JW24">
        <v>76</v>
      </c>
      <c r="JX24">
        <v>77</v>
      </c>
      <c r="JY24">
        <v>76</v>
      </c>
      <c r="JZ24">
        <v>175287655</v>
      </c>
      <c r="KA24">
        <v>153</v>
      </c>
      <c r="KC24" s="24"/>
      <c r="KD24">
        <v>15</v>
      </c>
      <c r="KE24">
        <v>15</v>
      </c>
      <c r="KF24">
        <v>15</v>
      </c>
      <c r="KG24">
        <v>90484715</v>
      </c>
      <c r="KH24">
        <v>308</v>
      </c>
      <c r="KJ24" s="24"/>
      <c r="KK24">
        <v>87</v>
      </c>
      <c r="KL24">
        <v>93</v>
      </c>
      <c r="KM24">
        <v>87</v>
      </c>
      <c r="KN24">
        <v>117689882</v>
      </c>
      <c r="KO24">
        <v>163</v>
      </c>
      <c r="KQ24" s="24"/>
      <c r="KR24">
        <v>108743</v>
      </c>
      <c r="KS24">
        <v>108755</v>
      </c>
      <c r="KT24">
        <v>108743</v>
      </c>
      <c r="KU24">
        <v>67239</v>
      </c>
      <c r="KV24">
        <v>685</v>
      </c>
      <c r="KX24" s="24"/>
      <c r="KY24">
        <v>527</v>
      </c>
      <c r="KZ24">
        <v>528</v>
      </c>
      <c r="LA24">
        <v>527</v>
      </c>
      <c r="LB24">
        <v>7186865</v>
      </c>
      <c r="LC24">
        <v>228</v>
      </c>
      <c r="LE24" s="24"/>
      <c r="LF24">
        <v>270010</v>
      </c>
      <c r="LG24">
        <v>270515</v>
      </c>
      <c r="LH24">
        <v>270511</v>
      </c>
      <c r="LI24">
        <v>123429</v>
      </c>
      <c r="LJ24">
        <v>1077</v>
      </c>
      <c r="LL24" s="24"/>
      <c r="LM24">
        <v>87651</v>
      </c>
      <c r="LN24">
        <v>88693</v>
      </c>
      <c r="LO24">
        <v>88651</v>
      </c>
      <c r="LP24">
        <v>430419</v>
      </c>
      <c r="LQ24">
        <v>1439</v>
      </c>
      <c r="LS24" s="24"/>
      <c r="LT24">
        <v>232</v>
      </c>
      <c r="LU24">
        <v>249</v>
      </c>
      <c r="LV24">
        <v>248</v>
      </c>
      <c r="LW24">
        <v>74574685</v>
      </c>
      <c r="LX24">
        <v>373</v>
      </c>
      <c r="LZ24" s="24"/>
      <c r="MA24">
        <v>63506</v>
      </c>
      <c r="MB24">
        <v>64644</v>
      </c>
      <c r="MC24">
        <v>64499</v>
      </c>
      <c r="MD24">
        <v>717479</v>
      </c>
      <c r="ME24">
        <v>86</v>
      </c>
    </row>
    <row r="25" spans="2:343" x14ac:dyDescent="0.25">
      <c r="B25" s="24"/>
      <c r="C25">
        <v>2</v>
      </c>
      <c r="D25">
        <v>2</v>
      </c>
      <c r="E25">
        <v>2</v>
      </c>
      <c r="F25">
        <v>40687291372</v>
      </c>
      <c r="G25">
        <v>2669</v>
      </c>
      <c r="I25" s="24"/>
      <c r="J25">
        <v>4</v>
      </c>
      <c r="K25">
        <v>4</v>
      </c>
      <c r="L25">
        <v>4</v>
      </c>
      <c r="M25">
        <v>4680419634</v>
      </c>
      <c r="N25">
        <v>1927</v>
      </c>
      <c r="P25" s="24"/>
      <c r="Q25">
        <v>28</v>
      </c>
      <c r="R25">
        <v>28</v>
      </c>
      <c r="S25">
        <v>28</v>
      </c>
      <c r="T25">
        <v>1785201894</v>
      </c>
      <c r="U25">
        <v>1758</v>
      </c>
      <c r="W25" s="24"/>
      <c r="X25">
        <v>62</v>
      </c>
      <c r="Y25">
        <v>64</v>
      </c>
      <c r="Z25">
        <v>64</v>
      </c>
      <c r="AA25">
        <v>338508635</v>
      </c>
      <c r="AB25">
        <v>1489</v>
      </c>
      <c r="AD25" s="24"/>
      <c r="AE25">
        <v>508</v>
      </c>
      <c r="AF25">
        <v>524</v>
      </c>
      <c r="AG25">
        <v>510</v>
      </c>
      <c r="AH25">
        <v>110790645</v>
      </c>
      <c r="AI25">
        <v>1589</v>
      </c>
      <c r="AK25" s="24"/>
      <c r="AL25">
        <v>1045</v>
      </c>
      <c r="AM25">
        <v>1054</v>
      </c>
      <c r="AN25">
        <v>1053</v>
      </c>
      <c r="AO25">
        <v>31766033</v>
      </c>
      <c r="AP25">
        <v>1227</v>
      </c>
      <c r="AR25" s="24"/>
      <c r="AS25">
        <v>3017</v>
      </c>
      <c r="AT25">
        <v>3061</v>
      </c>
      <c r="AU25">
        <v>3059</v>
      </c>
      <c r="AV25">
        <v>13359350</v>
      </c>
      <c r="AW25">
        <v>1180</v>
      </c>
      <c r="AY25" s="24"/>
      <c r="AZ25">
        <v>345000485</v>
      </c>
      <c r="BA25">
        <v>351997785</v>
      </c>
      <c r="BB25">
        <v>346300500</v>
      </c>
      <c r="BC25">
        <v>2040</v>
      </c>
      <c r="BD25">
        <v>1318</v>
      </c>
      <c r="BF25" s="24"/>
      <c r="BG25">
        <v>21253</v>
      </c>
      <c r="BH25">
        <v>21300</v>
      </c>
      <c r="BI25">
        <v>21253</v>
      </c>
      <c r="BJ25">
        <v>5304177</v>
      </c>
      <c r="BK25">
        <v>219</v>
      </c>
      <c r="BM25" s="24"/>
      <c r="BN25">
        <v>6168004</v>
      </c>
      <c r="BO25">
        <v>6300000</v>
      </c>
      <c r="BP25">
        <v>6172208</v>
      </c>
      <c r="BQ25">
        <v>10087</v>
      </c>
      <c r="BR25">
        <v>329</v>
      </c>
      <c r="BT25" s="24"/>
      <c r="BU25">
        <v>1414</v>
      </c>
      <c r="BV25">
        <v>1442</v>
      </c>
      <c r="BW25">
        <v>1442</v>
      </c>
      <c r="BX25">
        <v>29953812</v>
      </c>
      <c r="BY25">
        <v>251</v>
      </c>
      <c r="CA25" s="24"/>
      <c r="CB25">
        <v>240</v>
      </c>
      <c r="CC25">
        <v>245</v>
      </c>
      <c r="CD25">
        <v>245</v>
      </c>
      <c r="CE25">
        <v>90220432</v>
      </c>
      <c r="CF25">
        <v>244</v>
      </c>
      <c r="CH25" s="24"/>
      <c r="CI25">
        <v>25902</v>
      </c>
      <c r="CJ25">
        <v>25908</v>
      </c>
      <c r="CK25">
        <v>25908</v>
      </c>
      <c r="CL25">
        <v>1198240</v>
      </c>
      <c r="CM25">
        <v>165</v>
      </c>
      <c r="CO25" s="24"/>
      <c r="CP25">
        <v>6914</v>
      </c>
      <c r="CQ25">
        <v>7198</v>
      </c>
      <c r="CR25">
        <v>7149</v>
      </c>
      <c r="CS25">
        <v>1152770</v>
      </c>
      <c r="CT25">
        <v>359</v>
      </c>
      <c r="CV25" s="24"/>
      <c r="CW25">
        <v>1312998</v>
      </c>
      <c r="CX25">
        <v>1312998</v>
      </c>
      <c r="CY25">
        <v>1312998</v>
      </c>
      <c r="CZ25">
        <v>4586</v>
      </c>
      <c r="DA25">
        <v>33</v>
      </c>
      <c r="DC25" s="24"/>
      <c r="DD25">
        <v>276</v>
      </c>
      <c r="DE25">
        <v>276</v>
      </c>
      <c r="DF25">
        <v>276</v>
      </c>
      <c r="DG25">
        <v>53627937</v>
      </c>
      <c r="DH25">
        <v>180</v>
      </c>
      <c r="DJ25" s="24"/>
      <c r="DK25">
        <v>37700032</v>
      </c>
      <c r="DL25">
        <v>37763063</v>
      </c>
      <c r="DM25">
        <v>37700082</v>
      </c>
      <c r="DN25">
        <v>458</v>
      </c>
      <c r="DO25">
        <v>102</v>
      </c>
      <c r="DQ25" s="24"/>
      <c r="DR25">
        <v>1126011</v>
      </c>
      <c r="DS25">
        <v>1199999</v>
      </c>
      <c r="DT25">
        <v>1130000</v>
      </c>
      <c r="DU25">
        <v>8508</v>
      </c>
      <c r="DV25">
        <v>254</v>
      </c>
      <c r="DX25" s="24"/>
      <c r="DY25">
        <v>17531029</v>
      </c>
      <c r="DZ25">
        <v>17998994</v>
      </c>
      <c r="EA25">
        <v>17799999</v>
      </c>
      <c r="EB25">
        <v>713</v>
      </c>
      <c r="EC25">
        <v>125</v>
      </c>
      <c r="EE25" s="24"/>
      <c r="EF25">
        <v>157</v>
      </c>
      <c r="EG25">
        <v>165</v>
      </c>
      <c r="EH25">
        <v>162</v>
      </c>
      <c r="EI25">
        <v>103868146</v>
      </c>
      <c r="EJ25">
        <v>206</v>
      </c>
      <c r="EL25" s="24"/>
      <c r="EM25">
        <v>51035</v>
      </c>
      <c r="EN25">
        <v>51882</v>
      </c>
      <c r="EO25">
        <v>51501</v>
      </c>
      <c r="EP25">
        <v>72279</v>
      </c>
      <c r="EQ25">
        <v>689</v>
      </c>
      <c r="ES25" s="24"/>
      <c r="ET25">
        <v>234</v>
      </c>
      <c r="EU25">
        <v>242</v>
      </c>
      <c r="EV25">
        <v>240</v>
      </c>
      <c r="EW25">
        <v>48976850</v>
      </c>
      <c r="EX25">
        <v>565</v>
      </c>
      <c r="EZ25" s="24"/>
      <c r="FA25">
        <v>3000003</v>
      </c>
      <c r="FB25">
        <v>3189000</v>
      </c>
      <c r="FC25">
        <v>3187899</v>
      </c>
      <c r="FD25">
        <v>851</v>
      </c>
      <c r="FE25">
        <v>15</v>
      </c>
      <c r="FG25" s="24"/>
      <c r="FH25">
        <v>10599</v>
      </c>
      <c r="FI25">
        <v>10599</v>
      </c>
      <c r="FJ25">
        <v>10599</v>
      </c>
      <c r="FK25">
        <v>1897051</v>
      </c>
      <c r="FL25">
        <v>462</v>
      </c>
      <c r="FN25" s="24"/>
      <c r="FO25">
        <v>17958</v>
      </c>
      <c r="FP25">
        <v>17968</v>
      </c>
      <c r="FQ25">
        <v>17966</v>
      </c>
      <c r="FR25">
        <v>142204</v>
      </c>
      <c r="FS25">
        <v>83</v>
      </c>
      <c r="FU25" s="24"/>
      <c r="FV25">
        <v>31021</v>
      </c>
      <c r="FW25">
        <v>31502</v>
      </c>
      <c r="FX25">
        <v>31501</v>
      </c>
      <c r="FY25">
        <v>338912</v>
      </c>
      <c r="FZ25">
        <v>1280</v>
      </c>
      <c r="GB25" s="24"/>
      <c r="GC25">
        <v>107434891</v>
      </c>
      <c r="GD25">
        <v>114998763</v>
      </c>
      <c r="GE25">
        <v>108317102</v>
      </c>
      <c r="GF25">
        <v>160</v>
      </c>
      <c r="GG25">
        <v>98</v>
      </c>
      <c r="GI25" s="24"/>
      <c r="GJ25">
        <v>26004013</v>
      </c>
      <c r="GK25">
        <v>26649998</v>
      </c>
      <c r="GL25">
        <v>26012001</v>
      </c>
      <c r="GM25">
        <v>623</v>
      </c>
      <c r="GN25">
        <v>104</v>
      </c>
      <c r="GP25" s="24"/>
      <c r="GQ25">
        <v>104</v>
      </c>
      <c r="GR25">
        <v>106</v>
      </c>
      <c r="GS25">
        <v>106</v>
      </c>
      <c r="GT25">
        <v>132259880</v>
      </c>
      <c r="GU25">
        <v>125</v>
      </c>
      <c r="GW25" s="24"/>
      <c r="GX25">
        <v>242</v>
      </c>
      <c r="GY25">
        <v>255</v>
      </c>
      <c r="GZ25">
        <v>252</v>
      </c>
      <c r="HA25">
        <v>78793167</v>
      </c>
      <c r="HB25">
        <v>221</v>
      </c>
      <c r="HD25" s="24"/>
      <c r="HE25">
        <v>4121</v>
      </c>
      <c r="HF25">
        <v>4299</v>
      </c>
      <c r="HG25">
        <v>4168</v>
      </c>
      <c r="HH25">
        <v>16302320</v>
      </c>
      <c r="HI25">
        <v>272</v>
      </c>
      <c r="HK25" s="24"/>
      <c r="HL25">
        <v>111003600</v>
      </c>
      <c r="HM25">
        <v>115899999</v>
      </c>
      <c r="HN25">
        <v>111003602</v>
      </c>
      <c r="HO25">
        <v>136</v>
      </c>
      <c r="HP25">
        <v>67</v>
      </c>
      <c r="HR25" s="24"/>
      <c r="HS25">
        <v>10249</v>
      </c>
      <c r="HT25">
        <v>10694</v>
      </c>
      <c r="HU25">
        <v>10300</v>
      </c>
      <c r="HV25">
        <v>564331</v>
      </c>
      <c r="HW25">
        <v>106</v>
      </c>
      <c r="HY25" s="24"/>
      <c r="HZ25">
        <v>8085</v>
      </c>
      <c r="IA25">
        <v>8343</v>
      </c>
      <c r="IB25">
        <v>8300</v>
      </c>
      <c r="IC25">
        <v>1978869</v>
      </c>
      <c r="ID25">
        <v>454</v>
      </c>
      <c r="IF25" s="24"/>
      <c r="IG25">
        <v>2505</v>
      </c>
      <c r="IH25">
        <v>2614</v>
      </c>
      <c r="II25">
        <v>2511</v>
      </c>
      <c r="IJ25">
        <v>1791274</v>
      </c>
      <c r="IK25">
        <v>155</v>
      </c>
      <c r="IM25" s="24"/>
      <c r="IN25">
        <v>111000399</v>
      </c>
      <c r="IO25">
        <v>118999989</v>
      </c>
      <c r="IP25">
        <v>113318617</v>
      </c>
      <c r="IQ25">
        <v>99</v>
      </c>
      <c r="IR25">
        <v>64</v>
      </c>
      <c r="IT25" s="24"/>
      <c r="IU25">
        <v>8600</v>
      </c>
      <c r="IV25">
        <v>8657</v>
      </c>
      <c r="IW25">
        <v>8656</v>
      </c>
      <c r="IX25">
        <v>1473362</v>
      </c>
      <c r="IY25">
        <v>165</v>
      </c>
      <c r="JA25" s="24"/>
      <c r="JB25">
        <v>109379851</v>
      </c>
      <c r="JC25">
        <v>112660402</v>
      </c>
      <c r="JD25">
        <v>109661354</v>
      </c>
      <c r="JE25">
        <v>231</v>
      </c>
      <c r="JF25">
        <v>126</v>
      </c>
      <c r="JH25" s="24"/>
      <c r="JI25">
        <v>110000454</v>
      </c>
      <c r="JJ25">
        <v>113992574</v>
      </c>
      <c r="JK25">
        <v>112518034</v>
      </c>
      <c r="JL25">
        <v>90</v>
      </c>
      <c r="JM25">
        <v>55</v>
      </c>
      <c r="JO25" s="24"/>
      <c r="JP25">
        <v>74</v>
      </c>
      <c r="JQ25">
        <v>74</v>
      </c>
      <c r="JR25">
        <v>74</v>
      </c>
      <c r="JS25">
        <v>62126695</v>
      </c>
      <c r="JT25">
        <v>96</v>
      </c>
      <c r="JV25" s="24"/>
      <c r="JW25">
        <v>78</v>
      </c>
      <c r="JX25">
        <v>81</v>
      </c>
      <c r="JY25">
        <v>80</v>
      </c>
      <c r="JZ25">
        <v>109696742</v>
      </c>
      <c r="KA25">
        <v>130</v>
      </c>
      <c r="KC25" s="24"/>
      <c r="KD25">
        <v>15</v>
      </c>
      <c r="KE25">
        <v>16</v>
      </c>
      <c r="KF25">
        <v>16</v>
      </c>
      <c r="KG25">
        <v>79043718</v>
      </c>
      <c r="KH25">
        <v>285</v>
      </c>
      <c r="KJ25" s="24"/>
      <c r="KK25">
        <v>87</v>
      </c>
      <c r="KL25">
        <v>89</v>
      </c>
      <c r="KM25">
        <v>89</v>
      </c>
      <c r="KN25">
        <v>131840801</v>
      </c>
      <c r="KO25">
        <v>164</v>
      </c>
      <c r="KQ25" s="24"/>
      <c r="KR25">
        <v>108803</v>
      </c>
      <c r="KS25">
        <v>108810</v>
      </c>
      <c r="KT25">
        <v>108804</v>
      </c>
      <c r="KU25">
        <v>71885</v>
      </c>
      <c r="KV25">
        <v>640</v>
      </c>
      <c r="KX25" s="24"/>
      <c r="KY25">
        <v>517</v>
      </c>
      <c r="KZ25">
        <v>520</v>
      </c>
      <c r="LA25">
        <v>519</v>
      </c>
      <c r="LB25">
        <v>8196963</v>
      </c>
      <c r="LC25">
        <v>222</v>
      </c>
      <c r="LE25" s="24"/>
      <c r="LF25">
        <v>265006</v>
      </c>
      <c r="LG25">
        <v>270506</v>
      </c>
      <c r="LH25">
        <v>267019</v>
      </c>
      <c r="LI25">
        <v>120735</v>
      </c>
      <c r="LJ25">
        <v>983</v>
      </c>
      <c r="LL25" s="24"/>
      <c r="LM25">
        <v>87631</v>
      </c>
      <c r="LN25">
        <v>88693</v>
      </c>
      <c r="LO25">
        <v>88018</v>
      </c>
      <c r="LP25">
        <v>408780</v>
      </c>
      <c r="LQ25">
        <v>1330</v>
      </c>
      <c r="LS25" s="24"/>
      <c r="LT25">
        <v>230</v>
      </c>
      <c r="LU25">
        <v>239</v>
      </c>
      <c r="LV25">
        <v>239</v>
      </c>
      <c r="LW25">
        <v>157170115</v>
      </c>
      <c r="LX25">
        <v>434</v>
      </c>
      <c r="LZ25" s="24"/>
      <c r="MA25">
        <v>64011</v>
      </c>
      <c r="MB25">
        <v>64750</v>
      </c>
      <c r="MC25">
        <v>64499</v>
      </c>
      <c r="MD25">
        <v>1500345</v>
      </c>
      <c r="ME25">
        <v>111</v>
      </c>
    </row>
    <row r="26" spans="2:343" x14ac:dyDescent="0.25">
      <c r="B26" s="24"/>
      <c r="C26">
        <v>2</v>
      </c>
      <c r="D26">
        <v>2</v>
      </c>
      <c r="E26">
        <v>2</v>
      </c>
      <c r="F26">
        <v>36327644166</v>
      </c>
      <c r="G26">
        <v>2572</v>
      </c>
      <c r="I26" s="24"/>
      <c r="J26">
        <v>4</v>
      </c>
      <c r="K26">
        <v>4</v>
      </c>
      <c r="L26">
        <v>4</v>
      </c>
      <c r="M26">
        <v>6252541491</v>
      </c>
      <c r="N26">
        <v>1827</v>
      </c>
      <c r="P26" s="24"/>
      <c r="Q26">
        <v>27</v>
      </c>
      <c r="R26">
        <v>28</v>
      </c>
      <c r="S26">
        <v>28</v>
      </c>
      <c r="T26">
        <v>1682407157</v>
      </c>
      <c r="U26">
        <v>1745</v>
      </c>
      <c r="W26" s="24"/>
      <c r="X26">
        <v>62</v>
      </c>
      <c r="Y26">
        <v>64</v>
      </c>
      <c r="Z26">
        <v>63</v>
      </c>
      <c r="AA26">
        <v>357288211</v>
      </c>
      <c r="AB26">
        <v>1338</v>
      </c>
      <c r="AD26" s="24"/>
      <c r="AE26">
        <v>508</v>
      </c>
      <c r="AF26">
        <v>524</v>
      </c>
      <c r="AG26">
        <v>518</v>
      </c>
      <c r="AH26">
        <v>113589728</v>
      </c>
      <c r="AI26">
        <v>1658</v>
      </c>
      <c r="AK26" s="24"/>
      <c r="AL26">
        <v>1023</v>
      </c>
      <c r="AM26">
        <v>1058</v>
      </c>
      <c r="AN26">
        <v>1054</v>
      </c>
      <c r="AO26">
        <v>39332339</v>
      </c>
      <c r="AP26">
        <v>1276</v>
      </c>
      <c r="AR26" s="24"/>
      <c r="AS26">
        <v>2960</v>
      </c>
      <c r="AT26">
        <v>3095</v>
      </c>
      <c r="AU26">
        <v>3040</v>
      </c>
      <c r="AV26">
        <v>14127015</v>
      </c>
      <c r="AW26">
        <v>1245</v>
      </c>
      <c r="AY26" s="24"/>
      <c r="AZ26">
        <v>342000157</v>
      </c>
      <c r="BA26">
        <v>349776938</v>
      </c>
      <c r="BB26">
        <v>346744998</v>
      </c>
      <c r="BC26">
        <v>2041</v>
      </c>
      <c r="BD26">
        <v>1336</v>
      </c>
      <c r="BF26" s="24"/>
      <c r="BG26">
        <v>21260</v>
      </c>
      <c r="BH26">
        <v>21300</v>
      </c>
      <c r="BI26">
        <v>21280</v>
      </c>
      <c r="BJ26">
        <v>2147912</v>
      </c>
      <c r="BK26">
        <v>198</v>
      </c>
      <c r="BM26" s="24"/>
      <c r="BN26">
        <v>6200009</v>
      </c>
      <c r="BO26">
        <v>6399999</v>
      </c>
      <c r="BP26">
        <v>6201115</v>
      </c>
      <c r="BQ26">
        <v>10649</v>
      </c>
      <c r="BR26">
        <v>315</v>
      </c>
      <c r="BT26" s="24"/>
      <c r="BU26">
        <v>1441</v>
      </c>
      <c r="BV26">
        <v>1442</v>
      </c>
      <c r="BW26">
        <v>1442</v>
      </c>
      <c r="BX26">
        <v>22244461</v>
      </c>
      <c r="BY26">
        <v>216</v>
      </c>
      <c r="CA26" s="24"/>
      <c r="CB26">
        <v>240</v>
      </c>
      <c r="CC26">
        <v>247</v>
      </c>
      <c r="CD26">
        <v>247</v>
      </c>
      <c r="CE26">
        <v>66733281</v>
      </c>
      <c r="CF26">
        <v>247</v>
      </c>
      <c r="CH26" s="24"/>
      <c r="CI26">
        <v>26100</v>
      </c>
      <c r="CJ26">
        <v>26103</v>
      </c>
      <c r="CK26">
        <v>26103</v>
      </c>
      <c r="CL26">
        <v>672845</v>
      </c>
      <c r="CM26">
        <v>170</v>
      </c>
      <c r="CO26" s="24"/>
      <c r="CP26">
        <v>7099</v>
      </c>
      <c r="CQ26">
        <v>7343</v>
      </c>
      <c r="CR26">
        <v>7198</v>
      </c>
      <c r="CS26">
        <v>908641</v>
      </c>
      <c r="CT26">
        <v>303</v>
      </c>
      <c r="CV26" s="24"/>
      <c r="CW26">
        <v>1290000</v>
      </c>
      <c r="CX26">
        <v>1312994</v>
      </c>
      <c r="CY26">
        <v>1312994</v>
      </c>
      <c r="CZ26">
        <v>12528</v>
      </c>
      <c r="DA26">
        <v>75</v>
      </c>
      <c r="DC26" s="24"/>
      <c r="DD26">
        <v>263</v>
      </c>
      <c r="DE26">
        <v>267</v>
      </c>
      <c r="DF26">
        <v>264</v>
      </c>
      <c r="DG26">
        <v>37221661</v>
      </c>
      <c r="DH26">
        <v>148</v>
      </c>
      <c r="DJ26" s="24"/>
      <c r="DK26">
        <v>37800002</v>
      </c>
      <c r="DL26">
        <v>38400000</v>
      </c>
      <c r="DM26">
        <v>37800056</v>
      </c>
      <c r="DN26">
        <v>403</v>
      </c>
      <c r="DO26">
        <v>98</v>
      </c>
      <c r="DQ26" s="24"/>
      <c r="DR26">
        <v>1126068</v>
      </c>
      <c r="DS26">
        <v>1137002</v>
      </c>
      <c r="DT26">
        <v>1135000</v>
      </c>
      <c r="DU26">
        <v>8741</v>
      </c>
      <c r="DV26">
        <v>222</v>
      </c>
      <c r="DX26" s="24"/>
      <c r="DY26">
        <v>17534005</v>
      </c>
      <c r="DZ26">
        <v>17998998</v>
      </c>
      <c r="EA26">
        <v>17537007</v>
      </c>
      <c r="EB26">
        <v>449</v>
      </c>
      <c r="EC26">
        <v>100</v>
      </c>
      <c r="EE26" s="24"/>
      <c r="EF26">
        <v>165</v>
      </c>
      <c r="EG26">
        <v>168</v>
      </c>
      <c r="EH26">
        <v>167</v>
      </c>
      <c r="EI26">
        <v>116636667</v>
      </c>
      <c r="EJ26">
        <v>240</v>
      </c>
      <c r="EL26" s="24"/>
      <c r="EM26">
        <v>51557</v>
      </c>
      <c r="EN26">
        <v>52872</v>
      </c>
      <c r="EO26">
        <v>51589</v>
      </c>
      <c r="EP26">
        <v>79457</v>
      </c>
      <c r="EQ26">
        <v>596</v>
      </c>
      <c r="ES26" s="24"/>
      <c r="ET26">
        <v>240</v>
      </c>
      <c r="EU26">
        <v>254</v>
      </c>
      <c r="EV26">
        <v>248</v>
      </c>
      <c r="EW26">
        <v>28130928</v>
      </c>
      <c r="EX26">
        <v>462</v>
      </c>
      <c r="EZ26" s="24"/>
      <c r="FA26">
        <v>3179500</v>
      </c>
      <c r="FB26">
        <v>3187799</v>
      </c>
      <c r="FC26">
        <v>3179799</v>
      </c>
      <c r="FD26">
        <v>1348</v>
      </c>
      <c r="FE26">
        <v>31</v>
      </c>
      <c r="FG26" s="24"/>
      <c r="FH26">
        <v>10752</v>
      </c>
      <c r="FI26">
        <v>11097</v>
      </c>
      <c r="FJ26">
        <v>11089</v>
      </c>
      <c r="FK26">
        <v>2030986</v>
      </c>
      <c r="FL26">
        <v>436</v>
      </c>
      <c r="FN26" s="24"/>
      <c r="FO26">
        <v>17710</v>
      </c>
      <c r="FP26">
        <v>17949</v>
      </c>
      <c r="FQ26">
        <v>17945</v>
      </c>
      <c r="FR26">
        <v>271689</v>
      </c>
      <c r="FS26">
        <v>110</v>
      </c>
      <c r="FU26" s="24"/>
      <c r="FV26">
        <v>28583</v>
      </c>
      <c r="FW26">
        <v>31518</v>
      </c>
      <c r="FX26">
        <v>31515</v>
      </c>
      <c r="FY26">
        <v>396291</v>
      </c>
      <c r="FZ26">
        <v>1233</v>
      </c>
      <c r="GB26" s="24"/>
      <c r="GC26">
        <v>101001001</v>
      </c>
      <c r="GD26">
        <v>111394990</v>
      </c>
      <c r="GE26">
        <v>107035531</v>
      </c>
      <c r="GF26">
        <v>72</v>
      </c>
      <c r="GG26">
        <v>55</v>
      </c>
      <c r="GI26" s="24"/>
      <c r="GJ26">
        <v>26019001</v>
      </c>
      <c r="GK26">
        <v>26649998</v>
      </c>
      <c r="GL26">
        <v>26022000</v>
      </c>
      <c r="GM26">
        <v>413</v>
      </c>
      <c r="GN26">
        <v>93</v>
      </c>
      <c r="GP26" s="24"/>
      <c r="GQ26">
        <v>102</v>
      </c>
      <c r="GR26">
        <v>106</v>
      </c>
      <c r="GS26">
        <v>106</v>
      </c>
      <c r="GT26">
        <v>139557217</v>
      </c>
      <c r="GU26">
        <v>141</v>
      </c>
      <c r="GW26" s="24"/>
      <c r="GX26">
        <v>243</v>
      </c>
      <c r="GY26">
        <v>254</v>
      </c>
      <c r="GZ26">
        <v>249</v>
      </c>
      <c r="HA26">
        <v>53772591</v>
      </c>
      <c r="HB26">
        <v>196</v>
      </c>
      <c r="HD26" s="24"/>
      <c r="HE26">
        <v>4232</v>
      </c>
      <c r="HF26">
        <v>4321</v>
      </c>
      <c r="HG26">
        <v>4299</v>
      </c>
      <c r="HH26">
        <v>17455703</v>
      </c>
      <c r="HI26">
        <v>296</v>
      </c>
      <c r="HK26" s="24"/>
      <c r="HL26">
        <v>108000153</v>
      </c>
      <c r="HM26">
        <v>110006000</v>
      </c>
      <c r="HN26">
        <v>109964891</v>
      </c>
      <c r="HO26">
        <v>52</v>
      </c>
      <c r="HP26">
        <v>49</v>
      </c>
      <c r="HR26" s="24"/>
      <c r="HS26">
        <v>10697</v>
      </c>
      <c r="HT26">
        <v>10697</v>
      </c>
      <c r="HU26">
        <v>10697</v>
      </c>
      <c r="HV26">
        <v>953032</v>
      </c>
      <c r="HW26">
        <v>130</v>
      </c>
      <c r="HY26" s="24"/>
      <c r="HZ26">
        <v>8050</v>
      </c>
      <c r="IA26">
        <v>8279</v>
      </c>
      <c r="IB26">
        <v>8221</v>
      </c>
      <c r="IC26">
        <v>1467180</v>
      </c>
      <c r="ID26">
        <v>417</v>
      </c>
      <c r="IF26" s="24"/>
      <c r="IG26">
        <v>2494</v>
      </c>
      <c r="IH26">
        <v>2614</v>
      </c>
      <c r="II26">
        <v>2614</v>
      </c>
      <c r="IJ26">
        <v>1637076</v>
      </c>
      <c r="IK26">
        <v>152</v>
      </c>
      <c r="IM26" s="24"/>
      <c r="IN26">
        <v>112000103</v>
      </c>
      <c r="IO26">
        <v>118992080</v>
      </c>
      <c r="IP26">
        <v>115494859</v>
      </c>
      <c r="IQ26">
        <v>68</v>
      </c>
      <c r="IR26">
        <v>51</v>
      </c>
      <c r="IT26" s="24"/>
      <c r="IU26">
        <v>8502</v>
      </c>
      <c r="IV26">
        <v>8656</v>
      </c>
      <c r="IW26">
        <v>8656</v>
      </c>
      <c r="IX26">
        <v>1602843</v>
      </c>
      <c r="IY26">
        <v>176</v>
      </c>
      <c r="JA26" s="24"/>
      <c r="JB26">
        <v>102000003</v>
      </c>
      <c r="JC26">
        <v>112988479</v>
      </c>
      <c r="JD26">
        <v>110155202</v>
      </c>
      <c r="JE26">
        <v>46</v>
      </c>
      <c r="JF26">
        <v>42</v>
      </c>
      <c r="JH26" s="24"/>
      <c r="JI26">
        <v>112998600</v>
      </c>
      <c r="JJ26">
        <v>118969900</v>
      </c>
      <c r="JK26">
        <v>113352305</v>
      </c>
      <c r="JL26">
        <v>56</v>
      </c>
      <c r="JM26">
        <v>35</v>
      </c>
      <c r="JO26" s="24"/>
      <c r="JP26">
        <v>71</v>
      </c>
      <c r="JQ26">
        <v>74</v>
      </c>
      <c r="JR26">
        <v>74</v>
      </c>
      <c r="JS26">
        <v>112564617</v>
      </c>
      <c r="JT26">
        <v>95</v>
      </c>
      <c r="JV26" s="24"/>
      <c r="JW26">
        <v>78</v>
      </c>
      <c r="JX26">
        <v>80</v>
      </c>
      <c r="JY26">
        <v>80</v>
      </c>
      <c r="JZ26">
        <v>164792323</v>
      </c>
      <c r="KA26">
        <v>141</v>
      </c>
      <c r="KC26" s="24"/>
      <c r="KD26">
        <v>15</v>
      </c>
      <c r="KE26">
        <v>16</v>
      </c>
      <c r="KF26">
        <v>16</v>
      </c>
      <c r="KG26">
        <v>38301071</v>
      </c>
      <c r="KH26">
        <v>240</v>
      </c>
      <c r="KJ26" s="24"/>
      <c r="KK26">
        <v>89</v>
      </c>
      <c r="KL26">
        <v>89</v>
      </c>
      <c r="KM26">
        <v>89</v>
      </c>
      <c r="KN26">
        <v>130870749</v>
      </c>
      <c r="KO26">
        <v>154</v>
      </c>
      <c r="KQ26" s="24"/>
      <c r="KR26">
        <v>108004</v>
      </c>
      <c r="KS26">
        <v>109004</v>
      </c>
      <c r="KT26">
        <v>108812</v>
      </c>
      <c r="KU26">
        <v>71371</v>
      </c>
      <c r="KV26">
        <v>631</v>
      </c>
      <c r="KX26" s="24"/>
      <c r="KY26">
        <v>533</v>
      </c>
      <c r="KZ26">
        <v>533</v>
      </c>
      <c r="LA26">
        <v>533</v>
      </c>
      <c r="LB26">
        <v>6312713</v>
      </c>
      <c r="LC26">
        <v>192</v>
      </c>
      <c r="LE26" s="24"/>
      <c r="LF26">
        <v>248599</v>
      </c>
      <c r="LG26">
        <v>263015</v>
      </c>
      <c r="LH26">
        <v>261914</v>
      </c>
      <c r="LI26">
        <v>115151</v>
      </c>
      <c r="LJ26">
        <v>987</v>
      </c>
      <c r="LL26" s="24"/>
      <c r="LM26">
        <v>83005</v>
      </c>
      <c r="LN26">
        <v>88090</v>
      </c>
      <c r="LO26">
        <v>83306</v>
      </c>
      <c r="LP26">
        <v>371989</v>
      </c>
      <c r="LQ26">
        <v>1251</v>
      </c>
      <c r="LS26" s="24"/>
      <c r="LT26">
        <v>228</v>
      </c>
      <c r="LU26">
        <v>232</v>
      </c>
      <c r="LV26">
        <v>228</v>
      </c>
      <c r="LW26">
        <v>106980485</v>
      </c>
      <c r="LX26">
        <v>319</v>
      </c>
      <c r="LZ26" s="24"/>
      <c r="MA26">
        <v>65602</v>
      </c>
      <c r="MB26">
        <v>67075</v>
      </c>
      <c r="MC26">
        <v>65785</v>
      </c>
      <c r="MD26">
        <v>774775</v>
      </c>
      <c r="ME26">
        <v>89</v>
      </c>
    </row>
    <row r="27" spans="2:343" x14ac:dyDescent="0.25">
      <c r="B27" s="24"/>
      <c r="C27">
        <v>2</v>
      </c>
      <c r="D27">
        <v>2</v>
      </c>
      <c r="E27">
        <v>2</v>
      </c>
      <c r="F27">
        <v>43589590735</v>
      </c>
      <c r="G27">
        <v>3094</v>
      </c>
      <c r="I27" s="24"/>
      <c r="J27">
        <v>4</v>
      </c>
      <c r="K27">
        <v>4</v>
      </c>
      <c r="L27">
        <v>4</v>
      </c>
      <c r="M27">
        <v>6633014326</v>
      </c>
      <c r="N27">
        <v>2173</v>
      </c>
      <c r="P27" s="24"/>
      <c r="Q27">
        <v>28</v>
      </c>
      <c r="R27">
        <v>28</v>
      </c>
      <c r="S27">
        <v>28</v>
      </c>
      <c r="T27">
        <v>2104645627</v>
      </c>
      <c r="U27">
        <v>1958</v>
      </c>
      <c r="W27" s="24"/>
      <c r="X27">
        <v>63</v>
      </c>
      <c r="Y27">
        <v>64</v>
      </c>
      <c r="Z27">
        <v>63</v>
      </c>
      <c r="AA27">
        <v>469663143</v>
      </c>
      <c r="AB27">
        <v>1601</v>
      </c>
      <c r="AD27" s="24"/>
      <c r="AE27">
        <v>524</v>
      </c>
      <c r="AF27">
        <v>533</v>
      </c>
      <c r="AG27">
        <v>527</v>
      </c>
      <c r="AH27">
        <v>105775691</v>
      </c>
      <c r="AI27">
        <v>1860</v>
      </c>
      <c r="AK27" s="24"/>
      <c r="AL27">
        <v>1033</v>
      </c>
      <c r="AM27">
        <v>1053</v>
      </c>
      <c r="AN27">
        <v>1050</v>
      </c>
      <c r="AO27">
        <v>41796260</v>
      </c>
      <c r="AP27">
        <v>1408</v>
      </c>
      <c r="AR27" s="24"/>
      <c r="AS27">
        <v>3001</v>
      </c>
      <c r="AT27">
        <v>3087</v>
      </c>
      <c r="AU27">
        <v>3050</v>
      </c>
      <c r="AV27">
        <v>14920084</v>
      </c>
      <c r="AW27">
        <v>1371</v>
      </c>
      <c r="AY27" s="24"/>
      <c r="AZ27">
        <v>338801000</v>
      </c>
      <c r="BA27">
        <v>344999055</v>
      </c>
      <c r="BB27">
        <v>340899998</v>
      </c>
      <c r="BC27">
        <v>1983</v>
      </c>
      <c r="BD27">
        <v>1408</v>
      </c>
      <c r="BF27" s="24"/>
      <c r="BG27">
        <v>21100</v>
      </c>
      <c r="BH27">
        <v>21123</v>
      </c>
      <c r="BI27">
        <v>21100</v>
      </c>
      <c r="BJ27">
        <v>2232871</v>
      </c>
      <c r="BK27">
        <v>188</v>
      </c>
      <c r="BM27" s="24"/>
      <c r="BN27">
        <v>6600000</v>
      </c>
      <c r="BO27">
        <v>6800000</v>
      </c>
      <c r="BP27">
        <v>6600011</v>
      </c>
      <c r="BQ27">
        <v>11641</v>
      </c>
      <c r="BR27">
        <v>347</v>
      </c>
      <c r="BT27" s="24"/>
      <c r="BU27">
        <v>1441</v>
      </c>
      <c r="BV27">
        <v>1475</v>
      </c>
      <c r="BW27">
        <v>1442</v>
      </c>
      <c r="BX27">
        <v>38226095</v>
      </c>
      <c r="BY27">
        <v>270</v>
      </c>
      <c r="CA27" s="24"/>
      <c r="CB27">
        <v>247</v>
      </c>
      <c r="CC27">
        <v>247</v>
      </c>
      <c r="CD27">
        <v>247</v>
      </c>
      <c r="CE27">
        <v>69360540</v>
      </c>
      <c r="CF27">
        <v>269</v>
      </c>
      <c r="CH27" s="24"/>
      <c r="CI27">
        <v>26001</v>
      </c>
      <c r="CJ27">
        <v>26100</v>
      </c>
      <c r="CK27">
        <v>26001</v>
      </c>
      <c r="CL27">
        <v>276455</v>
      </c>
      <c r="CM27">
        <v>145</v>
      </c>
      <c r="CO27" s="24"/>
      <c r="CP27">
        <v>7051</v>
      </c>
      <c r="CQ27">
        <v>7339</v>
      </c>
      <c r="CR27">
        <v>7280</v>
      </c>
      <c r="CS27">
        <v>1386555</v>
      </c>
      <c r="CT27">
        <v>446</v>
      </c>
      <c r="CV27" s="24"/>
      <c r="CW27">
        <v>1312998</v>
      </c>
      <c r="CX27">
        <v>1312998</v>
      </c>
      <c r="CY27">
        <v>1312998</v>
      </c>
      <c r="CZ27">
        <v>7585</v>
      </c>
      <c r="DA27">
        <v>56</v>
      </c>
      <c r="DC27" s="24"/>
      <c r="DD27">
        <v>254</v>
      </c>
      <c r="DE27">
        <v>270</v>
      </c>
      <c r="DF27">
        <v>268</v>
      </c>
      <c r="DG27">
        <v>44147024</v>
      </c>
      <c r="DH27">
        <v>220</v>
      </c>
      <c r="DJ27" s="24"/>
      <c r="DK27">
        <v>37800003</v>
      </c>
      <c r="DL27">
        <v>37800004</v>
      </c>
      <c r="DM27">
        <v>37800003</v>
      </c>
      <c r="DN27">
        <v>224</v>
      </c>
      <c r="DO27">
        <v>76</v>
      </c>
      <c r="DQ27" s="24"/>
      <c r="DR27">
        <v>1105039</v>
      </c>
      <c r="DS27">
        <v>1168887</v>
      </c>
      <c r="DT27">
        <v>1105047</v>
      </c>
      <c r="DU27">
        <v>8790</v>
      </c>
      <c r="DV27">
        <v>244</v>
      </c>
      <c r="DX27" s="24"/>
      <c r="DY27">
        <v>17531000</v>
      </c>
      <c r="DZ27">
        <v>17999999</v>
      </c>
      <c r="EA27">
        <v>17531005</v>
      </c>
      <c r="EB27">
        <v>635</v>
      </c>
      <c r="EC27">
        <v>143</v>
      </c>
      <c r="EE27" s="24"/>
      <c r="EF27">
        <v>164</v>
      </c>
      <c r="EG27">
        <v>176</v>
      </c>
      <c r="EH27">
        <v>175</v>
      </c>
      <c r="EI27">
        <v>133405364</v>
      </c>
      <c r="EJ27">
        <v>270</v>
      </c>
      <c r="EL27" s="24"/>
      <c r="EM27">
        <v>51614</v>
      </c>
      <c r="EN27">
        <v>52812</v>
      </c>
      <c r="EO27">
        <v>52667</v>
      </c>
      <c r="EP27">
        <v>105961</v>
      </c>
      <c r="EQ27">
        <v>818</v>
      </c>
      <c r="ES27" s="24"/>
      <c r="ET27">
        <v>240</v>
      </c>
      <c r="EU27">
        <v>249</v>
      </c>
      <c r="EV27">
        <v>241</v>
      </c>
      <c r="EW27">
        <v>58936658</v>
      </c>
      <c r="EX27">
        <v>666</v>
      </c>
      <c r="EZ27" s="24"/>
      <c r="FA27">
        <v>3192997</v>
      </c>
      <c r="FB27">
        <v>3192997</v>
      </c>
      <c r="FC27">
        <v>3192997</v>
      </c>
      <c r="FD27">
        <v>1458</v>
      </c>
      <c r="FE27">
        <v>26</v>
      </c>
      <c r="FG27" s="24"/>
      <c r="FH27">
        <v>10803</v>
      </c>
      <c r="FI27">
        <v>11100</v>
      </c>
      <c r="FJ27">
        <v>11097</v>
      </c>
      <c r="FK27">
        <v>1835214</v>
      </c>
      <c r="FL27">
        <v>536</v>
      </c>
      <c r="FN27" s="24"/>
      <c r="FO27">
        <v>17345</v>
      </c>
      <c r="FP27">
        <v>17943</v>
      </c>
      <c r="FQ27">
        <v>17904</v>
      </c>
      <c r="FR27">
        <v>269211</v>
      </c>
      <c r="FS27">
        <v>99</v>
      </c>
      <c r="FU27" s="24"/>
      <c r="FV27">
        <v>28636</v>
      </c>
      <c r="FW27">
        <v>29339</v>
      </c>
      <c r="FX27">
        <v>29316</v>
      </c>
      <c r="FY27">
        <v>387949</v>
      </c>
      <c r="FZ27">
        <v>1483</v>
      </c>
      <c r="GB27" s="24"/>
      <c r="GC27">
        <v>109252000</v>
      </c>
      <c r="GD27">
        <v>111396594</v>
      </c>
      <c r="GE27">
        <v>111394189</v>
      </c>
      <c r="GF27">
        <v>101</v>
      </c>
      <c r="GG27">
        <v>60</v>
      </c>
      <c r="GI27" s="24"/>
      <c r="GJ27">
        <v>25500010</v>
      </c>
      <c r="GK27">
        <v>25501000</v>
      </c>
      <c r="GL27">
        <v>25500011</v>
      </c>
      <c r="GM27">
        <v>385</v>
      </c>
      <c r="GN27">
        <v>84</v>
      </c>
      <c r="GP27" s="24"/>
      <c r="GQ27">
        <v>100</v>
      </c>
      <c r="GR27">
        <v>106</v>
      </c>
      <c r="GS27">
        <v>106</v>
      </c>
      <c r="GT27">
        <v>154880685</v>
      </c>
      <c r="GU27">
        <v>155</v>
      </c>
      <c r="GW27" s="24"/>
      <c r="GX27">
        <v>243</v>
      </c>
      <c r="GY27">
        <v>253</v>
      </c>
      <c r="GZ27">
        <v>250</v>
      </c>
      <c r="HA27">
        <v>42259356</v>
      </c>
      <c r="HB27">
        <v>200</v>
      </c>
      <c r="HD27" s="24"/>
      <c r="HE27">
        <v>4400</v>
      </c>
      <c r="HF27">
        <v>4489</v>
      </c>
      <c r="HG27">
        <v>4488</v>
      </c>
      <c r="HH27">
        <v>18217304</v>
      </c>
      <c r="HI27">
        <v>302</v>
      </c>
      <c r="HK27" s="24"/>
      <c r="HL27">
        <v>108000402</v>
      </c>
      <c r="HM27">
        <v>111999800</v>
      </c>
      <c r="HN27">
        <v>111996200</v>
      </c>
      <c r="HO27">
        <v>134</v>
      </c>
      <c r="HP27">
        <v>79</v>
      </c>
      <c r="HR27" s="24"/>
      <c r="HS27">
        <v>10002</v>
      </c>
      <c r="HT27">
        <v>10899</v>
      </c>
      <c r="HU27">
        <v>10800</v>
      </c>
      <c r="HV27">
        <v>653891</v>
      </c>
      <c r="HW27">
        <v>147</v>
      </c>
      <c r="HY27" s="24"/>
      <c r="HZ27">
        <v>8022</v>
      </c>
      <c r="IA27">
        <v>8249</v>
      </c>
      <c r="IB27">
        <v>8149</v>
      </c>
      <c r="IC27">
        <v>2307806</v>
      </c>
      <c r="ID27">
        <v>483</v>
      </c>
      <c r="IF27" s="24"/>
      <c r="IG27">
        <v>2600</v>
      </c>
      <c r="IH27">
        <v>2612</v>
      </c>
      <c r="II27">
        <v>2612</v>
      </c>
      <c r="IJ27">
        <v>1743996</v>
      </c>
      <c r="IK27">
        <v>143</v>
      </c>
      <c r="IM27" s="24"/>
      <c r="IN27">
        <v>112101801</v>
      </c>
      <c r="IO27">
        <v>116680199</v>
      </c>
      <c r="IP27">
        <v>113548576</v>
      </c>
      <c r="IQ27">
        <v>88</v>
      </c>
      <c r="IR27">
        <v>60</v>
      </c>
      <c r="IT27" s="24"/>
      <c r="IU27">
        <v>8656</v>
      </c>
      <c r="IV27">
        <v>8656</v>
      </c>
      <c r="IW27">
        <v>8656</v>
      </c>
      <c r="IX27">
        <v>1648028</v>
      </c>
      <c r="IY27">
        <v>196</v>
      </c>
      <c r="JA27" s="24"/>
      <c r="JB27">
        <v>108502402</v>
      </c>
      <c r="JC27">
        <v>112997595</v>
      </c>
      <c r="JD27">
        <v>112239949</v>
      </c>
      <c r="JE27">
        <v>136</v>
      </c>
      <c r="JF27">
        <v>90</v>
      </c>
      <c r="JH27" s="24"/>
      <c r="JI27">
        <v>111000200</v>
      </c>
      <c r="JJ27">
        <v>118958199</v>
      </c>
      <c r="JK27">
        <v>113858005</v>
      </c>
      <c r="JL27">
        <v>63</v>
      </c>
      <c r="JM27">
        <v>36</v>
      </c>
      <c r="JO27" s="24"/>
      <c r="JP27">
        <v>71</v>
      </c>
      <c r="JQ27">
        <v>74</v>
      </c>
      <c r="JR27">
        <v>74</v>
      </c>
      <c r="JS27">
        <v>106799783</v>
      </c>
      <c r="JT27">
        <v>105</v>
      </c>
      <c r="JV27" s="24"/>
      <c r="JW27">
        <v>76</v>
      </c>
      <c r="JX27">
        <v>80</v>
      </c>
      <c r="JY27">
        <v>80</v>
      </c>
      <c r="JZ27">
        <v>139647492</v>
      </c>
      <c r="KA27">
        <v>163</v>
      </c>
      <c r="KC27" s="24"/>
      <c r="KD27">
        <v>15</v>
      </c>
      <c r="KE27">
        <v>16</v>
      </c>
      <c r="KF27">
        <v>16</v>
      </c>
      <c r="KG27">
        <v>65707115</v>
      </c>
      <c r="KH27">
        <v>331</v>
      </c>
      <c r="KJ27" s="24"/>
      <c r="KK27">
        <v>84</v>
      </c>
      <c r="KL27">
        <v>94</v>
      </c>
      <c r="KM27">
        <v>89</v>
      </c>
      <c r="KN27">
        <v>179040807</v>
      </c>
      <c r="KO27">
        <v>206</v>
      </c>
      <c r="KQ27" s="24"/>
      <c r="KR27">
        <v>102115</v>
      </c>
      <c r="KS27">
        <v>108002</v>
      </c>
      <c r="KT27">
        <v>102233</v>
      </c>
      <c r="KU27">
        <v>66600</v>
      </c>
      <c r="KV27">
        <v>770</v>
      </c>
      <c r="KX27" s="24"/>
      <c r="KY27">
        <v>531</v>
      </c>
      <c r="KZ27">
        <v>533</v>
      </c>
      <c r="LA27">
        <v>532</v>
      </c>
      <c r="LB27">
        <v>6555195</v>
      </c>
      <c r="LC27">
        <v>209</v>
      </c>
      <c r="LE27" s="24"/>
      <c r="LF27">
        <v>260090</v>
      </c>
      <c r="LG27">
        <v>260095</v>
      </c>
      <c r="LH27">
        <v>260090</v>
      </c>
      <c r="LI27">
        <v>138499</v>
      </c>
      <c r="LJ27">
        <v>1143</v>
      </c>
      <c r="LL27" s="24"/>
      <c r="LM27">
        <v>83330</v>
      </c>
      <c r="LN27">
        <v>84426</v>
      </c>
      <c r="LO27">
        <v>83370</v>
      </c>
      <c r="LP27">
        <v>342341</v>
      </c>
      <c r="LQ27">
        <v>1456</v>
      </c>
      <c r="LS27" s="24"/>
      <c r="LT27">
        <v>225</v>
      </c>
      <c r="LU27">
        <v>231</v>
      </c>
      <c r="LV27">
        <v>230</v>
      </c>
      <c r="LW27">
        <v>118220347</v>
      </c>
      <c r="LX27">
        <v>381</v>
      </c>
      <c r="LZ27" s="24"/>
      <c r="MA27">
        <v>65602</v>
      </c>
      <c r="MB27">
        <v>67590</v>
      </c>
      <c r="MC27">
        <v>66800</v>
      </c>
      <c r="MD27">
        <v>627278</v>
      </c>
      <c r="ME27">
        <v>96</v>
      </c>
    </row>
    <row r="28" spans="2:343" x14ac:dyDescent="0.25">
      <c r="B28" s="24"/>
      <c r="C28">
        <v>2</v>
      </c>
      <c r="D28">
        <v>2</v>
      </c>
      <c r="E28">
        <v>2</v>
      </c>
      <c r="F28">
        <v>60144061141</v>
      </c>
      <c r="G28">
        <v>3222</v>
      </c>
      <c r="I28" s="24"/>
      <c r="J28">
        <v>4</v>
      </c>
      <c r="K28">
        <v>4</v>
      </c>
      <c r="L28">
        <v>4</v>
      </c>
      <c r="M28">
        <v>7674581126</v>
      </c>
      <c r="N28">
        <v>2400</v>
      </c>
      <c r="P28" s="24"/>
      <c r="Q28">
        <v>27</v>
      </c>
      <c r="R28">
        <v>28</v>
      </c>
      <c r="S28">
        <v>28</v>
      </c>
      <c r="T28">
        <v>2184321037</v>
      </c>
      <c r="U28">
        <v>2235</v>
      </c>
      <c r="W28" s="24"/>
      <c r="X28">
        <v>62</v>
      </c>
      <c r="Y28">
        <v>63</v>
      </c>
      <c r="Z28">
        <v>63</v>
      </c>
      <c r="AA28">
        <v>482071141</v>
      </c>
      <c r="AB28">
        <v>1754</v>
      </c>
      <c r="AD28" s="24"/>
      <c r="AE28">
        <v>526</v>
      </c>
      <c r="AF28">
        <v>558</v>
      </c>
      <c r="AG28">
        <v>544</v>
      </c>
      <c r="AH28">
        <v>114862666</v>
      </c>
      <c r="AI28">
        <v>2036</v>
      </c>
      <c r="AK28" s="24"/>
      <c r="AL28">
        <v>1016</v>
      </c>
      <c r="AM28">
        <v>1047</v>
      </c>
      <c r="AN28">
        <v>1044</v>
      </c>
      <c r="AO28">
        <v>45080115</v>
      </c>
      <c r="AP28">
        <v>1587</v>
      </c>
      <c r="AR28" s="24"/>
      <c r="AS28">
        <v>2941</v>
      </c>
      <c r="AT28">
        <v>3058</v>
      </c>
      <c r="AU28">
        <v>3013</v>
      </c>
      <c r="AV28">
        <v>15603317</v>
      </c>
      <c r="AW28">
        <v>1591</v>
      </c>
      <c r="AY28" s="24"/>
      <c r="AZ28">
        <v>340700000</v>
      </c>
      <c r="BA28">
        <v>347990000</v>
      </c>
      <c r="BB28">
        <v>344370000</v>
      </c>
      <c r="BC28">
        <v>1895</v>
      </c>
      <c r="BD28">
        <v>1338</v>
      </c>
      <c r="BF28" s="24"/>
      <c r="BG28">
        <v>21351</v>
      </c>
      <c r="BH28">
        <v>21422</v>
      </c>
      <c r="BI28">
        <v>21408</v>
      </c>
      <c r="BJ28">
        <v>2829598</v>
      </c>
      <c r="BK28">
        <v>217</v>
      </c>
      <c r="BM28" s="24"/>
      <c r="BN28">
        <v>6820105</v>
      </c>
      <c r="BO28">
        <v>7450000</v>
      </c>
      <c r="BP28">
        <v>6998999</v>
      </c>
      <c r="BQ28">
        <v>12931</v>
      </c>
      <c r="BR28">
        <v>398</v>
      </c>
      <c r="BT28" s="24"/>
      <c r="BU28">
        <v>1456</v>
      </c>
      <c r="BV28">
        <v>1498</v>
      </c>
      <c r="BW28">
        <v>1498</v>
      </c>
      <c r="BX28">
        <v>32510628</v>
      </c>
      <c r="BY28">
        <v>281</v>
      </c>
      <c r="CA28" s="24"/>
      <c r="CB28">
        <v>251</v>
      </c>
      <c r="CC28">
        <v>259</v>
      </c>
      <c r="CD28">
        <v>253</v>
      </c>
      <c r="CE28">
        <v>73783809</v>
      </c>
      <c r="CF28">
        <v>281</v>
      </c>
      <c r="CH28" s="24"/>
      <c r="CI28">
        <v>26401</v>
      </c>
      <c r="CJ28">
        <v>26408</v>
      </c>
      <c r="CK28">
        <v>26408</v>
      </c>
      <c r="CL28">
        <v>328432</v>
      </c>
      <c r="CM28">
        <v>131</v>
      </c>
      <c r="CO28" s="24"/>
      <c r="CP28">
        <v>7080</v>
      </c>
      <c r="CQ28">
        <v>7483</v>
      </c>
      <c r="CR28">
        <v>7299</v>
      </c>
      <c r="CS28">
        <v>1443140</v>
      </c>
      <c r="CT28">
        <v>394</v>
      </c>
      <c r="CV28" s="24"/>
      <c r="CW28">
        <v>1312994</v>
      </c>
      <c r="CX28">
        <v>1317997</v>
      </c>
      <c r="CY28">
        <v>1317996</v>
      </c>
      <c r="CZ28">
        <v>13047</v>
      </c>
      <c r="DA28">
        <v>61</v>
      </c>
      <c r="DC28" s="24"/>
      <c r="DD28">
        <v>275</v>
      </c>
      <c r="DE28">
        <v>278</v>
      </c>
      <c r="DF28">
        <v>276</v>
      </c>
      <c r="DG28">
        <v>23499370</v>
      </c>
      <c r="DH28">
        <v>148</v>
      </c>
      <c r="DJ28" s="24"/>
      <c r="DK28">
        <v>37800010</v>
      </c>
      <c r="DL28">
        <v>38538897</v>
      </c>
      <c r="DM28">
        <v>37900011</v>
      </c>
      <c r="DN28">
        <v>400</v>
      </c>
      <c r="DO28">
        <v>93</v>
      </c>
      <c r="DQ28" s="24"/>
      <c r="DR28">
        <v>1105067</v>
      </c>
      <c r="DS28">
        <v>1168887</v>
      </c>
      <c r="DT28">
        <v>1168886</v>
      </c>
      <c r="DU28">
        <v>6208</v>
      </c>
      <c r="DV28">
        <v>188</v>
      </c>
      <c r="DX28" s="24"/>
      <c r="DY28">
        <v>17532059</v>
      </c>
      <c r="DZ28">
        <v>18500000</v>
      </c>
      <c r="EA28">
        <v>18195999</v>
      </c>
      <c r="EB28">
        <v>455</v>
      </c>
      <c r="EC28">
        <v>108</v>
      </c>
      <c r="EE28" s="24"/>
      <c r="EF28">
        <v>172</v>
      </c>
      <c r="EG28">
        <v>182</v>
      </c>
      <c r="EH28">
        <v>181</v>
      </c>
      <c r="EI28">
        <v>113138001</v>
      </c>
      <c r="EJ28">
        <v>267</v>
      </c>
      <c r="EL28" s="24"/>
      <c r="EM28">
        <v>52688</v>
      </c>
      <c r="EN28">
        <v>53999</v>
      </c>
      <c r="EO28">
        <v>52745</v>
      </c>
      <c r="EP28">
        <v>84841</v>
      </c>
      <c r="EQ28">
        <v>722</v>
      </c>
      <c r="ES28" s="24"/>
      <c r="ET28">
        <v>242</v>
      </c>
      <c r="EU28">
        <v>254</v>
      </c>
      <c r="EV28">
        <v>250</v>
      </c>
      <c r="EW28">
        <v>57275620</v>
      </c>
      <c r="EX28">
        <v>613</v>
      </c>
      <c r="EZ28" s="24"/>
      <c r="FA28">
        <v>3192997</v>
      </c>
      <c r="FB28">
        <v>4240998</v>
      </c>
      <c r="FC28">
        <v>3399999</v>
      </c>
      <c r="FD28">
        <v>2556</v>
      </c>
      <c r="FE28">
        <v>38</v>
      </c>
      <c r="FG28" s="24"/>
      <c r="FH28">
        <v>10853</v>
      </c>
      <c r="FI28">
        <v>11192</v>
      </c>
      <c r="FJ28">
        <v>10853</v>
      </c>
      <c r="FK28">
        <v>2984967</v>
      </c>
      <c r="FL28">
        <v>504</v>
      </c>
      <c r="FN28" s="24"/>
      <c r="FO28">
        <v>17901</v>
      </c>
      <c r="FP28">
        <v>17901</v>
      </c>
      <c r="FQ28">
        <v>17901</v>
      </c>
      <c r="FR28">
        <v>185487</v>
      </c>
      <c r="FS28">
        <v>84</v>
      </c>
      <c r="FU28" s="24"/>
      <c r="FV28">
        <v>29342</v>
      </c>
      <c r="FW28">
        <v>29421</v>
      </c>
      <c r="FX28">
        <v>29355</v>
      </c>
      <c r="FY28">
        <v>465038</v>
      </c>
      <c r="FZ28">
        <v>1408</v>
      </c>
      <c r="GB28" s="24"/>
      <c r="GC28">
        <v>109258820</v>
      </c>
      <c r="GD28">
        <v>113955003</v>
      </c>
      <c r="GE28">
        <v>109307300</v>
      </c>
      <c r="GF28">
        <v>170</v>
      </c>
      <c r="GG28">
        <v>94</v>
      </c>
      <c r="GI28" s="24"/>
      <c r="GJ28">
        <v>25500024</v>
      </c>
      <c r="GK28">
        <v>26648999</v>
      </c>
      <c r="GL28">
        <v>26499996</v>
      </c>
      <c r="GM28">
        <v>433</v>
      </c>
      <c r="GN28">
        <v>94</v>
      </c>
      <c r="GP28" s="24"/>
      <c r="GQ28">
        <v>102</v>
      </c>
      <c r="GR28">
        <v>106</v>
      </c>
      <c r="GS28">
        <v>105</v>
      </c>
      <c r="GT28">
        <v>153217686</v>
      </c>
      <c r="GU28">
        <v>170</v>
      </c>
      <c r="GW28" s="24"/>
      <c r="GX28">
        <v>239</v>
      </c>
      <c r="GY28">
        <v>249</v>
      </c>
      <c r="GZ28">
        <v>240</v>
      </c>
      <c r="HA28">
        <v>52719370</v>
      </c>
      <c r="HB28">
        <v>215</v>
      </c>
      <c r="HD28" s="24"/>
      <c r="HE28">
        <v>4480</v>
      </c>
      <c r="HF28">
        <v>4487</v>
      </c>
      <c r="HG28">
        <v>4480</v>
      </c>
      <c r="HH28">
        <v>19469421</v>
      </c>
      <c r="HI28">
        <v>294</v>
      </c>
      <c r="HK28" s="24"/>
      <c r="HL28">
        <v>108004409</v>
      </c>
      <c r="HM28">
        <v>111988810</v>
      </c>
      <c r="HN28">
        <v>108519300</v>
      </c>
      <c r="HO28">
        <v>178</v>
      </c>
      <c r="HP28">
        <v>109</v>
      </c>
      <c r="HR28" s="24"/>
      <c r="HS28">
        <v>10400</v>
      </c>
      <c r="HT28">
        <v>10834</v>
      </c>
      <c r="HU28">
        <v>10409</v>
      </c>
      <c r="HV28">
        <v>769273</v>
      </c>
      <c r="HW28">
        <v>157</v>
      </c>
      <c r="HY28" s="24"/>
      <c r="HZ28">
        <v>8102</v>
      </c>
      <c r="IA28">
        <v>8499</v>
      </c>
      <c r="IB28">
        <v>8280</v>
      </c>
      <c r="IC28">
        <v>2224717</v>
      </c>
      <c r="ID28">
        <v>540</v>
      </c>
      <c r="IF28" s="24"/>
      <c r="IG28">
        <v>2475</v>
      </c>
      <c r="IH28">
        <v>2609</v>
      </c>
      <c r="II28">
        <v>2609</v>
      </c>
      <c r="IJ28">
        <v>1449645</v>
      </c>
      <c r="IK28">
        <v>143</v>
      </c>
      <c r="IM28" s="24"/>
      <c r="IN28">
        <v>111000154</v>
      </c>
      <c r="IO28">
        <v>115998498</v>
      </c>
      <c r="IP28">
        <v>111000401</v>
      </c>
      <c r="IQ28">
        <v>157</v>
      </c>
      <c r="IR28">
        <v>106</v>
      </c>
      <c r="IT28" s="24"/>
      <c r="IU28">
        <v>8600</v>
      </c>
      <c r="IV28">
        <v>8654</v>
      </c>
      <c r="IW28">
        <v>8654</v>
      </c>
      <c r="IX28">
        <v>1336650</v>
      </c>
      <c r="IY28">
        <v>197</v>
      </c>
      <c r="JA28" s="24"/>
      <c r="JB28">
        <v>108507406</v>
      </c>
      <c r="JC28">
        <v>112980009</v>
      </c>
      <c r="JD28">
        <v>108522831</v>
      </c>
      <c r="JE28">
        <v>185</v>
      </c>
      <c r="JF28">
        <v>109</v>
      </c>
      <c r="JH28" s="24"/>
      <c r="JI28">
        <v>111014808</v>
      </c>
      <c r="JJ28">
        <v>118896837</v>
      </c>
      <c r="JK28">
        <v>111021416</v>
      </c>
      <c r="JL28">
        <v>144</v>
      </c>
      <c r="JM28">
        <v>82</v>
      </c>
      <c r="JO28" s="24"/>
      <c r="JP28">
        <v>71</v>
      </c>
      <c r="JQ28">
        <v>74</v>
      </c>
      <c r="JR28">
        <v>73</v>
      </c>
      <c r="JS28">
        <v>104180928</v>
      </c>
      <c r="JT28">
        <v>126</v>
      </c>
      <c r="JV28" s="24"/>
      <c r="JW28">
        <v>77</v>
      </c>
      <c r="JX28">
        <v>82</v>
      </c>
      <c r="JY28">
        <v>82</v>
      </c>
      <c r="JZ28">
        <v>110780260</v>
      </c>
      <c r="KA28">
        <v>130</v>
      </c>
      <c r="KC28" s="24"/>
      <c r="KD28">
        <v>15</v>
      </c>
      <c r="KE28">
        <v>16</v>
      </c>
      <c r="KF28">
        <v>16</v>
      </c>
      <c r="KG28">
        <v>71081797</v>
      </c>
      <c r="KH28">
        <v>325</v>
      </c>
      <c r="KJ28" s="24"/>
      <c r="KK28">
        <v>94</v>
      </c>
      <c r="KL28">
        <v>99</v>
      </c>
      <c r="KM28">
        <v>95</v>
      </c>
      <c r="KN28">
        <v>197976131</v>
      </c>
      <c r="KO28">
        <v>193</v>
      </c>
      <c r="KQ28" s="24"/>
      <c r="KR28">
        <v>102267</v>
      </c>
      <c r="KS28">
        <v>105009</v>
      </c>
      <c r="KT28">
        <v>102269</v>
      </c>
      <c r="KU28">
        <v>61939</v>
      </c>
      <c r="KV28">
        <v>729</v>
      </c>
      <c r="KX28" s="24"/>
      <c r="KY28">
        <v>520</v>
      </c>
      <c r="KZ28">
        <v>530</v>
      </c>
      <c r="LA28">
        <v>530</v>
      </c>
      <c r="LB28">
        <v>6279970</v>
      </c>
      <c r="LC28">
        <v>217</v>
      </c>
      <c r="LE28" s="24"/>
      <c r="LF28">
        <v>231502</v>
      </c>
      <c r="LG28">
        <v>260090</v>
      </c>
      <c r="LH28">
        <v>247000</v>
      </c>
      <c r="LI28">
        <v>161373</v>
      </c>
      <c r="LJ28">
        <v>1280</v>
      </c>
      <c r="LL28" s="24"/>
      <c r="LM28">
        <v>84501</v>
      </c>
      <c r="LN28">
        <v>84602</v>
      </c>
      <c r="LO28">
        <v>84503</v>
      </c>
      <c r="LP28">
        <v>406318</v>
      </c>
      <c r="LQ28">
        <v>1437</v>
      </c>
      <c r="LS28" s="24"/>
      <c r="LT28">
        <v>230</v>
      </c>
      <c r="LU28">
        <v>230</v>
      </c>
      <c r="LV28">
        <v>230</v>
      </c>
      <c r="LW28">
        <v>113945931</v>
      </c>
      <c r="LX28">
        <v>336</v>
      </c>
      <c r="LZ28" s="24"/>
      <c r="MA28">
        <v>67587</v>
      </c>
      <c r="MB28">
        <v>69381</v>
      </c>
      <c r="MC28">
        <v>69000</v>
      </c>
      <c r="MD28">
        <v>1330248</v>
      </c>
      <c r="ME28">
        <v>130</v>
      </c>
    </row>
    <row r="29" spans="2:343" x14ac:dyDescent="0.25">
      <c r="B29" s="24"/>
      <c r="C29">
        <v>2</v>
      </c>
      <c r="D29">
        <v>2</v>
      </c>
      <c r="E29">
        <v>2</v>
      </c>
      <c r="F29">
        <v>40459757667</v>
      </c>
      <c r="G29">
        <v>3198</v>
      </c>
      <c r="I29" s="24"/>
      <c r="J29">
        <v>4</v>
      </c>
      <c r="K29">
        <v>4</v>
      </c>
      <c r="L29">
        <v>4</v>
      </c>
      <c r="M29">
        <v>5305065854</v>
      </c>
      <c r="N29">
        <v>2221</v>
      </c>
      <c r="P29" s="24"/>
      <c r="Q29">
        <v>27</v>
      </c>
      <c r="R29">
        <v>28</v>
      </c>
      <c r="S29">
        <v>28</v>
      </c>
      <c r="T29">
        <v>1710360647</v>
      </c>
      <c r="U29">
        <v>2171</v>
      </c>
      <c r="W29" s="24"/>
      <c r="X29">
        <v>61</v>
      </c>
      <c r="Y29">
        <v>63</v>
      </c>
      <c r="Z29">
        <v>63</v>
      </c>
      <c r="AA29">
        <v>350256994</v>
      </c>
      <c r="AB29">
        <v>1584</v>
      </c>
      <c r="AD29" s="24"/>
      <c r="AE29">
        <v>522</v>
      </c>
      <c r="AF29">
        <v>546</v>
      </c>
      <c r="AG29">
        <v>534</v>
      </c>
      <c r="AH29">
        <v>86674212</v>
      </c>
      <c r="AI29">
        <v>1933</v>
      </c>
      <c r="AK29" s="24"/>
      <c r="AL29">
        <v>1020</v>
      </c>
      <c r="AM29">
        <v>1043</v>
      </c>
      <c r="AN29">
        <v>1031</v>
      </c>
      <c r="AO29">
        <v>35012519</v>
      </c>
      <c r="AP29">
        <v>1343</v>
      </c>
      <c r="AR29" s="24"/>
      <c r="AS29">
        <v>2905</v>
      </c>
      <c r="AT29">
        <v>2999</v>
      </c>
      <c r="AU29">
        <v>2954</v>
      </c>
      <c r="AV29">
        <v>15598557</v>
      </c>
      <c r="AW29">
        <v>1362</v>
      </c>
      <c r="AY29" s="24"/>
      <c r="AZ29">
        <v>338816551</v>
      </c>
      <c r="BA29">
        <v>345000000</v>
      </c>
      <c r="BB29">
        <v>341997377</v>
      </c>
      <c r="BC29">
        <v>2337</v>
      </c>
      <c r="BD29">
        <v>1490</v>
      </c>
      <c r="BF29" s="24"/>
      <c r="BG29">
        <v>21200</v>
      </c>
      <c r="BH29">
        <v>21422</v>
      </c>
      <c r="BI29">
        <v>21408</v>
      </c>
      <c r="BJ29">
        <v>2229858</v>
      </c>
      <c r="BK29">
        <v>184</v>
      </c>
      <c r="BM29" s="24"/>
      <c r="BN29">
        <v>7000001</v>
      </c>
      <c r="BO29">
        <v>7300021</v>
      </c>
      <c r="BP29">
        <v>7300017</v>
      </c>
      <c r="BQ29">
        <v>12195</v>
      </c>
      <c r="BR29">
        <v>386</v>
      </c>
      <c r="BT29" s="24"/>
      <c r="BU29">
        <v>1456</v>
      </c>
      <c r="BV29">
        <v>1499</v>
      </c>
      <c r="BW29">
        <v>1498</v>
      </c>
      <c r="BX29">
        <v>33889778</v>
      </c>
      <c r="BY29">
        <v>273</v>
      </c>
      <c r="CA29" s="24"/>
      <c r="CB29">
        <v>259</v>
      </c>
      <c r="CC29">
        <v>271</v>
      </c>
      <c r="CD29">
        <v>260</v>
      </c>
      <c r="CE29">
        <v>81693174</v>
      </c>
      <c r="CF29">
        <v>279</v>
      </c>
      <c r="CH29" s="24"/>
      <c r="CI29">
        <v>26432</v>
      </c>
      <c r="CJ29">
        <v>26500</v>
      </c>
      <c r="CK29">
        <v>26500</v>
      </c>
      <c r="CL29">
        <v>873354</v>
      </c>
      <c r="CM29">
        <v>164</v>
      </c>
      <c r="CO29" s="24"/>
      <c r="CP29">
        <v>7200</v>
      </c>
      <c r="CQ29">
        <v>7479</v>
      </c>
      <c r="CR29">
        <v>7428</v>
      </c>
      <c r="CS29">
        <v>1754824</v>
      </c>
      <c r="CT29">
        <v>434</v>
      </c>
      <c r="CV29" s="24"/>
      <c r="CW29">
        <v>1399983</v>
      </c>
      <c r="CX29">
        <v>1399983</v>
      </c>
      <c r="CY29">
        <v>1399983</v>
      </c>
      <c r="CZ29">
        <v>8958</v>
      </c>
      <c r="DA29">
        <v>40</v>
      </c>
      <c r="DC29" s="24"/>
      <c r="DD29">
        <v>262</v>
      </c>
      <c r="DE29">
        <v>279</v>
      </c>
      <c r="DF29">
        <v>265</v>
      </c>
      <c r="DG29">
        <v>67276036</v>
      </c>
      <c r="DH29">
        <v>172</v>
      </c>
      <c r="DJ29" s="24"/>
      <c r="DK29">
        <v>37800023</v>
      </c>
      <c r="DL29">
        <v>38689999</v>
      </c>
      <c r="DM29">
        <v>37804050</v>
      </c>
      <c r="DN29">
        <v>280</v>
      </c>
      <c r="DO29">
        <v>84</v>
      </c>
      <c r="DQ29" s="24"/>
      <c r="DR29">
        <v>1105666</v>
      </c>
      <c r="DS29">
        <v>1129999</v>
      </c>
      <c r="DT29">
        <v>1106000</v>
      </c>
      <c r="DU29">
        <v>10710</v>
      </c>
      <c r="DV29">
        <v>238</v>
      </c>
      <c r="DX29" s="24"/>
      <c r="DY29">
        <v>17532138</v>
      </c>
      <c r="DZ29">
        <v>18233010</v>
      </c>
      <c r="EA29">
        <v>17533001</v>
      </c>
      <c r="EB29">
        <v>514</v>
      </c>
      <c r="EC29">
        <v>97</v>
      </c>
      <c r="EE29" s="24"/>
      <c r="EF29">
        <v>166</v>
      </c>
      <c r="EG29">
        <v>181</v>
      </c>
      <c r="EH29">
        <v>175</v>
      </c>
      <c r="EI29">
        <v>116918134</v>
      </c>
      <c r="EJ29">
        <v>244</v>
      </c>
      <c r="EL29" s="24"/>
      <c r="EM29">
        <v>53855</v>
      </c>
      <c r="EN29">
        <v>53865</v>
      </c>
      <c r="EO29">
        <v>53858</v>
      </c>
      <c r="EP29">
        <v>97988</v>
      </c>
      <c r="EQ29">
        <v>725</v>
      </c>
      <c r="ES29" s="24"/>
      <c r="ET29">
        <v>247</v>
      </c>
      <c r="EU29">
        <v>254</v>
      </c>
      <c r="EV29">
        <v>250</v>
      </c>
      <c r="EW29">
        <v>47160107</v>
      </c>
      <c r="EX29">
        <v>557</v>
      </c>
      <c r="EZ29" s="24"/>
      <c r="FA29">
        <v>4210090</v>
      </c>
      <c r="FB29">
        <v>5000000</v>
      </c>
      <c r="FC29">
        <v>4599999</v>
      </c>
      <c r="FD29">
        <v>603</v>
      </c>
      <c r="FE29">
        <v>10</v>
      </c>
      <c r="FG29" s="24"/>
      <c r="FH29">
        <v>10861</v>
      </c>
      <c r="FI29">
        <v>11192</v>
      </c>
      <c r="FJ29">
        <v>11188</v>
      </c>
      <c r="FK29">
        <v>1944860</v>
      </c>
      <c r="FL29">
        <v>512</v>
      </c>
      <c r="FN29" s="24"/>
      <c r="FO29">
        <v>17900</v>
      </c>
      <c r="FP29">
        <v>17901</v>
      </c>
      <c r="FQ29">
        <v>17901</v>
      </c>
      <c r="FR29">
        <v>248212</v>
      </c>
      <c r="FS29">
        <v>98</v>
      </c>
      <c r="FU29" s="24"/>
      <c r="FV29">
        <v>29424</v>
      </c>
      <c r="FW29">
        <v>29435</v>
      </c>
      <c r="FX29">
        <v>29431</v>
      </c>
      <c r="FY29">
        <v>317610</v>
      </c>
      <c r="FZ29">
        <v>1348</v>
      </c>
      <c r="GB29" s="24"/>
      <c r="GC29">
        <v>102099805</v>
      </c>
      <c r="GD29">
        <v>109999081</v>
      </c>
      <c r="GE29">
        <v>106316329</v>
      </c>
      <c r="GF29">
        <v>77</v>
      </c>
      <c r="GG29">
        <v>64</v>
      </c>
      <c r="GI29" s="24"/>
      <c r="GJ29">
        <v>25500056</v>
      </c>
      <c r="GK29">
        <v>26969992</v>
      </c>
      <c r="GL29">
        <v>25500057</v>
      </c>
      <c r="GM29">
        <v>623</v>
      </c>
      <c r="GN29">
        <v>94</v>
      </c>
      <c r="GP29" s="24"/>
      <c r="GQ29">
        <v>99</v>
      </c>
      <c r="GR29">
        <v>104</v>
      </c>
      <c r="GS29">
        <v>103</v>
      </c>
      <c r="GT29">
        <v>116255290</v>
      </c>
      <c r="GU29">
        <v>147</v>
      </c>
      <c r="GW29" s="24"/>
      <c r="GX29">
        <v>236</v>
      </c>
      <c r="GY29">
        <v>243</v>
      </c>
      <c r="GZ29">
        <v>243</v>
      </c>
      <c r="HA29">
        <v>77186596</v>
      </c>
      <c r="HB29">
        <v>264</v>
      </c>
      <c r="HD29" s="24"/>
      <c r="HE29">
        <v>4400</v>
      </c>
      <c r="HF29">
        <v>4489</v>
      </c>
      <c r="HG29">
        <v>4480</v>
      </c>
      <c r="HH29">
        <v>22062337</v>
      </c>
      <c r="HI29">
        <v>302</v>
      </c>
      <c r="HK29" s="24"/>
      <c r="HL29">
        <v>100015435</v>
      </c>
      <c r="HM29">
        <v>109006456</v>
      </c>
      <c r="HN29">
        <v>107091614</v>
      </c>
      <c r="HO29">
        <v>86</v>
      </c>
      <c r="HP29">
        <v>72</v>
      </c>
      <c r="HR29" s="24"/>
      <c r="HS29">
        <v>10401</v>
      </c>
      <c r="HT29">
        <v>10832</v>
      </c>
      <c r="HU29">
        <v>10401</v>
      </c>
      <c r="HV29">
        <v>960436</v>
      </c>
      <c r="HW29">
        <v>148</v>
      </c>
      <c r="HY29" s="24"/>
      <c r="HZ29">
        <v>8500</v>
      </c>
      <c r="IA29">
        <v>8958</v>
      </c>
      <c r="IB29">
        <v>8729</v>
      </c>
      <c r="IC29">
        <v>2439098</v>
      </c>
      <c r="ID29">
        <v>546</v>
      </c>
      <c r="IF29" s="24"/>
      <c r="IG29">
        <v>2510</v>
      </c>
      <c r="IH29">
        <v>2608</v>
      </c>
      <c r="II29">
        <v>2607</v>
      </c>
      <c r="IJ29">
        <v>1745781</v>
      </c>
      <c r="IK29">
        <v>158</v>
      </c>
      <c r="IM29" s="24"/>
      <c r="IN29">
        <v>106659953</v>
      </c>
      <c r="IO29">
        <v>115243609</v>
      </c>
      <c r="IP29">
        <v>109846411</v>
      </c>
      <c r="IQ29">
        <v>80</v>
      </c>
      <c r="IR29">
        <v>69</v>
      </c>
      <c r="IT29" s="24"/>
      <c r="IU29">
        <v>8749</v>
      </c>
      <c r="IV29">
        <v>8990</v>
      </c>
      <c r="IW29">
        <v>8771</v>
      </c>
      <c r="IX29">
        <v>3178444</v>
      </c>
      <c r="IY29">
        <v>216</v>
      </c>
      <c r="JA29" s="24"/>
      <c r="JB29">
        <v>102016828</v>
      </c>
      <c r="JC29">
        <v>109007061</v>
      </c>
      <c r="JD29">
        <v>107911636</v>
      </c>
      <c r="JE29">
        <v>104</v>
      </c>
      <c r="JF29">
        <v>79</v>
      </c>
      <c r="JH29" s="24"/>
      <c r="JI29">
        <v>102026775</v>
      </c>
      <c r="JJ29">
        <v>117967750</v>
      </c>
      <c r="JK29">
        <v>111885636</v>
      </c>
      <c r="JL29">
        <v>66</v>
      </c>
      <c r="JM29">
        <v>44</v>
      </c>
      <c r="JO29" s="24"/>
      <c r="JP29">
        <v>71</v>
      </c>
      <c r="JQ29">
        <v>73</v>
      </c>
      <c r="JR29">
        <v>73</v>
      </c>
      <c r="JS29">
        <v>108972043</v>
      </c>
      <c r="JT29">
        <v>137</v>
      </c>
      <c r="JV29" s="24"/>
      <c r="JW29">
        <v>78</v>
      </c>
      <c r="JX29">
        <v>81</v>
      </c>
      <c r="JY29">
        <v>79</v>
      </c>
      <c r="JZ29">
        <v>195622142</v>
      </c>
      <c r="KA29">
        <v>150</v>
      </c>
      <c r="KC29" s="24"/>
      <c r="KD29">
        <v>15</v>
      </c>
      <c r="KE29">
        <v>16</v>
      </c>
      <c r="KF29">
        <v>16</v>
      </c>
      <c r="KG29">
        <v>65149748</v>
      </c>
      <c r="KH29">
        <v>329</v>
      </c>
      <c r="KJ29" s="24"/>
      <c r="KK29">
        <v>95</v>
      </c>
      <c r="KL29">
        <v>108</v>
      </c>
      <c r="KM29">
        <v>96</v>
      </c>
      <c r="KN29">
        <v>119814302</v>
      </c>
      <c r="KO29">
        <v>168</v>
      </c>
      <c r="KQ29" s="24"/>
      <c r="KR29">
        <v>110038</v>
      </c>
      <c r="KS29">
        <v>115999</v>
      </c>
      <c r="KT29">
        <v>110038</v>
      </c>
      <c r="KU29">
        <v>88078</v>
      </c>
      <c r="KV29">
        <v>742</v>
      </c>
      <c r="KX29" s="24"/>
      <c r="KY29">
        <v>503</v>
      </c>
      <c r="KZ29">
        <v>532</v>
      </c>
      <c r="LA29">
        <v>518</v>
      </c>
      <c r="LB29">
        <v>11809400</v>
      </c>
      <c r="LC29">
        <v>250</v>
      </c>
      <c r="LE29" s="24"/>
      <c r="LF29">
        <v>239999</v>
      </c>
      <c r="LG29">
        <v>240999</v>
      </c>
      <c r="LH29">
        <v>240004</v>
      </c>
      <c r="LI29">
        <v>141285</v>
      </c>
      <c r="LJ29">
        <v>1028</v>
      </c>
      <c r="LL29" s="24"/>
      <c r="LM29">
        <v>84626</v>
      </c>
      <c r="LN29">
        <v>84700</v>
      </c>
      <c r="LO29">
        <v>84632</v>
      </c>
      <c r="LP29">
        <v>345337</v>
      </c>
      <c r="LQ29">
        <v>1394</v>
      </c>
      <c r="LS29" s="24"/>
      <c r="LT29">
        <v>231</v>
      </c>
      <c r="LU29">
        <v>256</v>
      </c>
      <c r="LV29">
        <v>239</v>
      </c>
      <c r="LW29">
        <v>115822029</v>
      </c>
      <c r="LX29">
        <v>444</v>
      </c>
      <c r="LZ29" s="24"/>
      <c r="MA29">
        <v>65492</v>
      </c>
      <c r="MB29">
        <v>69297</v>
      </c>
      <c r="MC29">
        <v>69099</v>
      </c>
      <c r="MD29">
        <v>1574312</v>
      </c>
      <c r="ME29">
        <v>140</v>
      </c>
    </row>
    <row r="30" spans="2:343" x14ac:dyDescent="0.25">
      <c r="B30" s="24"/>
      <c r="C30">
        <v>2</v>
      </c>
      <c r="D30">
        <v>2</v>
      </c>
      <c r="E30">
        <v>2</v>
      </c>
      <c r="F30">
        <v>51494290474</v>
      </c>
      <c r="G30">
        <v>3125</v>
      </c>
      <c r="I30" s="24"/>
      <c r="J30">
        <v>4</v>
      </c>
      <c r="K30">
        <v>4</v>
      </c>
      <c r="L30">
        <v>4</v>
      </c>
      <c r="M30">
        <v>8129526028</v>
      </c>
      <c r="N30">
        <v>2290</v>
      </c>
      <c r="P30" s="24"/>
      <c r="Q30">
        <v>27</v>
      </c>
      <c r="R30">
        <v>28</v>
      </c>
      <c r="S30">
        <v>28</v>
      </c>
      <c r="T30">
        <v>1890112289</v>
      </c>
      <c r="U30">
        <v>2053</v>
      </c>
      <c r="W30" s="24"/>
      <c r="X30">
        <v>62</v>
      </c>
      <c r="Y30">
        <v>63</v>
      </c>
      <c r="Z30">
        <v>63</v>
      </c>
      <c r="AA30">
        <v>346273126</v>
      </c>
      <c r="AB30">
        <v>1555</v>
      </c>
      <c r="AD30" s="24"/>
      <c r="AE30">
        <v>518</v>
      </c>
      <c r="AF30">
        <v>539</v>
      </c>
      <c r="AG30">
        <v>528</v>
      </c>
      <c r="AH30">
        <v>106090314</v>
      </c>
      <c r="AI30">
        <v>1828</v>
      </c>
      <c r="AK30" s="24"/>
      <c r="AL30">
        <v>1005</v>
      </c>
      <c r="AM30">
        <v>1039</v>
      </c>
      <c r="AN30">
        <v>1020</v>
      </c>
      <c r="AO30">
        <v>32028529</v>
      </c>
      <c r="AP30">
        <v>1416</v>
      </c>
      <c r="AR30" s="24"/>
      <c r="AS30">
        <v>2902</v>
      </c>
      <c r="AT30">
        <v>2999</v>
      </c>
      <c r="AU30">
        <v>2940</v>
      </c>
      <c r="AV30">
        <v>16879576</v>
      </c>
      <c r="AW30">
        <v>1441</v>
      </c>
      <c r="AY30" s="24"/>
      <c r="AZ30">
        <v>338250000</v>
      </c>
      <c r="BA30">
        <v>345000000</v>
      </c>
      <c r="BB30">
        <v>341993459</v>
      </c>
      <c r="BC30">
        <v>2070</v>
      </c>
      <c r="BD30">
        <v>1465</v>
      </c>
      <c r="BF30" s="24"/>
      <c r="BG30">
        <v>21148</v>
      </c>
      <c r="BH30">
        <v>21149</v>
      </c>
      <c r="BI30">
        <v>21149</v>
      </c>
      <c r="BJ30">
        <v>843617</v>
      </c>
      <c r="BK30">
        <v>166</v>
      </c>
      <c r="BM30" s="24"/>
      <c r="BN30">
        <v>6400001</v>
      </c>
      <c r="BO30">
        <v>6851996</v>
      </c>
      <c r="BP30">
        <v>6750133</v>
      </c>
      <c r="BQ30">
        <v>12062</v>
      </c>
      <c r="BR30">
        <v>368</v>
      </c>
      <c r="BT30" s="24"/>
      <c r="BU30">
        <v>1498</v>
      </c>
      <c r="BV30">
        <v>1498</v>
      </c>
      <c r="BW30">
        <v>1498</v>
      </c>
      <c r="BX30">
        <v>17797676</v>
      </c>
      <c r="BY30">
        <v>216</v>
      </c>
      <c r="CA30" s="24"/>
      <c r="CB30">
        <v>251</v>
      </c>
      <c r="CC30">
        <v>266</v>
      </c>
      <c r="CD30">
        <v>253</v>
      </c>
      <c r="CE30">
        <v>88336528</v>
      </c>
      <c r="CF30">
        <v>229</v>
      </c>
      <c r="CH30" s="24"/>
      <c r="CI30">
        <v>26431</v>
      </c>
      <c r="CJ30">
        <v>26431</v>
      </c>
      <c r="CK30">
        <v>26431</v>
      </c>
      <c r="CL30">
        <v>317060</v>
      </c>
      <c r="CM30">
        <v>121</v>
      </c>
      <c r="CO30" s="24"/>
      <c r="CP30">
        <v>7052</v>
      </c>
      <c r="CQ30">
        <v>7348</v>
      </c>
      <c r="CR30">
        <v>7100</v>
      </c>
      <c r="CS30">
        <v>1207105</v>
      </c>
      <c r="CT30">
        <v>327</v>
      </c>
      <c r="CV30" s="24"/>
      <c r="CW30">
        <v>1371900</v>
      </c>
      <c r="CX30">
        <v>1406995</v>
      </c>
      <c r="CY30">
        <v>1387285</v>
      </c>
      <c r="CZ30">
        <v>4819</v>
      </c>
      <c r="DA30">
        <v>43</v>
      </c>
      <c r="DC30" s="24"/>
      <c r="DD30">
        <v>260</v>
      </c>
      <c r="DE30">
        <v>269</v>
      </c>
      <c r="DF30">
        <v>262</v>
      </c>
      <c r="DG30">
        <v>48313969</v>
      </c>
      <c r="DH30">
        <v>166</v>
      </c>
      <c r="DJ30" s="24"/>
      <c r="DK30">
        <v>37808600</v>
      </c>
      <c r="DL30">
        <v>38685998</v>
      </c>
      <c r="DM30">
        <v>37831003</v>
      </c>
      <c r="DN30">
        <v>458</v>
      </c>
      <c r="DO30">
        <v>100</v>
      </c>
      <c r="DQ30" s="24"/>
      <c r="DR30">
        <v>1050020</v>
      </c>
      <c r="DS30">
        <v>1168886</v>
      </c>
      <c r="DT30">
        <v>1109887</v>
      </c>
      <c r="DU30">
        <v>6832</v>
      </c>
      <c r="DV30">
        <v>255</v>
      </c>
      <c r="DX30" s="24"/>
      <c r="DY30">
        <v>17533056</v>
      </c>
      <c r="DZ30">
        <v>18032997</v>
      </c>
      <c r="EA30">
        <v>17999999</v>
      </c>
      <c r="EB30">
        <v>533</v>
      </c>
      <c r="EC30">
        <v>137</v>
      </c>
      <c r="EE30" s="24"/>
      <c r="EF30">
        <v>168</v>
      </c>
      <c r="EG30">
        <v>178</v>
      </c>
      <c r="EH30">
        <v>171</v>
      </c>
      <c r="EI30">
        <v>113975037</v>
      </c>
      <c r="EJ30">
        <v>217</v>
      </c>
      <c r="EL30" s="24"/>
      <c r="EM30">
        <v>52967</v>
      </c>
      <c r="EN30">
        <v>53858</v>
      </c>
      <c r="EO30">
        <v>52982</v>
      </c>
      <c r="EP30">
        <v>54621</v>
      </c>
      <c r="EQ30">
        <v>700</v>
      </c>
      <c r="ES30" s="24"/>
      <c r="ET30">
        <v>246</v>
      </c>
      <c r="EU30">
        <v>253</v>
      </c>
      <c r="EV30">
        <v>252</v>
      </c>
      <c r="EW30">
        <v>40583433</v>
      </c>
      <c r="EX30">
        <v>578</v>
      </c>
      <c r="EZ30" s="24"/>
      <c r="FA30">
        <v>3500000</v>
      </c>
      <c r="FB30">
        <v>4210090</v>
      </c>
      <c r="FC30">
        <v>4200000</v>
      </c>
      <c r="FD30">
        <v>4103</v>
      </c>
      <c r="FE30">
        <v>42</v>
      </c>
      <c r="FG30" s="24"/>
      <c r="FH30">
        <v>10860</v>
      </c>
      <c r="FI30">
        <v>11188</v>
      </c>
      <c r="FJ30">
        <v>10900</v>
      </c>
      <c r="FK30">
        <v>2785286</v>
      </c>
      <c r="FL30">
        <v>520</v>
      </c>
      <c r="FN30" s="24"/>
      <c r="FO30">
        <v>17894</v>
      </c>
      <c r="FP30">
        <v>17894</v>
      </c>
      <c r="FQ30">
        <v>17894</v>
      </c>
      <c r="FR30">
        <v>156386</v>
      </c>
      <c r="FS30">
        <v>71</v>
      </c>
      <c r="FU30" s="24"/>
      <c r="FV30">
        <v>29509</v>
      </c>
      <c r="FW30">
        <v>29530</v>
      </c>
      <c r="FX30">
        <v>29511</v>
      </c>
      <c r="FY30">
        <v>333472</v>
      </c>
      <c r="FZ30">
        <v>1387</v>
      </c>
      <c r="GB30" s="24"/>
      <c r="GC30">
        <v>109999267</v>
      </c>
      <c r="GD30">
        <v>112984184</v>
      </c>
      <c r="GE30">
        <v>110891662</v>
      </c>
      <c r="GF30">
        <v>97</v>
      </c>
      <c r="GG30">
        <v>74</v>
      </c>
      <c r="GI30" s="24"/>
      <c r="GJ30">
        <v>25500055</v>
      </c>
      <c r="GK30">
        <v>26501006</v>
      </c>
      <c r="GL30">
        <v>25501005</v>
      </c>
      <c r="GM30">
        <v>384</v>
      </c>
      <c r="GN30">
        <v>72</v>
      </c>
      <c r="GP30" s="24"/>
      <c r="GQ30">
        <v>99</v>
      </c>
      <c r="GR30">
        <v>103</v>
      </c>
      <c r="GS30">
        <v>100</v>
      </c>
      <c r="GT30">
        <v>97686979</v>
      </c>
      <c r="GU30">
        <v>146</v>
      </c>
      <c r="GW30" s="24"/>
      <c r="GX30">
        <v>240</v>
      </c>
      <c r="GY30">
        <v>243</v>
      </c>
      <c r="GZ30">
        <v>242</v>
      </c>
      <c r="HA30">
        <v>37332913</v>
      </c>
      <c r="HB30">
        <v>180</v>
      </c>
      <c r="HD30" s="24"/>
      <c r="HE30">
        <v>4331</v>
      </c>
      <c r="HF30">
        <v>4482</v>
      </c>
      <c r="HG30">
        <v>4481</v>
      </c>
      <c r="HH30">
        <v>15165793</v>
      </c>
      <c r="HI30">
        <v>270</v>
      </c>
      <c r="HK30" s="24"/>
      <c r="HL30">
        <v>108996247</v>
      </c>
      <c r="HM30">
        <v>114999000</v>
      </c>
      <c r="HN30">
        <v>109448002</v>
      </c>
      <c r="HO30">
        <v>82</v>
      </c>
      <c r="HP30">
        <v>66</v>
      </c>
      <c r="HR30" s="24"/>
      <c r="HS30">
        <v>10400</v>
      </c>
      <c r="HT30">
        <v>10595</v>
      </c>
      <c r="HU30">
        <v>10499</v>
      </c>
      <c r="HV30">
        <v>782288</v>
      </c>
      <c r="HW30">
        <v>117</v>
      </c>
      <c r="HY30" s="24"/>
      <c r="HZ30">
        <v>8501</v>
      </c>
      <c r="IA30">
        <v>8949</v>
      </c>
      <c r="IB30">
        <v>8520</v>
      </c>
      <c r="IC30">
        <v>1928766</v>
      </c>
      <c r="ID30">
        <v>482</v>
      </c>
      <c r="IF30" s="24"/>
      <c r="IG30">
        <v>2450</v>
      </c>
      <c r="IH30">
        <v>2605</v>
      </c>
      <c r="II30">
        <v>2605</v>
      </c>
      <c r="IJ30">
        <v>1177374</v>
      </c>
      <c r="IK30">
        <v>115</v>
      </c>
      <c r="IM30" s="24"/>
      <c r="IN30">
        <v>106660001</v>
      </c>
      <c r="IO30">
        <v>109999995</v>
      </c>
      <c r="IP30">
        <v>108851102</v>
      </c>
      <c r="IQ30">
        <v>66</v>
      </c>
      <c r="IR30">
        <v>58</v>
      </c>
      <c r="IT30" s="24"/>
      <c r="IU30">
        <v>8999</v>
      </c>
      <c r="IV30">
        <v>9010</v>
      </c>
      <c r="IW30">
        <v>9000</v>
      </c>
      <c r="IX30">
        <v>1853875</v>
      </c>
      <c r="IY30">
        <v>197</v>
      </c>
      <c r="JA30" s="24"/>
      <c r="JB30">
        <v>107803388</v>
      </c>
      <c r="JC30">
        <v>107911791</v>
      </c>
      <c r="JD30">
        <v>107909030</v>
      </c>
      <c r="JE30">
        <v>102</v>
      </c>
      <c r="JF30">
        <v>76</v>
      </c>
      <c r="JH30" s="24"/>
      <c r="JI30">
        <v>102051275</v>
      </c>
      <c r="JJ30">
        <v>115978437</v>
      </c>
      <c r="JK30">
        <v>110882454</v>
      </c>
      <c r="JL30">
        <v>57</v>
      </c>
      <c r="JM30">
        <v>42</v>
      </c>
      <c r="JO30" s="24"/>
      <c r="JP30">
        <v>68</v>
      </c>
      <c r="JQ30">
        <v>69</v>
      </c>
      <c r="JR30">
        <v>68</v>
      </c>
      <c r="JS30">
        <v>144255333</v>
      </c>
      <c r="JT30">
        <v>116</v>
      </c>
      <c r="JV30" s="24"/>
      <c r="JW30">
        <v>77</v>
      </c>
      <c r="JX30">
        <v>82</v>
      </c>
      <c r="JY30">
        <v>77</v>
      </c>
      <c r="JZ30">
        <v>114905162</v>
      </c>
      <c r="KA30">
        <v>132</v>
      </c>
      <c r="KC30" s="24"/>
      <c r="KD30">
        <v>15</v>
      </c>
      <c r="KE30">
        <v>16</v>
      </c>
      <c r="KF30">
        <v>16</v>
      </c>
      <c r="KG30">
        <v>72754878</v>
      </c>
      <c r="KH30">
        <v>293</v>
      </c>
      <c r="KJ30" s="24"/>
      <c r="KK30">
        <v>101</v>
      </c>
      <c r="KL30">
        <v>108</v>
      </c>
      <c r="KM30">
        <v>104</v>
      </c>
      <c r="KN30">
        <v>122137015</v>
      </c>
      <c r="KO30">
        <v>161</v>
      </c>
      <c r="KQ30" s="24"/>
      <c r="KR30">
        <v>102717</v>
      </c>
      <c r="KS30">
        <v>104999</v>
      </c>
      <c r="KT30">
        <v>102725</v>
      </c>
      <c r="KU30">
        <v>85504</v>
      </c>
      <c r="KV30">
        <v>728</v>
      </c>
      <c r="KX30" s="24"/>
      <c r="KY30">
        <v>489</v>
      </c>
      <c r="KZ30">
        <v>513</v>
      </c>
      <c r="LA30">
        <v>512</v>
      </c>
      <c r="LB30">
        <v>8026413</v>
      </c>
      <c r="LC30">
        <v>193</v>
      </c>
      <c r="LE30" s="24"/>
      <c r="LF30">
        <v>230003</v>
      </c>
      <c r="LG30">
        <v>240136</v>
      </c>
      <c r="LH30">
        <v>240000</v>
      </c>
      <c r="LI30">
        <v>129705</v>
      </c>
      <c r="LJ30">
        <v>1076</v>
      </c>
      <c r="LL30" s="24"/>
      <c r="LM30">
        <v>78053</v>
      </c>
      <c r="LN30">
        <v>84632</v>
      </c>
      <c r="LO30">
        <v>78095</v>
      </c>
      <c r="LP30">
        <v>353831</v>
      </c>
      <c r="LQ30">
        <v>1425</v>
      </c>
      <c r="LS30" s="24"/>
      <c r="LT30">
        <v>241</v>
      </c>
      <c r="LU30">
        <v>250</v>
      </c>
      <c r="LV30">
        <v>242</v>
      </c>
      <c r="LW30">
        <v>110008792</v>
      </c>
      <c r="LX30">
        <v>367</v>
      </c>
      <c r="LZ30" s="24"/>
      <c r="MA30">
        <v>65596</v>
      </c>
      <c r="MB30">
        <v>67899</v>
      </c>
      <c r="MC30">
        <v>67588</v>
      </c>
      <c r="MD30">
        <v>1026555</v>
      </c>
      <c r="ME30">
        <v>111</v>
      </c>
    </row>
    <row r="31" spans="2:343" x14ac:dyDescent="0.25">
      <c r="B31" s="24"/>
      <c r="C31">
        <v>2</v>
      </c>
      <c r="D31">
        <v>2</v>
      </c>
      <c r="E31">
        <v>2</v>
      </c>
      <c r="F31">
        <v>31182246333</v>
      </c>
      <c r="G31">
        <v>2844</v>
      </c>
      <c r="I31" s="24"/>
      <c r="J31">
        <v>4</v>
      </c>
      <c r="K31">
        <v>4</v>
      </c>
      <c r="L31">
        <v>4</v>
      </c>
      <c r="M31">
        <v>4943331968</v>
      </c>
      <c r="N31">
        <v>2082</v>
      </c>
      <c r="P31" s="24"/>
      <c r="Q31">
        <v>27</v>
      </c>
      <c r="R31">
        <v>28</v>
      </c>
      <c r="S31">
        <v>27</v>
      </c>
      <c r="T31">
        <v>1813178404</v>
      </c>
      <c r="U31">
        <v>1865</v>
      </c>
      <c r="W31" s="24"/>
      <c r="X31">
        <v>63</v>
      </c>
      <c r="Y31">
        <v>63</v>
      </c>
      <c r="Z31">
        <v>63</v>
      </c>
      <c r="AA31">
        <v>362793247</v>
      </c>
      <c r="AB31">
        <v>1508</v>
      </c>
      <c r="AD31" s="24"/>
      <c r="AE31">
        <v>531</v>
      </c>
      <c r="AF31">
        <v>558</v>
      </c>
      <c r="AG31">
        <v>541</v>
      </c>
      <c r="AH31">
        <v>107438316</v>
      </c>
      <c r="AI31">
        <v>1784</v>
      </c>
      <c r="AK31" s="24"/>
      <c r="AL31">
        <v>1015</v>
      </c>
      <c r="AM31">
        <v>1035</v>
      </c>
      <c r="AN31">
        <v>1032</v>
      </c>
      <c r="AO31">
        <v>27704339</v>
      </c>
      <c r="AP31">
        <v>1298</v>
      </c>
      <c r="AR31" s="24"/>
      <c r="AS31">
        <v>2982</v>
      </c>
      <c r="AT31">
        <v>3049</v>
      </c>
      <c r="AU31">
        <v>3004</v>
      </c>
      <c r="AV31">
        <v>11301520</v>
      </c>
      <c r="AW31">
        <v>1270</v>
      </c>
      <c r="AY31" s="24"/>
      <c r="AZ31">
        <v>335000000</v>
      </c>
      <c r="BA31">
        <v>342299172</v>
      </c>
      <c r="BB31">
        <v>339999999</v>
      </c>
      <c r="BC31">
        <v>2132</v>
      </c>
      <c r="BD31">
        <v>1471</v>
      </c>
      <c r="BF31" s="24"/>
      <c r="BG31">
        <v>21148</v>
      </c>
      <c r="BH31">
        <v>21151</v>
      </c>
      <c r="BI31">
        <v>21150</v>
      </c>
      <c r="BJ31">
        <v>2110763</v>
      </c>
      <c r="BK31">
        <v>186</v>
      </c>
      <c r="BM31" s="24"/>
      <c r="BN31">
        <v>6625893</v>
      </c>
      <c r="BO31">
        <v>6897899</v>
      </c>
      <c r="BP31">
        <v>6653027</v>
      </c>
      <c r="BQ31">
        <v>10456</v>
      </c>
      <c r="BR31">
        <v>281</v>
      </c>
      <c r="BT31" s="24"/>
      <c r="BU31">
        <v>1464</v>
      </c>
      <c r="BV31">
        <v>1493</v>
      </c>
      <c r="BW31">
        <v>1493</v>
      </c>
      <c r="BX31">
        <v>24852986</v>
      </c>
      <c r="BY31">
        <v>204</v>
      </c>
      <c r="CA31" s="24"/>
      <c r="CB31">
        <v>228</v>
      </c>
      <c r="CC31">
        <v>236</v>
      </c>
      <c r="CD31">
        <v>229</v>
      </c>
      <c r="CE31">
        <v>108142398</v>
      </c>
      <c r="CF31">
        <v>254</v>
      </c>
      <c r="CH31" s="24"/>
      <c r="CI31">
        <v>25505</v>
      </c>
      <c r="CJ31">
        <v>25779</v>
      </c>
      <c r="CK31">
        <v>25506</v>
      </c>
      <c r="CL31">
        <v>1552497</v>
      </c>
      <c r="CM31">
        <v>176</v>
      </c>
      <c r="CO31" s="24"/>
      <c r="CP31">
        <v>6713</v>
      </c>
      <c r="CQ31">
        <v>7196</v>
      </c>
      <c r="CR31">
        <v>6999</v>
      </c>
      <c r="CS31">
        <v>1046932</v>
      </c>
      <c r="CT31">
        <v>341</v>
      </c>
      <c r="CV31" s="24"/>
      <c r="CW31">
        <v>1318000</v>
      </c>
      <c r="CX31">
        <v>1371896</v>
      </c>
      <c r="CY31">
        <v>1350000</v>
      </c>
      <c r="CZ31">
        <v>7622</v>
      </c>
      <c r="DA31">
        <v>36</v>
      </c>
      <c r="DC31" s="24"/>
      <c r="DD31">
        <v>247</v>
      </c>
      <c r="DE31">
        <v>255</v>
      </c>
      <c r="DF31">
        <v>253</v>
      </c>
      <c r="DG31">
        <v>44273806</v>
      </c>
      <c r="DH31">
        <v>191</v>
      </c>
      <c r="DJ31" s="24"/>
      <c r="DK31">
        <v>37426000</v>
      </c>
      <c r="DL31">
        <v>37830000</v>
      </c>
      <c r="DM31">
        <v>37828001</v>
      </c>
      <c r="DN31">
        <v>342</v>
      </c>
      <c r="DO31">
        <v>86</v>
      </c>
      <c r="DQ31" s="24"/>
      <c r="DR31">
        <v>1070002</v>
      </c>
      <c r="DS31">
        <v>1199998</v>
      </c>
      <c r="DT31">
        <v>1076000</v>
      </c>
      <c r="DU31">
        <v>6526</v>
      </c>
      <c r="DV31">
        <v>267</v>
      </c>
      <c r="DX31" s="24"/>
      <c r="DY31">
        <v>17533132</v>
      </c>
      <c r="DZ31">
        <v>18498995</v>
      </c>
      <c r="EA31">
        <v>17538007</v>
      </c>
      <c r="EB31">
        <v>701</v>
      </c>
      <c r="EC31">
        <v>133</v>
      </c>
      <c r="EE31" s="24"/>
      <c r="EF31">
        <v>166</v>
      </c>
      <c r="EG31">
        <v>171</v>
      </c>
      <c r="EH31">
        <v>168</v>
      </c>
      <c r="EI31">
        <v>134474587</v>
      </c>
      <c r="EJ31">
        <v>233</v>
      </c>
      <c r="EL31" s="24"/>
      <c r="EM31">
        <v>52986</v>
      </c>
      <c r="EN31">
        <v>52997</v>
      </c>
      <c r="EO31">
        <v>52987</v>
      </c>
      <c r="EP31">
        <v>73928</v>
      </c>
      <c r="EQ31">
        <v>679</v>
      </c>
      <c r="ES31" s="24"/>
      <c r="ET31">
        <v>246</v>
      </c>
      <c r="EU31">
        <v>253</v>
      </c>
      <c r="EV31">
        <v>251</v>
      </c>
      <c r="EW31">
        <v>48157564</v>
      </c>
      <c r="EX31">
        <v>622</v>
      </c>
      <c r="EZ31" s="24"/>
      <c r="FA31">
        <v>3000120</v>
      </c>
      <c r="FB31">
        <v>3889998</v>
      </c>
      <c r="FC31">
        <v>3889998</v>
      </c>
      <c r="FD31">
        <v>745</v>
      </c>
      <c r="FE31">
        <v>12</v>
      </c>
      <c r="FG31" s="24"/>
      <c r="FH31">
        <v>10367</v>
      </c>
      <c r="FI31">
        <v>10749</v>
      </c>
      <c r="FJ31">
        <v>10401</v>
      </c>
      <c r="FK31">
        <v>1768815</v>
      </c>
      <c r="FL31">
        <v>494</v>
      </c>
      <c r="FN31" s="24"/>
      <c r="FO31">
        <v>17893</v>
      </c>
      <c r="FP31">
        <v>17894</v>
      </c>
      <c r="FQ31">
        <v>17893</v>
      </c>
      <c r="FR31">
        <v>189611</v>
      </c>
      <c r="FS31">
        <v>81</v>
      </c>
      <c r="FU31" s="24"/>
      <c r="FV31">
        <v>29555</v>
      </c>
      <c r="FW31">
        <v>29654</v>
      </c>
      <c r="FX31">
        <v>29647</v>
      </c>
      <c r="FY31">
        <v>336102</v>
      </c>
      <c r="FZ31">
        <v>1436</v>
      </c>
      <c r="GB31" s="24"/>
      <c r="GC31">
        <v>109102919</v>
      </c>
      <c r="GD31">
        <v>112880778</v>
      </c>
      <c r="GE31">
        <v>110111649</v>
      </c>
      <c r="GF31">
        <v>120</v>
      </c>
      <c r="GG31">
        <v>84</v>
      </c>
      <c r="GI31" s="24"/>
      <c r="GJ31">
        <v>25502000</v>
      </c>
      <c r="GK31">
        <v>26799998</v>
      </c>
      <c r="GL31">
        <v>26799968</v>
      </c>
      <c r="GM31">
        <v>498</v>
      </c>
      <c r="GN31">
        <v>98</v>
      </c>
      <c r="GP31" s="24"/>
      <c r="GQ31">
        <v>96</v>
      </c>
      <c r="GR31">
        <v>99</v>
      </c>
      <c r="GS31">
        <v>96</v>
      </c>
      <c r="GT31">
        <v>155057658</v>
      </c>
      <c r="GU31">
        <v>144</v>
      </c>
      <c r="GW31" s="24"/>
      <c r="GX31">
        <v>229</v>
      </c>
      <c r="GY31">
        <v>240</v>
      </c>
      <c r="GZ31">
        <v>232</v>
      </c>
      <c r="HA31">
        <v>49581241</v>
      </c>
      <c r="HB31">
        <v>220</v>
      </c>
      <c r="HD31" s="24"/>
      <c r="HE31">
        <v>4336</v>
      </c>
      <c r="HF31">
        <v>4479</v>
      </c>
      <c r="HG31">
        <v>4477</v>
      </c>
      <c r="HH31">
        <v>15667828</v>
      </c>
      <c r="HI31">
        <v>304</v>
      </c>
      <c r="HK31" s="24"/>
      <c r="HL31">
        <v>111656639</v>
      </c>
      <c r="HM31">
        <v>114986089</v>
      </c>
      <c r="HN31">
        <v>111657375</v>
      </c>
      <c r="HO31">
        <v>119</v>
      </c>
      <c r="HP31">
        <v>81</v>
      </c>
      <c r="HR31" s="24"/>
      <c r="HS31">
        <v>10449</v>
      </c>
      <c r="HT31">
        <v>10453</v>
      </c>
      <c r="HU31">
        <v>10449</v>
      </c>
      <c r="HV31">
        <v>556700</v>
      </c>
      <c r="HW31">
        <v>108</v>
      </c>
      <c r="HY31" s="24"/>
      <c r="HZ31">
        <v>8311</v>
      </c>
      <c r="IA31">
        <v>8693</v>
      </c>
      <c r="IB31">
        <v>8400</v>
      </c>
      <c r="IC31">
        <v>2403423</v>
      </c>
      <c r="ID31">
        <v>497</v>
      </c>
      <c r="IF31" s="24"/>
      <c r="IG31">
        <v>2604</v>
      </c>
      <c r="IH31">
        <v>2604</v>
      </c>
      <c r="II31">
        <v>2604</v>
      </c>
      <c r="IJ31">
        <v>1142979</v>
      </c>
      <c r="IK31">
        <v>125</v>
      </c>
      <c r="IM31" s="24"/>
      <c r="IN31">
        <v>106660003</v>
      </c>
      <c r="IO31">
        <v>111990908</v>
      </c>
      <c r="IP31">
        <v>109672537</v>
      </c>
      <c r="IQ31">
        <v>84</v>
      </c>
      <c r="IR31">
        <v>62</v>
      </c>
      <c r="IT31" s="24"/>
      <c r="IU31">
        <v>8999</v>
      </c>
      <c r="IV31">
        <v>8999</v>
      </c>
      <c r="IW31">
        <v>8999</v>
      </c>
      <c r="IX31">
        <v>1029544</v>
      </c>
      <c r="IY31">
        <v>175</v>
      </c>
      <c r="JA31" s="24"/>
      <c r="JB31">
        <v>105180240</v>
      </c>
      <c r="JC31">
        <v>111111034</v>
      </c>
      <c r="JD31">
        <v>107911610</v>
      </c>
      <c r="JE31">
        <v>130</v>
      </c>
      <c r="JF31">
        <v>90</v>
      </c>
      <c r="JH31" s="24"/>
      <c r="JI31">
        <v>102052463</v>
      </c>
      <c r="JJ31">
        <v>111103801</v>
      </c>
      <c r="JK31">
        <v>110561659</v>
      </c>
      <c r="JL31">
        <v>52</v>
      </c>
      <c r="JM31">
        <v>32</v>
      </c>
      <c r="JO31" s="24"/>
      <c r="JP31">
        <v>68</v>
      </c>
      <c r="JQ31">
        <v>70</v>
      </c>
      <c r="JR31">
        <v>69</v>
      </c>
      <c r="JS31">
        <v>148384894</v>
      </c>
      <c r="JT31">
        <v>104</v>
      </c>
      <c r="JV31" s="24"/>
      <c r="JW31">
        <v>77</v>
      </c>
      <c r="JX31">
        <v>79</v>
      </c>
      <c r="JY31">
        <v>79</v>
      </c>
      <c r="JZ31">
        <v>184855691</v>
      </c>
      <c r="KA31">
        <v>159</v>
      </c>
      <c r="KC31" s="24"/>
      <c r="KD31">
        <v>15</v>
      </c>
      <c r="KE31">
        <v>15</v>
      </c>
      <c r="KF31">
        <v>15</v>
      </c>
      <c r="KG31">
        <v>52028855</v>
      </c>
      <c r="KH31">
        <v>320</v>
      </c>
      <c r="KJ31" s="24"/>
      <c r="KK31">
        <v>97</v>
      </c>
      <c r="KL31">
        <v>103</v>
      </c>
      <c r="KM31">
        <v>102</v>
      </c>
      <c r="KN31">
        <v>193702432</v>
      </c>
      <c r="KO31">
        <v>191</v>
      </c>
      <c r="KQ31" s="24"/>
      <c r="KR31">
        <v>102745</v>
      </c>
      <c r="KS31">
        <v>102769</v>
      </c>
      <c r="KT31">
        <v>102751</v>
      </c>
      <c r="KU31">
        <v>67474</v>
      </c>
      <c r="KV31">
        <v>710</v>
      </c>
      <c r="KX31" s="24"/>
      <c r="KY31">
        <v>507</v>
      </c>
      <c r="KZ31">
        <v>511</v>
      </c>
      <c r="LA31">
        <v>508</v>
      </c>
      <c r="LB31">
        <v>7692250</v>
      </c>
      <c r="LC31">
        <v>200</v>
      </c>
      <c r="LE31" s="24"/>
      <c r="LF31">
        <v>199999</v>
      </c>
      <c r="LG31">
        <v>235300</v>
      </c>
      <c r="LH31">
        <v>230041</v>
      </c>
      <c r="LI31">
        <v>191293</v>
      </c>
      <c r="LJ31">
        <v>1071</v>
      </c>
      <c r="LL31" s="24"/>
      <c r="LM31">
        <v>78104</v>
      </c>
      <c r="LN31">
        <v>78785</v>
      </c>
      <c r="LO31">
        <v>78355</v>
      </c>
      <c r="LP31">
        <v>321178</v>
      </c>
      <c r="LQ31">
        <v>1396</v>
      </c>
      <c r="LS31" s="24"/>
      <c r="LT31">
        <v>236</v>
      </c>
      <c r="LU31">
        <v>243</v>
      </c>
      <c r="LV31">
        <v>238</v>
      </c>
      <c r="LW31">
        <v>114002730</v>
      </c>
      <c r="LX31">
        <v>403</v>
      </c>
      <c r="LZ31" s="24"/>
      <c r="MA31">
        <v>65788</v>
      </c>
      <c r="MB31">
        <v>67887</v>
      </c>
      <c r="MC31">
        <v>65800</v>
      </c>
      <c r="MD31">
        <v>1109603</v>
      </c>
      <c r="ME31">
        <v>136</v>
      </c>
    </row>
    <row r="32" spans="2:343" x14ac:dyDescent="0.25">
      <c r="B32" s="24"/>
      <c r="C32">
        <v>2</v>
      </c>
      <c r="D32">
        <v>2</v>
      </c>
      <c r="E32">
        <v>2</v>
      </c>
      <c r="F32">
        <v>29871042165</v>
      </c>
      <c r="G32">
        <v>2817</v>
      </c>
      <c r="I32" s="24"/>
      <c r="J32">
        <v>4</v>
      </c>
      <c r="K32">
        <v>4</v>
      </c>
      <c r="L32">
        <v>4</v>
      </c>
      <c r="M32">
        <v>5645111589</v>
      </c>
      <c r="N32">
        <v>2033</v>
      </c>
      <c r="P32" s="24"/>
      <c r="Q32">
        <v>27</v>
      </c>
      <c r="R32">
        <v>28</v>
      </c>
      <c r="S32">
        <v>27</v>
      </c>
      <c r="T32">
        <v>1862866659</v>
      </c>
      <c r="U32">
        <v>1735</v>
      </c>
      <c r="W32" s="24"/>
      <c r="X32">
        <v>63</v>
      </c>
      <c r="Y32">
        <v>63</v>
      </c>
      <c r="Z32">
        <v>63</v>
      </c>
      <c r="AA32">
        <v>342802524</v>
      </c>
      <c r="AB32">
        <v>1365</v>
      </c>
      <c r="AD32" s="24"/>
      <c r="AE32">
        <v>530</v>
      </c>
      <c r="AF32">
        <v>556</v>
      </c>
      <c r="AG32">
        <v>534</v>
      </c>
      <c r="AH32">
        <v>103294401</v>
      </c>
      <c r="AI32">
        <v>1669</v>
      </c>
      <c r="AK32" s="24"/>
      <c r="AL32">
        <v>980</v>
      </c>
      <c r="AM32">
        <v>1014</v>
      </c>
      <c r="AN32">
        <v>1007</v>
      </c>
      <c r="AO32">
        <v>39814036</v>
      </c>
      <c r="AP32">
        <v>1218</v>
      </c>
      <c r="AR32" s="24"/>
      <c r="AS32">
        <v>2901</v>
      </c>
      <c r="AT32">
        <v>3020</v>
      </c>
      <c r="AU32">
        <v>2915</v>
      </c>
      <c r="AV32">
        <v>16553262</v>
      </c>
      <c r="AW32">
        <v>1242</v>
      </c>
      <c r="AY32" s="24"/>
      <c r="AZ32">
        <v>334892973</v>
      </c>
      <c r="BA32">
        <v>343999954</v>
      </c>
      <c r="BB32">
        <v>335751700</v>
      </c>
      <c r="BC32">
        <v>1870</v>
      </c>
      <c r="BD32">
        <v>1231</v>
      </c>
      <c r="BF32" s="24"/>
      <c r="BG32">
        <v>20794</v>
      </c>
      <c r="BH32">
        <v>21000</v>
      </c>
      <c r="BI32">
        <v>21000</v>
      </c>
      <c r="BJ32">
        <v>2463673</v>
      </c>
      <c r="BK32">
        <v>150</v>
      </c>
      <c r="BM32" s="24"/>
      <c r="BN32">
        <v>6700535</v>
      </c>
      <c r="BO32">
        <v>6750002</v>
      </c>
      <c r="BP32">
        <v>6700543</v>
      </c>
      <c r="BQ32">
        <v>7314</v>
      </c>
      <c r="BR32">
        <v>276</v>
      </c>
      <c r="BT32" s="24"/>
      <c r="BU32">
        <v>1462</v>
      </c>
      <c r="BV32">
        <v>1493</v>
      </c>
      <c r="BW32">
        <v>1492</v>
      </c>
      <c r="BX32">
        <v>24487512</v>
      </c>
      <c r="BY32">
        <v>242</v>
      </c>
      <c r="CA32" s="24"/>
      <c r="CB32">
        <v>223</v>
      </c>
      <c r="CC32">
        <v>231</v>
      </c>
      <c r="CD32">
        <v>229</v>
      </c>
      <c r="CE32">
        <v>61571084</v>
      </c>
      <c r="CF32">
        <v>221</v>
      </c>
      <c r="CH32" s="24"/>
      <c r="CI32">
        <v>25507</v>
      </c>
      <c r="CJ32">
        <v>26000</v>
      </c>
      <c r="CK32">
        <v>25509</v>
      </c>
      <c r="CL32">
        <v>1265922</v>
      </c>
      <c r="CM32">
        <v>127</v>
      </c>
      <c r="CO32" s="24"/>
      <c r="CP32">
        <v>6714</v>
      </c>
      <c r="CQ32">
        <v>6919</v>
      </c>
      <c r="CR32">
        <v>6714</v>
      </c>
      <c r="CS32">
        <v>907428</v>
      </c>
      <c r="CT32">
        <v>324</v>
      </c>
      <c r="CV32" s="24"/>
      <c r="CW32">
        <v>1369900</v>
      </c>
      <c r="CX32">
        <v>1369996</v>
      </c>
      <c r="CY32">
        <v>1369995</v>
      </c>
      <c r="CZ32">
        <v>5255</v>
      </c>
      <c r="DA32">
        <v>29</v>
      </c>
      <c r="DC32" s="24"/>
      <c r="DD32">
        <v>237</v>
      </c>
      <c r="DE32">
        <v>244</v>
      </c>
      <c r="DF32">
        <v>243</v>
      </c>
      <c r="DG32">
        <v>50167916</v>
      </c>
      <c r="DH32">
        <v>147</v>
      </c>
      <c r="DJ32" s="24"/>
      <c r="DK32">
        <v>37501000</v>
      </c>
      <c r="DL32">
        <v>37507023</v>
      </c>
      <c r="DM32">
        <v>37503000</v>
      </c>
      <c r="DN32">
        <v>192</v>
      </c>
      <c r="DO32">
        <v>68</v>
      </c>
      <c r="DQ32" s="24"/>
      <c r="DR32">
        <v>1078000</v>
      </c>
      <c r="DS32">
        <v>1180979</v>
      </c>
      <c r="DT32">
        <v>1150979</v>
      </c>
      <c r="DU32">
        <v>4780</v>
      </c>
      <c r="DV32">
        <v>219</v>
      </c>
      <c r="DX32" s="24"/>
      <c r="DY32">
        <v>18001001</v>
      </c>
      <c r="DZ32">
        <v>19688888</v>
      </c>
      <c r="EA32">
        <v>18008014</v>
      </c>
      <c r="EB32">
        <v>308</v>
      </c>
      <c r="EC32">
        <v>99</v>
      </c>
      <c r="EE32" s="24"/>
      <c r="EF32">
        <v>162</v>
      </c>
      <c r="EG32">
        <v>171</v>
      </c>
      <c r="EH32">
        <v>169</v>
      </c>
      <c r="EI32">
        <v>85380254</v>
      </c>
      <c r="EJ32">
        <v>223</v>
      </c>
      <c r="EL32" s="24"/>
      <c r="EM32">
        <v>46400</v>
      </c>
      <c r="EN32">
        <v>51019</v>
      </c>
      <c r="EO32">
        <v>46508</v>
      </c>
      <c r="EP32">
        <v>46399</v>
      </c>
      <c r="EQ32">
        <v>618</v>
      </c>
      <c r="ES32" s="24"/>
      <c r="ET32">
        <v>241</v>
      </c>
      <c r="EU32">
        <v>248</v>
      </c>
      <c r="EV32">
        <v>246</v>
      </c>
      <c r="EW32">
        <v>28987174</v>
      </c>
      <c r="EX32">
        <v>493</v>
      </c>
      <c r="EZ32" s="24"/>
      <c r="FA32">
        <v>3000137</v>
      </c>
      <c r="FB32">
        <v>3499999</v>
      </c>
      <c r="FC32">
        <v>3499999</v>
      </c>
      <c r="FD32">
        <v>609</v>
      </c>
      <c r="FE32">
        <v>10</v>
      </c>
      <c r="FG32" s="24"/>
      <c r="FH32">
        <v>9800</v>
      </c>
      <c r="FI32">
        <v>9999</v>
      </c>
      <c r="FJ32">
        <v>9978</v>
      </c>
      <c r="FK32">
        <v>2133707</v>
      </c>
      <c r="FL32">
        <v>487</v>
      </c>
      <c r="FN32" s="24"/>
      <c r="FO32">
        <v>17890</v>
      </c>
      <c r="FP32">
        <v>17893</v>
      </c>
      <c r="FQ32">
        <v>17892</v>
      </c>
      <c r="FR32">
        <v>108370</v>
      </c>
      <c r="FS32">
        <v>91</v>
      </c>
      <c r="FU32" s="24"/>
      <c r="FV32">
        <v>29630</v>
      </c>
      <c r="FW32">
        <v>29661</v>
      </c>
      <c r="FX32">
        <v>29651</v>
      </c>
      <c r="FY32">
        <v>261029</v>
      </c>
      <c r="FZ32">
        <v>1268</v>
      </c>
      <c r="GB32" s="24"/>
      <c r="GC32">
        <v>109000000</v>
      </c>
      <c r="GD32">
        <v>110992301</v>
      </c>
      <c r="GE32">
        <v>110003392</v>
      </c>
      <c r="GF32">
        <v>90</v>
      </c>
      <c r="GG32">
        <v>66</v>
      </c>
      <c r="GI32" s="24"/>
      <c r="GJ32">
        <v>25502020</v>
      </c>
      <c r="GK32">
        <v>27500000</v>
      </c>
      <c r="GL32">
        <v>25502022</v>
      </c>
      <c r="GM32">
        <v>325</v>
      </c>
      <c r="GN32">
        <v>79</v>
      </c>
      <c r="GP32" s="24"/>
      <c r="GQ32">
        <v>92</v>
      </c>
      <c r="GR32">
        <v>98</v>
      </c>
      <c r="GS32">
        <v>98</v>
      </c>
      <c r="GT32">
        <v>103738600</v>
      </c>
      <c r="GU32">
        <v>150</v>
      </c>
      <c r="GW32" s="24"/>
      <c r="GX32">
        <v>228</v>
      </c>
      <c r="GY32">
        <v>238</v>
      </c>
      <c r="GZ32">
        <v>238</v>
      </c>
      <c r="HA32">
        <v>35518009</v>
      </c>
      <c r="HB32">
        <v>187</v>
      </c>
      <c r="HD32" s="24"/>
      <c r="HE32">
        <v>4355</v>
      </c>
      <c r="HF32">
        <v>4477</v>
      </c>
      <c r="HG32">
        <v>4477</v>
      </c>
      <c r="HH32">
        <v>16382356</v>
      </c>
      <c r="HI32">
        <v>292</v>
      </c>
      <c r="HK32" s="24"/>
      <c r="HL32">
        <v>111658830</v>
      </c>
      <c r="HM32">
        <v>114969799</v>
      </c>
      <c r="HN32">
        <v>111665700</v>
      </c>
      <c r="HO32">
        <v>115</v>
      </c>
      <c r="HP32">
        <v>78</v>
      </c>
      <c r="HR32" s="24"/>
      <c r="HS32">
        <v>10009</v>
      </c>
      <c r="HT32">
        <v>10449</v>
      </c>
      <c r="HU32">
        <v>10447</v>
      </c>
      <c r="HV32">
        <v>566092</v>
      </c>
      <c r="HW32">
        <v>115</v>
      </c>
      <c r="HY32" s="24"/>
      <c r="HZ32">
        <v>8080</v>
      </c>
      <c r="IA32">
        <v>8500</v>
      </c>
      <c r="IB32">
        <v>8399</v>
      </c>
      <c r="IC32">
        <v>2077331</v>
      </c>
      <c r="ID32">
        <v>448</v>
      </c>
      <c r="IF32" s="24"/>
      <c r="IG32">
        <v>2560</v>
      </c>
      <c r="IH32">
        <v>2604</v>
      </c>
      <c r="II32">
        <v>2604</v>
      </c>
      <c r="IJ32">
        <v>2012263</v>
      </c>
      <c r="IK32">
        <v>170</v>
      </c>
      <c r="IM32" s="24"/>
      <c r="IN32">
        <v>107000000</v>
      </c>
      <c r="IO32">
        <v>111990019</v>
      </c>
      <c r="IP32">
        <v>109994749</v>
      </c>
      <c r="IQ32">
        <v>90</v>
      </c>
      <c r="IR32">
        <v>71</v>
      </c>
      <c r="IT32" s="24"/>
      <c r="IU32">
        <v>9250</v>
      </c>
      <c r="IV32">
        <v>10320</v>
      </c>
      <c r="IW32">
        <v>9799</v>
      </c>
      <c r="IX32">
        <v>1091041</v>
      </c>
      <c r="IY32">
        <v>181</v>
      </c>
      <c r="JA32" s="24"/>
      <c r="JB32">
        <v>107593025</v>
      </c>
      <c r="JC32">
        <v>114984410</v>
      </c>
      <c r="JD32">
        <v>111663019</v>
      </c>
      <c r="JE32">
        <v>138</v>
      </c>
      <c r="JF32">
        <v>84</v>
      </c>
      <c r="JH32" s="24"/>
      <c r="JI32">
        <v>108426965</v>
      </c>
      <c r="JJ32">
        <v>110993708</v>
      </c>
      <c r="JK32">
        <v>110030177</v>
      </c>
      <c r="JL32">
        <v>37</v>
      </c>
      <c r="JM32">
        <v>32</v>
      </c>
      <c r="JO32" s="24"/>
      <c r="JP32">
        <v>70</v>
      </c>
      <c r="JQ32">
        <v>71</v>
      </c>
      <c r="JR32">
        <v>70</v>
      </c>
      <c r="JS32">
        <v>117620646</v>
      </c>
      <c r="JT32">
        <v>109</v>
      </c>
      <c r="JV32" s="24"/>
      <c r="JW32">
        <v>75</v>
      </c>
      <c r="JX32">
        <v>78</v>
      </c>
      <c r="JY32">
        <v>78</v>
      </c>
      <c r="JZ32">
        <v>140468131</v>
      </c>
      <c r="KA32">
        <v>147</v>
      </c>
      <c r="KC32" s="24"/>
      <c r="KD32">
        <v>15</v>
      </c>
      <c r="KE32">
        <v>15</v>
      </c>
      <c r="KF32">
        <v>15</v>
      </c>
      <c r="KG32">
        <v>38914814</v>
      </c>
      <c r="KH32">
        <v>278</v>
      </c>
      <c r="KJ32" s="24"/>
      <c r="KK32">
        <v>95</v>
      </c>
      <c r="KL32">
        <v>100</v>
      </c>
      <c r="KM32">
        <v>97</v>
      </c>
      <c r="KN32">
        <v>120624588</v>
      </c>
      <c r="KO32">
        <v>154</v>
      </c>
      <c r="KQ32" s="24"/>
      <c r="KR32">
        <v>102749</v>
      </c>
      <c r="KS32">
        <v>102823</v>
      </c>
      <c r="KT32">
        <v>102753</v>
      </c>
      <c r="KU32">
        <v>42721</v>
      </c>
      <c r="KV32">
        <v>599</v>
      </c>
      <c r="KX32" s="24"/>
      <c r="KY32">
        <v>507</v>
      </c>
      <c r="KZ32">
        <v>507</v>
      </c>
      <c r="LA32">
        <v>507</v>
      </c>
      <c r="LB32">
        <v>7555554</v>
      </c>
      <c r="LC32">
        <v>192</v>
      </c>
      <c r="LE32" s="24"/>
      <c r="LF32">
        <v>215694</v>
      </c>
      <c r="LG32">
        <v>216157</v>
      </c>
      <c r="LH32">
        <v>215706</v>
      </c>
      <c r="LI32">
        <v>79008</v>
      </c>
      <c r="LJ32">
        <v>928</v>
      </c>
      <c r="LL32" s="24"/>
      <c r="LM32">
        <v>78621</v>
      </c>
      <c r="LN32">
        <v>78800</v>
      </c>
      <c r="LO32">
        <v>78770</v>
      </c>
      <c r="LP32">
        <v>283688</v>
      </c>
      <c r="LQ32">
        <v>1295</v>
      </c>
      <c r="LS32" s="24"/>
      <c r="LT32">
        <v>230</v>
      </c>
      <c r="LU32">
        <v>237</v>
      </c>
      <c r="LV32">
        <v>236</v>
      </c>
      <c r="LW32">
        <v>78267171</v>
      </c>
      <c r="LX32">
        <v>341</v>
      </c>
      <c r="LZ32" s="24"/>
      <c r="MA32">
        <v>61215</v>
      </c>
      <c r="MB32">
        <v>67886</v>
      </c>
      <c r="MC32">
        <v>64706</v>
      </c>
      <c r="MD32">
        <v>1335881</v>
      </c>
      <c r="ME32">
        <v>167</v>
      </c>
    </row>
    <row r="33" spans="2:343" x14ac:dyDescent="0.25">
      <c r="B33" s="24"/>
      <c r="C33">
        <v>2</v>
      </c>
      <c r="D33">
        <v>2</v>
      </c>
      <c r="E33">
        <v>2</v>
      </c>
      <c r="F33">
        <v>36747854271</v>
      </c>
      <c r="G33">
        <v>2925</v>
      </c>
      <c r="I33" s="24"/>
      <c r="J33">
        <v>4</v>
      </c>
      <c r="K33">
        <v>4</v>
      </c>
      <c r="L33">
        <v>4</v>
      </c>
      <c r="M33">
        <v>6632483411</v>
      </c>
      <c r="N33">
        <v>2051</v>
      </c>
      <c r="P33" s="24"/>
      <c r="Q33">
        <v>28</v>
      </c>
      <c r="R33">
        <v>28</v>
      </c>
      <c r="S33">
        <v>28</v>
      </c>
      <c r="T33">
        <v>2211136178</v>
      </c>
      <c r="U33">
        <v>1985</v>
      </c>
      <c r="W33" s="24"/>
      <c r="X33">
        <v>63</v>
      </c>
      <c r="Y33">
        <v>63</v>
      </c>
      <c r="Z33">
        <v>63</v>
      </c>
      <c r="AA33">
        <v>432613138</v>
      </c>
      <c r="AB33">
        <v>1467</v>
      </c>
      <c r="AD33" s="24"/>
      <c r="AE33">
        <v>536</v>
      </c>
      <c r="AF33">
        <v>553</v>
      </c>
      <c r="AG33">
        <v>549</v>
      </c>
      <c r="AH33">
        <v>118198544</v>
      </c>
      <c r="AI33">
        <v>1620</v>
      </c>
      <c r="AK33" s="24"/>
      <c r="AL33">
        <v>985</v>
      </c>
      <c r="AM33">
        <v>1014</v>
      </c>
      <c r="AN33">
        <v>1012</v>
      </c>
      <c r="AO33">
        <v>34253453</v>
      </c>
      <c r="AP33">
        <v>1269</v>
      </c>
      <c r="AR33" s="24"/>
      <c r="AS33">
        <v>2909</v>
      </c>
      <c r="AT33">
        <v>2949</v>
      </c>
      <c r="AU33">
        <v>2948</v>
      </c>
      <c r="AV33">
        <v>13509998</v>
      </c>
      <c r="AW33">
        <v>1198</v>
      </c>
      <c r="AY33" s="24"/>
      <c r="AZ33">
        <v>331221026</v>
      </c>
      <c r="BA33">
        <v>339039499</v>
      </c>
      <c r="BB33">
        <v>337203499</v>
      </c>
      <c r="BC33">
        <v>1888</v>
      </c>
      <c r="BD33">
        <v>1279</v>
      </c>
      <c r="BF33" s="24"/>
      <c r="BG33">
        <v>20500</v>
      </c>
      <c r="BH33">
        <v>20600</v>
      </c>
      <c r="BI33">
        <v>20501</v>
      </c>
      <c r="BJ33">
        <v>1706333</v>
      </c>
      <c r="BK33">
        <v>193</v>
      </c>
      <c r="BM33" s="24"/>
      <c r="BN33">
        <v>6700551</v>
      </c>
      <c r="BO33">
        <v>6730000</v>
      </c>
      <c r="BP33">
        <v>6700552</v>
      </c>
      <c r="BQ33">
        <v>8529</v>
      </c>
      <c r="BR33">
        <v>273</v>
      </c>
      <c r="BT33" s="24"/>
      <c r="BU33">
        <v>1435</v>
      </c>
      <c r="BV33">
        <v>1485</v>
      </c>
      <c r="BW33">
        <v>1480</v>
      </c>
      <c r="BX33">
        <v>36664905</v>
      </c>
      <c r="BY33">
        <v>253</v>
      </c>
      <c r="CA33" s="24"/>
      <c r="CB33">
        <v>223</v>
      </c>
      <c r="CC33">
        <v>233</v>
      </c>
      <c r="CD33">
        <v>231</v>
      </c>
      <c r="CE33">
        <v>56785155</v>
      </c>
      <c r="CF33">
        <v>251</v>
      </c>
      <c r="CH33" s="24"/>
      <c r="CI33">
        <v>25509</v>
      </c>
      <c r="CJ33">
        <v>25512</v>
      </c>
      <c r="CK33">
        <v>25512</v>
      </c>
      <c r="CL33">
        <v>566077</v>
      </c>
      <c r="CM33">
        <v>132</v>
      </c>
      <c r="CO33" s="24"/>
      <c r="CP33">
        <v>6440</v>
      </c>
      <c r="CQ33">
        <v>6631</v>
      </c>
      <c r="CR33">
        <v>6580</v>
      </c>
      <c r="CS33">
        <v>1346526</v>
      </c>
      <c r="CT33">
        <v>380</v>
      </c>
      <c r="CV33" s="24"/>
      <c r="CW33">
        <v>1369996</v>
      </c>
      <c r="CX33">
        <v>1369996</v>
      </c>
      <c r="CY33">
        <v>1369996</v>
      </c>
      <c r="CZ33">
        <v>2777</v>
      </c>
      <c r="DA33">
        <v>17</v>
      </c>
      <c r="DC33" s="24"/>
      <c r="DD33">
        <v>235</v>
      </c>
      <c r="DE33">
        <v>244</v>
      </c>
      <c r="DF33">
        <v>244</v>
      </c>
      <c r="DG33">
        <v>31019250</v>
      </c>
      <c r="DH33">
        <v>161</v>
      </c>
      <c r="DJ33" s="24"/>
      <c r="DK33">
        <v>37427000</v>
      </c>
      <c r="DL33">
        <v>37926998</v>
      </c>
      <c r="DM33">
        <v>37511000</v>
      </c>
      <c r="DN33">
        <v>490</v>
      </c>
      <c r="DO33">
        <v>102</v>
      </c>
      <c r="DQ33" s="24"/>
      <c r="DR33">
        <v>1126004</v>
      </c>
      <c r="DS33">
        <v>1220046</v>
      </c>
      <c r="DT33">
        <v>1150000</v>
      </c>
      <c r="DU33">
        <v>4897</v>
      </c>
      <c r="DV33">
        <v>210</v>
      </c>
      <c r="DX33" s="24"/>
      <c r="DY33">
        <v>18500000</v>
      </c>
      <c r="DZ33">
        <v>19249003</v>
      </c>
      <c r="EA33">
        <v>18749999</v>
      </c>
      <c r="EB33">
        <v>444</v>
      </c>
      <c r="EC33">
        <v>101</v>
      </c>
      <c r="EE33" s="24"/>
      <c r="EF33">
        <v>163</v>
      </c>
      <c r="EG33">
        <v>170</v>
      </c>
      <c r="EH33">
        <v>167</v>
      </c>
      <c r="EI33">
        <v>92857610</v>
      </c>
      <c r="EJ33">
        <v>198</v>
      </c>
      <c r="EL33" s="24"/>
      <c r="EM33">
        <v>46800</v>
      </c>
      <c r="EN33">
        <v>47105</v>
      </c>
      <c r="EO33">
        <v>46829</v>
      </c>
      <c r="EP33">
        <v>50807</v>
      </c>
      <c r="EQ33">
        <v>615</v>
      </c>
      <c r="ES33" s="24"/>
      <c r="ET33">
        <v>245</v>
      </c>
      <c r="EU33">
        <v>250</v>
      </c>
      <c r="EV33">
        <v>248</v>
      </c>
      <c r="EW33">
        <v>27388849</v>
      </c>
      <c r="EX33">
        <v>535</v>
      </c>
      <c r="EZ33" s="24"/>
      <c r="FA33">
        <v>3498130</v>
      </c>
      <c r="FB33">
        <v>3498130</v>
      </c>
      <c r="FC33">
        <v>3498130</v>
      </c>
      <c r="FD33">
        <v>140</v>
      </c>
      <c r="FE33">
        <v>3</v>
      </c>
      <c r="FG33" s="24"/>
      <c r="FH33">
        <v>9899</v>
      </c>
      <c r="FI33">
        <v>10738</v>
      </c>
      <c r="FJ33">
        <v>10201</v>
      </c>
      <c r="FK33">
        <v>1867086</v>
      </c>
      <c r="FL33">
        <v>490</v>
      </c>
      <c r="FN33" s="24"/>
      <c r="FO33">
        <v>17888</v>
      </c>
      <c r="FP33">
        <v>17890</v>
      </c>
      <c r="FQ33">
        <v>17889</v>
      </c>
      <c r="FR33">
        <v>102346</v>
      </c>
      <c r="FS33">
        <v>80</v>
      </c>
      <c r="FU33" s="24"/>
      <c r="FV33">
        <v>29757</v>
      </c>
      <c r="FW33">
        <v>30062</v>
      </c>
      <c r="FX33">
        <v>29760</v>
      </c>
      <c r="FY33">
        <v>274903</v>
      </c>
      <c r="FZ33">
        <v>1242</v>
      </c>
      <c r="GB33" s="24"/>
      <c r="GC33">
        <v>102035002</v>
      </c>
      <c r="GD33">
        <v>110991791</v>
      </c>
      <c r="GE33">
        <v>102100800</v>
      </c>
      <c r="GF33">
        <v>118</v>
      </c>
      <c r="GG33">
        <v>75</v>
      </c>
      <c r="GI33" s="24"/>
      <c r="GJ33">
        <v>26000012</v>
      </c>
      <c r="GK33">
        <v>26501015</v>
      </c>
      <c r="GL33">
        <v>26501006</v>
      </c>
      <c r="GM33">
        <v>154</v>
      </c>
      <c r="GN33">
        <v>44</v>
      </c>
      <c r="GP33" s="24"/>
      <c r="GQ33">
        <v>95</v>
      </c>
      <c r="GR33">
        <v>97</v>
      </c>
      <c r="GS33">
        <v>96</v>
      </c>
      <c r="GT33">
        <v>120666191</v>
      </c>
      <c r="GU33">
        <v>148</v>
      </c>
      <c r="GW33" s="24"/>
      <c r="GX33">
        <v>226</v>
      </c>
      <c r="GY33">
        <v>234</v>
      </c>
      <c r="GZ33">
        <v>234</v>
      </c>
      <c r="HA33">
        <v>50922325</v>
      </c>
      <c r="HB33">
        <v>194</v>
      </c>
      <c r="HD33" s="24"/>
      <c r="HE33">
        <v>4475</v>
      </c>
      <c r="HF33">
        <v>4477</v>
      </c>
      <c r="HG33">
        <v>4476</v>
      </c>
      <c r="HH33">
        <v>11162596</v>
      </c>
      <c r="HI33">
        <v>239</v>
      </c>
      <c r="HK33" s="24"/>
      <c r="HL33">
        <v>106217200</v>
      </c>
      <c r="HM33">
        <v>114962219</v>
      </c>
      <c r="HN33">
        <v>110012000</v>
      </c>
      <c r="HO33">
        <v>135</v>
      </c>
      <c r="HP33">
        <v>95</v>
      </c>
      <c r="HR33" s="24"/>
      <c r="HS33">
        <v>10010</v>
      </c>
      <c r="HT33">
        <v>10431</v>
      </c>
      <c r="HU33">
        <v>10011</v>
      </c>
      <c r="HV33">
        <v>465043</v>
      </c>
      <c r="HW33">
        <v>111</v>
      </c>
      <c r="HY33" s="24"/>
      <c r="HZ33">
        <v>8054</v>
      </c>
      <c r="IA33">
        <v>8330</v>
      </c>
      <c r="IB33">
        <v>8300</v>
      </c>
      <c r="IC33">
        <v>2187195</v>
      </c>
      <c r="ID33">
        <v>461</v>
      </c>
      <c r="IF33" s="24"/>
      <c r="IG33">
        <v>2493</v>
      </c>
      <c r="IH33">
        <v>2598</v>
      </c>
      <c r="II33">
        <v>2539</v>
      </c>
      <c r="IJ33">
        <v>1963425</v>
      </c>
      <c r="IK33">
        <v>139</v>
      </c>
      <c r="IM33" s="24"/>
      <c r="IN33">
        <v>106900000</v>
      </c>
      <c r="IO33">
        <v>111983219</v>
      </c>
      <c r="IP33">
        <v>107200001</v>
      </c>
      <c r="IQ33">
        <v>129</v>
      </c>
      <c r="IR33">
        <v>87</v>
      </c>
      <c r="IT33" s="24"/>
      <c r="IU33">
        <v>8900</v>
      </c>
      <c r="IV33">
        <v>10200</v>
      </c>
      <c r="IW33">
        <v>10149</v>
      </c>
      <c r="IX33">
        <v>911482</v>
      </c>
      <c r="IY33">
        <v>180</v>
      </c>
      <c r="JA33" s="24"/>
      <c r="JB33">
        <v>107301001</v>
      </c>
      <c r="JC33">
        <v>114980467</v>
      </c>
      <c r="JD33">
        <v>108100901</v>
      </c>
      <c r="JE33">
        <v>173</v>
      </c>
      <c r="JF33">
        <v>105</v>
      </c>
      <c r="JH33" s="24"/>
      <c r="JI33">
        <v>106822000</v>
      </c>
      <c r="JJ33">
        <v>110983469</v>
      </c>
      <c r="JK33">
        <v>107472083</v>
      </c>
      <c r="JL33">
        <v>77</v>
      </c>
      <c r="JM33">
        <v>48</v>
      </c>
      <c r="JO33" s="24"/>
      <c r="JP33">
        <v>68</v>
      </c>
      <c r="JQ33">
        <v>71</v>
      </c>
      <c r="JR33">
        <v>70</v>
      </c>
      <c r="JS33">
        <v>102186351</v>
      </c>
      <c r="JT33">
        <v>106</v>
      </c>
      <c r="JV33" s="24"/>
      <c r="JW33">
        <v>74</v>
      </c>
      <c r="JX33">
        <v>78</v>
      </c>
      <c r="JY33">
        <v>77</v>
      </c>
      <c r="JZ33">
        <v>160718017</v>
      </c>
      <c r="KA33">
        <v>139</v>
      </c>
      <c r="KC33" s="24"/>
      <c r="KD33">
        <v>15</v>
      </c>
      <c r="KE33">
        <v>15</v>
      </c>
      <c r="KF33">
        <v>15</v>
      </c>
      <c r="KG33">
        <v>71358344</v>
      </c>
      <c r="KH33">
        <v>288</v>
      </c>
      <c r="KJ33" s="24"/>
      <c r="KK33">
        <v>100</v>
      </c>
      <c r="KL33">
        <v>107</v>
      </c>
      <c r="KM33">
        <v>107</v>
      </c>
      <c r="KN33">
        <v>184005487</v>
      </c>
      <c r="KO33">
        <v>147</v>
      </c>
      <c r="KQ33" s="24"/>
      <c r="KR33">
        <v>103000</v>
      </c>
      <c r="KS33">
        <v>114947</v>
      </c>
      <c r="KT33">
        <v>105753</v>
      </c>
      <c r="KU33">
        <v>70012</v>
      </c>
      <c r="KV33">
        <v>643</v>
      </c>
      <c r="KX33" s="24"/>
      <c r="KY33">
        <v>504</v>
      </c>
      <c r="KZ33">
        <v>506</v>
      </c>
      <c r="LA33">
        <v>505</v>
      </c>
      <c r="LB33">
        <v>5454960</v>
      </c>
      <c r="LC33">
        <v>193</v>
      </c>
      <c r="LE33" s="24"/>
      <c r="LF33">
        <v>218187</v>
      </c>
      <c r="LG33">
        <v>221087</v>
      </c>
      <c r="LH33">
        <v>219516</v>
      </c>
      <c r="LI33">
        <v>92234</v>
      </c>
      <c r="LJ33">
        <v>940</v>
      </c>
      <c r="LL33" s="24"/>
      <c r="LM33">
        <v>79213</v>
      </c>
      <c r="LN33">
        <v>81141</v>
      </c>
      <c r="LO33">
        <v>79900</v>
      </c>
      <c r="LP33">
        <v>286057</v>
      </c>
      <c r="LQ33">
        <v>1331</v>
      </c>
      <c r="LS33" s="24"/>
      <c r="LT33">
        <v>229</v>
      </c>
      <c r="LU33">
        <v>235</v>
      </c>
      <c r="LV33">
        <v>235</v>
      </c>
      <c r="LW33">
        <v>81777181</v>
      </c>
      <c r="LX33">
        <v>328</v>
      </c>
      <c r="LZ33" s="24"/>
      <c r="MA33">
        <v>62568</v>
      </c>
      <c r="MB33">
        <v>66790</v>
      </c>
      <c r="MC33">
        <v>62999</v>
      </c>
      <c r="MD33">
        <v>1622533</v>
      </c>
      <c r="ME33">
        <v>198</v>
      </c>
    </row>
    <row r="34" spans="2:343" x14ac:dyDescent="0.25">
      <c r="B34" s="24"/>
      <c r="C34">
        <v>2</v>
      </c>
      <c r="D34">
        <v>2</v>
      </c>
      <c r="E34">
        <v>2</v>
      </c>
      <c r="F34">
        <v>36091926065</v>
      </c>
      <c r="G34">
        <v>3578</v>
      </c>
      <c r="I34" s="24"/>
      <c r="J34">
        <v>4</v>
      </c>
      <c r="K34">
        <v>4</v>
      </c>
      <c r="L34">
        <v>4</v>
      </c>
      <c r="M34">
        <v>8932670136</v>
      </c>
      <c r="N34">
        <v>2591</v>
      </c>
      <c r="P34" s="24"/>
      <c r="Q34">
        <v>28</v>
      </c>
      <c r="R34">
        <v>29</v>
      </c>
      <c r="S34">
        <v>28</v>
      </c>
      <c r="T34">
        <v>2902172370</v>
      </c>
      <c r="U34">
        <v>2352</v>
      </c>
      <c r="W34" s="24"/>
      <c r="X34">
        <v>64</v>
      </c>
      <c r="Y34">
        <v>66</v>
      </c>
      <c r="Z34">
        <v>66</v>
      </c>
      <c r="AA34">
        <v>541009688</v>
      </c>
      <c r="AB34">
        <v>1829</v>
      </c>
      <c r="AD34" s="24"/>
      <c r="AE34">
        <v>528</v>
      </c>
      <c r="AF34">
        <v>536</v>
      </c>
      <c r="AG34">
        <v>536</v>
      </c>
      <c r="AH34">
        <v>154298999</v>
      </c>
      <c r="AI34">
        <v>2009</v>
      </c>
      <c r="AK34" s="24"/>
      <c r="AL34">
        <v>989</v>
      </c>
      <c r="AM34">
        <v>1014</v>
      </c>
      <c r="AN34">
        <v>1012</v>
      </c>
      <c r="AO34">
        <v>31163268</v>
      </c>
      <c r="AP34">
        <v>1558</v>
      </c>
      <c r="AR34" s="24"/>
      <c r="AS34">
        <v>2911</v>
      </c>
      <c r="AT34">
        <v>3012</v>
      </c>
      <c r="AU34">
        <v>3000</v>
      </c>
      <c r="AV34">
        <v>17541422</v>
      </c>
      <c r="AW34">
        <v>1616</v>
      </c>
      <c r="AY34" s="24"/>
      <c r="AZ34">
        <v>336511111</v>
      </c>
      <c r="BA34">
        <v>344999699</v>
      </c>
      <c r="BB34">
        <v>339499999</v>
      </c>
      <c r="BC34">
        <v>2014</v>
      </c>
      <c r="BD34">
        <v>1387</v>
      </c>
      <c r="BF34" s="24"/>
      <c r="BG34">
        <v>21405</v>
      </c>
      <c r="BH34">
        <v>22299</v>
      </c>
      <c r="BI34">
        <v>21407</v>
      </c>
      <c r="BJ34">
        <v>1224248</v>
      </c>
      <c r="BK34">
        <v>208</v>
      </c>
      <c r="BM34" s="24"/>
      <c r="BN34">
        <v>6350380</v>
      </c>
      <c r="BO34">
        <v>6652503</v>
      </c>
      <c r="BP34">
        <v>6600000</v>
      </c>
      <c r="BQ34">
        <v>10360</v>
      </c>
      <c r="BR34">
        <v>379</v>
      </c>
      <c r="BT34" s="24"/>
      <c r="BU34">
        <v>1477</v>
      </c>
      <c r="BV34">
        <v>1478</v>
      </c>
      <c r="BW34">
        <v>1478</v>
      </c>
      <c r="BX34">
        <v>34035066</v>
      </c>
      <c r="BY34">
        <v>276</v>
      </c>
      <c r="CA34" s="24"/>
      <c r="CB34">
        <v>233</v>
      </c>
      <c r="CC34">
        <v>234</v>
      </c>
      <c r="CD34">
        <v>234</v>
      </c>
      <c r="CE34">
        <v>94742046</v>
      </c>
      <c r="CF34">
        <v>310</v>
      </c>
      <c r="CH34" s="24"/>
      <c r="CI34">
        <v>25555</v>
      </c>
      <c r="CJ34">
        <v>25556</v>
      </c>
      <c r="CK34">
        <v>25556</v>
      </c>
      <c r="CL34">
        <v>766768</v>
      </c>
      <c r="CM34">
        <v>184</v>
      </c>
      <c r="CO34" s="24"/>
      <c r="CP34">
        <v>6608</v>
      </c>
      <c r="CQ34">
        <v>7349</v>
      </c>
      <c r="CR34">
        <v>6999</v>
      </c>
      <c r="CS34">
        <v>1437061</v>
      </c>
      <c r="CT34">
        <v>486</v>
      </c>
      <c r="CV34" s="24"/>
      <c r="CW34">
        <v>1369996</v>
      </c>
      <c r="CX34">
        <v>1370000</v>
      </c>
      <c r="CY34">
        <v>1369996</v>
      </c>
      <c r="CZ34">
        <v>6657</v>
      </c>
      <c r="DA34">
        <v>45</v>
      </c>
      <c r="DC34" s="24"/>
      <c r="DD34">
        <v>246</v>
      </c>
      <c r="DE34">
        <v>253</v>
      </c>
      <c r="DF34">
        <v>250</v>
      </c>
      <c r="DG34">
        <v>58609278</v>
      </c>
      <c r="DH34">
        <v>183</v>
      </c>
      <c r="DJ34" s="24"/>
      <c r="DK34">
        <v>36157000</v>
      </c>
      <c r="DL34">
        <v>37924998</v>
      </c>
      <c r="DM34">
        <v>37403001</v>
      </c>
      <c r="DN34">
        <v>552</v>
      </c>
      <c r="DO34">
        <v>129</v>
      </c>
      <c r="DQ34" s="24"/>
      <c r="DR34">
        <v>1130076</v>
      </c>
      <c r="DS34">
        <v>1188999</v>
      </c>
      <c r="DT34">
        <v>1131001</v>
      </c>
      <c r="DU34">
        <v>7478</v>
      </c>
      <c r="DV34">
        <v>290</v>
      </c>
      <c r="DX34" s="24"/>
      <c r="DY34">
        <v>18210000</v>
      </c>
      <c r="DZ34">
        <v>19000000</v>
      </c>
      <c r="EA34">
        <v>18502500</v>
      </c>
      <c r="EB34">
        <v>656</v>
      </c>
      <c r="EC34">
        <v>184</v>
      </c>
      <c r="EE34" s="24"/>
      <c r="EF34">
        <v>165</v>
      </c>
      <c r="EG34">
        <v>171</v>
      </c>
      <c r="EH34">
        <v>170</v>
      </c>
      <c r="EI34">
        <v>158957796</v>
      </c>
      <c r="EJ34">
        <v>299</v>
      </c>
      <c r="EL34" s="24"/>
      <c r="EM34">
        <v>50001</v>
      </c>
      <c r="EN34">
        <v>50101</v>
      </c>
      <c r="EO34">
        <v>50099</v>
      </c>
      <c r="EP34">
        <v>72428</v>
      </c>
      <c r="EQ34">
        <v>810</v>
      </c>
      <c r="ES34" s="24"/>
      <c r="ET34">
        <v>253</v>
      </c>
      <c r="EU34">
        <v>255</v>
      </c>
      <c r="EV34">
        <v>254</v>
      </c>
      <c r="EW34">
        <v>58112839</v>
      </c>
      <c r="EX34">
        <v>750</v>
      </c>
      <c r="EZ34" s="24"/>
      <c r="FA34">
        <v>3389999</v>
      </c>
      <c r="FB34">
        <v>3389999</v>
      </c>
      <c r="FC34">
        <v>3389999</v>
      </c>
      <c r="FD34">
        <v>1822</v>
      </c>
      <c r="FE34">
        <v>34</v>
      </c>
      <c r="FG34" s="24"/>
      <c r="FH34">
        <v>10400</v>
      </c>
      <c r="FI34">
        <v>10724</v>
      </c>
      <c r="FJ34">
        <v>10687</v>
      </c>
      <c r="FK34">
        <v>2963534</v>
      </c>
      <c r="FL34">
        <v>715</v>
      </c>
      <c r="FN34" s="24"/>
      <c r="FO34">
        <v>17887</v>
      </c>
      <c r="FP34">
        <v>17888</v>
      </c>
      <c r="FQ34">
        <v>17888</v>
      </c>
      <c r="FR34">
        <v>291512</v>
      </c>
      <c r="FS34">
        <v>126</v>
      </c>
      <c r="FU34" s="24"/>
      <c r="FV34">
        <v>30078</v>
      </c>
      <c r="FW34">
        <v>30208</v>
      </c>
      <c r="FX34">
        <v>30200</v>
      </c>
      <c r="FY34">
        <v>431447</v>
      </c>
      <c r="FZ34">
        <v>1660</v>
      </c>
      <c r="GB34" s="24"/>
      <c r="GC34">
        <v>105060000</v>
      </c>
      <c r="GD34">
        <v>108999000</v>
      </c>
      <c r="GE34">
        <v>108000000</v>
      </c>
      <c r="GF34">
        <v>103</v>
      </c>
      <c r="GG34">
        <v>75</v>
      </c>
      <c r="GI34" s="24"/>
      <c r="GJ34">
        <v>26600070</v>
      </c>
      <c r="GK34">
        <v>27492959</v>
      </c>
      <c r="GL34">
        <v>26600072</v>
      </c>
      <c r="GM34">
        <v>542</v>
      </c>
      <c r="GN34">
        <v>117</v>
      </c>
      <c r="GP34" s="24"/>
      <c r="GQ34">
        <v>94</v>
      </c>
      <c r="GR34">
        <v>97</v>
      </c>
      <c r="GS34">
        <v>96</v>
      </c>
      <c r="GT34">
        <v>180541207</v>
      </c>
      <c r="GU34">
        <v>178</v>
      </c>
      <c r="GW34" s="24"/>
      <c r="GX34">
        <v>234</v>
      </c>
      <c r="GY34">
        <v>237</v>
      </c>
      <c r="GZ34">
        <v>237</v>
      </c>
      <c r="HA34">
        <v>78086404</v>
      </c>
      <c r="HB34">
        <v>308</v>
      </c>
      <c r="HD34" s="24"/>
      <c r="HE34">
        <v>4475</v>
      </c>
      <c r="HF34">
        <v>4476</v>
      </c>
      <c r="HG34">
        <v>4475</v>
      </c>
      <c r="HH34">
        <v>28961624</v>
      </c>
      <c r="HI34">
        <v>394</v>
      </c>
      <c r="HK34" s="24"/>
      <c r="HL34">
        <v>108000003</v>
      </c>
      <c r="HM34">
        <v>114719922</v>
      </c>
      <c r="HN34">
        <v>110654152</v>
      </c>
      <c r="HO34">
        <v>88</v>
      </c>
      <c r="HP34">
        <v>67</v>
      </c>
      <c r="HR34" s="24"/>
      <c r="HS34">
        <v>10011</v>
      </c>
      <c r="HT34">
        <v>10430</v>
      </c>
      <c r="HU34">
        <v>10428</v>
      </c>
      <c r="HV34">
        <v>1225061</v>
      </c>
      <c r="HW34">
        <v>190</v>
      </c>
      <c r="HY34" s="24"/>
      <c r="HZ34">
        <v>8025</v>
      </c>
      <c r="IA34">
        <v>8375</v>
      </c>
      <c r="IB34">
        <v>8325</v>
      </c>
      <c r="IC34">
        <v>2906300</v>
      </c>
      <c r="ID34">
        <v>578</v>
      </c>
      <c r="IF34" s="24"/>
      <c r="IG34">
        <v>2538</v>
      </c>
      <c r="IH34">
        <v>2538</v>
      </c>
      <c r="II34">
        <v>2538</v>
      </c>
      <c r="IJ34">
        <v>2195783</v>
      </c>
      <c r="IK34">
        <v>171</v>
      </c>
      <c r="IM34" s="24"/>
      <c r="IN34">
        <v>102500000</v>
      </c>
      <c r="IO34">
        <v>111980017</v>
      </c>
      <c r="IP34">
        <v>105668234</v>
      </c>
      <c r="IQ34">
        <v>99</v>
      </c>
      <c r="IR34">
        <v>77</v>
      </c>
      <c r="IT34" s="24"/>
      <c r="IU34">
        <v>10144</v>
      </c>
      <c r="IV34">
        <v>10145</v>
      </c>
      <c r="IW34">
        <v>10145</v>
      </c>
      <c r="IX34">
        <v>2350636</v>
      </c>
      <c r="IY34">
        <v>231</v>
      </c>
      <c r="JA34" s="24"/>
      <c r="JB34">
        <v>109100904</v>
      </c>
      <c r="JC34">
        <v>114976307</v>
      </c>
      <c r="JD34">
        <v>113186174</v>
      </c>
      <c r="JE34">
        <v>82</v>
      </c>
      <c r="JF34">
        <v>71</v>
      </c>
      <c r="JH34" s="24"/>
      <c r="JI34">
        <v>102200003</v>
      </c>
      <c r="JJ34">
        <v>110979600</v>
      </c>
      <c r="JK34">
        <v>106937623</v>
      </c>
      <c r="JL34">
        <v>63</v>
      </c>
      <c r="JM34">
        <v>39</v>
      </c>
      <c r="JO34" s="24"/>
      <c r="JP34">
        <v>69</v>
      </c>
      <c r="JQ34">
        <v>73</v>
      </c>
      <c r="JR34">
        <v>72</v>
      </c>
      <c r="JS34">
        <v>141981254</v>
      </c>
      <c r="JT34">
        <v>137</v>
      </c>
      <c r="JV34" s="24"/>
      <c r="JW34">
        <v>76</v>
      </c>
      <c r="JX34">
        <v>78</v>
      </c>
      <c r="JY34">
        <v>78</v>
      </c>
      <c r="JZ34">
        <v>225162751</v>
      </c>
      <c r="KA34">
        <v>196</v>
      </c>
      <c r="KC34" s="24"/>
      <c r="KD34">
        <v>15</v>
      </c>
      <c r="KE34">
        <v>15</v>
      </c>
      <c r="KF34">
        <v>15</v>
      </c>
      <c r="KG34">
        <v>114754239</v>
      </c>
      <c r="KH34">
        <v>394</v>
      </c>
      <c r="KJ34" s="24"/>
      <c r="KK34">
        <v>99</v>
      </c>
      <c r="KL34">
        <v>107</v>
      </c>
      <c r="KM34">
        <v>101</v>
      </c>
      <c r="KN34">
        <v>130478549</v>
      </c>
      <c r="KO34">
        <v>180</v>
      </c>
      <c r="KQ34" s="24"/>
      <c r="KR34">
        <v>105005</v>
      </c>
      <c r="KS34">
        <v>105072</v>
      </c>
      <c r="KT34">
        <v>105016</v>
      </c>
      <c r="KU34">
        <v>76390</v>
      </c>
      <c r="KV34">
        <v>783</v>
      </c>
      <c r="KX34" s="24"/>
      <c r="KY34">
        <v>487</v>
      </c>
      <c r="KZ34">
        <v>503</v>
      </c>
      <c r="LA34">
        <v>502</v>
      </c>
      <c r="LB34">
        <v>12648013</v>
      </c>
      <c r="LC34">
        <v>252</v>
      </c>
      <c r="LE34" s="24"/>
      <c r="LF34">
        <v>215008</v>
      </c>
      <c r="LG34">
        <v>222304</v>
      </c>
      <c r="LH34">
        <v>221150</v>
      </c>
      <c r="LI34">
        <v>165927</v>
      </c>
      <c r="LJ34">
        <v>1247</v>
      </c>
      <c r="LL34" s="24"/>
      <c r="LM34">
        <v>83002</v>
      </c>
      <c r="LN34">
        <v>83361</v>
      </c>
      <c r="LO34">
        <v>83251</v>
      </c>
      <c r="LP34">
        <v>450059</v>
      </c>
      <c r="LQ34">
        <v>1659</v>
      </c>
      <c r="LS34" s="24"/>
      <c r="LT34">
        <v>235</v>
      </c>
      <c r="LU34">
        <v>244</v>
      </c>
      <c r="LV34">
        <v>235</v>
      </c>
      <c r="LW34">
        <v>133101885</v>
      </c>
      <c r="LX34">
        <v>470</v>
      </c>
      <c r="LZ34" s="24"/>
      <c r="MA34">
        <v>63005</v>
      </c>
      <c r="MB34">
        <v>65000</v>
      </c>
      <c r="MC34">
        <v>64800</v>
      </c>
      <c r="MD34">
        <v>1406814</v>
      </c>
      <c r="ME34">
        <v>196</v>
      </c>
    </row>
    <row r="35" spans="2:343" x14ac:dyDescent="0.25">
      <c r="B35" s="24"/>
      <c r="C35">
        <v>2</v>
      </c>
      <c r="D35">
        <v>2</v>
      </c>
      <c r="E35">
        <v>2</v>
      </c>
      <c r="F35">
        <v>42977751274</v>
      </c>
      <c r="G35">
        <v>3556</v>
      </c>
      <c r="I35" s="24"/>
      <c r="J35">
        <v>4</v>
      </c>
      <c r="K35">
        <v>4</v>
      </c>
      <c r="L35">
        <v>4</v>
      </c>
      <c r="M35">
        <v>7765567308</v>
      </c>
      <c r="N35">
        <v>2637</v>
      </c>
      <c r="P35" s="24"/>
      <c r="Q35">
        <v>28</v>
      </c>
      <c r="R35">
        <v>28</v>
      </c>
      <c r="S35">
        <v>28</v>
      </c>
      <c r="T35">
        <v>2278752703</v>
      </c>
      <c r="U35">
        <v>2379</v>
      </c>
      <c r="W35" s="24"/>
      <c r="X35">
        <v>64</v>
      </c>
      <c r="Y35">
        <v>66</v>
      </c>
      <c r="Z35">
        <v>65</v>
      </c>
      <c r="AA35">
        <v>487530588</v>
      </c>
      <c r="AB35">
        <v>1917</v>
      </c>
      <c r="AD35" s="24"/>
      <c r="AE35">
        <v>540</v>
      </c>
      <c r="AF35">
        <v>549</v>
      </c>
      <c r="AG35">
        <v>549</v>
      </c>
      <c r="AH35">
        <v>116623399</v>
      </c>
      <c r="AI35">
        <v>1963</v>
      </c>
      <c r="AK35" s="24"/>
      <c r="AL35">
        <v>994</v>
      </c>
      <c r="AM35">
        <v>1014</v>
      </c>
      <c r="AN35">
        <v>1009</v>
      </c>
      <c r="AO35">
        <v>32558088</v>
      </c>
      <c r="AP35">
        <v>1557</v>
      </c>
      <c r="AR35" s="24"/>
      <c r="AS35">
        <v>2912</v>
      </c>
      <c r="AT35">
        <v>3010</v>
      </c>
      <c r="AU35">
        <v>2971</v>
      </c>
      <c r="AV35">
        <v>15164344</v>
      </c>
      <c r="AW35">
        <v>1567</v>
      </c>
      <c r="AY35" s="24"/>
      <c r="AZ35">
        <v>341899984</v>
      </c>
      <c r="BA35">
        <v>349998997</v>
      </c>
      <c r="BB35">
        <v>345000000</v>
      </c>
      <c r="BC35">
        <v>1939</v>
      </c>
      <c r="BD35">
        <v>1378</v>
      </c>
      <c r="BF35" s="24"/>
      <c r="BG35">
        <v>21493</v>
      </c>
      <c r="BH35">
        <v>21600</v>
      </c>
      <c r="BI35">
        <v>21534</v>
      </c>
      <c r="BJ35">
        <v>1721740</v>
      </c>
      <c r="BK35">
        <v>170</v>
      </c>
      <c r="BM35" s="24"/>
      <c r="BN35">
        <v>6700000</v>
      </c>
      <c r="BO35">
        <v>6783499</v>
      </c>
      <c r="BP35">
        <v>6733513</v>
      </c>
      <c r="BQ35">
        <v>15404</v>
      </c>
      <c r="BR35">
        <v>410</v>
      </c>
      <c r="BT35" s="24"/>
      <c r="BU35">
        <v>1459</v>
      </c>
      <c r="BV35">
        <v>1486</v>
      </c>
      <c r="BW35">
        <v>1485</v>
      </c>
      <c r="BX35">
        <v>29699339</v>
      </c>
      <c r="BY35">
        <v>262</v>
      </c>
      <c r="CA35" s="24"/>
      <c r="CB35">
        <v>228</v>
      </c>
      <c r="CC35">
        <v>234</v>
      </c>
      <c r="CD35">
        <v>234</v>
      </c>
      <c r="CE35">
        <v>99265428</v>
      </c>
      <c r="CF35">
        <v>316</v>
      </c>
      <c r="CH35" s="24"/>
      <c r="CI35">
        <v>26400</v>
      </c>
      <c r="CJ35">
        <v>26400</v>
      </c>
      <c r="CK35">
        <v>26400</v>
      </c>
      <c r="CL35">
        <v>746354</v>
      </c>
      <c r="CM35">
        <v>133</v>
      </c>
      <c r="CO35" s="24"/>
      <c r="CP35">
        <v>6851</v>
      </c>
      <c r="CQ35">
        <v>7479</v>
      </c>
      <c r="CR35">
        <v>7399</v>
      </c>
      <c r="CS35">
        <v>1050613</v>
      </c>
      <c r="CT35">
        <v>369</v>
      </c>
      <c r="CV35" s="24"/>
      <c r="CW35">
        <v>1300000</v>
      </c>
      <c r="CX35">
        <v>1369995</v>
      </c>
      <c r="CY35">
        <v>1369994</v>
      </c>
      <c r="CZ35">
        <v>15494</v>
      </c>
      <c r="DA35">
        <v>63</v>
      </c>
      <c r="DC35" s="24"/>
      <c r="DD35">
        <v>260</v>
      </c>
      <c r="DE35">
        <v>265</v>
      </c>
      <c r="DF35">
        <v>265</v>
      </c>
      <c r="DG35">
        <v>41794799</v>
      </c>
      <c r="DH35">
        <v>163</v>
      </c>
      <c r="DJ35" s="24"/>
      <c r="DK35">
        <v>36159100</v>
      </c>
      <c r="DL35">
        <v>37854000</v>
      </c>
      <c r="DM35">
        <v>36204013</v>
      </c>
      <c r="DN35">
        <v>639</v>
      </c>
      <c r="DO35">
        <v>134</v>
      </c>
      <c r="DQ35" s="24"/>
      <c r="DR35">
        <v>1078009</v>
      </c>
      <c r="DS35">
        <v>1149997</v>
      </c>
      <c r="DT35">
        <v>1132001</v>
      </c>
      <c r="DU35">
        <v>9588</v>
      </c>
      <c r="DV35">
        <v>267</v>
      </c>
      <c r="DX35" s="24"/>
      <c r="DY35">
        <v>18057008</v>
      </c>
      <c r="DZ35">
        <v>19067005</v>
      </c>
      <c r="EA35">
        <v>18067010</v>
      </c>
      <c r="EB35">
        <v>504</v>
      </c>
      <c r="EC35">
        <v>121</v>
      </c>
      <c r="EE35" s="24"/>
      <c r="EF35">
        <v>166</v>
      </c>
      <c r="EG35">
        <v>174</v>
      </c>
      <c r="EH35">
        <v>173</v>
      </c>
      <c r="EI35">
        <v>100259757</v>
      </c>
      <c r="EJ35">
        <v>234</v>
      </c>
      <c r="EL35" s="24"/>
      <c r="EM35">
        <v>50150</v>
      </c>
      <c r="EN35">
        <v>52998</v>
      </c>
      <c r="EO35">
        <v>51004</v>
      </c>
      <c r="EP35">
        <v>102258</v>
      </c>
      <c r="EQ35">
        <v>776</v>
      </c>
      <c r="ES35" s="24"/>
      <c r="ET35">
        <v>257</v>
      </c>
      <c r="EU35">
        <v>279</v>
      </c>
      <c r="EV35">
        <v>263</v>
      </c>
      <c r="EW35">
        <v>45928199</v>
      </c>
      <c r="EX35">
        <v>640</v>
      </c>
      <c r="EZ35" s="24"/>
      <c r="FA35">
        <v>3349998</v>
      </c>
      <c r="FB35">
        <v>3349998</v>
      </c>
      <c r="FC35">
        <v>3349998</v>
      </c>
      <c r="FD35">
        <v>1361</v>
      </c>
      <c r="FE35">
        <v>19</v>
      </c>
      <c r="FG35" s="24"/>
      <c r="FH35">
        <v>10295</v>
      </c>
      <c r="FI35">
        <v>10769</v>
      </c>
      <c r="FJ35">
        <v>10353</v>
      </c>
      <c r="FK35">
        <v>2607442</v>
      </c>
      <c r="FL35">
        <v>599</v>
      </c>
      <c r="FN35" s="24"/>
      <c r="FO35">
        <v>17854</v>
      </c>
      <c r="FP35">
        <v>17855</v>
      </c>
      <c r="FQ35">
        <v>17854</v>
      </c>
      <c r="FR35">
        <v>151668</v>
      </c>
      <c r="FS35">
        <v>106</v>
      </c>
      <c r="FU35" s="24"/>
      <c r="FV35">
        <v>29416</v>
      </c>
      <c r="FW35">
        <v>30008</v>
      </c>
      <c r="FX35">
        <v>29519</v>
      </c>
      <c r="FY35">
        <v>343399</v>
      </c>
      <c r="FZ35">
        <v>1551</v>
      </c>
      <c r="GB35" s="24"/>
      <c r="GC35">
        <v>105500000</v>
      </c>
      <c r="GD35">
        <v>108997800</v>
      </c>
      <c r="GE35">
        <v>108000000</v>
      </c>
      <c r="GF35">
        <v>105</v>
      </c>
      <c r="GG35">
        <v>70</v>
      </c>
      <c r="GI35" s="24"/>
      <c r="GJ35">
        <v>26005014</v>
      </c>
      <c r="GK35">
        <v>26698988</v>
      </c>
      <c r="GL35">
        <v>26501016</v>
      </c>
      <c r="GM35">
        <v>512</v>
      </c>
      <c r="GN35">
        <v>114</v>
      </c>
      <c r="GP35" s="24"/>
      <c r="GQ35">
        <v>93</v>
      </c>
      <c r="GR35">
        <v>95</v>
      </c>
      <c r="GS35">
        <v>95</v>
      </c>
      <c r="GT35">
        <v>137821702</v>
      </c>
      <c r="GU35">
        <v>157</v>
      </c>
      <c r="GW35" s="24"/>
      <c r="GX35">
        <v>230</v>
      </c>
      <c r="GY35">
        <v>248</v>
      </c>
      <c r="GZ35">
        <v>243</v>
      </c>
      <c r="HA35">
        <v>70179434</v>
      </c>
      <c r="HB35">
        <v>221</v>
      </c>
      <c r="HD35" s="24"/>
      <c r="HE35">
        <v>4466</v>
      </c>
      <c r="HF35">
        <v>4636</v>
      </c>
      <c r="HG35">
        <v>4597</v>
      </c>
      <c r="HH35">
        <v>18830494</v>
      </c>
      <c r="HI35">
        <v>356</v>
      </c>
      <c r="HK35" s="24"/>
      <c r="HL35">
        <v>105233001</v>
      </c>
      <c r="HM35">
        <v>110399000</v>
      </c>
      <c r="HN35">
        <v>110390899</v>
      </c>
      <c r="HO35">
        <v>102</v>
      </c>
      <c r="HP35">
        <v>73</v>
      </c>
      <c r="HR35" s="24"/>
      <c r="HS35">
        <v>10448</v>
      </c>
      <c r="HT35">
        <v>13000</v>
      </c>
      <c r="HU35">
        <v>12001</v>
      </c>
      <c r="HV35">
        <v>1134023</v>
      </c>
      <c r="HW35">
        <v>202</v>
      </c>
      <c r="HY35" s="24"/>
      <c r="HZ35">
        <v>8161</v>
      </c>
      <c r="IA35">
        <v>8525</v>
      </c>
      <c r="IB35">
        <v>8449</v>
      </c>
      <c r="IC35">
        <v>2223763</v>
      </c>
      <c r="ID35">
        <v>505</v>
      </c>
      <c r="IF35" s="24"/>
      <c r="IG35">
        <v>2538</v>
      </c>
      <c r="IH35">
        <v>2538</v>
      </c>
      <c r="II35">
        <v>2538</v>
      </c>
      <c r="IJ35">
        <v>2112510</v>
      </c>
      <c r="IK35">
        <v>135</v>
      </c>
      <c r="IM35" s="24"/>
      <c r="IN35">
        <v>102501000</v>
      </c>
      <c r="IO35">
        <v>109993397</v>
      </c>
      <c r="IP35">
        <v>109991999</v>
      </c>
      <c r="IQ35">
        <v>113</v>
      </c>
      <c r="IR35">
        <v>70</v>
      </c>
      <c r="IT35" s="24"/>
      <c r="IU35">
        <v>10143</v>
      </c>
      <c r="IV35">
        <v>10144</v>
      </c>
      <c r="IW35">
        <v>10144</v>
      </c>
      <c r="IX35">
        <v>1388020</v>
      </c>
      <c r="IY35">
        <v>190</v>
      </c>
      <c r="JA35" s="24"/>
      <c r="JB35">
        <v>109100912</v>
      </c>
      <c r="JC35">
        <v>113996399</v>
      </c>
      <c r="JD35">
        <v>109100914</v>
      </c>
      <c r="JE35">
        <v>138</v>
      </c>
      <c r="JF35">
        <v>102</v>
      </c>
      <c r="JH35" s="24"/>
      <c r="JI35">
        <v>102205020</v>
      </c>
      <c r="JJ35">
        <v>110895600</v>
      </c>
      <c r="JK35">
        <v>106518777</v>
      </c>
      <c r="JL35">
        <v>87</v>
      </c>
      <c r="JM35">
        <v>53</v>
      </c>
      <c r="JO35" s="24"/>
      <c r="JP35">
        <v>70</v>
      </c>
      <c r="JQ35">
        <v>73</v>
      </c>
      <c r="JR35">
        <v>73</v>
      </c>
      <c r="JS35">
        <v>101009965</v>
      </c>
      <c r="JT35">
        <v>107</v>
      </c>
      <c r="JV35" s="24"/>
      <c r="JW35">
        <v>76</v>
      </c>
      <c r="JX35">
        <v>79</v>
      </c>
      <c r="JY35">
        <v>79</v>
      </c>
      <c r="JZ35">
        <v>153391595</v>
      </c>
      <c r="KA35">
        <v>164</v>
      </c>
      <c r="KC35" s="24"/>
      <c r="KD35">
        <v>15</v>
      </c>
      <c r="KE35">
        <v>15</v>
      </c>
      <c r="KF35">
        <v>15</v>
      </c>
      <c r="KG35">
        <v>116947256</v>
      </c>
      <c r="KH35">
        <v>368</v>
      </c>
      <c r="KJ35" s="24"/>
      <c r="KK35">
        <v>101</v>
      </c>
      <c r="KL35">
        <v>106</v>
      </c>
      <c r="KM35">
        <v>103</v>
      </c>
      <c r="KN35">
        <v>97154194</v>
      </c>
      <c r="KO35">
        <v>164</v>
      </c>
      <c r="KQ35" s="24"/>
      <c r="KR35">
        <v>205000</v>
      </c>
      <c r="KS35">
        <v>205000</v>
      </c>
      <c r="KT35">
        <v>205000</v>
      </c>
      <c r="KU35">
        <v>168866</v>
      </c>
      <c r="KV35">
        <v>832</v>
      </c>
      <c r="KX35" s="24"/>
      <c r="KY35">
        <v>486</v>
      </c>
      <c r="KZ35">
        <v>502</v>
      </c>
      <c r="LA35">
        <v>502</v>
      </c>
      <c r="LB35">
        <v>10100996</v>
      </c>
      <c r="LC35">
        <v>231</v>
      </c>
      <c r="LE35" s="24"/>
      <c r="LF35">
        <v>200010</v>
      </c>
      <c r="LG35">
        <v>212000</v>
      </c>
      <c r="LH35">
        <v>206998</v>
      </c>
      <c r="LI35">
        <v>207639</v>
      </c>
      <c r="LJ35">
        <v>1213</v>
      </c>
      <c r="LL35" s="24"/>
      <c r="LM35">
        <v>79840</v>
      </c>
      <c r="LN35">
        <v>80000</v>
      </c>
      <c r="LO35">
        <v>79844</v>
      </c>
      <c r="LP35">
        <v>589402</v>
      </c>
      <c r="LQ35">
        <v>1595</v>
      </c>
      <c r="LS35" s="24"/>
      <c r="LT35">
        <v>230</v>
      </c>
      <c r="LU35">
        <v>238</v>
      </c>
      <c r="LV35">
        <v>237</v>
      </c>
      <c r="LW35">
        <v>174933587</v>
      </c>
      <c r="LX35">
        <v>421</v>
      </c>
      <c r="LZ35" s="24"/>
      <c r="MA35">
        <v>62860</v>
      </c>
      <c r="MB35">
        <v>65665</v>
      </c>
      <c r="MC35">
        <v>65658</v>
      </c>
      <c r="MD35">
        <v>822618</v>
      </c>
      <c r="ME35">
        <v>88</v>
      </c>
    </row>
    <row r="36" spans="2:343" x14ac:dyDescent="0.25">
      <c r="B36" s="24"/>
      <c r="C36">
        <v>2</v>
      </c>
      <c r="D36">
        <v>2</v>
      </c>
      <c r="E36">
        <v>2</v>
      </c>
      <c r="F36">
        <v>38773949651</v>
      </c>
      <c r="G36">
        <v>3327</v>
      </c>
      <c r="I36" s="24"/>
      <c r="J36">
        <v>4</v>
      </c>
      <c r="K36">
        <v>4</v>
      </c>
      <c r="L36">
        <v>4</v>
      </c>
      <c r="M36">
        <v>5558866687</v>
      </c>
      <c r="N36">
        <v>2379</v>
      </c>
      <c r="P36" s="24"/>
      <c r="Q36">
        <v>28</v>
      </c>
      <c r="R36">
        <v>29</v>
      </c>
      <c r="S36">
        <v>28</v>
      </c>
      <c r="T36">
        <v>2278517309</v>
      </c>
      <c r="U36">
        <v>2277</v>
      </c>
      <c r="W36" s="24"/>
      <c r="X36">
        <v>63</v>
      </c>
      <c r="Y36">
        <v>65</v>
      </c>
      <c r="Z36">
        <v>63</v>
      </c>
      <c r="AA36">
        <v>470525203</v>
      </c>
      <c r="AB36">
        <v>1639</v>
      </c>
      <c r="AD36" s="24"/>
      <c r="AE36">
        <v>540</v>
      </c>
      <c r="AF36">
        <v>545</v>
      </c>
      <c r="AG36">
        <v>543</v>
      </c>
      <c r="AH36">
        <v>129114136</v>
      </c>
      <c r="AI36">
        <v>1779</v>
      </c>
      <c r="AK36" s="24"/>
      <c r="AL36">
        <v>993</v>
      </c>
      <c r="AM36">
        <v>1029</v>
      </c>
      <c r="AN36">
        <v>1009</v>
      </c>
      <c r="AO36">
        <v>37093067</v>
      </c>
      <c r="AP36">
        <v>1485</v>
      </c>
      <c r="AR36" s="24"/>
      <c r="AS36">
        <v>2920</v>
      </c>
      <c r="AT36">
        <v>3001</v>
      </c>
      <c r="AU36">
        <v>3000</v>
      </c>
      <c r="AV36">
        <v>14282795</v>
      </c>
      <c r="AW36">
        <v>1373</v>
      </c>
      <c r="AY36" s="24"/>
      <c r="AZ36">
        <v>340000000</v>
      </c>
      <c r="BA36">
        <v>348999999</v>
      </c>
      <c r="BB36">
        <v>344499999</v>
      </c>
      <c r="BC36">
        <v>2331</v>
      </c>
      <c r="BD36">
        <v>1546</v>
      </c>
      <c r="BF36" s="24"/>
      <c r="BG36">
        <v>21800</v>
      </c>
      <c r="BH36">
        <v>22000</v>
      </c>
      <c r="BI36">
        <v>22000</v>
      </c>
      <c r="BJ36">
        <v>4552871</v>
      </c>
      <c r="BK36">
        <v>202</v>
      </c>
      <c r="BM36" s="24"/>
      <c r="BN36">
        <v>6760004</v>
      </c>
      <c r="BO36">
        <v>6761515</v>
      </c>
      <c r="BP36">
        <v>6760015</v>
      </c>
      <c r="BQ36">
        <v>8586</v>
      </c>
      <c r="BR36">
        <v>294</v>
      </c>
      <c r="BT36" s="24"/>
      <c r="BU36">
        <v>1413</v>
      </c>
      <c r="BV36">
        <v>1451</v>
      </c>
      <c r="BW36">
        <v>1451</v>
      </c>
      <c r="BX36">
        <v>25247354</v>
      </c>
      <c r="BY36">
        <v>287</v>
      </c>
      <c r="CA36" s="24"/>
      <c r="CB36">
        <v>227</v>
      </c>
      <c r="CC36">
        <v>234</v>
      </c>
      <c r="CD36">
        <v>234</v>
      </c>
      <c r="CE36">
        <v>76744995</v>
      </c>
      <c r="CF36">
        <v>256</v>
      </c>
      <c r="CH36" s="24"/>
      <c r="CI36">
        <v>26500</v>
      </c>
      <c r="CJ36">
        <v>26502</v>
      </c>
      <c r="CK36">
        <v>26500</v>
      </c>
      <c r="CL36">
        <v>786642</v>
      </c>
      <c r="CM36">
        <v>145</v>
      </c>
      <c r="CO36" s="24"/>
      <c r="CP36">
        <v>6873</v>
      </c>
      <c r="CQ36">
        <v>7082</v>
      </c>
      <c r="CR36">
        <v>7080</v>
      </c>
      <c r="CS36">
        <v>879762</v>
      </c>
      <c r="CT36">
        <v>328</v>
      </c>
      <c r="CV36" s="24"/>
      <c r="CW36">
        <v>1370999</v>
      </c>
      <c r="CX36">
        <v>1371000</v>
      </c>
      <c r="CY36">
        <v>1371000</v>
      </c>
      <c r="CZ36">
        <v>4060</v>
      </c>
      <c r="DA36">
        <v>23</v>
      </c>
      <c r="DC36" s="24"/>
      <c r="DD36">
        <v>250</v>
      </c>
      <c r="DE36">
        <v>262</v>
      </c>
      <c r="DF36">
        <v>256</v>
      </c>
      <c r="DG36">
        <v>47018194</v>
      </c>
      <c r="DH36">
        <v>165</v>
      </c>
      <c r="DJ36" s="24"/>
      <c r="DK36">
        <v>37110000</v>
      </c>
      <c r="DL36">
        <v>38184998</v>
      </c>
      <c r="DM36">
        <v>38109000</v>
      </c>
      <c r="DN36">
        <v>532</v>
      </c>
      <c r="DO36">
        <v>121</v>
      </c>
      <c r="DQ36" s="24"/>
      <c r="DR36">
        <v>1078003</v>
      </c>
      <c r="DS36">
        <v>1139948</v>
      </c>
      <c r="DT36">
        <v>1078014</v>
      </c>
      <c r="DU36">
        <v>9832</v>
      </c>
      <c r="DV36">
        <v>332</v>
      </c>
      <c r="DX36" s="24"/>
      <c r="DY36">
        <v>17534002</v>
      </c>
      <c r="DZ36">
        <v>18834000</v>
      </c>
      <c r="EA36">
        <v>17538010</v>
      </c>
      <c r="EB36">
        <v>702</v>
      </c>
      <c r="EC36">
        <v>152</v>
      </c>
      <c r="EE36" s="24"/>
      <c r="EF36">
        <v>169</v>
      </c>
      <c r="EG36">
        <v>173</v>
      </c>
      <c r="EH36">
        <v>173</v>
      </c>
      <c r="EI36">
        <v>110865448</v>
      </c>
      <c r="EJ36">
        <v>231</v>
      </c>
      <c r="EL36" s="24"/>
      <c r="EM36">
        <v>50251</v>
      </c>
      <c r="EN36">
        <v>51998</v>
      </c>
      <c r="EO36">
        <v>50292</v>
      </c>
      <c r="EP36">
        <v>77067</v>
      </c>
      <c r="EQ36">
        <v>704</v>
      </c>
      <c r="ES36" s="24"/>
      <c r="ET36">
        <v>260</v>
      </c>
      <c r="EU36">
        <v>268</v>
      </c>
      <c r="EV36">
        <v>265</v>
      </c>
      <c r="EW36">
        <v>31815211</v>
      </c>
      <c r="EX36">
        <v>566</v>
      </c>
      <c r="EZ36" s="24"/>
      <c r="FA36">
        <v>3389997</v>
      </c>
      <c r="FB36">
        <v>3500000</v>
      </c>
      <c r="FC36">
        <v>3497131</v>
      </c>
      <c r="FD36">
        <v>1174</v>
      </c>
      <c r="FE36">
        <v>14</v>
      </c>
      <c r="FG36" s="24"/>
      <c r="FH36">
        <v>10250</v>
      </c>
      <c r="FI36">
        <v>10659</v>
      </c>
      <c r="FJ36">
        <v>10551</v>
      </c>
      <c r="FK36">
        <v>2528635</v>
      </c>
      <c r="FL36">
        <v>493</v>
      </c>
      <c r="FN36" s="24"/>
      <c r="FO36">
        <v>17853</v>
      </c>
      <c r="FP36">
        <v>17854</v>
      </c>
      <c r="FQ36">
        <v>17854</v>
      </c>
      <c r="FR36">
        <v>95773</v>
      </c>
      <c r="FS36">
        <v>92</v>
      </c>
      <c r="FU36" s="24"/>
      <c r="FV36">
        <v>30000</v>
      </c>
      <c r="FW36">
        <v>30022</v>
      </c>
      <c r="FX36">
        <v>30008</v>
      </c>
      <c r="FY36">
        <v>339078</v>
      </c>
      <c r="FZ36">
        <v>1435</v>
      </c>
      <c r="GB36" s="24"/>
      <c r="GC36">
        <v>105069300</v>
      </c>
      <c r="GD36">
        <v>108993000</v>
      </c>
      <c r="GE36">
        <v>107050000</v>
      </c>
      <c r="GF36">
        <v>104</v>
      </c>
      <c r="GG36">
        <v>74</v>
      </c>
      <c r="GI36" s="24"/>
      <c r="GJ36">
        <v>25502024</v>
      </c>
      <c r="GK36">
        <v>26606023</v>
      </c>
      <c r="GL36">
        <v>25503010</v>
      </c>
      <c r="GM36">
        <v>647</v>
      </c>
      <c r="GN36">
        <v>131</v>
      </c>
      <c r="GP36" s="24"/>
      <c r="GQ36">
        <v>95</v>
      </c>
      <c r="GR36">
        <v>97</v>
      </c>
      <c r="GS36">
        <v>95</v>
      </c>
      <c r="GT36">
        <v>118243130</v>
      </c>
      <c r="GU36">
        <v>154</v>
      </c>
      <c r="GW36" s="24"/>
      <c r="GX36">
        <v>235</v>
      </c>
      <c r="GY36">
        <v>247</v>
      </c>
      <c r="GZ36">
        <v>246</v>
      </c>
      <c r="HA36">
        <v>43455310</v>
      </c>
      <c r="HB36">
        <v>172</v>
      </c>
      <c r="HD36" s="24"/>
      <c r="HE36">
        <v>4383</v>
      </c>
      <c r="HF36">
        <v>4618</v>
      </c>
      <c r="HG36">
        <v>4543</v>
      </c>
      <c r="HH36">
        <v>16551790</v>
      </c>
      <c r="HI36">
        <v>324</v>
      </c>
      <c r="HK36" s="24"/>
      <c r="HL36">
        <v>108004400</v>
      </c>
      <c r="HM36">
        <v>109391997</v>
      </c>
      <c r="HN36">
        <v>109390000</v>
      </c>
      <c r="HO36">
        <v>115</v>
      </c>
      <c r="HP36">
        <v>82</v>
      </c>
      <c r="HR36" s="24"/>
      <c r="HS36">
        <v>10111</v>
      </c>
      <c r="HT36">
        <v>12000</v>
      </c>
      <c r="HU36">
        <v>11100</v>
      </c>
      <c r="HV36">
        <v>741758</v>
      </c>
      <c r="HW36">
        <v>170</v>
      </c>
      <c r="HY36" s="24"/>
      <c r="HZ36">
        <v>8161</v>
      </c>
      <c r="IA36">
        <v>8399</v>
      </c>
      <c r="IB36">
        <v>8166</v>
      </c>
      <c r="IC36">
        <v>2024475</v>
      </c>
      <c r="ID36">
        <v>386</v>
      </c>
      <c r="IF36" s="24"/>
      <c r="IG36">
        <v>2460</v>
      </c>
      <c r="IH36">
        <v>2538</v>
      </c>
      <c r="II36">
        <v>2490</v>
      </c>
      <c r="IJ36">
        <v>2056513</v>
      </c>
      <c r="IK36">
        <v>175</v>
      </c>
      <c r="IM36" s="24"/>
      <c r="IN36">
        <v>105551882</v>
      </c>
      <c r="IO36">
        <v>109988099</v>
      </c>
      <c r="IP36">
        <v>108000600</v>
      </c>
      <c r="IQ36">
        <v>103</v>
      </c>
      <c r="IR36">
        <v>70</v>
      </c>
      <c r="IT36" s="24"/>
      <c r="IU36">
        <v>9610</v>
      </c>
      <c r="IV36">
        <v>10079</v>
      </c>
      <c r="IW36">
        <v>9702</v>
      </c>
      <c r="IX36">
        <v>1655506</v>
      </c>
      <c r="IY36">
        <v>211</v>
      </c>
      <c r="JA36" s="24"/>
      <c r="JB36">
        <v>108500000</v>
      </c>
      <c r="JC36">
        <v>112992200</v>
      </c>
      <c r="JD36">
        <v>109500000</v>
      </c>
      <c r="JE36">
        <v>109</v>
      </c>
      <c r="JF36">
        <v>81</v>
      </c>
      <c r="JH36" s="24"/>
      <c r="JI36">
        <v>102206003</v>
      </c>
      <c r="JJ36">
        <v>110595445</v>
      </c>
      <c r="JK36">
        <v>107844743</v>
      </c>
      <c r="JL36">
        <v>63</v>
      </c>
      <c r="JM36">
        <v>49</v>
      </c>
      <c r="JO36" s="24"/>
      <c r="JP36">
        <v>73</v>
      </c>
      <c r="JQ36">
        <v>79</v>
      </c>
      <c r="JR36">
        <v>74</v>
      </c>
      <c r="JS36">
        <v>187402159</v>
      </c>
      <c r="JT36">
        <v>126</v>
      </c>
      <c r="JV36" s="24"/>
      <c r="JW36">
        <v>83</v>
      </c>
      <c r="JX36">
        <v>84</v>
      </c>
      <c r="JY36">
        <v>83</v>
      </c>
      <c r="JZ36">
        <v>74246825</v>
      </c>
      <c r="KA36">
        <v>138</v>
      </c>
      <c r="KC36" s="24"/>
      <c r="KD36">
        <v>15</v>
      </c>
      <c r="KE36">
        <v>15</v>
      </c>
      <c r="KF36">
        <v>15</v>
      </c>
      <c r="KG36">
        <v>80837461</v>
      </c>
      <c r="KH36">
        <v>275</v>
      </c>
      <c r="KJ36" s="24"/>
      <c r="KK36">
        <v>99</v>
      </c>
      <c r="KL36">
        <v>103</v>
      </c>
      <c r="KM36">
        <v>103</v>
      </c>
      <c r="KN36">
        <v>116930285</v>
      </c>
      <c r="KO36">
        <v>145</v>
      </c>
      <c r="KQ36" s="24"/>
      <c r="KR36">
        <v>103005</v>
      </c>
      <c r="KS36">
        <v>104000</v>
      </c>
      <c r="KT36">
        <v>103008</v>
      </c>
      <c r="KU36">
        <v>76171</v>
      </c>
      <c r="KV36">
        <v>656</v>
      </c>
      <c r="KX36" s="24"/>
      <c r="KY36">
        <v>432</v>
      </c>
      <c r="KZ36">
        <v>501</v>
      </c>
      <c r="LA36">
        <v>487</v>
      </c>
      <c r="LB36">
        <v>8356719</v>
      </c>
      <c r="LC36">
        <v>218</v>
      </c>
      <c r="LE36" s="24"/>
      <c r="LF36">
        <v>208017</v>
      </c>
      <c r="LG36">
        <v>214498</v>
      </c>
      <c r="LH36">
        <v>210001</v>
      </c>
      <c r="LI36">
        <v>162903</v>
      </c>
      <c r="LJ36">
        <v>1092</v>
      </c>
      <c r="LL36" s="24"/>
      <c r="LM36">
        <v>74115</v>
      </c>
      <c r="LN36">
        <v>77103</v>
      </c>
      <c r="LO36">
        <v>76000</v>
      </c>
      <c r="LP36">
        <v>370193</v>
      </c>
      <c r="LQ36">
        <v>1428</v>
      </c>
      <c r="LS36" s="24"/>
      <c r="LT36">
        <v>220</v>
      </c>
      <c r="LU36">
        <v>229</v>
      </c>
      <c r="LV36">
        <v>227</v>
      </c>
      <c r="LW36">
        <v>99458949</v>
      </c>
      <c r="LX36">
        <v>370</v>
      </c>
      <c r="LZ36" s="24"/>
      <c r="MA36">
        <v>65430</v>
      </c>
      <c r="MB36">
        <v>65568</v>
      </c>
      <c r="MC36">
        <v>65499</v>
      </c>
      <c r="MD36">
        <v>1201683</v>
      </c>
      <c r="ME36">
        <v>122</v>
      </c>
    </row>
    <row r="37" spans="2:343" x14ac:dyDescent="0.25">
      <c r="B37" s="24"/>
      <c r="C37">
        <v>2</v>
      </c>
      <c r="D37">
        <v>2</v>
      </c>
      <c r="E37">
        <v>2</v>
      </c>
      <c r="F37">
        <v>48952045517</v>
      </c>
      <c r="G37">
        <v>3201</v>
      </c>
      <c r="I37" s="24"/>
      <c r="J37">
        <v>4</v>
      </c>
      <c r="K37">
        <v>4</v>
      </c>
      <c r="L37">
        <v>4</v>
      </c>
      <c r="M37">
        <v>8673767964</v>
      </c>
      <c r="N37">
        <v>2322</v>
      </c>
      <c r="P37" s="24"/>
      <c r="Q37">
        <v>28</v>
      </c>
      <c r="R37">
        <v>29</v>
      </c>
      <c r="S37">
        <v>29</v>
      </c>
      <c r="T37">
        <v>2790834995</v>
      </c>
      <c r="U37">
        <v>2125</v>
      </c>
      <c r="W37" s="24"/>
      <c r="X37">
        <v>64</v>
      </c>
      <c r="Y37">
        <v>66</v>
      </c>
      <c r="Z37">
        <v>65</v>
      </c>
      <c r="AA37">
        <v>599676863</v>
      </c>
      <c r="AB37">
        <v>1626</v>
      </c>
      <c r="AD37" s="24"/>
      <c r="AE37">
        <v>534</v>
      </c>
      <c r="AF37">
        <v>549</v>
      </c>
      <c r="AG37">
        <v>542</v>
      </c>
      <c r="AH37">
        <v>193978309</v>
      </c>
      <c r="AI37">
        <v>1765</v>
      </c>
      <c r="AK37" s="24"/>
      <c r="AL37">
        <v>995</v>
      </c>
      <c r="AM37">
        <v>1030</v>
      </c>
      <c r="AN37">
        <v>1023</v>
      </c>
      <c r="AO37">
        <v>35081091</v>
      </c>
      <c r="AP37">
        <v>1410</v>
      </c>
      <c r="AR37" s="24"/>
      <c r="AS37">
        <v>2930</v>
      </c>
      <c r="AT37">
        <v>3012</v>
      </c>
      <c r="AU37">
        <v>2999</v>
      </c>
      <c r="AV37">
        <v>14803356</v>
      </c>
      <c r="AW37">
        <v>1385</v>
      </c>
      <c r="AY37" s="24"/>
      <c r="AZ37">
        <v>338100000</v>
      </c>
      <c r="BA37">
        <v>348000005</v>
      </c>
      <c r="BB37">
        <v>343002600</v>
      </c>
      <c r="BC37">
        <v>2174</v>
      </c>
      <c r="BD37">
        <v>1383</v>
      </c>
      <c r="BF37" s="24"/>
      <c r="BG37">
        <v>21882</v>
      </c>
      <c r="BH37">
        <v>22205</v>
      </c>
      <c r="BI37">
        <v>22200</v>
      </c>
      <c r="BJ37">
        <v>2775970</v>
      </c>
      <c r="BK37">
        <v>205</v>
      </c>
      <c r="BM37" s="24"/>
      <c r="BN37">
        <v>6795500</v>
      </c>
      <c r="BO37">
        <v>7000003</v>
      </c>
      <c r="BP37">
        <v>6923893</v>
      </c>
      <c r="BQ37">
        <v>9876</v>
      </c>
      <c r="BR37">
        <v>362</v>
      </c>
      <c r="BT37" s="24"/>
      <c r="BU37">
        <v>1445</v>
      </c>
      <c r="BV37">
        <v>1478</v>
      </c>
      <c r="BW37">
        <v>1458</v>
      </c>
      <c r="BX37">
        <v>21871776</v>
      </c>
      <c r="BY37">
        <v>232</v>
      </c>
      <c r="CA37" s="24"/>
      <c r="CB37">
        <v>230</v>
      </c>
      <c r="CC37">
        <v>234</v>
      </c>
      <c r="CD37">
        <v>234</v>
      </c>
      <c r="CE37">
        <v>83889246</v>
      </c>
      <c r="CF37">
        <v>283</v>
      </c>
      <c r="CH37" s="24"/>
      <c r="CI37">
        <v>26850</v>
      </c>
      <c r="CJ37">
        <v>27000</v>
      </c>
      <c r="CK37">
        <v>26872</v>
      </c>
      <c r="CL37">
        <v>915385</v>
      </c>
      <c r="CM37">
        <v>147</v>
      </c>
      <c r="CO37" s="24"/>
      <c r="CP37">
        <v>7040</v>
      </c>
      <c r="CQ37">
        <v>7340</v>
      </c>
      <c r="CR37">
        <v>7082</v>
      </c>
      <c r="CS37">
        <v>1552732</v>
      </c>
      <c r="CT37">
        <v>418</v>
      </c>
      <c r="CV37" s="24"/>
      <c r="CW37">
        <v>1400000</v>
      </c>
      <c r="CX37">
        <v>1425882</v>
      </c>
      <c r="CY37">
        <v>1406999</v>
      </c>
      <c r="CZ37">
        <v>10848</v>
      </c>
      <c r="DA37">
        <v>51</v>
      </c>
      <c r="DC37" s="24"/>
      <c r="DD37">
        <v>242</v>
      </c>
      <c r="DE37">
        <v>255</v>
      </c>
      <c r="DF37">
        <v>243</v>
      </c>
      <c r="DG37">
        <v>60378902</v>
      </c>
      <c r="DH37">
        <v>199</v>
      </c>
      <c r="DJ37" s="24"/>
      <c r="DK37">
        <v>37213011</v>
      </c>
      <c r="DL37">
        <v>37213032</v>
      </c>
      <c r="DM37">
        <v>37213024</v>
      </c>
      <c r="DN37">
        <v>309</v>
      </c>
      <c r="DO37">
        <v>96</v>
      </c>
      <c r="DQ37" s="24"/>
      <c r="DR37">
        <v>999999</v>
      </c>
      <c r="DS37">
        <v>1050000</v>
      </c>
      <c r="DT37">
        <v>1015000</v>
      </c>
      <c r="DU37">
        <v>12986</v>
      </c>
      <c r="DV37">
        <v>295</v>
      </c>
      <c r="DX37" s="24"/>
      <c r="DY37">
        <v>16500000</v>
      </c>
      <c r="DZ37">
        <v>17999999</v>
      </c>
      <c r="EA37">
        <v>17531002</v>
      </c>
      <c r="EB37">
        <v>1040</v>
      </c>
      <c r="EC37">
        <v>153</v>
      </c>
      <c r="EE37" s="24"/>
      <c r="EF37">
        <v>168</v>
      </c>
      <c r="EG37">
        <v>172</v>
      </c>
      <c r="EH37">
        <v>168</v>
      </c>
      <c r="EI37">
        <v>96304372</v>
      </c>
      <c r="EJ37">
        <v>204</v>
      </c>
      <c r="EL37" s="24"/>
      <c r="EM37">
        <v>50396</v>
      </c>
      <c r="EN37">
        <v>51994</v>
      </c>
      <c r="EO37">
        <v>50435</v>
      </c>
      <c r="EP37">
        <v>77186</v>
      </c>
      <c r="EQ37">
        <v>726</v>
      </c>
      <c r="ES37" s="24"/>
      <c r="ET37">
        <v>266</v>
      </c>
      <c r="EU37">
        <v>279</v>
      </c>
      <c r="EV37">
        <v>278</v>
      </c>
      <c r="EW37">
        <v>53414425</v>
      </c>
      <c r="EX37">
        <v>647</v>
      </c>
      <c r="EZ37" s="24"/>
      <c r="FA37">
        <v>4135035</v>
      </c>
      <c r="FB37">
        <v>4435035</v>
      </c>
      <c r="FC37">
        <v>4435035</v>
      </c>
      <c r="FD37">
        <v>1364</v>
      </c>
      <c r="FE37">
        <v>25</v>
      </c>
      <c r="FG37" s="24"/>
      <c r="FH37">
        <v>10230</v>
      </c>
      <c r="FI37">
        <v>10625</v>
      </c>
      <c r="FJ37">
        <v>10595</v>
      </c>
      <c r="FK37">
        <v>2400011</v>
      </c>
      <c r="FL37">
        <v>588</v>
      </c>
      <c r="FN37" s="24"/>
      <c r="FO37">
        <v>17853</v>
      </c>
      <c r="FP37">
        <v>17853</v>
      </c>
      <c r="FQ37">
        <v>17853</v>
      </c>
      <c r="FR37">
        <v>107175</v>
      </c>
      <c r="FS37">
        <v>73</v>
      </c>
      <c r="FU37" s="24"/>
      <c r="FV37">
        <v>30122</v>
      </c>
      <c r="FW37">
        <v>30232</v>
      </c>
      <c r="FX37">
        <v>30140</v>
      </c>
      <c r="FY37">
        <v>256080</v>
      </c>
      <c r="FZ37">
        <v>1344</v>
      </c>
      <c r="GB37" s="24"/>
      <c r="GC37">
        <v>105070101</v>
      </c>
      <c r="GD37">
        <v>108993849</v>
      </c>
      <c r="GE37">
        <v>107187117</v>
      </c>
      <c r="GF37">
        <v>89</v>
      </c>
      <c r="GG37">
        <v>68</v>
      </c>
      <c r="GI37" s="24"/>
      <c r="GJ37">
        <v>25504012</v>
      </c>
      <c r="GK37">
        <v>25760002</v>
      </c>
      <c r="GL37">
        <v>25504100</v>
      </c>
      <c r="GM37">
        <v>507</v>
      </c>
      <c r="GN37">
        <v>93</v>
      </c>
      <c r="GP37" s="24"/>
      <c r="GQ37">
        <v>93</v>
      </c>
      <c r="GR37">
        <v>96</v>
      </c>
      <c r="GS37">
        <v>96</v>
      </c>
      <c r="GT37">
        <v>87793206</v>
      </c>
      <c r="GU37">
        <v>144</v>
      </c>
      <c r="GW37" s="24"/>
      <c r="GX37">
        <v>237</v>
      </c>
      <c r="GY37">
        <v>244</v>
      </c>
      <c r="GZ37">
        <v>241</v>
      </c>
      <c r="HA37">
        <v>58424209</v>
      </c>
      <c r="HB37">
        <v>216</v>
      </c>
      <c r="HD37" s="24"/>
      <c r="HE37">
        <v>4400</v>
      </c>
      <c r="HF37">
        <v>4532</v>
      </c>
      <c r="HG37">
        <v>4530</v>
      </c>
      <c r="HH37">
        <v>14776608</v>
      </c>
      <c r="HI37">
        <v>292</v>
      </c>
      <c r="HK37" s="24"/>
      <c r="HL37">
        <v>105227102</v>
      </c>
      <c r="HM37">
        <v>114717590</v>
      </c>
      <c r="HN37">
        <v>111683042</v>
      </c>
      <c r="HO37">
        <v>115</v>
      </c>
      <c r="HP37">
        <v>77</v>
      </c>
      <c r="HR37" s="24"/>
      <c r="HS37">
        <v>11550</v>
      </c>
      <c r="HT37">
        <v>12111</v>
      </c>
      <c r="HU37">
        <v>11900</v>
      </c>
      <c r="HV37">
        <v>657414</v>
      </c>
      <c r="HW37">
        <v>181</v>
      </c>
      <c r="HY37" s="24"/>
      <c r="HZ37">
        <v>7999</v>
      </c>
      <c r="IA37">
        <v>8266</v>
      </c>
      <c r="IB37">
        <v>8198</v>
      </c>
      <c r="IC37">
        <v>2190985</v>
      </c>
      <c r="ID37">
        <v>460</v>
      </c>
      <c r="IF37" s="24"/>
      <c r="IG37">
        <v>2538</v>
      </c>
      <c r="IH37">
        <v>2538</v>
      </c>
      <c r="II37">
        <v>2538</v>
      </c>
      <c r="IJ37">
        <v>1385233</v>
      </c>
      <c r="IK37">
        <v>140</v>
      </c>
      <c r="IM37" s="24"/>
      <c r="IN37">
        <v>106501000</v>
      </c>
      <c r="IO37">
        <v>109985799</v>
      </c>
      <c r="IP37">
        <v>106502000</v>
      </c>
      <c r="IQ37">
        <v>113</v>
      </c>
      <c r="IR37">
        <v>67</v>
      </c>
      <c r="IT37" s="24"/>
      <c r="IU37">
        <v>9005</v>
      </c>
      <c r="IV37">
        <v>9710</v>
      </c>
      <c r="IW37">
        <v>9500</v>
      </c>
      <c r="IX37">
        <v>1670085</v>
      </c>
      <c r="IY37">
        <v>201</v>
      </c>
      <c r="JA37" s="24"/>
      <c r="JB37">
        <v>102016901</v>
      </c>
      <c r="JC37">
        <v>107602999</v>
      </c>
      <c r="JD37">
        <v>106856956</v>
      </c>
      <c r="JE37">
        <v>85</v>
      </c>
      <c r="JF37">
        <v>73</v>
      </c>
      <c r="JH37" s="24"/>
      <c r="JI37">
        <v>102202100</v>
      </c>
      <c r="JJ37">
        <v>109749599</v>
      </c>
      <c r="JK37">
        <v>106205384</v>
      </c>
      <c r="JL37">
        <v>37</v>
      </c>
      <c r="JM37">
        <v>29</v>
      </c>
      <c r="JO37" s="24"/>
      <c r="JP37">
        <v>71</v>
      </c>
      <c r="JQ37">
        <v>77</v>
      </c>
      <c r="JR37">
        <v>76</v>
      </c>
      <c r="JS37">
        <v>76778265</v>
      </c>
      <c r="JT37">
        <v>106</v>
      </c>
      <c r="JV37" s="24"/>
      <c r="JW37">
        <v>79</v>
      </c>
      <c r="JX37">
        <v>83</v>
      </c>
      <c r="JY37">
        <v>81</v>
      </c>
      <c r="JZ37">
        <v>112558487</v>
      </c>
      <c r="KA37">
        <v>133</v>
      </c>
      <c r="KC37" s="24"/>
      <c r="KD37">
        <v>15</v>
      </c>
      <c r="KE37">
        <v>16</v>
      </c>
      <c r="KF37">
        <v>15</v>
      </c>
      <c r="KG37">
        <v>98931876</v>
      </c>
      <c r="KH37">
        <v>326</v>
      </c>
      <c r="KJ37" s="24"/>
      <c r="KK37">
        <v>99</v>
      </c>
      <c r="KL37">
        <v>102</v>
      </c>
      <c r="KM37">
        <v>102</v>
      </c>
      <c r="KN37">
        <v>55558360</v>
      </c>
      <c r="KO37">
        <v>102</v>
      </c>
      <c r="KQ37" s="24"/>
      <c r="KR37">
        <v>104000</v>
      </c>
      <c r="KS37">
        <v>106798</v>
      </c>
      <c r="KT37">
        <v>104001</v>
      </c>
      <c r="KU37">
        <v>45963</v>
      </c>
      <c r="KV37">
        <v>628</v>
      </c>
      <c r="KX37" s="24"/>
      <c r="KY37">
        <v>500</v>
      </c>
      <c r="KZ37">
        <v>500</v>
      </c>
      <c r="LA37">
        <v>500</v>
      </c>
      <c r="LB37">
        <v>4582782</v>
      </c>
      <c r="LC37">
        <v>191</v>
      </c>
      <c r="LE37" s="24"/>
      <c r="LF37">
        <v>210231</v>
      </c>
      <c r="LG37">
        <v>215001</v>
      </c>
      <c r="LH37">
        <v>210237</v>
      </c>
      <c r="LI37">
        <v>126167</v>
      </c>
      <c r="LJ37">
        <v>1049</v>
      </c>
      <c r="LL37" s="24"/>
      <c r="LM37">
        <v>79009</v>
      </c>
      <c r="LN37">
        <v>81000</v>
      </c>
      <c r="LO37">
        <v>80001</v>
      </c>
      <c r="LP37">
        <v>337653</v>
      </c>
      <c r="LQ37">
        <v>1436</v>
      </c>
      <c r="LS37" s="24"/>
      <c r="LT37">
        <v>224</v>
      </c>
      <c r="LU37">
        <v>225</v>
      </c>
      <c r="LV37">
        <v>225</v>
      </c>
      <c r="LW37">
        <v>139715922</v>
      </c>
      <c r="LX37">
        <v>324</v>
      </c>
      <c r="LZ37" s="24"/>
      <c r="MA37">
        <v>64300</v>
      </c>
      <c r="MB37">
        <v>65500</v>
      </c>
      <c r="MC37">
        <v>65396</v>
      </c>
      <c r="MD37">
        <v>684261</v>
      </c>
      <c r="ME37">
        <v>85</v>
      </c>
    </row>
    <row r="38" spans="2:343" x14ac:dyDescent="0.25">
      <c r="B38" s="24"/>
      <c r="C38">
        <v>2</v>
      </c>
      <c r="D38">
        <v>2</v>
      </c>
      <c r="E38">
        <v>2</v>
      </c>
      <c r="F38">
        <v>57153672619</v>
      </c>
      <c r="G38">
        <v>3249</v>
      </c>
      <c r="I38" s="24"/>
      <c r="J38">
        <v>4</v>
      </c>
      <c r="K38">
        <v>4</v>
      </c>
      <c r="L38">
        <v>4</v>
      </c>
      <c r="M38">
        <v>6720337421</v>
      </c>
      <c r="N38">
        <v>2376</v>
      </c>
      <c r="P38" s="24"/>
      <c r="Q38">
        <v>28</v>
      </c>
      <c r="R38">
        <v>29</v>
      </c>
      <c r="S38">
        <v>29</v>
      </c>
      <c r="T38">
        <v>2244653052</v>
      </c>
      <c r="U38">
        <v>2207</v>
      </c>
      <c r="W38" s="24"/>
      <c r="X38">
        <v>64</v>
      </c>
      <c r="Y38">
        <v>65</v>
      </c>
      <c r="Z38">
        <v>64</v>
      </c>
      <c r="AA38">
        <v>547906998</v>
      </c>
      <c r="AB38">
        <v>1551</v>
      </c>
      <c r="AD38" s="24"/>
      <c r="AE38">
        <v>533</v>
      </c>
      <c r="AF38">
        <v>547</v>
      </c>
      <c r="AG38">
        <v>546</v>
      </c>
      <c r="AH38">
        <v>120062793</v>
      </c>
      <c r="AI38">
        <v>1762</v>
      </c>
      <c r="AK38" s="24"/>
      <c r="AL38">
        <v>999</v>
      </c>
      <c r="AM38">
        <v>1025</v>
      </c>
      <c r="AN38">
        <v>1022</v>
      </c>
      <c r="AO38">
        <v>38394864</v>
      </c>
      <c r="AP38">
        <v>1357</v>
      </c>
      <c r="AR38" s="24"/>
      <c r="AS38">
        <v>2935</v>
      </c>
      <c r="AT38">
        <v>3020</v>
      </c>
      <c r="AU38">
        <v>3015</v>
      </c>
      <c r="AV38">
        <v>13386172</v>
      </c>
      <c r="AW38">
        <v>1271</v>
      </c>
      <c r="AY38" s="24"/>
      <c r="AZ38">
        <v>336100600</v>
      </c>
      <c r="BA38">
        <v>345000000</v>
      </c>
      <c r="BB38">
        <v>341918798</v>
      </c>
      <c r="BC38">
        <v>2071</v>
      </c>
      <c r="BD38">
        <v>1419</v>
      </c>
      <c r="BF38" s="24"/>
      <c r="BG38">
        <v>22239</v>
      </c>
      <c r="BH38">
        <v>22341</v>
      </c>
      <c r="BI38">
        <v>22340</v>
      </c>
      <c r="BJ38">
        <v>1506624</v>
      </c>
      <c r="BK38">
        <v>179</v>
      </c>
      <c r="BM38" s="24"/>
      <c r="BN38">
        <v>7000008</v>
      </c>
      <c r="BO38">
        <v>7200007</v>
      </c>
      <c r="BP38">
        <v>7150200</v>
      </c>
      <c r="BQ38">
        <v>9131</v>
      </c>
      <c r="BR38">
        <v>325</v>
      </c>
      <c r="BT38" s="24"/>
      <c r="BU38">
        <v>1433</v>
      </c>
      <c r="BV38">
        <v>1449</v>
      </c>
      <c r="BW38">
        <v>1448</v>
      </c>
      <c r="BX38">
        <v>27180131</v>
      </c>
      <c r="BY38">
        <v>282</v>
      </c>
      <c r="CA38" s="24"/>
      <c r="CB38">
        <v>229</v>
      </c>
      <c r="CC38">
        <v>231</v>
      </c>
      <c r="CD38">
        <v>230</v>
      </c>
      <c r="CE38">
        <v>100739903</v>
      </c>
      <c r="CF38">
        <v>307</v>
      </c>
      <c r="CH38" s="24"/>
      <c r="CI38">
        <v>26874</v>
      </c>
      <c r="CJ38">
        <v>26888</v>
      </c>
      <c r="CK38">
        <v>26883</v>
      </c>
      <c r="CL38">
        <v>1395412</v>
      </c>
      <c r="CM38">
        <v>173</v>
      </c>
      <c r="CO38" s="24"/>
      <c r="CP38">
        <v>7175</v>
      </c>
      <c r="CQ38">
        <v>7482</v>
      </c>
      <c r="CR38">
        <v>7399</v>
      </c>
      <c r="CS38">
        <v>1415084</v>
      </c>
      <c r="CT38">
        <v>384</v>
      </c>
      <c r="CV38" s="24"/>
      <c r="CW38">
        <v>1400000</v>
      </c>
      <c r="CX38">
        <v>1566999</v>
      </c>
      <c r="CY38">
        <v>1566499</v>
      </c>
      <c r="CZ38">
        <v>7392</v>
      </c>
      <c r="DA38">
        <v>38</v>
      </c>
      <c r="DC38" s="24"/>
      <c r="DD38">
        <v>255</v>
      </c>
      <c r="DE38">
        <v>256</v>
      </c>
      <c r="DF38">
        <v>256</v>
      </c>
      <c r="DG38">
        <v>39716745</v>
      </c>
      <c r="DH38">
        <v>171</v>
      </c>
      <c r="DJ38" s="24"/>
      <c r="DK38">
        <v>37300000</v>
      </c>
      <c r="DL38">
        <v>38349989</v>
      </c>
      <c r="DM38">
        <v>37500000</v>
      </c>
      <c r="DN38">
        <v>349</v>
      </c>
      <c r="DO38">
        <v>91</v>
      </c>
      <c r="DQ38" s="24"/>
      <c r="DR38">
        <v>957005</v>
      </c>
      <c r="DS38">
        <v>1099997</v>
      </c>
      <c r="DT38">
        <v>1000000</v>
      </c>
      <c r="DU38">
        <v>6693</v>
      </c>
      <c r="DV38">
        <v>301</v>
      </c>
      <c r="DX38" s="24"/>
      <c r="DY38">
        <v>17250000</v>
      </c>
      <c r="DZ38">
        <v>18145999</v>
      </c>
      <c r="EA38">
        <v>17899999</v>
      </c>
      <c r="EB38">
        <v>578</v>
      </c>
      <c r="EC38">
        <v>142</v>
      </c>
      <c r="EE38" s="24"/>
      <c r="EF38">
        <v>171</v>
      </c>
      <c r="EG38">
        <v>173</v>
      </c>
      <c r="EH38">
        <v>173</v>
      </c>
      <c r="EI38">
        <v>125031434</v>
      </c>
      <c r="EJ38">
        <v>230</v>
      </c>
      <c r="EL38" s="24"/>
      <c r="EM38">
        <v>50495</v>
      </c>
      <c r="EN38">
        <v>52504</v>
      </c>
      <c r="EO38">
        <v>50496</v>
      </c>
      <c r="EP38">
        <v>80485</v>
      </c>
      <c r="EQ38">
        <v>733</v>
      </c>
      <c r="ES38" s="24"/>
      <c r="ET38">
        <v>269</v>
      </c>
      <c r="EU38">
        <v>277</v>
      </c>
      <c r="EV38">
        <v>275</v>
      </c>
      <c r="EW38">
        <v>41396442</v>
      </c>
      <c r="EX38">
        <v>643</v>
      </c>
      <c r="EZ38" s="24"/>
      <c r="FA38">
        <v>3680949</v>
      </c>
      <c r="FB38">
        <v>3980949</v>
      </c>
      <c r="FC38">
        <v>3975000</v>
      </c>
      <c r="FD38">
        <v>1263</v>
      </c>
      <c r="FE38">
        <v>21</v>
      </c>
      <c r="FG38" s="24"/>
      <c r="FH38">
        <v>10230</v>
      </c>
      <c r="FI38">
        <v>10629</v>
      </c>
      <c r="FJ38">
        <v>10599</v>
      </c>
      <c r="FK38">
        <v>2117135</v>
      </c>
      <c r="FL38">
        <v>503</v>
      </c>
      <c r="FN38" s="24"/>
      <c r="FO38">
        <v>17853</v>
      </c>
      <c r="FP38">
        <v>17853</v>
      </c>
      <c r="FQ38">
        <v>17853</v>
      </c>
      <c r="FR38">
        <v>324134</v>
      </c>
      <c r="FS38">
        <v>108</v>
      </c>
      <c r="FU38" s="24"/>
      <c r="FV38">
        <v>30275</v>
      </c>
      <c r="FW38">
        <v>30302</v>
      </c>
      <c r="FX38">
        <v>30278</v>
      </c>
      <c r="FY38">
        <v>356989</v>
      </c>
      <c r="FZ38">
        <v>1469</v>
      </c>
      <c r="GB38" s="24"/>
      <c r="GC38">
        <v>105122800</v>
      </c>
      <c r="GD38">
        <v>108993099</v>
      </c>
      <c r="GE38">
        <v>107946913</v>
      </c>
      <c r="GF38">
        <v>88</v>
      </c>
      <c r="GG38">
        <v>58</v>
      </c>
      <c r="GI38" s="24"/>
      <c r="GJ38">
        <v>26600000</v>
      </c>
      <c r="GK38">
        <v>27679999</v>
      </c>
      <c r="GL38">
        <v>27649498</v>
      </c>
      <c r="GM38">
        <v>481</v>
      </c>
      <c r="GN38">
        <v>97</v>
      </c>
      <c r="GP38" s="24"/>
      <c r="GQ38">
        <v>95</v>
      </c>
      <c r="GR38">
        <v>96</v>
      </c>
      <c r="GS38">
        <v>96</v>
      </c>
      <c r="GT38">
        <v>202777687</v>
      </c>
      <c r="GU38">
        <v>185</v>
      </c>
      <c r="GW38" s="24"/>
      <c r="GX38">
        <v>233</v>
      </c>
      <c r="GY38">
        <v>241</v>
      </c>
      <c r="GZ38">
        <v>240</v>
      </c>
      <c r="HA38">
        <v>83979397</v>
      </c>
      <c r="HB38">
        <v>271</v>
      </c>
      <c r="HD38" s="24"/>
      <c r="HE38">
        <v>4397</v>
      </c>
      <c r="HF38">
        <v>4518</v>
      </c>
      <c r="HG38">
        <v>4517</v>
      </c>
      <c r="HH38">
        <v>18297512</v>
      </c>
      <c r="HI38">
        <v>307</v>
      </c>
      <c r="HK38" s="24"/>
      <c r="HL38">
        <v>105601900</v>
      </c>
      <c r="HM38">
        <v>113998598</v>
      </c>
      <c r="HN38">
        <v>109278283</v>
      </c>
      <c r="HO38">
        <v>83</v>
      </c>
      <c r="HP38">
        <v>60</v>
      </c>
      <c r="HR38" s="24"/>
      <c r="HS38">
        <v>12028</v>
      </c>
      <c r="HT38">
        <v>13288</v>
      </c>
      <c r="HU38">
        <v>12601</v>
      </c>
      <c r="HV38">
        <v>773250</v>
      </c>
      <c r="HW38">
        <v>157</v>
      </c>
      <c r="HY38" s="24"/>
      <c r="HZ38">
        <v>8196</v>
      </c>
      <c r="IA38">
        <v>8499</v>
      </c>
      <c r="IB38">
        <v>8394</v>
      </c>
      <c r="IC38">
        <v>2498878</v>
      </c>
      <c r="ID38">
        <v>499</v>
      </c>
      <c r="IF38" s="24"/>
      <c r="IG38">
        <v>2599</v>
      </c>
      <c r="IH38">
        <v>2599</v>
      </c>
      <c r="II38">
        <v>2599</v>
      </c>
      <c r="IJ38">
        <v>1216504</v>
      </c>
      <c r="IK38">
        <v>144</v>
      </c>
      <c r="IM38" s="24"/>
      <c r="IN38">
        <v>103333405</v>
      </c>
      <c r="IO38">
        <v>108999400</v>
      </c>
      <c r="IP38">
        <v>106886021</v>
      </c>
      <c r="IQ38">
        <v>53</v>
      </c>
      <c r="IR38">
        <v>51</v>
      </c>
      <c r="IT38" s="24"/>
      <c r="IU38">
        <v>9203</v>
      </c>
      <c r="IV38">
        <v>9659</v>
      </c>
      <c r="IW38">
        <v>9659</v>
      </c>
      <c r="IX38">
        <v>1484017</v>
      </c>
      <c r="IY38">
        <v>207</v>
      </c>
      <c r="JA38" s="24"/>
      <c r="JB38">
        <v>106999500</v>
      </c>
      <c r="JC38">
        <v>111993999</v>
      </c>
      <c r="JD38">
        <v>107046407</v>
      </c>
      <c r="JE38">
        <v>61</v>
      </c>
      <c r="JF38">
        <v>55</v>
      </c>
      <c r="JH38" s="24"/>
      <c r="JI38">
        <v>105299306</v>
      </c>
      <c r="JJ38">
        <v>107997999</v>
      </c>
      <c r="JK38">
        <v>106648413</v>
      </c>
      <c r="JL38">
        <v>38</v>
      </c>
      <c r="JM38">
        <v>35</v>
      </c>
      <c r="JO38" s="24"/>
      <c r="JP38">
        <v>72</v>
      </c>
      <c r="JQ38">
        <v>75</v>
      </c>
      <c r="JR38">
        <v>75</v>
      </c>
      <c r="JS38">
        <v>129822971</v>
      </c>
      <c r="JT38">
        <v>114</v>
      </c>
      <c r="JV38" s="24"/>
      <c r="JW38">
        <v>80</v>
      </c>
      <c r="JX38">
        <v>82</v>
      </c>
      <c r="JY38">
        <v>80</v>
      </c>
      <c r="JZ38">
        <v>143626499</v>
      </c>
      <c r="KA38">
        <v>159</v>
      </c>
      <c r="KC38" s="24"/>
      <c r="KD38">
        <v>15</v>
      </c>
      <c r="KE38">
        <v>15</v>
      </c>
      <c r="KF38">
        <v>15</v>
      </c>
      <c r="KG38">
        <v>47552346</v>
      </c>
      <c r="KH38">
        <v>317</v>
      </c>
      <c r="KJ38" s="24"/>
      <c r="KK38">
        <v>99</v>
      </c>
      <c r="KL38">
        <v>102</v>
      </c>
      <c r="KM38">
        <v>99</v>
      </c>
      <c r="KN38">
        <v>142553958</v>
      </c>
      <c r="KO38">
        <v>135</v>
      </c>
      <c r="KQ38" s="24"/>
      <c r="KR38">
        <v>104008</v>
      </c>
      <c r="KS38">
        <v>106998</v>
      </c>
      <c r="KT38">
        <v>104009</v>
      </c>
      <c r="KU38">
        <v>66322</v>
      </c>
      <c r="KV38">
        <v>685</v>
      </c>
      <c r="KX38" s="24"/>
      <c r="KY38">
        <v>481</v>
      </c>
      <c r="KZ38">
        <v>500</v>
      </c>
      <c r="LA38">
        <v>499</v>
      </c>
      <c r="LB38">
        <v>5847085</v>
      </c>
      <c r="LC38">
        <v>203</v>
      </c>
      <c r="LE38" s="24"/>
      <c r="LF38">
        <v>212506</v>
      </c>
      <c r="LG38">
        <v>221999</v>
      </c>
      <c r="LH38">
        <v>213007</v>
      </c>
      <c r="LI38">
        <v>145560</v>
      </c>
      <c r="LJ38">
        <v>1110</v>
      </c>
      <c r="LL38" s="24"/>
      <c r="LM38">
        <v>81139</v>
      </c>
      <c r="LN38">
        <v>81169</v>
      </c>
      <c r="LO38">
        <v>81150</v>
      </c>
      <c r="LP38">
        <v>355698</v>
      </c>
      <c r="LQ38">
        <v>1506</v>
      </c>
      <c r="LS38" s="24"/>
      <c r="LT38">
        <v>221</v>
      </c>
      <c r="LU38">
        <v>225</v>
      </c>
      <c r="LV38">
        <v>225</v>
      </c>
      <c r="LW38">
        <v>98597410</v>
      </c>
      <c r="LX38">
        <v>327</v>
      </c>
      <c r="LZ38" s="24"/>
      <c r="MA38">
        <v>64100</v>
      </c>
      <c r="MB38">
        <v>67784</v>
      </c>
      <c r="MC38">
        <v>64300</v>
      </c>
      <c r="MD38">
        <v>1281253</v>
      </c>
      <c r="ME38">
        <v>96</v>
      </c>
    </row>
    <row r="39" spans="2:343" x14ac:dyDescent="0.25">
      <c r="B39" s="24"/>
      <c r="C39">
        <v>2</v>
      </c>
      <c r="D39">
        <v>2</v>
      </c>
      <c r="E39">
        <v>2</v>
      </c>
      <c r="F39">
        <v>39249986110</v>
      </c>
      <c r="G39">
        <v>3126</v>
      </c>
      <c r="I39" s="24"/>
      <c r="J39">
        <v>4</v>
      </c>
      <c r="K39">
        <v>4</v>
      </c>
      <c r="L39">
        <v>4</v>
      </c>
      <c r="M39">
        <v>6853230451</v>
      </c>
      <c r="N39">
        <v>2294</v>
      </c>
      <c r="P39" s="24"/>
      <c r="Q39">
        <v>28</v>
      </c>
      <c r="R39">
        <v>29</v>
      </c>
      <c r="S39">
        <v>28</v>
      </c>
      <c r="T39">
        <v>2027511897</v>
      </c>
      <c r="U39">
        <v>2122</v>
      </c>
      <c r="W39" s="24"/>
      <c r="X39">
        <v>63</v>
      </c>
      <c r="Y39">
        <v>64</v>
      </c>
      <c r="Z39">
        <v>64</v>
      </c>
      <c r="AA39">
        <v>397528034</v>
      </c>
      <c r="AB39">
        <v>1550</v>
      </c>
      <c r="AD39" s="24"/>
      <c r="AE39">
        <v>542</v>
      </c>
      <c r="AF39">
        <v>549</v>
      </c>
      <c r="AG39">
        <v>548</v>
      </c>
      <c r="AH39">
        <v>167337884</v>
      </c>
      <c r="AI39">
        <v>1766</v>
      </c>
      <c r="AK39" s="24"/>
      <c r="AL39">
        <v>985</v>
      </c>
      <c r="AM39">
        <v>1011</v>
      </c>
      <c r="AN39">
        <v>1001</v>
      </c>
      <c r="AO39">
        <v>30853857</v>
      </c>
      <c r="AP39">
        <v>1345</v>
      </c>
      <c r="AR39" s="24"/>
      <c r="AS39">
        <v>2937</v>
      </c>
      <c r="AT39">
        <v>3015</v>
      </c>
      <c r="AU39">
        <v>3010</v>
      </c>
      <c r="AV39">
        <v>12569974</v>
      </c>
      <c r="AW39">
        <v>1305</v>
      </c>
      <c r="AY39" s="24"/>
      <c r="AZ39">
        <v>338200002</v>
      </c>
      <c r="BA39">
        <v>345989996</v>
      </c>
      <c r="BB39">
        <v>340201503</v>
      </c>
      <c r="BC39">
        <v>2006</v>
      </c>
      <c r="BD39">
        <v>1335</v>
      </c>
      <c r="BF39" s="24"/>
      <c r="BG39">
        <v>22001</v>
      </c>
      <c r="BH39">
        <v>22010</v>
      </c>
      <c r="BI39">
        <v>22010</v>
      </c>
      <c r="BJ39">
        <v>1323380</v>
      </c>
      <c r="BK39">
        <v>147</v>
      </c>
      <c r="BM39" s="24"/>
      <c r="BN39">
        <v>7230010</v>
      </c>
      <c r="BO39">
        <v>7446997</v>
      </c>
      <c r="BP39">
        <v>7231000</v>
      </c>
      <c r="BQ39">
        <v>14135</v>
      </c>
      <c r="BR39">
        <v>407</v>
      </c>
      <c r="BT39" s="24"/>
      <c r="BU39">
        <v>1407</v>
      </c>
      <c r="BV39">
        <v>1448</v>
      </c>
      <c r="BW39">
        <v>1448</v>
      </c>
      <c r="BX39">
        <v>28892049</v>
      </c>
      <c r="BY39">
        <v>257</v>
      </c>
      <c r="CA39" s="24"/>
      <c r="CB39">
        <v>240</v>
      </c>
      <c r="CC39">
        <v>247</v>
      </c>
      <c r="CD39">
        <v>247</v>
      </c>
      <c r="CE39">
        <v>73984520</v>
      </c>
      <c r="CF39">
        <v>265</v>
      </c>
      <c r="CH39" s="24"/>
      <c r="CI39">
        <v>26889</v>
      </c>
      <c r="CJ39">
        <v>26904</v>
      </c>
      <c r="CK39">
        <v>26900</v>
      </c>
      <c r="CL39">
        <v>1461381</v>
      </c>
      <c r="CM39">
        <v>147</v>
      </c>
      <c r="CO39" s="24"/>
      <c r="CP39">
        <v>6873</v>
      </c>
      <c r="CQ39">
        <v>7450</v>
      </c>
      <c r="CR39">
        <v>7225</v>
      </c>
      <c r="CS39">
        <v>1237394</v>
      </c>
      <c r="CT39">
        <v>370</v>
      </c>
      <c r="CV39" s="24"/>
      <c r="CW39">
        <v>1549997</v>
      </c>
      <c r="CX39">
        <v>1550006</v>
      </c>
      <c r="CY39">
        <v>1549998</v>
      </c>
      <c r="CZ39">
        <v>8868</v>
      </c>
      <c r="DA39">
        <v>46</v>
      </c>
      <c r="DC39" s="24"/>
      <c r="DD39">
        <v>257</v>
      </c>
      <c r="DE39">
        <v>259</v>
      </c>
      <c r="DF39">
        <v>258</v>
      </c>
      <c r="DG39">
        <v>30598416</v>
      </c>
      <c r="DH39">
        <v>175</v>
      </c>
      <c r="DJ39" s="24"/>
      <c r="DK39">
        <v>37900015</v>
      </c>
      <c r="DL39">
        <v>38351496</v>
      </c>
      <c r="DM39">
        <v>37902001</v>
      </c>
      <c r="DN39">
        <v>276</v>
      </c>
      <c r="DO39">
        <v>84</v>
      </c>
      <c r="DQ39" s="24"/>
      <c r="DR39">
        <v>1080004</v>
      </c>
      <c r="DS39">
        <v>1134485</v>
      </c>
      <c r="DT39">
        <v>1085107</v>
      </c>
      <c r="DU39">
        <v>7464</v>
      </c>
      <c r="DV39">
        <v>281</v>
      </c>
      <c r="DX39" s="24"/>
      <c r="DY39">
        <v>17500000</v>
      </c>
      <c r="DZ39">
        <v>18145998</v>
      </c>
      <c r="EA39">
        <v>18100100</v>
      </c>
      <c r="EB39">
        <v>563</v>
      </c>
      <c r="EC39">
        <v>142</v>
      </c>
      <c r="EE39" s="24"/>
      <c r="EF39">
        <v>175</v>
      </c>
      <c r="EG39">
        <v>192</v>
      </c>
      <c r="EH39">
        <v>186</v>
      </c>
      <c r="EI39">
        <v>113759595</v>
      </c>
      <c r="EJ39">
        <v>205</v>
      </c>
      <c r="EL39" s="24"/>
      <c r="EM39">
        <v>50561</v>
      </c>
      <c r="EN39">
        <v>52126</v>
      </c>
      <c r="EO39">
        <v>50610</v>
      </c>
      <c r="EP39">
        <v>73443</v>
      </c>
      <c r="EQ39">
        <v>715</v>
      </c>
      <c r="ES39" s="24"/>
      <c r="ET39">
        <v>264</v>
      </c>
      <c r="EU39">
        <v>288</v>
      </c>
      <c r="EV39">
        <v>276</v>
      </c>
      <c r="EW39">
        <v>52591203</v>
      </c>
      <c r="EX39">
        <v>657</v>
      </c>
      <c r="EZ39" s="24"/>
      <c r="FA39">
        <v>3411007</v>
      </c>
      <c r="FB39">
        <v>3670949</v>
      </c>
      <c r="FC39">
        <v>3420001</v>
      </c>
      <c r="FD39">
        <v>1792</v>
      </c>
      <c r="FE39">
        <v>36</v>
      </c>
      <c r="FG39" s="24"/>
      <c r="FH39">
        <v>10149</v>
      </c>
      <c r="FI39">
        <v>10269</v>
      </c>
      <c r="FJ39">
        <v>10230</v>
      </c>
      <c r="FK39">
        <v>2448661</v>
      </c>
      <c r="FL39">
        <v>548</v>
      </c>
      <c r="FN39" s="24"/>
      <c r="FO39">
        <v>17251</v>
      </c>
      <c r="FP39">
        <v>17852</v>
      </c>
      <c r="FQ39">
        <v>17600</v>
      </c>
      <c r="FR39">
        <v>242975</v>
      </c>
      <c r="FS39">
        <v>92</v>
      </c>
      <c r="FU39" s="24"/>
      <c r="FV39">
        <v>31082</v>
      </c>
      <c r="FW39">
        <v>31217</v>
      </c>
      <c r="FX39">
        <v>31105</v>
      </c>
      <c r="FY39">
        <v>362422</v>
      </c>
      <c r="FZ39">
        <v>1346</v>
      </c>
      <c r="GB39" s="24"/>
      <c r="GC39">
        <v>105126000</v>
      </c>
      <c r="GD39">
        <v>107999516</v>
      </c>
      <c r="GE39">
        <v>105131699</v>
      </c>
      <c r="GF39">
        <v>126</v>
      </c>
      <c r="GG39">
        <v>82</v>
      </c>
      <c r="GI39" s="24"/>
      <c r="GJ39">
        <v>26860020</v>
      </c>
      <c r="GK39">
        <v>27686972</v>
      </c>
      <c r="GL39">
        <v>27500000</v>
      </c>
      <c r="GM39">
        <v>485</v>
      </c>
      <c r="GN39">
        <v>89</v>
      </c>
      <c r="GP39" s="24"/>
      <c r="GQ39">
        <v>95</v>
      </c>
      <c r="GR39">
        <v>106</v>
      </c>
      <c r="GS39">
        <v>102</v>
      </c>
      <c r="GT39">
        <v>193073021</v>
      </c>
      <c r="GU39">
        <v>145</v>
      </c>
      <c r="GW39" s="24"/>
      <c r="GX39">
        <v>229</v>
      </c>
      <c r="GY39">
        <v>241</v>
      </c>
      <c r="GZ39">
        <v>241</v>
      </c>
      <c r="HA39">
        <v>75062112</v>
      </c>
      <c r="HB39">
        <v>262</v>
      </c>
      <c r="HD39" s="24"/>
      <c r="HE39">
        <v>4390</v>
      </c>
      <c r="HF39">
        <v>4514</v>
      </c>
      <c r="HG39">
        <v>4513</v>
      </c>
      <c r="HH39">
        <v>19298019</v>
      </c>
      <c r="HI39">
        <v>289</v>
      </c>
      <c r="HK39" s="24"/>
      <c r="HL39">
        <v>105658610</v>
      </c>
      <c r="HM39">
        <v>109995650</v>
      </c>
      <c r="HN39">
        <v>109010300</v>
      </c>
      <c r="HO39">
        <v>127</v>
      </c>
      <c r="HP39">
        <v>80</v>
      </c>
      <c r="HR39" s="24"/>
      <c r="HS39">
        <v>12001</v>
      </c>
      <c r="HT39">
        <v>12558</v>
      </c>
      <c r="HU39">
        <v>12500</v>
      </c>
      <c r="HV39">
        <v>1071096</v>
      </c>
      <c r="HW39">
        <v>218</v>
      </c>
      <c r="HY39" s="24"/>
      <c r="HZ39">
        <v>8405</v>
      </c>
      <c r="IA39">
        <v>8749</v>
      </c>
      <c r="IB39">
        <v>8699</v>
      </c>
      <c r="IC39">
        <v>2335932</v>
      </c>
      <c r="ID39">
        <v>538</v>
      </c>
      <c r="IF39" s="24"/>
      <c r="IG39">
        <v>2598</v>
      </c>
      <c r="IH39">
        <v>2598</v>
      </c>
      <c r="II39">
        <v>2598</v>
      </c>
      <c r="IJ39">
        <v>1742930</v>
      </c>
      <c r="IK39">
        <v>134</v>
      </c>
      <c r="IM39" s="24"/>
      <c r="IN39">
        <v>103333418</v>
      </c>
      <c r="IO39">
        <v>108332400</v>
      </c>
      <c r="IP39">
        <v>106310327</v>
      </c>
      <c r="IQ39">
        <v>80</v>
      </c>
      <c r="IR39">
        <v>66</v>
      </c>
      <c r="IT39" s="24"/>
      <c r="IU39">
        <v>9002</v>
      </c>
      <c r="IV39">
        <v>9658</v>
      </c>
      <c r="IW39">
        <v>9557</v>
      </c>
      <c r="IX39">
        <v>1663719</v>
      </c>
      <c r="IY39">
        <v>189</v>
      </c>
      <c r="JA39" s="24"/>
      <c r="JB39">
        <v>103756200</v>
      </c>
      <c r="JC39">
        <v>111213542</v>
      </c>
      <c r="JD39">
        <v>106667200</v>
      </c>
      <c r="JE39">
        <v>114</v>
      </c>
      <c r="JF39">
        <v>72</v>
      </c>
      <c r="JH39" s="24"/>
      <c r="JI39">
        <v>102204058</v>
      </c>
      <c r="JJ39">
        <v>107997568</v>
      </c>
      <c r="JK39">
        <v>105522087</v>
      </c>
      <c r="JL39">
        <v>61</v>
      </c>
      <c r="JM39">
        <v>43</v>
      </c>
      <c r="JO39" s="24"/>
      <c r="JP39">
        <v>70</v>
      </c>
      <c r="JQ39">
        <v>74</v>
      </c>
      <c r="JR39">
        <v>71</v>
      </c>
      <c r="JS39">
        <v>130284493</v>
      </c>
      <c r="JT39">
        <v>108</v>
      </c>
      <c r="JV39" s="24"/>
      <c r="JW39">
        <v>82</v>
      </c>
      <c r="JX39">
        <v>82</v>
      </c>
      <c r="JY39">
        <v>82</v>
      </c>
      <c r="JZ39">
        <v>117600562</v>
      </c>
      <c r="KA39">
        <v>143</v>
      </c>
      <c r="KC39" s="24"/>
      <c r="KD39">
        <v>14</v>
      </c>
      <c r="KE39">
        <v>15</v>
      </c>
      <c r="KF39">
        <v>15</v>
      </c>
      <c r="KG39">
        <v>79080367</v>
      </c>
      <c r="KH39">
        <v>334</v>
      </c>
      <c r="KJ39" s="24"/>
      <c r="KK39">
        <v>93</v>
      </c>
      <c r="KL39">
        <v>100</v>
      </c>
      <c r="KM39">
        <v>100</v>
      </c>
      <c r="KN39">
        <v>119525450</v>
      </c>
      <c r="KO39">
        <v>146</v>
      </c>
      <c r="KQ39" s="24"/>
      <c r="KR39">
        <v>105035</v>
      </c>
      <c r="KS39">
        <v>105104</v>
      </c>
      <c r="KT39">
        <v>105085</v>
      </c>
      <c r="KU39">
        <v>48145</v>
      </c>
      <c r="KV39">
        <v>647</v>
      </c>
      <c r="KX39" s="24"/>
      <c r="KY39">
        <v>480</v>
      </c>
      <c r="KZ39">
        <v>499</v>
      </c>
      <c r="LA39">
        <v>499</v>
      </c>
      <c r="LB39">
        <v>10129590</v>
      </c>
      <c r="LC39">
        <v>232</v>
      </c>
      <c r="LE39" s="24"/>
      <c r="LF39">
        <v>215107</v>
      </c>
      <c r="LG39">
        <v>220899</v>
      </c>
      <c r="LH39">
        <v>215505</v>
      </c>
      <c r="LI39">
        <v>130167</v>
      </c>
      <c r="LJ39">
        <v>1039</v>
      </c>
      <c r="LL39" s="24"/>
      <c r="LM39">
        <v>82078</v>
      </c>
      <c r="LN39">
        <v>82354</v>
      </c>
      <c r="LO39">
        <v>82085</v>
      </c>
      <c r="LP39">
        <v>370903</v>
      </c>
      <c r="LQ39">
        <v>1382</v>
      </c>
      <c r="LS39" s="24"/>
      <c r="LT39">
        <v>227</v>
      </c>
      <c r="LU39">
        <v>231</v>
      </c>
      <c r="LV39">
        <v>231</v>
      </c>
      <c r="LW39">
        <v>116290636</v>
      </c>
      <c r="LX39">
        <v>373</v>
      </c>
      <c r="LZ39" s="24"/>
      <c r="MA39">
        <v>65942</v>
      </c>
      <c r="MB39">
        <v>67780</v>
      </c>
      <c r="MC39">
        <v>67779</v>
      </c>
      <c r="MD39">
        <v>1226582</v>
      </c>
      <c r="ME39">
        <v>83</v>
      </c>
    </row>
    <row r="40" spans="2:343" x14ac:dyDescent="0.25">
      <c r="B40" s="24"/>
      <c r="C40">
        <v>2</v>
      </c>
      <c r="D40">
        <v>2</v>
      </c>
      <c r="E40">
        <v>2</v>
      </c>
      <c r="F40">
        <v>45252564673</v>
      </c>
      <c r="G40">
        <v>3293</v>
      </c>
      <c r="I40" s="24"/>
      <c r="J40">
        <v>4</v>
      </c>
      <c r="K40">
        <v>4</v>
      </c>
      <c r="L40">
        <v>4</v>
      </c>
      <c r="M40">
        <v>7274161160</v>
      </c>
      <c r="N40">
        <v>2419</v>
      </c>
      <c r="P40" s="24"/>
      <c r="Q40">
        <v>27</v>
      </c>
      <c r="R40">
        <v>28</v>
      </c>
      <c r="S40">
        <v>28</v>
      </c>
      <c r="T40">
        <v>2134189717</v>
      </c>
      <c r="U40">
        <v>2236</v>
      </c>
      <c r="W40" s="24"/>
      <c r="X40">
        <v>63</v>
      </c>
      <c r="Y40">
        <v>63</v>
      </c>
      <c r="Z40">
        <v>63</v>
      </c>
      <c r="AA40">
        <v>467485609</v>
      </c>
      <c r="AB40">
        <v>1626</v>
      </c>
      <c r="AD40" s="24"/>
      <c r="AE40">
        <v>535</v>
      </c>
      <c r="AF40">
        <v>545</v>
      </c>
      <c r="AG40">
        <v>545</v>
      </c>
      <c r="AH40">
        <v>125138727</v>
      </c>
      <c r="AI40">
        <v>1799</v>
      </c>
      <c r="AK40" s="24"/>
      <c r="AL40">
        <v>990</v>
      </c>
      <c r="AM40">
        <v>1020</v>
      </c>
      <c r="AN40">
        <v>1011</v>
      </c>
      <c r="AO40">
        <v>39154100</v>
      </c>
      <c r="AP40">
        <v>1520</v>
      </c>
      <c r="AR40" s="24"/>
      <c r="AS40">
        <v>2945</v>
      </c>
      <c r="AT40">
        <v>3020</v>
      </c>
      <c r="AU40">
        <v>3010</v>
      </c>
      <c r="AV40">
        <v>17871548</v>
      </c>
      <c r="AW40">
        <v>1428</v>
      </c>
      <c r="AY40" s="24"/>
      <c r="AZ40">
        <v>336208002</v>
      </c>
      <c r="BA40">
        <v>343994990</v>
      </c>
      <c r="BB40">
        <v>340000000</v>
      </c>
      <c r="BC40">
        <v>2085</v>
      </c>
      <c r="BD40">
        <v>1439</v>
      </c>
      <c r="BF40" s="24"/>
      <c r="BG40">
        <v>22350</v>
      </c>
      <c r="BH40">
        <v>22406</v>
      </c>
      <c r="BI40">
        <v>22400</v>
      </c>
      <c r="BJ40">
        <v>3178734</v>
      </c>
      <c r="BK40">
        <v>229</v>
      </c>
      <c r="BM40" s="24"/>
      <c r="BN40">
        <v>7000010</v>
      </c>
      <c r="BO40">
        <v>7000440</v>
      </c>
      <c r="BP40">
        <v>7000011</v>
      </c>
      <c r="BQ40">
        <v>10306</v>
      </c>
      <c r="BR40">
        <v>353</v>
      </c>
      <c r="BT40" s="24"/>
      <c r="BU40">
        <v>1447</v>
      </c>
      <c r="BV40">
        <v>1477</v>
      </c>
      <c r="BW40">
        <v>1448</v>
      </c>
      <c r="BX40">
        <v>47586159</v>
      </c>
      <c r="BY40">
        <v>308</v>
      </c>
      <c r="CA40" s="24"/>
      <c r="CB40">
        <v>237</v>
      </c>
      <c r="CC40">
        <v>243</v>
      </c>
      <c r="CD40">
        <v>238</v>
      </c>
      <c r="CE40">
        <v>81843810</v>
      </c>
      <c r="CF40">
        <v>326</v>
      </c>
      <c r="CH40" s="24"/>
      <c r="CI40">
        <v>26450</v>
      </c>
      <c r="CJ40">
        <v>26451</v>
      </c>
      <c r="CK40">
        <v>26450</v>
      </c>
      <c r="CL40">
        <v>392645</v>
      </c>
      <c r="CM40">
        <v>170</v>
      </c>
      <c r="CO40" s="24"/>
      <c r="CP40">
        <v>6910</v>
      </c>
      <c r="CQ40">
        <v>7288</v>
      </c>
      <c r="CR40">
        <v>7094</v>
      </c>
      <c r="CS40">
        <v>1176311</v>
      </c>
      <c r="CT40">
        <v>439</v>
      </c>
      <c r="CV40" s="24"/>
      <c r="CW40">
        <v>1500000</v>
      </c>
      <c r="CX40">
        <v>1600000</v>
      </c>
      <c r="CY40">
        <v>1549996</v>
      </c>
      <c r="CZ40">
        <v>13956</v>
      </c>
      <c r="DA40">
        <v>58</v>
      </c>
      <c r="DC40" s="24"/>
      <c r="DD40">
        <v>249</v>
      </c>
      <c r="DE40">
        <v>251</v>
      </c>
      <c r="DF40">
        <v>250</v>
      </c>
      <c r="DG40">
        <v>50139484</v>
      </c>
      <c r="DH40">
        <v>216</v>
      </c>
      <c r="DJ40" s="24"/>
      <c r="DK40">
        <v>37228001</v>
      </c>
      <c r="DL40">
        <v>38988993</v>
      </c>
      <c r="DM40">
        <v>37904001</v>
      </c>
      <c r="DN40">
        <v>595</v>
      </c>
      <c r="DO40">
        <v>114</v>
      </c>
      <c r="DQ40" s="24"/>
      <c r="DR40">
        <v>1003018</v>
      </c>
      <c r="DS40">
        <v>1118996</v>
      </c>
      <c r="DT40">
        <v>1085109</v>
      </c>
      <c r="DU40">
        <v>12449</v>
      </c>
      <c r="DV40">
        <v>345</v>
      </c>
      <c r="DX40" s="24"/>
      <c r="DY40">
        <v>17260024</v>
      </c>
      <c r="DZ40">
        <v>18160030</v>
      </c>
      <c r="EA40">
        <v>17999999</v>
      </c>
      <c r="EB40">
        <v>772</v>
      </c>
      <c r="EC40">
        <v>182</v>
      </c>
      <c r="EE40" s="24"/>
      <c r="EF40">
        <v>177</v>
      </c>
      <c r="EG40">
        <v>184</v>
      </c>
      <c r="EH40">
        <v>183</v>
      </c>
      <c r="EI40">
        <v>122254225</v>
      </c>
      <c r="EJ40">
        <v>266</v>
      </c>
      <c r="EL40" s="24"/>
      <c r="EM40">
        <v>52169</v>
      </c>
      <c r="EN40">
        <v>54999</v>
      </c>
      <c r="EO40">
        <v>52176</v>
      </c>
      <c r="EP40">
        <v>86999</v>
      </c>
      <c r="EQ40">
        <v>819</v>
      </c>
      <c r="ES40" s="24"/>
      <c r="ET40">
        <v>249</v>
      </c>
      <c r="EU40">
        <v>268</v>
      </c>
      <c r="EV40">
        <v>261</v>
      </c>
      <c r="EW40">
        <v>78967830</v>
      </c>
      <c r="EX40">
        <v>649</v>
      </c>
      <c r="EZ40" s="24"/>
      <c r="FA40">
        <v>3440300</v>
      </c>
      <c r="FB40">
        <v>3980949</v>
      </c>
      <c r="FC40">
        <v>3680949</v>
      </c>
      <c r="FD40">
        <v>1749</v>
      </c>
      <c r="FE40">
        <v>40</v>
      </c>
      <c r="FG40" s="24"/>
      <c r="FH40">
        <v>9755</v>
      </c>
      <c r="FI40">
        <v>10122</v>
      </c>
      <c r="FJ40">
        <v>10007</v>
      </c>
      <c r="FK40">
        <v>2483846</v>
      </c>
      <c r="FL40">
        <v>612</v>
      </c>
      <c r="FN40" s="24"/>
      <c r="FO40">
        <v>17000</v>
      </c>
      <c r="FP40">
        <v>17251</v>
      </c>
      <c r="FQ40">
        <v>17248</v>
      </c>
      <c r="FR40">
        <v>320132</v>
      </c>
      <c r="FS40">
        <v>131</v>
      </c>
      <c r="FU40" s="24"/>
      <c r="FV40">
        <v>30043</v>
      </c>
      <c r="FW40">
        <v>31409</v>
      </c>
      <c r="FX40">
        <v>31217</v>
      </c>
      <c r="FY40">
        <v>413875</v>
      </c>
      <c r="FZ40">
        <v>1634</v>
      </c>
      <c r="GB40" s="24"/>
      <c r="GC40">
        <v>105132000</v>
      </c>
      <c r="GD40">
        <v>109896899</v>
      </c>
      <c r="GE40">
        <v>106500000</v>
      </c>
      <c r="GF40">
        <v>155</v>
      </c>
      <c r="GG40">
        <v>84</v>
      </c>
      <c r="GI40" s="24"/>
      <c r="GJ40">
        <v>26861001</v>
      </c>
      <c r="GK40">
        <v>27685997</v>
      </c>
      <c r="GL40">
        <v>26866000</v>
      </c>
      <c r="GM40">
        <v>566</v>
      </c>
      <c r="GN40">
        <v>115</v>
      </c>
      <c r="GP40" s="24"/>
      <c r="GQ40">
        <v>102</v>
      </c>
      <c r="GR40">
        <v>105</v>
      </c>
      <c r="GS40">
        <v>103</v>
      </c>
      <c r="GT40">
        <v>115571898</v>
      </c>
      <c r="GU40">
        <v>154</v>
      </c>
      <c r="GW40" s="24"/>
      <c r="GX40">
        <v>240</v>
      </c>
      <c r="GY40">
        <v>240</v>
      </c>
      <c r="GZ40">
        <v>240</v>
      </c>
      <c r="HA40">
        <v>49925284</v>
      </c>
      <c r="HB40">
        <v>263</v>
      </c>
      <c r="HD40" s="24"/>
      <c r="HE40">
        <v>4476</v>
      </c>
      <c r="HF40">
        <v>4514</v>
      </c>
      <c r="HG40">
        <v>4514</v>
      </c>
      <c r="HH40">
        <v>18632154</v>
      </c>
      <c r="HI40">
        <v>296</v>
      </c>
      <c r="HK40" s="24"/>
      <c r="HL40">
        <v>105558000</v>
      </c>
      <c r="HM40">
        <v>107999997</v>
      </c>
      <c r="HN40">
        <v>105661683</v>
      </c>
      <c r="HO40">
        <v>162</v>
      </c>
      <c r="HP40">
        <v>90</v>
      </c>
      <c r="HR40" s="24"/>
      <c r="HS40">
        <v>12100</v>
      </c>
      <c r="HT40">
        <v>13198</v>
      </c>
      <c r="HU40">
        <v>12601</v>
      </c>
      <c r="HV40">
        <v>1527221</v>
      </c>
      <c r="HW40">
        <v>264</v>
      </c>
      <c r="HY40" s="24"/>
      <c r="HZ40">
        <v>7675</v>
      </c>
      <c r="IA40">
        <v>8195</v>
      </c>
      <c r="IB40">
        <v>7998</v>
      </c>
      <c r="IC40">
        <v>2479417</v>
      </c>
      <c r="ID40">
        <v>536</v>
      </c>
      <c r="IF40" s="24"/>
      <c r="IG40">
        <v>2404</v>
      </c>
      <c r="IH40">
        <v>2597</v>
      </c>
      <c r="II40">
        <v>2554</v>
      </c>
      <c r="IJ40">
        <v>2686844</v>
      </c>
      <c r="IK40">
        <v>210</v>
      </c>
      <c r="IM40" s="24"/>
      <c r="IN40">
        <v>104501000</v>
      </c>
      <c r="IO40">
        <v>107497398</v>
      </c>
      <c r="IP40">
        <v>105059336</v>
      </c>
      <c r="IQ40">
        <v>92</v>
      </c>
      <c r="IR40">
        <v>63</v>
      </c>
      <c r="IT40" s="24"/>
      <c r="IU40">
        <v>9553</v>
      </c>
      <c r="IV40">
        <v>9554</v>
      </c>
      <c r="IW40">
        <v>9554</v>
      </c>
      <c r="IX40">
        <v>2036687</v>
      </c>
      <c r="IY40">
        <v>270</v>
      </c>
      <c r="JA40" s="24"/>
      <c r="JB40">
        <v>103756211</v>
      </c>
      <c r="JC40">
        <v>107999350</v>
      </c>
      <c r="JD40">
        <v>106667401</v>
      </c>
      <c r="JE40">
        <v>117</v>
      </c>
      <c r="JF40">
        <v>80</v>
      </c>
      <c r="JH40" s="24"/>
      <c r="JI40">
        <v>103033600</v>
      </c>
      <c r="JJ40">
        <v>107649800</v>
      </c>
      <c r="JK40">
        <v>105350465</v>
      </c>
      <c r="JL40">
        <v>52</v>
      </c>
      <c r="JM40">
        <v>35</v>
      </c>
      <c r="JO40" s="24"/>
      <c r="JP40">
        <v>72</v>
      </c>
      <c r="JQ40">
        <v>74</v>
      </c>
      <c r="JR40">
        <v>73</v>
      </c>
      <c r="JS40">
        <v>102740477</v>
      </c>
      <c r="JT40">
        <v>130</v>
      </c>
      <c r="JV40" s="24"/>
      <c r="JW40">
        <v>80</v>
      </c>
      <c r="JX40">
        <v>82</v>
      </c>
      <c r="JY40">
        <v>82</v>
      </c>
      <c r="JZ40">
        <v>160430701</v>
      </c>
      <c r="KA40">
        <v>152</v>
      </c>
      <c r="KC40" s="24"/>
      <c r="KD40">
        <v>13</v>
      </c>
      <c r="KE40">
        <v>16</v>
      </c>
      <c r="KF40">
        <v>14</v>
      </c>
      <c r="KG40">
        <v>76953244</v>
      </c>
      <c r="KH40">
        <v>351</v>
      </c>
      <c r="KJ40" s="24"/>
      <c r="KK40">
        <v>95</v>
      </c>
      <c r="KL40">
        <v>101</v>
      </c>
      <c r="KM40">
        <v>99</v>
      </c>
      <c r="KN40">
        <v>243908528</v>
      </c>
      <c r="KO40">
        <v>213</v>
      </c>
      <c r="KQ40" s="24"/>
      <c r="KR40">
        <v>105114</v>
      </c>
      <c r="KS40">
        <v>108989</v>
      </c>
      <c r="KT40">
        <v>105200</v>
      </c>
      <c r="KU40">
        <v>67686</v>
      </c>
      <c r="KV40">
        <v>745</v>
      </c>
      <c r="KX40" s="24"/>
      <c r="KY40">
        <v>499</v>
      </c>
      <c r="KZ40">
        <v>501</v>
      </c>
      <c r="LA40">
        <v>500</v>
      </c>
      <c r="LB40">
        <v>7699053</v>
      </c>
      <c r="LC40">
        <v>237</v>
      </c>
      <c r="LE40" s="24"/>
      <c r="LF40">
        <v>216011</v>
      </c>
      <c r="LG40">
        <v>222753</v>
      </c>
      <c r="LH40">
        <v>216212</v>
      </c>
      <c r="LI40">
        <v>133922</v>
      </c>
      <c r="LJ40">
        <v>1226</v>
      </c>
      <c r="LL40" s="24"/>
      <c r="LM40">
        <v>82077</v>
      </c>
      <c r="LN40">
        <v>82366</v>
      </c>
      <c r="LO40">
        <v>82358</v>
      </c>
      <c r="LP40">
        <v>427140</v>
      </c>
      <c r="LQ40">
        <v>1679</v>
      </c>
      <c r="LS40" s="24"/>
      <c r="LT40">
        <v>223</v>
      </c>
      <c r="LU40">
        <v>229</v>
      </c>
      <c r="LV40">
        <v>229</v>
      </c>
      <c r="LW40">
        <v>130732973</v>
      </c>
      <c r="LX40">
        <v>418</v>
      </c>
      <c r="LZ40" s="24"/>
      <c r="MA40">
        <v>67776</v>
      </c>
      <c r="MB40">
        <v>68500</v>
      </c>
      <c r="MC40">
        <v>67779</v>
      </c>
      <c r="MD40">
        <v>791396</v>
      </c>
      <c r="ME40">
        <v>96</v>
      </c>
    </row>
    <row r="41" spans="2:343" x14ac:dyDescent="0.25">
      <c r="B41" s="24"/>
      <c r="C41">
        <v>2</v>
      </c>
      <c r="D41">
        <v>2</v>
      </c>
      <c r="E41">
        <v>2</v>
      </c>
      <c r="F41">
        <v>47176551704</v>
      </c>
      <c r="G41">
        <v>3646</v>
      </c>
      <c r="I41" s="24"/>
      <c r="J41">
        <v>4</v>
      </c>
      <c r="K41">
        <v>4</v>
      </c>
      <c r="L41">
        <v>4</v>
      </c>
      <c r="M41">
        <v>6323755012</v>
      </c>
      <c r="N41">
        <v>2641</v>
      </c>
      <c r="P41" s="24"/>
      <c r="Q41">
        <v>28</v>
      </c>
      <c r="R41">
        <v>28</v>
      </c>
      <c r="S41">
        <v>28</v>
      </c>
      <c r="T41">
        <v>2121414656</v>
      </c>
      <c r="U41">
        <v>2371</v>
      </c>
      <c r="W41" s="24"/>
      <c r="X41">
        <v>62</v>
      </c>
      <c r="Y41">
        <v>64</v>
      </c>
      <c r="Z41">
        <v>63</v>
      </c>
      <c r="AA41">
        <v>468015259</v>
      </c>
      <c r="AB41">
        <v>1905</v>
      </c>
      <c r="AD41" s="24"/>
      <c r="AE41">
        <v>549</v>
      </c>
      <c r="AF41">
        <v>579</v>
      </c>
      <c r="AG41">
        <v>558</v>
      </c>
      <c r="AH41">
        <v>170947105</v>
      </c>
      <c r="AI41">
        <v>2207</v>
      </c>
      <c r="AK41" s="24"/>
      <c r="AL41">
        <v>1007</v>
      </c>
      <c r="AM41">
        <v>1028</v>
      </c>
      <c r="AN41">
        <v>1019</v>
      </c>
      <c r="AO41">
        <v>40133828</v>
      </c>
      <c r="AP41">
        <v>1641</v>
      </c>
      <c r="AR41" s="24"/>
      <c r="AS41">
        <v>3031</v>
      </c>
      <c r="AT41">
        <v>3120</v>
      </c>
      <c r="AU41">
        <v>3039</v>
      </c>
      <c r="AV41">
        <v>14746448</v>
      </c>
      <c r="AW41">
        <v>1598</v>
      </c>
      <c r="AY41" s="24"/>
      <c r="AZ41">
        <v>337500005</v>
      </c>
      <c r="BA41">
        <v>345487998</v>
      </c>
      <c r="BB41">
        <v>343000119</v>
      </c>
      <c r="BC41">
        <v>2169</v>
      </c>
      <c r="BD41">
        <v>1392</v>
      </c>
      <c r="BF41" s="24"/>
      <c r="BG41">
        <v>22118</v>
      </c>
      <c r="BH41">
        <v>22700</v>
      </c>
      <c r="BI41">
        <v>22149</v>
      </c>
      <c r="BJ41">
        <v>4761793</v>
      </c>
      <c r="BK41">
        <v>219</v>
      </c>
      <c r="BM41" s="24"/>
      <c r="BN41">
        <v>7000000</v>
      </c>
      <c r="BO41">
        <v>7000491</v>
      </c>
      <c r="BP41">
        <v>7000450</v>
      </c>
      <c r="BQ41">
        <v>15105</v>
      </c>
      <c r="BR41">
        <v>395</v>
      </c>
      <c r="BT41" s="24"/>
      <c r="BU41">
        <v>1493</v>
      </c>
      <c r="BV41">
        <v>1556</v>
      </c>
      <c r="BW41">
        <v>1541</v>
      </c>
      <c r="BX41">
        <v>42839343</v>
      </c>
      <c r="BY41">
        <v>328</v>
      </c>
      <c r="CA41" s="24"/>
      <c r="CB41">
        <v>235</v>
      </c>
      <c r="CC41">
        <v>243</v>
      </c>
      <c r="CD41">
        <v>242</v>
      </c>
      <c r="CE41">
        <v>85582078</v>
      </c>
      <c r="CF41">
        <v>320</v>
      </c>
      <c r="CH41" s="24"/>
      <c r="CI41">
        <v>27047</v>
      </c>
      <c r="CJ41">
        <v>27601</v>
      </c>
      <c r="CK41">
        <v>27199</v>
      </c>
      <c r="CL41">
        <v>1746469</v>
      </c>
      <c r="CM41">
        <v>175</v>
      </c>
      <c r="CO41" s="24"/>
      <c r="CP41">
        <v>6907</v>
      </c>
      <c r="CQ41">
        <v>7238</v>
      </c>
      <c r="CR41">
        <v>7093</v>
      </c>
      <c r="CS41">
        <v>1351814</v>
      </c>
      <c r="CT41">
        <v>459</v>
      </c>
      <c r="CV41" s="24"/>
      <c r="CW41">
        <v>1500000</v>
      </c>
      <c r="CX41">
        <v>1679998</v>
      </c>
      <c r="CY41">
        <v>1678999</v>
      </c>
      <c r="CZ41">
        <v>8065</v>
      </c>
      <c r="DA41">
        <v>49</v>
      </c>
      <c r="DC41" s="24"/>
      <c r="DD41">
        <v>238</v>
      </c>
      <c r="DE41">
        <v>249</v>
      </c>
      <c r="DF41">
        <v>248</v>
      </c>
      <c r="DG41">
        <v>40365219</v>
      </c>
      <c r="DH41">
        <v>172</v>
      </c>
      <c r="DJ41" s="24"/>
      <c r="DK41">
        <v>36159001</v>
      </c>
      <c r="DL41">
        <v>37230001</v>
      </c>
      <c r="DM41">
        <v>36162001</v>
      </c>
      <c r="DN41">
        <v>368</v>
      </c>
      <c r="DO41">
        <v>96</v>
      </c>
      <c r="DQ41" s="24"/>
      <c r="DR41">
        <v>1011002</v>
      </c>
      <c r="DS41">
        <v>1099999</v>
      </c>
      <c r="DT41">
        <v>1080008</v>
      </c>
      <c r="DU41">
        <v>8871</v>
      </c>
      <c r="DV41">
        <v>280</v>
      </c>
      <c r="DX41" s="24"/>
      <c r="DY41">
        <v>17500005</v>
      </c>
      <c r="DZ41">
        <v>18399999</v>
      </c>
      <c r="EA41">
        <v>17550027</v>
      </c>
      <c r="EB41">
        <v>616</v>
      </c>
      <c r="EC41">
        <v>162</v>
      </c>
      <c r="EE41" s="24"/>
      <c r="EF41">
        <v>180</v>
      </c>
      <c r="EG41">
        <v>184</v>
      </c>
      <c r="EH41">
        <v>184</v>
      </c>
      <c r="EI41">
        <v>113239320</v>
      </c>
      <c r="EJ41">
        <v>228</v>
      </c>
      <c r="EL41" s="24"/>
      <c r="EM41">
        <v>53423</v>
      </c>
      <c r="EN41">
        <v>57884</v>
      </c>
      <c r="EO41">
        <v>53490</v>
      </c>
      <c r="EP41">
        <v>85214</v>
      </c>
      <c r="EQ41">
        <v>857</v>
      </c>
      <c r="ES41" s="24"/>
      <c r="ET41">
        <v>239</v>
      </c>
      <c r="EU41">
        <v>257</v>
      </c>
      <c r="EV41">
        <v>243</v>
      </c>
      <c r="EW41">
        <v>89687096</v>
      </c>
      <c r="EX41">
        <v>769</v>
      </c>
      <c r="EZ41" s="24"/>
      <c r="FA41">
        <v>3977995</v>
      </c>
      <c r="FB41">
        <v>3979999</v>
      </c>
      <c r="FC41">
        <v>3977996</v>
      </c>
      <c r="FD41">
        <v>826</v>
      </c>
      <c r="FE41">
        <v>17</v>
      </c>
      <c r="FG41" s="24"/>
      <c r="FH41">
        <v>9851</v>
      </c>
      <c r="FI41">
        <v>10154</v>
      </c>
      <c r="FJ41">
        <v>9856</v>
      </c>
      <c r="FK41">
        <v>2767527</v>
      </c>
      <c r="FL41">
        <v>571</v>
      </c>
      <c r="FN41" s="24"/>
      <c r="FO41">
        <v>16717</v>
      </c>
      <c r="FP41">
        <v>17238</v>
      </c>
      <c r="FQ41">
        <v>17236</v>
      </c>
      <c r="FR41">
        <v>279722</v>
      </c>
      <c r="FS41">
        <v>128</v>
      </c>
      <c r="FU41" s="24"/>
      <c r="FV41">
        <v>30134</v>
      </c>
      <c r="FW41">
        <v>31019</v>
      </c>
      <c r="FX41">
        <v>30160</v>
      </c>
      <c r="FY41">
        <v>373431</v>
      </c>
      <c r="FZ41">
        <v>1652</v>
      </c>
      <c r="GB41" s="24"/>
      <c r="GC41">
        <v>105131704</v>
      </c>
      <c r="GD41">
        <v>109777626</v>
      </c>
      <c r="GE41">
        <v>105501031</v>
      </c>
      <c r="GF41">
        <v>147</v>
      </c>
      <c r="GG41">
        <v>108</v>
      </c>
      <c r="GI41" s="24"/>
      <c r="GJ41">
        <v>26000067</v>
      </c>
      <c r="GK41">
        <v>27686975</v>
      </c>
      <c r="GL41">
        <v>27674999</v>
      </c>
      <c r="GM41">
        <v>487</v>
      </c>
      <c r="GN41">
        <v>77</v>
      </c>
      <c r="GP41" s="24"/>
      <c r="GQ41">
        <v>104</v>
      </c>
      <c r="GR41">
        <v>105</v>
      </c>
      <c r="GS41">
        <v>104</v>
      </c>
      <c r="GT41">
        <v>144471528</v>
      </c>
      <c r="GU41">
        <v>198</v>
      </c>
      <c r="GW41" s="24"/>
      <c r="GX41">
        <v>240</v>
      </c>
      <c r="GY41">
        <v>240</v>
      </c>
      <c r="GZ41">
        <v>240</v>
      </c>
      <c r="HA41">
        <v>63181934</v>
      </c>
      <c r="HB41">
        <v>257</v>
      </c>
      <c r="HD41" s="24"/>
      <c r="HE41">
        <v>4514</v>
      </c>
      <c r="HF41">
        <v>4598</v>
      </c>
      <c r="HG41">
        <v>4514</v>
      </c>
      <c r="HH41">
        <v>31447992</v>
      </c>
      <c r="HI41">
        <v>394</v>
      </c>
      <c r="HK41" s="24"/>
      <c r="HL41">
        <v>100100361</v>
      </c>
      <c r="HM41">
        <v>106999800</v>
      </c>
      <c r="HN41">
        <v>106768941</v>
      </c>
      <c r="HO41">
        <v>126</v>
      </c>
      <c r="HP41">
        <v>82</v>
      </c>
      <c r="HR41" s="24"/>
      <c r="HS41">
        <v>12050</v>
      </c>
      <c r="HT41">
        <v>13008</v>
      </c>
      <c r="HU41">
        <v>12897</v>
      </c>
      <c r="HV41">
        <v>1615640</v>
      </c>
      <c r="HW41">
        <v>212</v>
      </c>
      <c r="HY41" s="24"/>
      <c r="HZ41">
        <v>7720</v>
      </c>
      <c r="IA41">
        <v>7994</v>
      </c>
      <c r="IB41">
        <v>7986</v>
      </c>
      <c r="IC41">
        <v>2165418</v>
      </c>
      <c r="ID41">
        <v>519</v>
      </c>
      <c r="IF41" s="24"/>
      <c r="IG41">
        <v>2495</v>
      </c>
      <c r="IH41">
        <v>2597</v>
      </c>
      <c r="II41">
        <v>2595</v>
      </c>
      <c r="IJ41">
        <v>2330517</v>
      </c>
      <c r="IK41">
        <v>173</v>
      </c>
      <c r="IM41" s="24"/>
      <c r="IN41">
        <v>104000102</v>
      </c>
      <c r="IO41">
        <v>107494998</v>
      </c>
      <c r="IP41">
        <v>107493700</v>
      </c>
      <c r="IQ41">
        <v>148</v>
      </c>
      <c r="IR41">
        <v>95</v>
      </c>
      <c r="IT41" s="24"/>
      <c r="IU41">
        <v>9553</v>
      </c>
      <c r="IV41">
        <v>9553</v>
      </c>
      <c r="IW41">
        <v>9553</v>
      </c>
      <c r="IX41">
        <v>2062411</v>
      </c>
      <c r="IY41">
        <v>220</v>
      </c>
      <c r="JA41" s="24"/>
      <c r="JB41">
        <v>103756215</v>
      </c>
      <c r="JC41">
        <v>107992857</v>
      </c>
      <c r="JD41">
        <v>106719541</v>
      </c>
      <c r="JE41">
        <v>82</v>
      </c>
      <c r="JF41">
        <v>70</v>
      </c>
      <c r="JH41" s="24"/>
      <c r="JI41">
        <v>103034600</v>
      </c>
      <c r="JJ41">
        <v>107642000</v>
      </c>
      <c r="JK41">
        <v>106763361</v>
      </c>
      <c r="JL41">
        <v>63</v>
      </c>
      <c r="JM41">
        <v>49</v>
      </c>
      <c r="JO41" s="24"/>
      <c r="JP41">
        <v>74</v>
      </c>
      <c r="JQ41">
        <v>78</v>
      </c>
      <c r="JR41">
        <v>77</v>
      </c>
      <c r="JS41">
        <v>233358111</v>
      </c>
      <c r="JT41">
        <v>131</v>
      </c>
      <c r="JV41" s="24"/>
      <c r="JW41">
        <v>82</v>
      </c>
      <c r="JX41">
        <v>85</v>
      </c>
      <c r="JY41">
        <v>84</v>
      </c>
      <c r="JZ41">
        <v>227488682</v>
      </c>
      <c r="KA41">
        <v>170</v>
      </c>
      <c r="KC41" s="24"/>
      <c r="KD41">
        <v>14</v>
      </c>
      <c r="KE41">
        <v>16</v>
      </c>
      <c r="KF41">
        <v>15</v>
      </c>
      <c r="KG41">
        <v>70693603</v>
      </c>
      <c r="KH41">
        <v>332</v>
      </c>
      <c r="KJ41" s="24"/>
      <c r="KK41">
        <v>94</v>
      </c>
      <c r="KL41">
        <v>100</v>
      </c>
      <c r="KM41">
        <v>95</v>
      </c>
      <c r="KN41">
        <v>205877610</v>
      </c>
      <c r="KO41">
        <v>204</v>
      </c>
      <c r="KQ41" s="24"/>
      <c r="KR41">
        <v>104000</v>
      </c>
      <c r="KS41">
        <v>105504</v>
      </c>
      <c r="KT41">
        <v>105502</v>
      </c>
      <c r="KU41">
        <v>79233</v>
      </c>
      <c r="KV41">
        <v>736</v>
      </c>
      <c r="KX41" s="24"/>
      <c r="KY41">
        <v>501</v>
      </c>
      <c r="KZ41">
        <v>582</v>
      </c>
      <c r="LA41">
        <v>502</v>
      </c>
      <c r="LB41">
        <v>18804254</v>
      </c>
      <c r="LC41">
        <v>226</v>
      </c>
      <c r="LE41" s="24"/>
      <c r="LF41">
        <v>216221</v>
      </c>
      <c r="LG41">
        <v>216301</v>
      </c>
      <c r="LH41">
        <v>216284</v>
      </c>
      <c r="LI41">
        <v>120129</v>
      </c>
      <c r="LJ41">
        <v>1183</v>
      </c>
      <c r="LL41" s="24"/>
      <c r="LM41">
        <v>80251</v>
      </c>
      <c r="LN41">
        <v>82998</v>
      </c>
      <c r="LO41">
        <v>80257</v>
      </c>
      <c r="LP41">
        <v>368782</v>
      </c>
      <c r="LQ41">
        <v>1717</v>
      </c>
      <c r="LS41" s="24"/>
      <c r="LT41">
        <v>222</v>
      </c>
      <c r="LU41">
        <v>236</v>
      </c>
      <c r="LV41">
        <v>234</v>
      </c>
      <c r="LW41">
        <v>141100532</v>
      </c>
      <c r="LX41">
        <v>479</v>
      </c>
      <c r="LZ41" s="24"/>
      <c r="MA41">
        <v>68381</v>
      </c>
      <c r="MB41">
        <v>69999</v>
      </c>
      <c r="MC41">
        <v>69371</v>
      </c>
      <c r="MD41">
        <v>1657822</v>
      </c>
      <c r="ME41">
        <v>171</v>
      </c>
    </row>
    <row r="42" spans="2:343" x14ac:dyDescent="0.25">
      <c r="B42" s="24"/>
      <c r="C42">
        <v>2</v>
      </c>
      <c r="D42">
        <v>2</v>
      </c>
      <c r="E42">
        <v>2</v>
      </c>
      <c r="F42">
        <v>50871112944</v>
      </c>
      <c r="G42">
        <v>3264</v>
      </c>
      <c r="I42" s="24"/>
      <c r="J42">
        <v>4</v>
      </c>
      <c r="K42">
        <v>4</v>
      </c>
      <c r="L42">
        <v>4</v>
      </c>
      <c r="M42">
        <v>7298346974</v>
      </c>
      <c r="N42">
        <v>2376</v>
      </c>
      <c r="P42" s="24"/>
      <c r="Q42">
        <v>28</v>
      </c>
      <c r="R42">
        <v>28</v>
      </c>
      <c r="S42">
        <v>28</v>
      </c>
      <c r="T42">
        <v>1811157441</v>
      </c>
      <c r="U42">
        <v>2183</v>
      </c>
      <c r="W42" s="24"/>
      <c r="X42">
        <v>62</v>
      </c>
      <c r="Y42">
        <v>64</v>
      </c>
      <c r="Z42">
        <v>63</v>
      </c>
      <c r="AA42">
        <v>446115353</v>
      </c>
      <c r="AB42">
        <v>1615</v>
      </c>
      <c r="AD42" s="24"/>
      <c r="AE42">
        <v>541</v>
      </c>
      <c r="AF42">
        <v>566</v>
      </c>
      <c r="AG42">
        <v>551</v>
      </c>
      <c r="AH42">
        <v>120716214</v>
      </c>
      <c r="AI42">
        <v>1923</v>
      </c>
      <c r="AK42" s="24"/>
      <c r="AL42">
        <v>991</v>
      </c>
      <c r="AM42">
        <v>1036</v>
      </c>
      <c r="AN42">
        <v>996</v>
      </c>
      <c r="AO42">
        <v>36618507</v>
      </c>
      <c r="AP42">
        <v>1411</v>
      </c>
      <c r="AR42" s="24"/>
      <c r="AS42">
        <v>2912</v>
      </c>
      <c r="AT42">
        <v>3099</v>
      </c>
      <c r="AU42">
        <v>3010</v>
      </c>
      <c r="AV42">
        <v>13634574</v>
      </c>
      <c r="AW42">
        <v>1435</v>
      </c>
      <c r="AY42" s="24"/>
      <c r="AZ42">
        <v>340000000</v>
      </c>
      <c r="BA42">
        <v>345996232</v>
      </c>
      <c r="BB42">
        <v>343064645</v>
      </c>
      <c r="BC42">
        <v>2013</v>
      </c>
      <c r="BD42">
        <v>1341</v>
      </c>
      <c r="BF42" s="24"/>
      <c r="BG42">
        <v>22200</v>
      </c>
      <c r="BH42">
        <v>22500</v>
      </c>
      <c r="BI42">
        <v>22201</v>
      </c>
      <c r="BJ42">
        <v>2663620</v>
      </c>
      <c r="BK42">
        <v>192</v>
      </c>
      <c r="BM42" s="24"/>
      <c r="BN42">
        <v>6900002</v>
      </c>
      <c r="BO42">
        <v>7098999</v>
      </c>
      <c r="BP42">
        <v>6900026</v>
      </c>
      <c r="BQ42">
        <v>10162</v>
      </c>
      <c r="BR42">
        <v>374</v>
      </c>
      <c r="BT42" s="24"/>
      <c r="BU42">
        <v>1554</v>
      </c>
      <c r="BV42">
        <v>1606</v>
      </c>
      <c r="BW42">
        <v>1605</v>
      </c>
      <c r="BX42">
        <v>24709971</v>
      </c>
      <c r="BY42">
        <v>292</v>
      </c>
      <c r="CA42" s="24"/>
      <c r="CB42">
        <v>240</v>
      </c>
      <c r="CC42">
        <v>243</v>
      </c>
      <c r="CD42">
        <v>242</v>
      </c>
      <c r="CE42">
        <v>78491691</v>
      </c>
      <c r="CF42">
        <v>293</v>
      </c>
      <c r="CH42" s="24"/>
      <c r="CI42">
        <v>27156</v>
      </c>
      <c r="CJ42">
        <v>27512</v>
      </c>
      <c r="CK42">
        <v>27500</v>
      </c>
      <c r="CL42">
        <v>723413</v>
      </c>
      <c r="CM42">
        <v>149</v>
      </c>
      <c r="CO42" s="24"/>
      <c r="CP42">
        <v>7050</v>
      </c>
      <c r="CQ42">
        <v>7469</v>
      </c>
      <c r="CR42">
        <v>7380</v>
      </c>
      <c r="CS42">
        <v>1464093</v>
      </c>
      <c r="CT42">
        <v>388</v>
      </c>
      <c r="CV42" s="24"/>
      <c r="CW42">
        <v>1578999</v>
      </c>
      <c r="CX42">
        <v>1587884</v>
      </c>
      <c r="CY42">
        <v>1586997</v>
      </c>
      <c r="CZ42">
        <v>10742</v>
      </c>
      <c r="DA42">
        <v>65</v>
      </c>
      <c r="DC42" s="24"/>
      <c r="DD42">
        <v>248</v>
      </c>
      <c r="DE42">
        <v>249</v>
      </c>
      <c r="DF42">
        <v>248</v>
      </c>
      <c r="DG42">
        <v>34134298</v>
      </c>
      <c r="DH42">
        <v>177</v>
      </c>
      <c r="DJ42" s="24"/>
      <c r="DK42">
        <v>36174005</v>
      </c>
      <c r="DL42">
        <v>38000000</v>
      </c>
      <c r="DM42">
        <v>36177009</v>
      </c>
      <c r="DN42">
        <v>558</v>
      </c>
      <c r="DO42">
        <v>131</v>
      </c>
      <c r="DQ42" s="24"/>
      <c r="DR42">
        <v>949999</v>
      </c>
      <c r="DS42">
        <v>1002011</v>
      </c>
      <c r="DT42">
        <v>999889</v>
      </c>
      <c r="DU42">
        <v>8029</v>
      </c>
      <c r="DV42">
        <v>265</v>
      </c>
      <c r="DX42" s="24"/>
      <c r="DY42">
        <v>17553022</v>
      </c>
      <c r="DZ42">
        <v>18899999</v>
      </c>
      <c r="EA42">
        <v>17999999</v>
      </c>
      <c r="EB42">
        <v>601</v>
      </c>
      <c r="EC42">
        <v>155</v>
      </c>
      <c r="EE42" s="24"/>
      <c r="EF42">
        <v>180</v>
      </c>
      <c r="EG42">
        <v>196</v>
      </c>
      <c r="EH42">
        <v>189</v>
      </c>
      <c r="EI42">
        <v>116891854</v>
      </c>
      <c r="EJ42">
        <v>225</v>
      </c>
      <c r="EL42" s="24"/>
      <c r="EM42">
        <v>53673</v>
      </c>
      <c r="EN42">
        <v>58990</v>
      </c>
      <c r="EO42">
        <v>57019</v>
      </c>
      <c r="EP42">
        <v>94172</v>
      </c>
      <c r="EQ42">
        <v>724</v>
      </c>
      <c r="ES42" s="24"/>
      <c r="ET42">
        <v>237</v>
      </c>
      <c r="EU42">
        <v>244</v>
      </c>
      <c r="EV42">
        <v>239</v>
      </c>
      <c r="EW42">
        <v>69745656</v>
      </c>
      <c r="EX42">
        <v>593</v>
      </c>
      <c r="EZ42" s="24"/>
      <c r="FA42">
        <v>3491009</v>
      </c>
      <c r="FB42">
        <v>3969997</v>
      </c>
      <c r="FC42">
        <v>3777777</v>
      </c>
      <c r="FD42">
        <v>1116</v>
      </c>
      <c r="FE42">
        <v>27</v>
      </c>
      <c r="FG42" s="24"/>
      <c r="FH42">
        <v>9332</v>
      </c>
      <c r="FI42">
        <v>9799</v>
      </c>
      <c r="FJ42">
        <v>9352</v>
      </c>
      <c r="FK42">
        <v>2692039</v>
      </c>
      <c r="FL42">
        <v>481</v>
      </c>
      <c r="FN42" s="24"/>
      <c r="FO42">
        <v>17213</v>
      </c>
      <c r="FP42">
        <v>17214</v>
      </c>
      <c r="FQ42">
        <v>17214</v>
      </c>
      <c r="FR42">
        <v>142267</v>
      </c>
      <c r="FS42">
        <v>96</v>
      </c>
      <c r="FU42" s="24"/>
      <c r="FV42">
        <v>31117</v>
      </c>
      <c r="FW42">
        <v>31929</v>
      </c>
      <c r="FX42">
        <v>31900</v>
      </c>
      <c r="FY42">
        <v>414379</v>
      </c>
      <c r="FZ42">
        <v>1347</v>
      </c>
      <c r="GB42" s="24"/>
      <c r="GC42">
        <v>106801441</v>
      </c>
      <c r="GD42">
        <v>109762000</v>
      </c>
      <c r="GE42">
        <v>109760040</v>
      </c>
      <c r="GF42">
        <v>143</v>
      </c>
      <c r="GG42">
        <v>88</v>
      </c>
      <c r="GI42" s="24"/>
      <c r="GJ42">
        <v>27501009</v>
      </c>
      <c r="GK42">
        <v>27505001</v>
      </c>
      <c r="GL42">
        <v>27504002</v>
      </c>
      <c r="GM42">
        <v>379</v>
      </c>
      <c r="GN42">
        <v>73</v>
      </c>
      <c r="GP42" s="24"/>
      <c r="GQ42">
        <v>101</v>
      </c>
      <c r="GR42">
        <v>105</v>
      </c>
      <c r="GS42">
        <v>105</v>
      </c>
      <c r="GT42">
        <v>146416670</v>
      </c>
      <c r="GU42">
        <v>154</v>
      </c>
      <c r="GW42" s="24"/>
      <c r="GX42">
        <v>238</v>
      </c>
      <c r="GY42">
        <v>238</v>
      </c>
      <c r="GZ42">
        <v>238</v>
      </c>
      <c r="HA42">
        <v>64074416</v>
      </c>
      <c r="HB42">
        <v>230</v>
      </c>
      <c r="HD42" s="24"/>
      <c r="HE42">
        <v>4438</v>
      </c>
      <c r="HF42">
        <v>4795</v>
      </c>
      <c r="HG42">
        <v>4791</v>
      </c>
      <c r="HH42">
        <v>17403143</v>
      </c>
      <c r="HI42">
        <v>310</v>
      </c>
      <c r="HK42" s="24"/>
      <c r="HL42">
        <v>100135951</v>
      </c>
      <c r="HM42">
        <v>106766259</v>
      </c>
      <c r="HN42">
        <v>100138211</v>
      </c>
      <c r="HO42">
        <v>159</v>
      </c>
      <c r="HP42">
        <v>88</v>
      </c>
      <c r="HR42" s="24"/>
      <c r="HS42">
        <v>11450</v>
      </c>
      <c r="HT42">
        <v>11999</v>
      </c>
      <c r="HU42">
        <v>11880</v>
      </c>
      <c r="HV42">
        <v>939538</v>
      </c>
      <c r="HW42">
        <v>199</v>
      </c>
      <c r="HY42" s="24"/>
      <c r="HZ42">
        <v>7831</v>
      </c>
      <c r="IA42">
        <v>8199</v>
      </c>
      <c r="IB42">
        <v>8193</v>
      </c>
      <c r="IC42">
        <v>1801949</v>
      </c>
      <c r="ID42">
        <v>441</v>
      </c>
      <c r="IF42" s="24"/>
      <c r="IG42">
        <v>2589</v>
      </c>
      <c r="IH42">
        <v>2593</v>
      </c>
      <c r="II42">
        <v>2589</v>
      </c>
      <c r="IJ42">
        <v>1269319</v>
      </c>
      <c r="IK42">
        <v>142</v>
      </c>
      <c r="IM42" s="24"/>
      <c r="IN42">
        <v>104002201</v>
      </c>
      <c r="IO42">
        <v>107491999</v>
      </c>
      <c r="IP42">
        <v>104002600</v>
      </c>
      <c r="IQ42">
        <v>149</v>
      </c>
      <c r="IR42">
        <v>87</v>
      </c>
      <c r="IT42" s="24"/>
      <c r="IU42">
        <v>9253</v>
      </c>
      <c r="IV42">
        <v>9553</v>
      </c>
      <c r="IW42">
        <v>9552</v>
      </c>
      <c r="IX42">
        <v>1898532</v>
      </c>
      <c r="IY42">
        <v>188</v>
      </c>
      <c r="JA42" s="24"/>
      <c r="JB42">
        <v>106801441</v>
      </c>
      <c r="JC42">
        <v>107988484</v>
      </c>
      <c r="JD42">
        <v>106803588</v>
      </c>
      <c r="JE42">
        <v>147</v>
      </c>
      <c r="JF42">
        <v>91</v>
      </c>
      <c r="JH42" s="24"/>
      <c r="JI42">
        <v>105511800</v>
      </c>
      <c r="JJ42">
        <v>106803858</v>
      </c>
      <c r="JK42">
        <v>106678006</v>
      </c>
      <c r="JL42">
        <v>87</v>
      </c>
      <c r="JM42">
        <v>47</v>
      </c>
      <c r="JO42" s="24"/>
      <c r="JP42">
        <v>73</v>
      </c>
      <c r="JQ42">
        <v>80</v>
      </c>
      <c r="JR42">
        <v>74</v>
      </c>
      <c r="JS42">
        <v>80261896</v>
      </c>
      <c r="JT42">
        <v>105</v>
      </c>
      <c r="JV42" s="24"/>
      <c r="JW42">
        <v>85</v>
      </c>
      <c r="JX42">
        <v>90</v>
      </c>
      <c r="JY42">
        <v>87</v>
      </c>
      <c r="JZ42">
        <v>198579213</v>
      </c>
      <c r="KA42">
        <v>148</v>
      </c>
      <c r="KC42" s="24"/>
      <c r="KD42">
        <v>15</v>
      </c>
      <c r="KE42">
        <v>15</v>
      </c>
      <c r="KF42">
        <v>15</v>
      </c>
      <c r="KG42">
        <v>64701393</v>
      </c>
      <c r="KH42">
        <v>306</v>
      </c>
      <c r="KJ42" s="24"/>
      <c r="KK42">
        <v>94</v>
      </c>
      <c r="KL42">
        <v>99</v>
      </c>
      <c r="KM42">
        <v>94</v>
      </c>
      <c r="KN42">
        <v>136779064</v>
      </c>
      <c r="KO42">
        <v>156</v>
      </c>
      <c r="KQ42" s="24"/>
      <c r="KR42">
        <v>102874</v>
      </c>
      <c r="KS42">
        <v>103004</v>
      </c>
      <c r="KT42">
        <v>102885</v>
      </c>
      <c r="KU42">
        <v>52551</v>
      </c>
      <c r="KV42">
        <v>670</v>
      </c>
      <c r="KX42" s="24"/>
      <c r="KY42">
        <v>505</v>
      </c>
      <c r="KZ42">
        <v>564</v>
      </c>
      <c r="LA42">
        <v>548</v>
      </c>
      <c r="LB42">
        <v>4983407</v>
      </c>
      <c r="LC42">
        <v>180</v>
      </c>
      <c r="LE42" s="24"/>
      <c r="LF42">
        <v>216333</v>
      </c>
      <c r="LG42">
        <v>220999</v>
      </c>
      <c r="LH42">
        <v>216651</v>
      </c>
      <c r="LI42">
        <v>113403</v>
      </c>
      <c r="LJ42">
        <v>1036</v>
      </c>
      <c r="LL42" s="24"/>
      <c r="LM42">
        <v>80368</v>
      </c>
      <c r="LN42">
        <v>82000</v>
      </c>
      <c r="LO42">
        <v>81150</v>
      </c>
      <c r="LP42">
        <v>388827</v>
      </c>
      <c r="LQ42">
        <v>1386</v>
      </c>
      <c r="LS42" s="24"/>
      <c r="LT42">
        <v>223</v>
      </c>
      <c r="LU42">
        <v>232</v>
      </c>
      <c r="LV42">
        <v>231</v>
      </c>
      <c r="LW42">
        <v>147062790</v>
      </c>
      <c r="LX42">
        <v>374</v>
      </c>
      <c r="LZ42" s="24"/>
      <c r="MA42">
        <v>68055</v>
      </c>
      <c r="MB42">
        <v>73979</v>
      </c>
      <c r="MC42">
        <v>71988</v>
      </c>
      <c r="MD42">
        <v>1105407</v>
      </c>
      <c r="ME42">
        <v>116</v>
      </c>
    </row>
    <row r="43" spans="2:343" x14ac:dyDescent="0.25">
      <c r="B43" s="24"/>
      <c r="C43">
        <v>2</v>
      </c>
      <c r="D43">
        <v>2</v>
      </c>
      <c r="E43">
        <v>2</v>
      </c>
      <c r="F43">
        <v>46366445656</v>
      </c>
      <c r="G43">
        <v>3236</v>
      </c>
      <c r="I43" s="24"/>
      <c r="J43">
        <v>4</v>
      </c>
      <c r="K43">
        <v>4</v>
      </c>
      <c r="L43">
        <v>4</v>
      </c>
      <c r="M43">
        <v>7639373014</v>
      </c>
      <c r="N43">
        <v>2344</v>
      </c>
      <c r="P43" s="24"/>
      <c r="Q43">
        <v>27</v>
      </c>
      <c r="R43">
        <v>28</v>
      </c>
      <c r="S43">
        <v>28</v>
      </c>
      <c r="T43">
        <v>2064234365</v>
      </c>
      <c r="U43">
        <v>2131</v>
      </c>
      <c r="W43" s="24"/>
      <c r="X43">
        <v>62</v>
      </c>
      <c r="Y43">
        <v>64</v>
      </c>
      <c r="Z43">
        <v>64</v>
      </c>
      <c r="AA43">
        <v>381776505</v>
      </c>
      <c r="AB43">
        <v>1597</v>
      </c>
      <c r="AD43" s="24"/>
      <c r="AE43">
        <v>552</v>
      </c>
      <c r="AF43">
        <v>575</v>
      </c>
      <c r="AG43">
        <v>563</v>
      </c>
      <c r="AH43">
        <v>100490429</v>
      </c>
      <c r="AI43">
        <v>1739</v>
      </c>
      <c r="AK43" s="24"/>
      <c r="AL43">
        <v>1007</v>
      </c>
      <c r="AM43">
        <v>1035</v>
      </c>
      <c r="AN43">
        <v>1020</v>
      </c>
      <c r="AO43">
        <v>34350218</v>
      </c>
      <c r="AP43">
        <v>1459</v>
      </c>
      <c r="AR43" s="24"/>
      <c r="AS43">
        <v>2990</v>
      </c>
      <c r="AT43">
        <v>3080</v>
      </c>
      <c r="AU43">
        <v>3021</v>
      </c>
      <c r="AV43">
        <v>14709936</v>
      </c>
      <c r="AW43">
        <v>1367</v>
      </c>
      <c r="AY43" s="24"/>
      <c r="AZ43">
        <v>340701360</v>
      </c>
      <c r="BA43">
        <v>348444444</v>
      </c>
      <c r="BB43">
        <v>342297180</v>
      </c>
      <c r="BC43">
        <v>1933</v>
      </c>
      <c r="BD43">
        <v>1281</v>
      </c>
      <c r="BF43" s="24"/>
      <c r="BG43">
        <v>21800</v>
      </c>
      <c r="BH43">
        <v>22001</v>
      </c>
      <c r="BI43">
        <v>22000</v>
      </c>
      <c r="BJ43">
        <v>2130181</v>
      </c>
      <c r="BK43">
        <v>178</v>
      </c>
      <c r="BM43" s="24"/>
      <c r="BN43">
        <v>7000002</v>
      </c>
      <c r="BO43">
        <v>7006001</v>
      </c>
      <c r="BP43">
        <v>7003400</v>
      </c>
      <c r="BQ43">
        <v>9564</v>
      </c>
      <c r="BR43">
        <v>322</v>
      </c>
      <c r="BT43" s="24"/>
      <c r="BU43">
        <v>1570</v>
      </c>
      <c r="BV43">
        <v>1606</v>
      </c>
      <c r="BW43">
        <v>1595</v>
      </c>
      <c r="BX43">
        <v>25409571</v>
      </c>
      <c r="BY43">
        <v>260</v>
      </c>
      <c r="CA43" s="24"/>
      <c r="CB43">
        <v>242</v>
      </c>
      <c r="CC43">
        <v>243</v>
      </c>
      <c r="CD43">
        <v>243</v>
      </c>
      <c r="CE43">
        <v>58314994</v>
      </c>
      <c r="CF43">
        <v>242</v>
      </c>
      <c r="CH43" s="24"/>
      <c r="CI43">
        <v>27306</v>
      </c>
      <c r="CJ43">
        <v>27307</v>
      </c>
      <c r="CK43">
        <v>27307</v>
      </c>
      <c r="CL43">
        <v>821876</v>
      </c>
      <c r="CM43">
        <v>162</v>
      </c>
      <c r="CO43" s="24"/>
      <c r="CP43">
        <v>6930</v>
      </c>
      <c r="CQ43">
        <v>7466</v>
      </c>
      <c r="CR43">
        <v>7397</v>
      </c>
      <c r="CS43">
        <v>1115095</v>
      </c>
      <c r="CT43">
        <v>337</v>
      </c>
      <c r="CV43" s="24"/>
      <c r="CW43">
        <v>1490023</v>
      </c>
      <c r="CX43">
        <v>1578977</v>
      </c>
      <c r="CY43">
        <v>1576975</v>
      </c>
      <c r="CZ43">
        <v>7070</v>
      </c>
      <c r="DA43">
        <v>38</v>
      </c>
      <c r="DC43" s="24"/>
      <c r="DD43">
        <v>255</v>
      </c>
      <c r="DE43">
        <v>261</v>
      </c>
      <c r="DF43">
        <v>261</v>
      </c>
      <c r="DG43">
        <v>35769265</v>
      </c>
      <c r="DH43">
        <v>143</v>
      </c>
      <c r="DJ43" s="24"/>
      <c r="DK43">
        <v>36183504</v>
      </c>
      <c r="DL43">
        <v>37001000</v>
      </c>
      <c r="DM43">
        <v>36186056</v>
      </c>
      <c r="DN43">
        <v>422</v>
      </c>
      <c r="DO43">
        <v>81</v>
      </c>
      <c r="DQ43" s="24"/>
      <c r="DR43">
        <v>907000</v>
      </c>
      <c r="DS43">
        <v>934989</v>
      </c>
      <c r="DT43">
        <v>907008</v>
      </c>
      <c r="DU43">
        <v>8799</v>
      </c>
      <c r="DV43">
        <v>230</v>
      </c>
      <c r="DX43" s="24"/>
      <c r="DY43">
        <v>18000028</v>
      </c>
      <c r="DZ43">
        <v>19699996</v>
      </c>
      <c r="EA43">
        <v>18000033</v>
      </c>
      <c r="EB43">
        <v>571</v>
      </c>
      <c r="EC43">
        <v>125</v>
      </c>
      <c r="EE43" s="24"/>
      <c r="EF43">
        <v>188</v>
      </c>
      <c r="EG43">
        <v>194</v>
      </c>
      <c r="EH43">
        <v>190</v>
      </c>
      <c r="EI43">
        <v>105029280</v>
      </c>
      <c r="EJ43">
        <v>213</v>
      </c>
      <c r="EL43" s="24"/>
      <c r="EM43">
        <v>57035</v>
      </c>
      <c r="EN43">
        <v>57196</v>
      </c>
      <c r="EO43">
        <v>57157</v>
      </c>
      <c r="EP43">
        <v>76024</v>
      </c>
      <c r="EQ43">
        <v>627</v>
      </c>
      <c r="ES43" s="24"/>
      <c r="ET43">
        <v>240</v>
      </c>
      <c r="EU43">
        <v>250</v>
      </c>
      <c r="EV43">
        <v>247</v>
      </c>
      <c r="EW43">
        <v>34016521</v>
      </c>
      <c r="EX43">
        <v>521</v>
      </c>
      <c r="EZ43" s="24"/>
      <c r="FA43">
        <v>3620000</v>
      </c>
      <c r="FB43">
        <v>3699999</v>
      </c>
      <c r="FC43">
        <v>3699999</v>
      </c>
      <c r="FD43">
        <v>1997</v>
      </c>
      <c r="FE43">
        <v>34</v>
      </c>
      <c r="FG43" s="24"/>
      <c r="FH43">
        <v>9250</v>
      </c>
      <c r="FI43">
        <v>9599</v>
      </c>
      <c r="FJ43">
        <v>9499</v>
      </c>
      <c r="FK43">
        <v>2787921</v>
      </c>
      <c r="FL43">
        <v>533</v>
      </c>
      <c r="FN43" s="24"/>
      <c r="FO43">
        <v>17214</v>
      </c>
      <c r="FP43">
        <v>17214</v>
      </c>
      <c r="FQ43">
        <v>17214</v>
      </c>
      <c r="FR43">
        <v>124443</v>
      </c>
      <c r="FS43">
        <v>84</v>
      </c>
      <c r="FU43" s="24"/>
      <c r="FV43">
        <v>31115</v>
      </c>
      <c r="FW43">
        <v>31961</v>
      </c>
      <c r="FX43">
        <v>31906</v>
      </c>
      <c r="FY43">
        <v>428683</v>
      </c>
      <c r="FZ43">
        <v>1329</v>
      </c>
      <c r="GB43" s="24"/>
      <c r="GC43">
        <v>106804798</v>
      </c>
      <c r="GD43">
        <v>109757707</v>
      </c>
      <c r="GE43">
        <v>108016466</v>
      </c>
      <c r="GF43">
        <v>92</v>
      </c>
      <c r="GG43">
        <v>64</v>
      </c>
      <c r="GI43" s="24"/>
      <c r="GJ43">
        <v>27505006</v>
      </c>
      <c r="GK43">
        <v>27550000</v>
      </c>
      <c r="GL43">
        <v>27505009</v>
      </c>
      <c r="GM43">
        <v>565</v>
      </c>
      <c r="GN43">
        <v>74</v>
      </c>
      <c r="GP43" s="24"/>
      <c r="GQ43">
        <v>105</v>
      </c>
      <c r="GR43">
        <v>108</v>
      </c>
      <c r="GS43">
        <v>108</v>
      </c>
      <c r="GT43">
        <v>87356412</v>
      </c>
      <c r="GU43">
        <v>147</v>
      </c>
      <c r="GW43" s="24"/>
      <c r="GX43">
        <v>240</v>
      </c>
      <c r="GY43">
        <v>241</v>
      </c>
      <c r="GZ43">
        <v>240</v>
      </c>
      <c r="HA43">
        <v>37395500</v>
      </c>
      <c r="HB43">
        <v>218</v>
      </c>
      <c r="HD43" s="24"/>
      <c r="HE43">
        <v>4684</v>
      </c>
      <c r="HF43">
        <v>4784</v>
      </c>
      <c r="HG43">
        <v>4779</v>
      </c>
      <c r="HH43">
        <v>12624464</v>
      </c>
      <c r="HI43">
        <v>300</v>
      </c>
      <c r="HK43" s="24"/>
      <c r="HL43">
        <v>100269171</v>
      </c>
      <c r="HM43">
        <v>106710928</v>
      </c>
      <c r="HN43">
        <v>104460136</v>
      </c>
      <c r="HO43">
        <v>90</v>
      </c>
      <c r="HP43">
        <v>76</v>
      </c>
      <c r="HR43" s="24"/>
      <c r="HS43">
        <v>12570</v>
      </c>
      <c r="HT43">
        <v>13569</v>
      </c>
      <c r="HU43">
        <v>13000</v>
      </c>
      <c r="HV43">
        <v>584932</v>
      </c>
      <c r="HW43">
        <v>120</v>
      </c>
      <c r="HY43" s="24"/>
      <c r="HZ43">
        <v>7864</v>
      </c>
      <c r="IA43">
        <v>8228</v>
      </c>
      <c r="IB43">
        <v>8097</v>
      </c>
      <c r="IC43">
        <v>1820434</v>
      </c>
      <c r="ID43">
        <v>455</v>
      </c>
      <c r="IF43" s="24"/>
      <c r="IG43">
        <v>2502</v>
      </c>
      <c r="IH43">
        <v>2585</v>
      </c>
      <c r="II43">
        <v>2584</v>
      </c>
      <c r="IJ43">
        <v>1702521</v>
      </c>
      <c r="IK43">
        <v>157</v>
      </c>
      <c r="IM43" s="24"/>
      <c r="IN43">
        <v>103333418</v>
      </c>
      <c r="IO43">
        <v>107490389</v>
      </c>
      <c r="IP43">
        <v>106587900</v>
      </c>
      <c r="IQ43">
        <v>56</v>
      </c>
      <c r="IR43">
        <v>55</v>
      </c>
      <c r="IT43" s="24"/>
      <c r="IU43">
        <v>9303</v>
      </c>
      <c r="IV43">
        <v>9449</v>
      </c>
      <c r="IW43">
        <v>9309</v>
      </c>
      <c r="IX43">
        <v>1386452</v>
      </c>
      <c r="IY43">
        <v>179</v>
      </c>
      <c r="JA43" s="24"/>
      <c r="JB43">
        <v>106805508</v>
      </c>
      <c r="JC43">
        <v>109754742</v>
      </c>
      <c r="JD43">
        <v>106810197</v>
      </c>
      <c r="JE43">
        <v>112</v>
      </c>
      <c r="JF43">
        <v>86</v>
      </c>
      <c r="JH43" s="24"/>
      <c r="JI43">
        <v>106805800</v>
      </c>
      <c r="JJ43">
        <v>109758148</v>
      </c>
      <c r="JK43">
        <v>108054830</v>
      </c>
      <c r="JL43">
        <v>72</v>
      </c>
      <c r="JM43">
        <v>49</v>
      </c>
      <c r="JO43" s="24"/>
      <c r="JP43">
        <v>75</v>
      </c>
      <c r="JQ43">
        <v>80</v>
      </c>
      <c r="JR43">
        <v>80</v>
      </c>
      <c r="JS43">
        <v>52356114</v>
      </c>
      <c r="JT43">
        <v>115</v>
      </c>
      <c r="JV43" s="24"/>
      <c r="JW43">
        <v>86</v>
      </c>
      <c r="JX43">
        <v>89</v>
      </c>
      <c r="JY43">
        <v>89</v>
      </c>
      <c r="JZ43">
        <v>71903707</v>
      </c>
      <c r="KA43">
        <v>113</v>
      </c>
      <c r="KC43" s="24"/>
      <c r="KD43">
        <v>15</v>
      </c>
      <c r="KE43">
        <v>15</v>
      </c>
      <c r="KF43">
        <v>15</v>
      </c>
      <c r="KG43">
        <v>45304204</v>
      </c>
      <c r="KH43">
        <v>282</v>
      </c>
      <c r="KJ43" s="24"/>
      <c r="KK43">
        <v>88</v>
      </c>
      <c r="KL43">
        <v>97</v>
      </c>
      <c r="KM43">
        <v>97</v>
      </c>
      <c r="KN43">
        <v>116497196</v>
      </c>
      <c r="KO43">
        <v>140</v>
      </c>
      <c r="KQ43" s="24"/>
      <c r="KR43">
        <v>103002</v>
      </c>
      <c r="KS43">
        <v>103004</v>
      </c>
      <c r="KT43">
        <v>103002</v>
      </c>
      <c r="KU43">
        <v>65032</v>
      </c>
      <c r="KV43">
        <v>639</v>
      </c>
      <c r="KX43" s="24"/>
      <c r="KY43">
        <v>480</v>
      </c>
      <c r="KZ43">
        <v>517</v>
      </c>
      <c r="LA43">
        <v>481</v>
      </c>
      <c r="LB43">
        <v>11482383</v>
      </c>
      <c r="LC43">
        <v>196</v>
      </c>
      <c r="LE43" s="24"/>
      <c r="LF43">
        <v>216003</v>
      </c>
      <c r="LG43">
        <v>222789</v>
      </c>
      <c r="LH43">
        <v>216999</v>
      </c>
      <c r="LI43">
        <v>168510</v>
      </c>
      <c r="LJ43">
        <v>1036</v>
      </c>
      <c r="LL43" s="24"/>
      <c r="LM43">
        <v>81256</v>
      </c>
      <c r="LN43">
        <v>81265</v>
      </c>
      <c r="LO43">
        <v>81262</v>
      </c>
      <c r="LP43">
        <v>358687</v>
      </c>
      <c r="LQ43">
        <v>1373</v>
      </c>
      <c r="LS43" s="24"/>
      <c r="LT43">
        <v>229</v>
      </c>
      <c r="LU43">
        <v>231</v>
      </c>
      <c r="LV43">
        <v>230</v>
      </c>
      <c r="LW43">
        <v>64851120</v>
      </c>
      <c r="LX43">
        <v>304</v>
      </c>
      <c r="LZ43" s="24"/>
      <c r="MA43">
        <v>67273</v>
      </c>
      <c r="MB43">
        <v>71000</v>
      </c>
      <c r="MC43">
        <v>68799</v>
      </c>
      <c r="MD43">
        <v>913755</v>
      </c>
      <c r="ME43">
        <v>123</v>
      </c>
    </row>
    <row r="44" spans="2:343" x14ac:dyDescent="0.25">
      <c r="B44" s="24"/>
      <c r="C44">
        <v>2</v>
      </c>
      <c r="D44">
        <v>2</v>
      </c>
      <c r="E44">
        <v>2</v>
      </c>
      <c r="F44">
        <v>46061723915</v>
      </c>
      <c r="G44">
        <v>2993</v>
      </c>
      <c r="I44" s="24"/>
      <c r="J44">
        <v>4</v>
      </c>
      <c r="K44">
        <v>4</v>
      </c>
      <c r="L44">
        <v>4</v>
      </c>
      <c r="M44">
        <v>5901463339</v>
      </c>
      <c r="N44">
        <v>2191</v>
      </c>
      <c r="P44" s="24"/>
      <c r="Q44">
        <v>28</v>
      </c>
      <c r="R44">
        <v>28</v>
      </c>
      <c r="S44">
        <v>28</v>
      </c>
      <c r="T44">
        <v>2037130295</v>
      </c>
      <c r="U44">
        <v>1943</v>
      </c>
      <c r="W44" s="24"/>
      <c r="X44">
        <v>63</v>
      </c>
      <c r="Y44">
        <v>64</v>
      </c>
      <c r="Z44">
        <v>63</v>
      </c>
      <c r="AA44">
        <v>424775738</v>
      </c>
      <c r="AB44">
        <v>1484</v>
      </c>
      <c r="AD44" s="24"/>
      <c r="AE44">
        <v>587</v>
      </c>
      <c r="AF44">
        <v>607</v>
      </c>
      <c r="AG44">
        <v>601</v>
      </c>
      <c r="AH44">
        <v>97956514</v>
      </c>
      <c r="AI44">
        <v>1761</v>
      </c>
      <c r="AK44" s="24"/>
      <c r="AL44">
        <v>1003</v>
      </c>
      <c r="AM44">
        <v>1026</v>
      </c>
      <c r="AN44">
        <v>1020</v>
      </c>
      <c r="AO44">
        <v>33206059</v>
      </c>
      <c r="AP44">
        <v>1309</v>
      </c>
      <c r="AR44" s="24"/>
      <c r="AS44">
        <v>2990</v>
      </c>
      <c r="AT44">
        <v>3049</v>
      </c>
      <c r="AU44">
        <v>3036</v>
      </c>
      <c r="AV44">
        <v>12732632</v>
      </c>
      <c r="AW44">
        <v>1181</v>
      </c>
      <c r="AY44" s="24"/>
      <c r="AZ44">
        <v>341124900</v>
      </c>
      <c r="BA44">
        <v>348999999</v>
      </c>
      <c r="BB44">
        <v>344003035</v>
      </c>
      <c r="BC44">
        <v>1854</v>
      </c>
      <c r="BD44">
        <v>1275</v>
      </c>
      <c r="BF44" s="24"/>
      <c r="BG44">
        <v>21971</v>
      </c>
      <c r="BH44">
        <v>22000</v>
      </c>
      <c r="BI44">
        <v>21972</v>
      </c>
      <c r="BJ44">
        <v>1200846</v>
      </c>
      <c r="BK44">
        <v>151</v>
      </c>
      <c r="BM44" s="24"/>
      <c r="BN44">
        <v>7000011</v>
      </c>
      <c r="BO44">
        <v>7149999</v>
      </c>
      <c r="BP44">
        <v>7000016</v>
      </c>
      <c r="BQ44">
        <v>11199</v>
      </c>
      <c r="BR44">
        <v>381</v>
      </c>
      <c r="BT44" s="24"/>
      <c r="BU44">
        <v>1527</v>
      </c>
      <c r="BV44">
        <v>1579</v>
      </c>
      <c r="BW44">
        <v>1559</v>
      </c>
      <c r="BX44">
        <v>32525371</v>
      </c>
      <c r="BY44">
        <v>305</v>
      </c>
      <c r="CA44" s="24"/>
      <c r="CB44">
        <v>242</v>
      </c>
      <c r="CC44">
        <v>242</v>
      </c>
      <c r="CD44">
        <v>242</v>
      </c>
      <c r="CE44">
        <v>46505112</v>
      </c>
      <c r="CF44">
        <v>249</v>
      </c>
      <c r="CH44" s="24"/>
      <c r="CI44">
        <v>27900</v>
      </c>
      <c r="CJ44">
        <v>28000</v>
      </c>
      <c r="CK44">
        <v>27900</v>
      </c>
      <c r="CL44">
        <v>1953717</v>
      </c>
      <c r="CM44">
        <v>171</v>
      </c>
      <c r="CO44" s="24"/>
      <c r="CP44">
        <v>6925</v>
      </c>
      <c r="CQ44">
        <v>7464</v>
      </c>
      <c r="CR44">
        <v>7449</v>
      </c>
      <c r="CS44">
        <v>1266014</v>
      </c>
      <c r="CT44">
        <v>419</v>
      </c>
      <c r="CV44" s="24"/>
      <c r="CW44">
        <v>1490025</v>
      </c>
      <c r="CX44">
        <v>1512952</v>
      </c>
      <c r="CY44">
        <v>1491010</v>
      </c>
      <c r="CZ44">
        <v>11258</v>
      </c>
      <c r="DA44">
        <v>58</v>
      </c>
      <c r="DC44" s="24"/>
      <c r="DD44">
        <v>260</v>
      </c>
      <c r="DE44">
        <v>261</v>
      </c>
      <c r="DF44">
        <v>261</v>
      </c>
      <c r="DG44">
        <v>43558730</v>
      </c>
      <c r="DH44">
        <v>152</v>
      </c>
      <c r="DJ44" s="24"/>
      <c r="DK44">
        <v>37501000</v>
      </c>
      <c r="DL44">
        <v>38681999</v>
      </c>
      <c r="DM44">
        <v>38042100</v>
      </c>
      <c r="DN44">
        <v>284</v>
      </c>
      <c r="DO44">
        <v>87</v>
      </c>
      <c r="DQ44" s="24"/>
      <c r="DR44">
        <v>856021</v>
      </c>
      <c r="DS44">
        <v>984999</v>
      </c>
      <c r="DT44">
        <v>929996</v>
      </c>
      <c r="DU44">
        <v>10899</v>
      </c>
      <c r="DV44">
        <v>285</v>
      </c>
      <c r="DX44" s="24"/>
      <c r="DY44">
        <v>18000072</v>
      </c>
      <c r="DZ44">
        <v>19299999</v>
      </c>
      <c r="EA44">
        <v>19200000</v>
      </c>
      <c r="EB44">
        <v>639</v>
      </c>
      <c r="EC44">
        <v>153</v>
      </c>
      <c r="EE44" s="24"/>
      <c r="EF44">
        <v>183</v>
      </c>
      <c r="EG44">
        <v>189</v>
      </c>
      <c r="EH44">
        <v>186</v>
      </c>
      <c r="EI44">
        <v>118142875</v>
      </c>
      <c r="EJ44">
        <v>227</v>
      </c>
      <c r="EL44" s="24"/>
      <c r="EM44">
        <v>57113</v>
      </c>
      <c r="EN44">
        <v>62844</v>
      </c>
      <c r="EO44">
        <v>57808</v>
      </c>
      <c r="EP44">
        <v>62607</v>
      </c>
      <c r="EQ44">
        <v>644</v>
      </c>
      <c r="ES44" s="24"/>
      <c r="ET44">
        <v>257</v>
      </c>
      <c r="EU44">
        <v>279</v>
      </c>
      <c r="EV44">
        <v>279</v>
      </c>
      <c r="EW44">
        <v>38217446</v>
      </c>
      <c r="EX44">
        <v>583</v>
      </c>
      <c r="EZ44" s="24"/>
      <c r="FA44">
        <v>3880950</v>
      </c>
      <c r="FB44">
        <v>3966999</v>
      </c>
      <c r="FC44">
        <v>3880950</v>
      </c>
      <c r="FD44">
        <v>2034</v>
      </c>
      <c r="FE44">
        <v>26</v>
      </c>
      <c r="FG44" s="24"/>
      <c r="FH44">
        <v>9202</v>
      </c>
      <c r="FI44">
        <v>9669</v>
      </c>
      <c r="FJ44">
        <v>9541</v>
      </c>
      <c r="FK44">
        <v>2363455</v>
      </c>
      <c r="FL44">
        <v>541</v>
      </c>
      <c r="FN44" s="24"/>
      <c r="FO44">
        <v>16702</v>
      </c>
      <c r="FP44">
        <v>17214</v>
      </c>
      <c r="FQ44">
        <v>17213</v>
      </c>
      <c r="FR44">
        <v>209945</v>
      </c>
      <c r="FS44">
        <v>93</v>
      </c>
      <c r="FU44" s="24"/>
      <c r="FV44">
        <v>30007</v>
      </c>
      <c r="FW44">
        <v>30010</v>
      </c>
      <c r="FX44">
        <v>30008</v>
      </c>
      <c r="FY44">
        <v>313521</v>
      </c>
      <c r="FZ44">
        <v>1306</v>
      </c>
      <c r="GB44" s="24"/>
      <c r="GC44">
        <v>105512955</v>
      </c>
      <c r="GD44">
        <v>108768818</v>
      </c>
      <c r="GE44">
        <v>106811099</v>
      </c>
      <c r="GF44">
        <v>120</v>
      </c>
      <c r="GG44">
        <v>88</v>
      </c>
      <c r="GI44" s="24"/>
      <c r="GJ44">
        <v>27511000</v>
      </c>
      <c r="GK44">
        <v>27775000</v>
      </c>
      <c r="GL44">
        <v>27625000</v>
      </c>
      <c r="GM44">
        <v>593</v>
      </c>
      <c r="GN44">
        <v>91</v>
      </c>
      <c r="GP44" s="24"/>
      <c r="GQ44">
        <v>109</v>
      </c>
      <c r="GR44">
        <v>132</v>
      </c>
      <c r="GS44">
        <v>119</v>
      </c>
      <c r="GT44">
        <v>182720370</v>
      </c>
      <c r="GU44">
        <v>154</v>
      </c>
      <c r="GW44" s="24"/>
      <c r="GX44">
        <v>249</v>
      </c>
      <c r="GY44">
        <v>255</v>
      </c>
      <c r="GZ44">
        <v>249</v>
      </c>
      <c r="HA44">
        <v>86673266</v>
      </c>
      <c r="HB44">
        <v>250</v>
      </c>
      <c r="HD44" s="24"/>
      <c r="HE44">
        <v>4620</v>
      </c>
      <c r="HF44">
        <v>4759</v>
      </c>
      <c r="HG44">
        <v>4733</v>
      </c>
      <c r="HH44">
        <v>15553290</v>
      </c>
      <c r="HI44">
        <v>283</v>
      </c>
      <c r="HK44" s="24"/>
      <c r="HL44">
        <v>100271131</v>
      </c>
      <c r="HM44">
        <v>105290475</v>
      </c>
      <c r="HN44">
        <v>102949712</v>
      </c>
      <c r="HO44">
        <v>94</v>
      </c>
      <c r="HP44">
        <v>75</v>
      </c>
      <c r="HR44" s="24"/>
      <c r="HS44">
        <v>12570</v>
      </c>
      <c r="HT44">
        <v>13241</v>
      </c>
      <c r="HU44">
        <v>12571</v>
      </c>
      <c r="HV44">
        <v>865014</v>
      </c>
      <c r="HW44">
        <v>156</v>
      </c>
      <c r="HY44" s="24"/>
      <c r="HZ44">
        <v>8400</v>
      </c>
      <c r="IA44">
        <v>8839</v>
      </c>
      <c r="IB44">
        <v>8798</v>
      </c>
      <c r="IC44">
        <v>2766749</v>
      </c>
      <c r="ID44">
        <v>542</v>
      </c>
      <c r="IF44" s="24"/>
      <c r="IG44">
        <v>2582</v>
      </c>
      <c r="IH44">
        <v>2582</v>
      </c>
      <c r="II44">
        <v>2582</v>
      </c>
      <c r="IJ44">
        <v>1071998</v>
      </c>
      <c r="IK44">
        <v>133</v>
      </c>
      <c r="IM44" s="24"/>
      <c r="IN44">
        <v>103333421</v>
      </c>
      <c r="IO44">
        <v>114000000</v>
      </c>
      <c r="IP44">
        <v>107490389</v>
      </c>
      <c r="IQ44">
        <v>409</v>
      </c>
      <c r="IR44">
        <v>212</v>
      </c>
      <c r="IT44" s="24"/>
      <c r="IU44">
        <v>9360</v>
      </c>
      <c r="IV44">
        <v>9446</v>
      </c>
      <c r="IW44">
        <v>9446</v>
      </c>
      <c r="IX44">
        <v>1572301</v>
      </c>
      <c r="IY44">
        <v>174</v>
      </c>
      <c r="JA44" s="24"/>
      <c r="JB44">
        <v>104100000</v>
      </c>
      <c r="JC44">
        <v>106812122</v>
      </c>
      <c r="JD44">
        <v>106499793</v>
      </c>
      <c r="JE44">
        <v>189</v>
      </c>
      <c r="JF44">
        <v>122</v>
      </c>
      <c r="JH44" s="24"/>
      <c r="JI44">
        <v>103517761</v>
      </c>
      <c r="JJ44">
        <v>105293170</v>
      </c>
      <c r="JK44">
        <v>104994870</v>
      </c>
      <c r="JL44">
        <v>94</v>
      </c>
      <c r="JM44">
        <v>67</v>
      </c>
      <c r="JO44" s="24"/>
      <c r="JP44">
        <v>75</v>
      </c>
      <c r="JQ44">
        <v>79</v>
      </c>
      <c r="JR44">
        <v>79</v>
      </c>
      <c r="JS44">
        <v>95892939</v>
      </c>
      <c r="JT44">
        <v>92</v>
      </c>
      <c r="JV44" s="24"/>
      <c r="JW44">
        <v>86</v>
      </c>
      <c r="JX44">
        <v>89</v>
      </c>
      <c r="JY44">
        <v>86</v>
      </c>
      <c r="JZ44">
        <v>131762138</v>
      </c>
      <c r="KA44">
        <v>141</v>
      </c>
      <c r="KC44" s="24"/>
      <c r="KD44">
        <v>15</v>
      </c>
      <c r="KE44">
        <v>15</v>
      </c>
      <c r="KF44">
        <v>15</v>
      </c>
      <c r="KG44">
        <v>71417651</v>
      </c>
      <c r="KH44">
        <v>324</v>
      </c>
      <c r="KJ44" s="24"/>
      <c r="KK44">
        <v>95</v>
      </c>
      <c r="KL44">
        <v>96</v>
      </c>
      <c r="KM44">
        <v>96</v>
      </c>
      <c r="KN44">
        <v>129151277</v>
      </c>
      <c r="KO44">
        <v>155</v>
      </c>
      <c r="KQ44" s="24"/>
      <c r="KR44">
        <v>103011</v>
      </c>
      <c r="KS44">
        <v>103016</v>
      </c>
      <c r="KT44">
        <v>103012</v>
      </c>
      <c r="KU44">
        <v>74519</v>
      </c>
      <c r="KV44">
        <v>634</v>
      </c>
      <c r="KX44" s="24"/>
      <c r="KY44">
        <v>541</v>
      </c>
      <c r="KZ44">
        <v>542</v>
      </c>
      <c r="LA44">
        <v>542</v>
      </c>
      <c r="LB44">
        <v>3336427</v>
      </c>
      <c r="LC44">
        <v>165</v>
      </c>
      <c r="LE44" s="24"/>
      <c r="LF44">
        <v>216006</v>
      </c>
      <c r="LG44">
        <v>216017</v>
      </c>
      <c r="LH44">
        <v>216010</v>
      </c>
      <c r="LI44">
        <v>120104</v>
      </c>
      <c r="LJ44">
        <v>993</v>
      </c>
      <c r="LL44" s="24"/>
      <c r="LM44">
        <v>81268</v>
      </c>
      <c r="LN44">
        <v>81404</v>
      </c>
      <c r="LO44">
        <v>81300</v>
      </c>
      <c r="LP44">
        <v>327409</v>
      </c>
      <c r="LQ44">
        <v>1331</v>
      </c>
      <c r="LS44" s="24"/>
      <c r="LT44">
        <v>222</v>
      </c>
      <c r="LU44">
        <v>231</v>
      </c>
      <c r="LV44">
        <v>231</v>
      </c>
      <c r="LW44">
        <v>103642771</v>
      </c>
      <c r="LX44">
        <v>357</v>
      </c>
      <c r="LZ44" s="24"/>
      <c r="MA44">
        <v>67005</v>
      </c>
      <c r="MB44">
        <v>68188</v>
      </c>
      <c r="MC44">
        <v>68083</v>
      </c>
      <c r="MD44">
        <v>1322075</v>
      </c>
      <c r="ME44">
        <v>161</v>
      </c>
    </row>
    <row r="45" spans="2:343" x14ac:dyDescent="0.25">
      <c r="B45" s="24"/>
      <c r="C45">
        <v>2</v>
      </c>
      <c r="D45">
        <v>2</v>
      </c>
      <c r="E45">
        <v>2</v>
      </c>
      <c r="F45">
        <v>50340611577</v>
      </c>
      <c r="G45">
        <v>2985</v>
      </c>
      <c r="I45" s="24"/>
      <c r="J45">
        <v>4</v>
      </c>
      <c r="K45">
        <v>4</v>
      </c>
      <c r="L45">
        <v>4</v>
      </c>
      <c r="M45">
        <v>9843244968</v>
      </c>
      <c r="N45">
        <v>2166</v>
      </c>
      <c r="P45" s="24"/>
      <c r="Q45">
        <v>27</v>
      </c>
      <c r="R45">
        <v>28</v>
      </c>
      <c r="S45">
        <v>28</v>
      </c>
      <c r="T45">
        <v>2123340990</v>
      </c>
      <c r="U45">
        <v>2007</v>
      </c>
      <c r="W45" s="24"/>
      <c r="X45">
        <v>63</v>
      </c>
      <c r="Y45">
        <v>64</v>
      </c>
      <c r="Z45">
        <v>64</v>
      </c>
      <c r="AA45">
        <v>669826521</v>
      </c>
      <c r="AB45">
        <v>1574</v>
      </c>
      <c r="AD45" s="24"/>
      <c r="AE45">
        <v>576</v>
      </c>
      <c r="AF45">
        <v>591</v>
      </c>
      <c r="AG45">
        <v>581</v>
      </c>
      <c r="AH45">
        <v>174748238</v>
      </c>
      <c r="AI45">
        <v>1827</v>
      </c>
      <c r="AK45" s="24"/>
      <c r="AL45">
        <v>986</v>
      </c>
      <c r="AM45">
        <v>1014</v>
      </c>
      <c r="AN45">
        <v>1010</v>
      </c>
      <c r="AO45">
        <v>42562448</v>
      </c>
      <c r="AP45">
        <v>1366</v>
      </c>
      <c r="AR45" s="24"/>
      <c r="AS45">
        <v>2966</v>
      </c>
      <c r="AT45">
        <v>3049</v>
      </c>
      <c r="AU45">
        <v>3019</v>
      </c>
      <c r="AV45">
        <v>13909917</v>
      </c>
      <c r="AW45">
        <v>1311</v>
      </c>
      <c r="AY45" s="24"/>
      <c r="AZ45">
        <v>340001219</v>
      </c>
      <c r="BA45">
        <v>348692865</v>
      </c>
      <c r="BB45">
        <v>344398993</v>
      </c>
      <c r="BC45">
        <v>1831</v>
      </c>
      <c r="BD45">
        <v>1290</v>
      </c>
      <c r="BF45" s="24"/>
      <c r="BG45">
        <v>21832</v>
      </c>
      <c r="BH45">
        <v>21852</v>
      </c>
      <c r="BI45">
        <v>21836</v>
      </c>
      <c r="BJ45">
        <v>4081142</v>
      </c>
      <c r="BK45">
        <v>180</v>
      </c>
      <c r="BM45" s="24"/>
      <c r="BN45">
        <v>7000051</v>
      </c>
      <c r="BO45">
        <v>7042119</v>
      </c>
      <c r="BP45">
        <v>7000051</v>
      </c>
      <c r="BQ45">
        <v>8895</v>
      </c>
      <c r="BR45">
        <v>348</v>
      </c>
      <c r="BT45" s="24"/>
      <c r="BU45">
        <v>1520</v>
      </c>
      <c r="BV45">
        <v>1557</v>
      </c>
      <c r="BW45">
        <v>1557</v>
      </c>
      <c r="BX45">
        <v>32931606</v>
      </c>
      <c r="BY45">
        <v>280</v>
      </c>
      <c r="CA45" s="24"/>
      <c r="CB45">
        <v>242</v>
      </c>
      <c r="CC45">
        <v>242</v>
      </c>
      <c r="CD45">
        <v>242</v>
      </c>
      <c r="CE45">
        <v>56089333</v>
      </c>
      <c r="CF45">
        <v>225</v>
      </c>
      <c r="CH45" s="24"/>
      <c r="CI45">
        <v>27551</v>
      </c>
      <c r="CJ45">
        <v>27651</v>
      </c>
      <c r="CK45">
        <v>27601</v>
      </c>
      <c r="CL45">
        <v>1390063</v>
      </c>
      <c r="CM45">
        <v>158</v>
      </c>
      <c r="CO45" s="24"/>
      <c r="CP45">
        <v>6950</v>
      </c>
      <c r="CQ45">
        <v>7464</v>
      </c>
      <c r="CR45">
        <v>7449</v>
      </c>
      <c r="CS45">
        <v>923421</v>
      </c>
      <c r="CT45">
        <v>359</v>
      </c>
      <c r="CV45" s="24"/>
      <c r="CW45">
        <v>1490025</v>
      </c>
      <c r="CX45">
        <v>1510000</v>
      </c>
      <c r="CY45">
        <v>1509947</v>
      </c>
      <c r="CZ45">
        <v>9720</v>
      </c>
      <c r="DA45">
        <v>47</v>
      </c>
      <c r="DC45" s="24"/>
      <c r="DD45">
        <v>247</v>
      </c>
      <c r="DE45">
        <v>265</v>
      </c>
      <c r="DF45">
        <v>262</v>
      </c>
      <c r="DG45">
        <v>49104514</v>
      </c>
      <c r="DH45">
        <v>197</v>
      </c>
      <c r="DJ45" s="24"/>
      <c r="DK45">
        <v>38058002</v>
      </c>
      <c r="DL45">
        <v>38684989</v>
      </c>
      <c r="DM45">
        <v>38072001</v>
      </c>
      <c r="DN45">
        <v>694</v>
      </c>
      <c r="DO45">
        <v>124</v>
      </c>
      <c r="DQ45" s="24"/>
      <c r="DR45">
        <v>999017</v>
      </c>
      <c r="DS45">
        <v>1103804</v>
      </c>
      <c r="DT45">
        <v>1000013</v>
      </c>
      <c r="DU45">
        <v>9001</v>
      </c>
      <c r="DV45">
        <v>272</v>
      </c>
      <c r="DX45" s="24"/>
      <c r="DY45">
        <v>18130025</v>
      </c>
      <c r="DZ45">
        <v>19831134</v>
      </c>
      <c r="EA45">
        <v>18131046</v>
      </c>
      <c r="EB45">
        <v>680</v>
      </c>
      <c r="EC45">
        <v>131</v>
      </c>
      <c r="EE45" s="24"/>
      <c r="EF45">
        <v>191</v>
      </c>
      <c r="EG45">
        <v>193</v>
      </c>
      <c r="EH45">
        <v>192</v>
      </c>
      <c r="EI45">
        <v>83308921</v>
      </c>
      <c r="EJ45">
        <v>185</v>
      </c>
      <c r="EL45" s="24"/>
      <c r="EM45">
        <v>57950</v>
      </c>
      <c r="EN45">
        <v>60498</v>
      </c>
      <c r="EO45">
        <v>57959</v>
      </c>
      <c r="EP45">
        <v>96482</v>
      </c>
      <c r="EQ45">
        <v>679</v>
      </c>
      <c r="ES45" s="24"/>
      <c r="ET45">
        <v>261</v>
      </c>
      <c r="EU45">
        <v>279</v>
      </c>
      <c r="EV45">
        <v>279</v>
      </c>
      <c r="EW45">
        <v>49116843</v>
      </c>
      <c r="EX45">
        <v>566</v>
      </c>
      <c r="EZ45" s="24"/>
      <c r="FA45">
        <v>3951000</v>
      </c>
      <c r="FB45">
        <v>3969997</v>
      </c>
      <c r="FC45">
        <v>3969996</v>
      </c>
      <c r="FD45">
        <v>1762</v>
      </c>
      <c r="FE45">
        <v>21</v>
      </c>
      <c r="FG45" s="24"/>
      <c r="FH45">
        <v>9303</v>
      </c>
      <c r="FI45">
        <v>9749</v>
      </c>
      <c r="FJ45">
        <v>9700</v>
      </c>
      <c r="FK45">
        <v>2079249</v>
      </c>
      <c r="FL45">
        <v>499</v>
      </c>
      <c r="FN45" s="24"/>
      <c r="FO45">
        <v>17214</v>
      </c>
      <c r="FP45">
        <v>17236</v>
      </c>
      <c r="FQ45">
        <v>17234</v>
      </c>
      <c r="FR45">
        <v>225691</v>
      </c>
      <c r="FS45">
        <v>88</v>
      </c>
      <c r="FU45" s="24"/>
      <c r="FV45">
        <v>29999</v>
      </c>
      <c r="FW45">
        <v>30012</v>
      </c>
      <c r="FX45">
        <v>30000</v>
      </c>
      <c r="FY45">
        <v>312276</v>
      </c>
      <c r="FZ45">
        <v>1298</v>
      </c>
      <c r="GB45" s="24"/>
      <c r="GC45">
        <v>102111000</v>
      </c>
      <c r="GD45">
        <v>106496993</v>
      </c>
      <c r="GE45">
        <v>104000000</v>
      </c>
      <c r="GF45">
        <v>109</v>
      </c>
      <c r="GG45">
        <v>74</v>
      </c>
      <c r="GI45" s="24"/>
      <c r="GJ45">
        <v>27512006</v>
      </c>
      <c r="GK45">
        <v>28399009</v>
      </c>
      <c r="GL45">
        <v>28399007</v>
      </c>
      <c r="GM45">
        <v>560</v>
      </c>
      <c r="GN45">
        <v>77</v>
      </c>
      <c r="GP45" s="24"/>
      <c r="GQ45">
        <v>120</v>
      </c>
      <c r="GR45">
        <v>148</v>
      </c>
      <c r="GS45">
        <v>135</v>
      </c>
      <c r="GT45">
        <v>65117295</v>
      </c>
      <c r="GU45">
        <v>130</v>
      </c>
      <c r="GW45" s="24"/>
      <c r="GX45">
        <v>231</v>
      </c>
      <c r="GY45">
        <v>278</v>
      </c>
      <c r="GZ45">
        <v>261</v>
      </c>
      <c r="HA45">
        <v>72002833</v>
      </c>
      <c r="HB45">
        <v>266</v>
      </c>
      <c r="HD45" s="24"/>
      <c r="HE45">
        <v>4652</v>
      </c>
      <c r="HF45">
        <v>4718</v>
      </c>
      <c r="HG45">
        <v>4696</v>
      </c>
      <c r="HH45">
        <v>24011138</v>
      </c>
      <c r="HI45">
        <v>276</v>
      </c>
      <c r="HK45" s="24"/>
      <c r="HL45">
        <v>102302509</v>
      </c>
      <c r="HM45">
        <v>105291461</v>
      </c>
      <c r="HN45">
        <v>104774640</v>
      </c>
      <c r="HO45">
        <v>82</v>
      </c>
      <c r="HP45">
        <v>72</v>
      </c>
      <c r="HR45" s="24"/>
      <c r="HS45">
        <v>12573</v>
      </c>
      <c r="HT45">
        <v>13097</v>
      </c>
      <c r="HU45">
        <v>13095</v>
      </c>
      <c r="HV45">
        <v>957910</v>
      </c>
      <c r="HW45">
        <v>177</v>
      </c>
      <c r="HY45" s="24"/>
      <c r="HZ45">
        <v>8012</v>
      </c>
      <c r="IA45">
        <v>8500</v>
      </c>
      <c r="IB45">
        <v>8261</v>
      </c>
      <c r="IC45">
        <v>2913647</v>
      </c>
      <c r="ID45">
        <v>479</v>
      </c>
      <c r="IF45" s="24"/>
      <c r="IG45">
        <v>2526</v>
      </c>
      <c r="IH45">
        <v>2582</v>
      </c>
      <c r="II45">
        <v>2582</v>
      </c>
      <c r="IJ45">
        <v>1385071</v>
      </c>
      <c r="IK45">
        <v>142</v>
      </c>
      <c r="IM45" s="24"/>
      <c r="IN45">
        <v>106999000</v>
      </c>
      <c r="IO45">
        <v>108999997</v>
      </c>
      <c r="IP45">
        <v>106999999</v>
      </c>
      <c r="IQ45">
        <v>138</v>
      </c>
      <c r="IR45">
        <v>77</v>
      </c>
      <c r="IT45" s="24"/>
      <c r="IU45">
        <v>9414</v>
      </c>
      <c r="IV45">
        <v>9439</v>
      </c>
      <c r="IW45">
        <v>9425</v>
      </c>
      <c r="IX45">
        <v>1296608</v>
      </c>
      <c r="IY45">
        <v>151</v>
      </c>
      <c r="JA45" s="24"/>
      <c r="JB45">
        <v>105398600</v>
      </c>
      <c r="JC45">
        <v>110800012</v>
      </c>
      <c r="JD45">
        <v>108200051</v>
      </c>
      <c r="JE45">
        <v>456</v>
      </c>
      <c r="JF45">
        <v>210</v>
      </c>
      <c r="JH45" s="24"/>
      <c r="JI45">
        <v>103034203</v>
      </c>
      <c r="JJ45">
        <v>106996840</v>
      </c>
      <c r="JK45">
        <v>105147837</v>
      </c>
      <c r="JL45">
        <v>62</v>
      </c>
      <c r="JM45">
        <v>47</v>
      </c>
      <c r="JO45" s="24"/>
      <c r="JP45">
        <v>76</v>
      </c>
      <c r="JQ45">
        <v>79</v>
      </c>
      <c r="JR45">
        <v>79</v>
      </c>
      <c r="JS45">
        <v>117696932</v>
      </c>
      <c r="JT45">
        <v>83</v>
      </c>
      <c r="JV45" s="24"/>
      <c r="JW45">
        <v>89</v>
      </c>
      <c r="JX45">
        <v>91</v>
      </c>
      <c r="JY45">
        <v>89</v>
      </c>
      <c r="JZ45">
        <v>96876660</v>
      </c>
      <c r="KA45">
        <v>127</v>
      </c>
      <c r="KC45" s="24"/>
      <c r="KD45">
        <v>15</v>
      </c>
      <c r="KE45">
        <v>15</v>
      </c>
      <c r="KF45">
        <v>15</v>
      </c>
      <c r="KG45">
        <v>42915812</v>
      </c>
      <c r="KH45">
        <v>317</v>
      </c>
      <c r="KJ45" s="24"/>
      <c r="KK45">
        <v>97</v>
      </c>
      <c r="KL45">
        <v>99</v>
      </c>
      <c r="KM45">
        <v>97</v>
      </c>
      <c r="KN45">
        <v>149675279</v>
      </c>
      <c r="KO45">
        <v>140</v>
      </c>
      <c r="KQ45" s="24"/>
      <c r="KR45">
        <v>98600</v>
      </c>
      <c r="KS45">
        <v>102874</v>
      </c>
      <c r="KT45">
        <v>102003</v>
      </c>
      <c r="KU45">
        <v>45722</v>
      </c>
      <c r="KV45">
        <v>610</v>
      </c>
      <c r="KX45" s="24"/>
      <c r="KY45">
        <v>482</v>
      </c>
      <c r="KZ45">
        <v>538</v>
      </c>
      <c r="LA45">
        <v>519</v>
      </c>
      <c r="LB45">
        <v>7399381</v>
      </c>
      <c r="LC45">
        <v>176</v>
      </c>
      <c r="LE45" s="24"/>
      <c r="LF45">
        <v>200107</v>
      </c>
      <c r="LG45">
        <v>216013</v>
      </c>
      <c r="LH45">
        <v>216010</v>
      </c>
      <c r="LI45">
        <v>121161</v>
      </c>
      <c r="LJ45">
        <v>895</v>
      </c>
      <c r="LL45" s="24"/>
      <c r="LM45">
        <v>81302</v>
      </c>
      <c r="LN45">
        <v>81312</v>
      </c>
      <c r="LO45">
        <v>81305</v>
      </c>
      <c r="LP45">
        <v>340253</v>
      </c>
      <c r="LQ45">
        <v>1304</v>
      </c>
      <c r="LS45" s="24"/>
      <c r="LT45">
        <v>224</v>
      </c>
      <c r="LU45">
        <v>231</v>
      </c>
      <c r="LV45">
        <v>230</v>
      </c>
      <c r="LW45">
        <v>102499972</v>
      </c>
      <c r="LX45">
        <v>334</v>
      </c>
      <c r="LZ45" s="24"/>
      <c r="MA45">
        <v>66300</v>
      </c>
      <c r="MB45">
        <v>68199</v>
      </c>
      <c r="MC45">
        <v>68199</v>
      </c>
      <c r="MD45">
        <v>777263</v>
      </c>
      <c r="ME45">
        <v>72</v>
      </c>
    </row>
    <row r="46" spans="2:343" x14ac:dyDescent="0.25">
      <c r="B46" s="24"/>
      <c r="C46">
        <v>2</v>
      </c>
      <c r="D46">
        <v>2</v>
      </c>
      <c r="E46">
        <v>2</v>
      </c>
      <c r="F46">
        <v>43504030648</v>
      </c>
      <c r="G46">
        <v>3074</v>
      </c>
      <c r="I46" s="24"/>
      <c r="J46">
        <v>4</v>
      </c>
      <c r="K46">
        <v>4</v>
      </c>
      <c r="L46">
        <v>4</v>
      </c>
      <c r="M46">
        <v>7296791347</v>
      </c>
      <c r="N46">
        <v>2208</v>
      </c>
      <c r="P46" s="24"/>
      <c r="Q46">
        <v>28</v>
      </c>
      <c r="R46">
        <v>28</v>
      </c>
      <c r="S46">
        <v>28</v>
      </c>
      <c r="T46">
        <v>2477892499</v>
      </c>
      <c r="U46">
        <v>2045</v>
      </c>
      <c r="W46" s="24"/>
      <c r="X46">
        <v>64</v>
      </c>
      <c r="Y46">
        <v>65</v>
      </c>
      <c r="Z46">
        <v>65</v>
      </c>
      <c r="AA46">
        <v>436474439</v>
      </c>
      <c r="AB46">
        <v>1549</v>
      </c>
      <c r="AD46" s="24"/>
      <c r="AE46">
        <v>556</v>
      </c>
      <c r="AF46">
        <v>590</v>
      </c>
      <c r="AG46">
        <v>574</v>
      </c>
      <c r="AH46">
        <v>176361576</v>
      </c>
      <c r="AI46">
        <v>1748</v>
      </c>
      <c r="AK46" s="24"/>
      <c r="AL46">
        <v>986</v>
      </c>
      <c r="AM46">
        <v>1006</v>
      </c>
      <c r="AN46">
        <v>1003</v>
      </c>
      <c r="AO46">
        <v>41429144</v>
      </c>
      <c r="AP46">
        <v>1322</v>
      </c>
      <c r="AR46" s="24"/>
      <c r="AS46">
        <v>2958</v>
      </c>
      <c r="AT46">
        <v>3043</v>
      </c>
      <c r="AU46">
        <v>3034</v>
      </c>
      <c r="AV46">
        <v>12386954</v>
      </c>
      <c r="AW46">
        <v>1230</v>
      </c>
      <c r="AY46" s="24"/>
      <c r="AZ46">
        <v>340092000</v>
      </c>
      <c r="BA46">
        <v>346000000</v>
      </c>
      <c r="BB46">
        <v>343059817</v>
      </c>
      <c r="BC46">
        <v>2001</v>
      </c>
      <c r="BD46">
        <v>1325</v>
      </c>
      <c r="BF46" s="24"/>
      <c r="BG46">
        <v>21604</v>
      </c>
      <c r="BH46">
        <v>22200</v>
      </c>
      <c r="BI46">
        <v>21706</v>
      </c>
      <c r="BJ46">
        <v>2954098</v>
      </c>
      <c r="BK46">
        <v>182</v>
      </c>
      <c r="BM46" s="24"/>
      <c r="BN46">
        <v>7042213</v>
      </c>
      <c r="BO46">
        <v>7318092</v>
      </c>
      <c r="BP46">
        <v>7080002</v>
      </c>
      <c r="BQ46">
        <v>8622</v>
      </c>
      <c r="BR46">
        <v>308</v>
      </c>
      <c r="BT46" s="24"/>
      <c r="BU46">
        <v>1512</v>
      </c>
      <c r="BV46">
        <v>1557</v>
      </c>
      <c r="BW46">
        <v>1515</v>
      </c>
      <c r="BX46">
        <v>23071658</v>
      </c>
      <c r="BY46">
        <v>250</v>
      </c>
      <c r="CA46" s="24"/>
      <c r="CB46">
        <v>237</v>
      </c>
      <c r="CC46">
        <v>242</v>
      </c>
      <c r="CD46">
        <v>238</v>
      </c>
      <c r="CE46">
        <v>79403299</v>
      </c>
      <c r="CF46">
        <v>275</v>
      </c>
      <c r="CH46" s="24"/>
      <c r="CI46">
        <v>27601</v>
      </c>
      <c r="CJ46">
        <v>27807</v>
      </c>
      <c r="CK46">
        <v>27801</v>
      </c>
      <c r="CL46">
        <v>576217</v>
      </c>
      <c r="CM46">
        <v>159</v>
      </c>
      <c r="CO46" s="24"/>
      <c r="CP46">
        <v>7300</v>
      </c>
      <c r="CQ46">
        <v>7463</v>
      </c>
      <c r="CR46">
        <v>7460</v>
      </c>
      <c r="CS46">
        <v>1608932</v>
      </c>
      <c r="CT46">
        <v>414</v>
      </c>
      <c r="CV46" s="24"/>
      <c r="CW46">
        <v>1470074</v>
      </c>
      <c r="CX46">
        <v>1668999</v>
      </c>
      <c r="CY46">
        <v>1586997</v>
      </c>
      <c r="CZ46">
        <v>12225</v>
      </c>
      <c r="DA46">
        <v>52</v>
      </c>
      <c r="DC46" s="24"/>
      <c r="DD46">
        <v>266</v>
      </c>
      <c r="DE46">
        <v>274</v>
      </c>
      <c r="DF46">
        <v>274</v>
      </c>
      <c r="DG46">
        <v>27822436</v>
      </c>
      <c r="DH46">
        <v>198</v>
      </c>
      <c r="DJ46" s="24"/>
      <c r="DK46">
        <v>38502002</v>
      </c>
      <c r="DL46">
        <v>39999979</v>
      </c>
      <c r="DM46">
        <v>38512007</v>
      </c>
      <c r="DN46">
        <v>293</v>
      </c>
      <c r="DO46">
        <v>100</v>
      </c>
      <c r="DQ46" s="24"/>
      <c r="DR46">
        <v>1045010</v>
      </c>
      <c r="DS46">
        <v>1079999</v>
      </c>
      <c r="DT46">
        <v>1070000</v>
      </c>
      <c r="DU46">
        <v>8784</v>
      </c>
      <c r="DV46">
        <v>270</v>
      </c>
      <c r="DX46" s="24"/>
      <c r="DY46">
        <v>18510022</v>
      </c>
      <c r="DZ46">
        <v>19487029</v>
      </c>
      <c r="EA46">
        <v>18955556</v>
      </c>
      <c r="EB46">
        <v>572</v>
      </c>
      <c r="EC46">
        <v>126</v>
      </c>
      <c r="EE46" s="24"/>
      <c r="EF46">
        <v>189</v>
      </c>
      <c r="EG46">
        <v>217</v>
      </c>
      <c r="EH46">
        <v>190</v>
      </c>
      <c r="EI46">
        <v>109053793</v>
      </c>
      <c r="EJ46">
        <v>244</v>
      </c>
      <c r="EL46" s="24"/>
      <c r="EM46">
        <v>58106</v>
      </c>
      <c r="EN46">
        <v>61999</v>
      </c>
      <c r="EO46">
        <v>58168</v>
      </c>
      <c r="EP46">
        <v>60245</v>
      </c>
      <c r="EQ46">
        <v>657</v>
      </c>
      <c r="ES46" s="24"/>
      <c r="ET46">
        <v>268</v>
      </c>
      <c r="EU46">
        <v>277</v>
      </c>
      <c r="EV46">
        <v>275</v>
      </c>
      <c r="EW46">
        <v>33587348</v>
      </c>
      <c r="EX46">
        <v>575</v>
      </c>
      <c r="EZ46" s="24"/>
      <c r="FA46">
        <v>4250949</v>
      </c>
      <c r="FB46">
        <v>4250950</v>
      </c>
      <c r="FC46">
        <v>4250950</v>
      </c>
      <c r="FD46">
        <v>835</v>
      </c>
      <c r="FE46">
        <v>9</v>
      </c>
      <c r="FG46" s="24"/>
      <c r="FH46">
        <v>9308</v>
      </c>
      <c r="FI46">
        <v>9774</v>
      </c>
      <c r="FJ46">
        <v>9470</v>
      </c>
      <c r="FK46">
        <v>3468935</v>
      </c>
      <c r="FL46">
        <v>592</v>
      </c>
      <c r="FN46" s="24"/>
      <c r="FO46">
        <v>17647</v>
      </c>
      <c r="FP46">
        <v>17848</v>
      </c>
      <c r="FQ46">
        <v>17848</v>
      </c>
      <c r="FR46">
        <v>155628</v>
      </c>
      <c r="FS46">
        <v>98</v>
      </c>
      <c r="FU46" s="24"/>
      <c r="FV46">
        <v>29713</v>
      </c>
      <c r="FW46">
        <v>30012</v>
      </c>
      <c r="FX46">
        <v>29999</v>
      </c>
      <c r="FY46">
        <v>313473</v>
      </c>
      <c r="FZ46">
        <v>1297</v>
      </c>
      <c r="GB46" s="24"/>
      <c r="GC46">
        <v>106493845</v>
      </c>
      <c r="GD46">
        <v>109744269</v>
      </c>
      <c r="GE46">
        <v>109000700</v>
      </c>
      <c r="GF46">
        <v>130</v>
      </c>
      <c r="GG46">
        <v>80</v>
      </c>
      <c r="GI46" s="24"/>
      <c r="GJ46">
        <v>27523002</v>
      </c>
      <c r="GK46">
        <v>28399999</v>
      </c>
      <c r="GL46">
        <v>27525000</v>
      </c>
      <c r="GM46">
        <v>446</v>
      </c>
      <c r="GN46">
        <v>90</v>
      </c>
      <c r="GP46" s="24"/>
      <c r="GQ46">
        <v>110</v>
      </c>
      <c r="GR46">
        <v>123</v>
      </c>
      <c r="GS46">
        <v>119</v>
      </c>
      <c r="GT46">
        <v>135373903</v>
      </c>
      <c r="GU46">
        <v>158</v>
      </c>
      <c r="GW46" s="24"/>
      <c r="GX46">
        <v>246</v>
      </c>
      <c r="GY46">
        <v>273</v>
      </c>
      <c r="GZ46">
        <v>267</v>
      </c>
      <c r="HA46">
        <v>61300384</v>
      </c>
      <c r="HB46">
        <v>210</v>
      </c>
      <c r="HD46" s="24"/>
      <c r="HE46">
        <v>4653</v>
      </c>
      <c r="HF46">
        <v>4712</v>
      </c>
      <c r="HG46">
        <v>4712</v>
      </c>
      <c r="HH46">
        <v>17592594</v>
      </c>
      <c r="HI46">
        <v>297</v>
      </c>
      <c r="HK46" s="24"/>
      <c r="HL46">
        <v>105599800</v>
      </c>
      <c r="HM46">
        <v>106499824</v>
      </c>
      <c r="HN46">
        <v>105801504</v>
      </c>
      <c r="HO46">
        <v>75</v>
      </c>
      <c r="HP46">
        <v>62</v>
      </c>
      <c r="HR46" s="24"/>
      <c r="HS46">
        <v>12573</v>
      </c>
      <c r="HT46">
        <v>12574</v>
      </c>
      <c r="HU46">
        <v>12573</v>
      </c>
      <c r="HV46">
        <v>544075</v>
      </c>
      <c r="HW46">
        <v>118</v>
      </c>
      <c r="HY46" s="24"/>
      <c r="HZ46">
        <v>8026</v>
      </c>
      <c r="IA46">
        <v>8499</v>
      </c>
      <c r="IB46">
        <v>8394</v>
      </c>
      <c r="IC46">
        <v>2163776</v>
      </c>
      <c r="ID46">
        <v>489</v>
      </c>
      <c r="IF46" s="24"/>
      <c r="IG46">
        <v>2509</v>
      </c>
      <c r="IH46">
        <v>2583</v>
      </c>
      <c r="II46">
        <v>2526</v>
      </c>
      <c r="IJ46">
        <v>1895872</v>
      </c>
      <c r="IK46">
        <v>171</v>
      </c>
      <c r="IM46" s="24"/>
      <c r="IN46">
        <v>111950000</v>
      </c>
      <c r="IO46">
        <v>119500000</v>
      </c>
      <c r="IP46">
        <v>118000001</v>
      </c>
      <c r="IQ46">
        <v>201</v>
      </c>
      <c r="IR46">
        <v>98</v>
      </c>
      <c r="IT46" s="24"/>
      <c r="IU46">
        <v>9186</v>
      </c>
      <c r="IV46">
        <v>9413</v>
      </c>
      <c r="IW46">
        <v>9413</v>
      </c>
      <c r="IX46">
        <v>1697861</v>
      </c>
      <c r="IY46">
        <v>187</v>
      </c>
      <c r="JA46" s="24"/>
      <c r="JB46">
        <v>102222225</v>
      </c>
      <c r="JC46">
        <v>107100000</v>
      </c>
      <c r="JD46">
        <v>105499729</v>
      </c>
      <c r="JE46">
        <v>377</v>
      </c>
      <c r="JF46">
        <v>197</v>
      </c>
      <c r="JH46" s="24"/>
      <c r="JI46">
        <v>102312350</v>
      </c>
      <c r="JJ46">
        <v>106496222</v>
      </c>
      <c r="JK46">
        <v>104873727</v>
      </c>
      <c r="JL46">
        <v>70</v>
      </c>
      <c r="JM46">
        <v>48</v>
      </c>
      <c r="JO46" s="24"/>
      <c r="JP46">
        <v>76</v>
      </c>
      <c r="JQ46">
        <v>79</v>
      </c>
      <c r="JR46">
        <v>79</v>
      </c>
      <c r="JS46">
        <v>101011141</v>
      </c>
      <c r="JT46">
        <v>141</v>
      </c>
      <c r="JV46" s="24"/>
      <c r="JW46">
        <v>89</v>
      </c>
      <c r="JX46">
        <v>94</v>
      </c>
      <c r="JY46">
        <v>89</v>
      </c>
      <c r="JZ46">
        <v>126791597</v>
      </c>
      <c r="KA46">
        <v>135</v>
      </c>
      <c r="KC46" s="24"/>
      <c r="KD46">
        <v>16</v>
      </c>
      <c r="KE46">
        <v>18</v>
      </c>
      <c r="KF46">
        <v>16</v>
      </c>
      <c r="KG46">
        <v>73418027</v>
      </c>
      <c r="KH46">
        <v>308</v>
      </c>
      <c r="KJ46" s="24"/>
      <c r="KK46">
        <v>99</v>
      </c>
      <c r="KL46">
        <v>108</v>
      </c>
      <c r="KM46">
        <v>108</v>
      </c>
      <c r="KN46">
        <v>94419915</v>
      </c>
      <c r="KO46">
        <v>142</v>
      </c>
      <c r="KQ46" s="24"/>
      <c r="KR46">
        <v>98601</v>
      </c>
      <c r="KS46">
        <v>102997</v>
      </c>
      <c r="KT46">
        <v>99000</v>
      </c>
      <c r="KU46">
        <v>52426</v>
      </c>
      <c r="KV46">
        <v>614</v>
      </c>
      <c r="KX46" s="24"/>
      <c r="KY46">
        <v>485</v>
      </c>
      <c r="KZ46">
        <v>531</v>
      </c>
      <c r="LA46">
        <v>519</v>
      </c>
      <c r="LB46">
        <v>7066449</v>
      </c>
      <c r="LC46">
        <v>192</v>
      </c>
      <c r="LE46" s="24"/>
      <c r="LF46">
        <v>200250</v>
      </c>
      <c r="LG46">
        <v>200254</v>
      </c>
      <c r="LH46">
        <v>200252</v>
      </c>
      <c r="LI46">
        <v>87142</v>
      </c>
      <c r="LJ46">
        <v>870</v>
      </c>
      <c r="LL46" s="24"/>
      <c r="LM46">
        <v>76025</v>
      </c>
      <c r="LN46">
        <v>81311</v>
      </c>
      <c r="LO46">
        <v>79489</v>
      </c>
      <c r="LP46">
        <v>283604</v>
      </c>
      <c r="LQ46">
        <v>1313</v>
      </c>
      <c r="LS46" s="24"/>
      <c r="LT46">
        <v>227</v>
      </c>
      <c r="LU46">
        <v>232</v>
      </c>
      <c r="LV46">
        <v>231</v>
      </c>
      <c r="LW46">
        <v>137746827</v>
      </c>
      <c r="LX46">
        <v>389</v>
      </c>
      <c r="LZ46" s="24"/>
      <c r="MA46">
        <v>67500</v>
      </c>
      <c r="MB46">
        <v>68750</v>
      </c>
      <c r="MC46">
        <v>68671</v>
      </c>
      <c r="MD46">
        <v>972529</v>
      </c>
      <c r="ME46">
        <v>98</v>
      </c>
    </row>
    <row r="47" spans="2:343" x14ac:dyDescent="0.25">
      <c r="B47" s="24"/>
      <c r="C47">
        <v>2</v>
      </c>
      <c r="D47">
        <v>2</v>
      </c>
      <c r="E47">
        <v>2</v>
      </c>
      <c r="F47">
        <v>44209742252</v>
      </c>
      <c r="G47">
        <v>3492</v>
      </c>
      <c r="I47" s="24"/>
      <c r="J47">
        <v>4</v>
      </c>
      <c r="K47">
        <v>4</v>
      </c>
      <c r="L47">
        <v>4</v>
      </c>
      <c r="M47">
        <v>7046096419</v>
      </c>
      <c r="N47">
        <v>2427</v>
      </c>
      <c r="P47" s="24"/>
      <c r="Q47">
        <v>28</v>
      </c>
      <c r="R47">
        <v>29</v>
      </c>
      <c r="S47">
        <v>28</v>
      </c>
      <c r="T47">
        <v>2697213377</v>
      </c>
      <c r="U47">
        <v>2254</v>
      </c>
      <c r="W47" s="24"/>
      <c r="X47">
        <v>64</v>
      </c>
      <c r="Y47">
        <v>66</v>
      </c>
      <c r="Z47">
        <v>65</v>
      </c>
      <c r="AA47">
        <v>538691440</v>
      </c>
      <c r="AB47">
        <v>1744</v>
      </c>
      <c r="AD47" s="24"/>
      <c r="AE47">
        <v>556</v>
      </c>
      <c r="AF47">
        <v>581</v>
      </c>
      <c r="AG47">
        <v>558</v>
      </c>
      <c r="AH47">
        <v>232239158</v>
      </c>
      <c r="AI47">
        <v>1917</v>
      </c>
      <c r="AK47" s="24"/>
      <c r="AL47">
        <v>995</v>
      </c>
      <c r="AM47">
        <v>1028</v>
      </c>
      <c r="AN47">
        <v>997</v>
      </c>
      <c r="AO47">
        <v>34019454</v>
      </c>
      <c r="AP47">
        <v>1460</v>
      </c>
      <c r="AR47" s="24"/>
      <c r="AS47">
        <v>2991</v>
      </c>
      <c r="AT47">
        <v>3125</v>
      </c>
      <c r="AU47">
        <v>3068</v>
      </c>
      <c r="AV47">
        <v>15263027</v>
      </c>
      <c r="AW47">
        <v>1453</v>
      </c>
      <c r="AY47" s="24"/>
      <c r="AZ47">
        <v>338001283</v>
      </c>
      <c r="BA47">
        <v>344988999</v>
      </c>
      <c r="BB47">
        <v>340000000</v>
      </c>
      <c r="BC47">
        <v>2153</v>
      </c>
      <c r="BD47">
        <v>1433</v>
      </c>
      <c r="BF47" s="24"/>
      <c r="BG47">
        <v>21802</v>
      </c>
      <c r="BH47">
        <v>22299</v>
      </c>
      <c r="BI47">
        <v>22052</v>
      </c>
      <c r="BJ47">
        <v>2786770</v>
      </c>
      <c r="BK47">
        <v>188</v>
      </c>
      <c r="BM47" s="24"/>
      <c r="BN47">
        <v>7000051</v>
      </c>
      <c r="BO47">
        <v>7318092</v>
      </c>
      <c r="BP47">
        <v>7050009</v>
      </c>
      <c r="BQ47">
        <v>9876</v>
      </c>
      <c r="BR47">
        <v>394</v>
      </c>
      <c r="BT47" s="24"/>
      <c r="BU47">
        <v>1548</v>
      </c>
      <c r="BV47">
        <v>1568</v>
      </c>
      <c r="BW47">
        <v>1555</v>
      </c>
      <c r="BX47">
        <v>36778513</v>
      </c>
      <c r="BY47">
        <v>294</v>
      </c>
      <c r="CA47" s="24"/>
      <c r="CB47">
        <v>238</v>
      </c>
      <c r="CC47">
        <v>241</v>
      </c>
      <c r="CD47">
        <v>240</v>
      </c>
      <c r="CE47">
        <v>100594592</v>
      </c>
      <c r="CF47">
        <v>301</v>
      </c>
      <c r="CH47" s="24"/>
      <c r="CI47">
        <v>28001</v>
      </c>
      <c r="CJ47">
        <v>28200</v>
      </c>
      <c r="CK47">
        <v>28008</v>
      </c>
      <c r="CL47">
        <v>984865</v>
      </c>
      <c r="CM47">
        <v>171</v>
      </c>
      <c r="CO47" s="24"/>
      <c r="CP47">
        <v>6967</v>
      </c>
      <c r="CQ47">
        <v>7549</v>
      </c>
      <c r="CR47">
        <v>7494</v>
      </c>
      <c r="CS47">
        <v>1320965</v>
      </c>
      <c r="CT47">
        <v>430</v>
      </c>
      <c r="CV47" s="24"/>
      <c r="CW47">
        <v>1471000</v>
      </c>
      <c r="CX47">
        <v>1606007</v>
      </c>
      <c r="CY47">
        <v>1599998</v>
      </c>
      <c r="CZ47">
        <v>9826</v>
      </c>
      <c r="DA47">
        <v>49</v>
      </c>
      <c r="DC47" s="24"/>
      <c r="DD47">
        <v>257</v>
      </c>
      <c r="DE47">
        <v>258</v>
      </c>
      <c r="DF47">
        <v>258</v>
      </c>
      <c r="DG47">
        <v>32584197</v>
      </c>
      <c r="DH47">
        <v>174</v>
      </c>
      <c r="DJ47" s="24"/>
      <c r="DK47">
        <v>38530002</v>
      </c>
      <c r="DL47">
        <v>38766500</v>
      </c>
      <c r="DM47">
        <v>38750000</v>
      </c>
      <c r="DN47">
        <v>336</v>
      </c>
      <c r="DO47">
        <v>105</v>
      </c>
      <c r="DQ47" s="24"/>
      <c r="DR47">
        <v>976002</v>
      </c>
      <c r="DS47">
        <v>1024004</v>
      </c>
      <c r="DT47">
        <v>1005245</v>
      </c>
      <c r="DU47">
        <v>8875</v>
      </c>
      <c r="DV47">
        <v>261</v>
      </c>
      <c r="DX47" s="24"/>
      <c r="DY47">
        <v>18550007</v>
      </c>
      <c r="DZ47">
        <v>19500005</v>
      </c>
      <c r="EA47">
        <v>18953001</v>
      </c>
      <c r="EB47">
        <v>614</v>
      </c>
      <c r="EC47">
        <v>132</v>
      </c>
      <c r="EE47" s="24"/>
      <c r="EF47">
        <v>189</v>
      </c>
      <c r="EG47">
        <v>197</v>
      </c>
      <c r="EH47">
        <v>191</v>
      </c>
      <c r="EI47">
        <v>134272896</v>
      </c>
      <c r="EJ47">
        <v>259</v>
      </c>
      <c r="EL47" s="24"/>
      <c r="EM47">
        <v>59015</v>
      </c>
      <c r="EN47">
        <v>59064</v>
      </c>
      <c r="EO47">
        <v>59061</v>
      </c>
      <c r="EP47">
        <v>78323</v>
      </c>
      <c r="EQ47">
        <v>811</v>
      </c>
      <c r="ES47" s="24"/>
      <c r="ET47">
        <v>268</v>
      </c>
      <c r="EU47">
        <v>268</v>
      </c>
      <c r="EV47">
        <v>268</v>
      </c>
      <c r="EW47">
        <v>35377068</v>
      </c>
      <c r="EX47">
        <v>634</v>
      </c>
      <c r="EZ47" s="24"/>
      <c r="FA47">
        <v>4250950</v>
      </c>
      <c r="FB47">
        <v>4250950</v>
      </c>
      <c r="FC47">
        <v>4250950</v>
      </c>
      <c r="FD47">
        <v>871</v>
      </c>
      <c r="FE47">
        <v>20</v>
      </c>
      <c r="FG47" s="24"/>
      <c r="FH47">
        <v>9501</v>
      </c>
      <c r="FI47">
        <v>9899</v>
      </c>
      <c r="FJ47">
        <v>9600</v>
      </c>
      <c r="FK47">
        <v>2432761</v>
      </c>
      <c r="FL47">
        <v>570</v>
      </c>
      <c r="FN47" s="24"/>
      <c r="FO47">
        <v>17833</v>
      </c>
      <c r="FP47">
        <v>17848</v>
      </c>
      <c r="FQ47">
        <v>17848</v>
      </c>
      <c r="FR47">
        <v>437832</v>
      </c>
      <c r="FS47">
        <v>99</v>
      </c>
      <c r="FU47" s="24"/>
      <c r="FV47">
        <v>29600</v>
      </c>
      <c r="FW47">
        <v>29720</v>
      </c>
      <c r="FX47">
        <v>29627</v>
      </c>
      <c r="FY47">
        <v>385819</v>
      </c>
      <c r="FZ47">
        <v>1685</v>
      </c>
      <c r="GB47" s="24"/>
      <c r="GC47">
        <v>107050000</v>
      </c>
      <c r="GD47">
        <v>109098400</v>
      </c>
      <c r="GE47">
        <v>107300000</v>
      </c>
      <c r="GF47">
        <v>176</v>
      </c>
      <c r="GG47">
        <v>96</v>
      </c>
      <c r="GI47" s="24"/>
      <c r="GJ47">
        <v>27526001</v>
      </c>
      <c r="GK47">
        <v>27999998</v>
      </c>
      <c r="GL47">
        <v>27527004</v>
      </c>
      <c r="GM47">
        <v>420</v>
      </c>
      <c r="GN47">
        <v>93</v>
      </c>
      <c r="GP47" s="24"/>
      <c r="GQ47">
        <v>112</v>
      </c>
      <c r="GR47">
        <v>114</v>
      </c>
      <c r="GS47">
        <v>112</v>
      </c>
      <c r="GT47">
        <v>269051734</v>
      </c>
      <c r="GU47">
        <v>212</v>
      </c>
      <c r="GW47" s="24"/>
      <c r="GX47">
        <v>259</v>
      </c>
      <c r="GY47">
        <v>266</v>
      </c>
      <c r="GZ47">
        <v>264</v>
      </c>
      <c r="HA47">
        <v>42460346</v>
      </c>
      <c r="HB47">
        <v>212</v>
      </c>
      <c r="HD47" s="24"/>
      <c r="HE47">
        <v>4869</v>
      </c>
      <c r="HF47">
        <v>5497</v>
      </c>
      <c r="HG47">
        <v>4995</v>
      </c>
      <c r="HH47">
        <v>22495860</v>
      </c>
      <c r="HI47">
        <v>428</v>
      </c>
      <c r="HK47" s="24"/>
      <c r="HL47">
        <v>106000400</v>
      </c>
      <c r="HM47">
        <v>107999500</v>
      </c>
      <c r="HN47">
        <v>107697310</v>
      </c>
      <c r="HO47">
        <v>91</v>
      </c>
      <c r="HP47">
        <v>68</v>
      </c>
      <c r="HR47" s="24"/>
      <c r="HS47">
        <v>12501</v>
      </c>
      <c r="HT47">
        <v>13025</v>
      </c>
      <c r="HU47">
        <v>12869</v>
      </c>
      <c r="HV47">
        <v>1112165</v>
      </c>
      <c r="HW47">
        <v>216</v>
      </c>
      <c r="HY47" s="24"/>
      <c r="HZ47">
        <v>8005</v>
      </c>
      <c r="IA47">
        <v>8499</v>
      </c>
      <c r="IB47">
        <v>8489</v>
      </c>
      <c r="IC47">
        <v>2252426</v>
      </c>
      <c r="ID47">
        <v>582</v>
      </c>
      <c r="IF47" s="24"/>
      <c r="IG47">
        <v>2596</v>
      </c>
      <c r="IH47">
        <v>2596</v>
      </c>
      <c r="II47">
        <v>2596</v>
      </c>
      <c r="IJ47">
        <v>2048210</v>
      </c>
      <c r="IK47">
        <v>150</v>
      </c>
      <c r="IM47" s="24"/>
      <c r="IN47">
        <v>105001123</v>
      </c>
      <c r="IO47">
        <v>108000000</v>
      </c>
      <c r="IP47">
        <v>106901663</v>
      </c>
      <c r="IQ47">
        <v>236</v>
      </c>
      <c r="IR47">
        <v>120</v>
      </c>
      <c r="IT47" s="24"/>
      <c r="IU47">
        <v>9128</v>
      </c>
      <c r="IV47">
        <v>9413</v>
      </c>
      <c r="IW47">
        <v>9411</v>
      </c>
      <c r="IX47">
        <v>2421096</v>
      </c>
      <c r="IY47">
        <v>227</v>
      </c>
      <c r="JA47" s="24"/>
      <c r="JB47">
        <v>104950000</v>
      </c>
      <c r="JC47">
        <v>108199727</v>
      </c>
      <c r="JD47">
        <v>106225000</v>
      </c>
      <c r="JE47">
        <v>174</v>
      </c>
      <c r="JF47">
        <v>99</v>
      </c>
      <c r="JH47" s="24"/>
      <c r="JI47">
        <v>106005271</v>
      </c>
      <c r="JJ47">
        <v>109743330</v>
      </c>
      <c r="JK47">
        <v>108392972</v>
      </c>
      <c r="JL47">
        <v>28</v>
      </c>
      <c r="JM47">
        <v>27</v>
      </c>
      <c r="JO47" s="24"/>
      <c r="JP47">
        <v>76</v>
      </c>
      <c r="JQ47">
        <v>78</v>
      </c>
      <c r="JR47">
        <v>77</v>
      </c>
      <c r="JS47">
        <v>187858773</v>
      </c>
      <c r="JT47">
        <v>151</v>
      </c>
      <c r="JV47" s="24"/>
      <c r="JW47">
        <v>90</v>
      </c>
      <c r="JX47">
        <v>94</v>
      </c>
      <c r="JY47">
        <v>91</v>
      </c>
      <c r="JZ47">
        <v>177013940</v>
      </c>
      <c r="KA47">
        <v>166</v>
      </c>
      <c r="KC47" s="24"/>
      <c r="KD47">
        <v>15</v>
      </c>
      <c r="KE47">
        <v>18</v>
      </c>
      <c r="KF47">
        <v>17</v>
      </c>
      <c r="KG47">
        <v>80341136</v>
      </c>
      <c r="KH47">
        <v>356</v>
      </c>
      <c r="KJ47" s="24"/>
      <c r="KK47">
        <v>100</v>
      </c>
      <c r="KL47">
        <v>104</v>
      </c>
      <c r="KM47">
        <v>102</v>
      </c>
      <c r="KN47">
        <v>188727785</v>
      </c>
      <c r="KO47">
        <v>168</v>
      </c>
      <c r="KQ47" s="24"/>
      <c r="KR47">
        <v>98700</v>
      </c>
      <c r="KS47">
        <v>103222</v>
      </c>
      <c r="KT47">
        <v>99223</v>
      </c>
      <c r="KU47">
        <v>75652</v>
      </c>
      <c r="KV47">
        <v>812</v>
      </c>
      <c r="KX47" s="24"/>
      <c r="KY47">
        <v>484</v>
      </c>
      <c r="KZ47">
        <v>506</v>
      </c>
      <c r="LA47">
        <v>487</v>
      </c>
      <c r="LB47">
        <v>11490144</v>
      </c>
      <c r="LC47">
        <v>246</v>
      </c>
      <c r="LE47" s="24"/>
      <c r="LF47">
        <v>200506</v>
      </c>
      <c r="LG47">
        <v>201001</v>
      </c>
      <c r="LH47">
        <v>200654</v>
      </c>
      <c r="LI47">
        <v>104593</v>
      </c>
      <c r="LJ47">
        <v>1097</v>
      </c>
      <c r="LL47" s="24"/>
      <c r="LM47">
        <v>76356</v>
      </c>
      <c r="LN47">
        <v>77154</v>
      </c>
      <c r="LO47">
        <v>76366</v>
      </c>
      <c r="LP47">
        <v>363615</v>
      </c>
      <c r="LQ47">
        <v>1647</v>
      </c>
      <c r="LS47" s="24"/>
      <c r="LT47">
        <v>231</v>
      </c>
      <c r="LU47">
        <v>232</v>
      </c>
      <c r="LV47">
        <v>231</v>
      </c>
      <c r="LW47">
        <v>80228135</v>
      </c>
      <c r="LX47">
        <v>414</v>
      </c>
      <c r="LZ47" s="24"/>
      <c r="MA47">
        <v>68631</v>
      </c>
      <c r="MB47">
        <v>74000</v>
      </c>
      <c r="MC47">
        <v>72500</v>
      </c>
      <c r="MD47">
        <v>1503955</v>
      </c>
      <c r="ME47">
        <v>118</v>
      </c>
    </row>
    <row r="48" spans="2:343" x14ac:dyDescent="0.25">
      <c r="B48" s="24"/>
      <c r="C48">
        <v>2</v>
      </c>
      <c r="D48">
        <v>2</v>
      </c>
      <c r="E48">
        <v>2</v>
      </c>
      <c r="F48">
        <v>44375314723</v>
      </c>
      <c r="G48">
        <v>3692</v>
      </c>
      <c r="I48" s="24"/>
      <c r="J48">
        <v>4</v>
      </c>
      <c r="K48">
        <v>4</v>
      </c>
      <c r="L48">
        <v>4</v>
      </c>
      <c r="M48">
        <v>7598814085</v>
      </c>
      <c r="N48">
        <v>2794</v>
      </c>
      <c r="P48" s="24"/>
      <c r="Q48">
        <v>28</v>
      </c>
      <c r="R48">
        <v>29</v>
      </c>
      <c r="S48">
        <v>28</v>
      </c>
      <c r="T48">
        <v>2770382155</v>
      </c>
      <c r="U48">
        <v>2610</v>
      </c>
      <c r="W48" s="24"/>
      <c r="X48">
        <v>64</v>
      </c>
      <c r="Y48">
        <v>66</v>
      </c>
      <c r="Z48">
        <v>65</v>
      </c>
      <c r="AA48">
        <v>457821962</v>
      </c>
      <c r="AB48">
        <v>1922</v>
      </c>
      <c r="AD48" s="24"/>
      <c r="AE48">
        <v>540</v>
      </c>
      <c r="AF48">
        <v>568</v>
      </c>
      <c r="AG48">
        <v>564</v>
      </c>
      <c r="AH48">
        <v>120826863</v>
      </c>
      <c r="AI48">
        <v>2105</v>
      </c>
      <c r="AK48" s="24"/>
      <c r="AL48">
        <v>985</v>
      </c>
      <c r="AM48">
        <v>1018</v>
      </c>
      <c r="AN48">
        <v>987</v>
      </c>
      <c r="AO48">
        <v>44445707</v>
      </c>
      <c r="AP48">
        <v>1590</v>
      </c>
      <c r="AR48" s="24"/>
      <c r="AS48">
        <v>3008</v>
      </c>
      <c r="AT48">
        <v>3072</v>
      </c>
      <c r="AU48">
        <v>3021</v>
      </c>
      <c r="AV48">
        <v>18963987</v>
      </c>
      <c r="AW48">
        <v>1569</v>
      </c>
      <c r="AY48" s="24"/>
      <c r="AZ48">
        <v>335000102</v>
      </c>
      <c r="BA48">
        <v>342278805</v>
      </c>
      <c r="BB48">
        <v>337262000</v>
      </c>
      <c r="BC48">
        <v>2033</v>
      </c>
      <c r="BD48">
        <v>1382</v>
      </c>
      <c r="BF48" s="24"/>
      <c r="BG48">
        <v>21804</v>
      </c>
      <c r="BH48">
        <v>22500</v>
      </c>
      <c r="BI48">
        <v>21905</v>
      </c>
      <c r="BJ48">
        <v>3963567</v>
      </c>
      <c r="BK48">
        <v>236</v>
      </c>
      <c r="BM48" s="24"/>
      <c r="BN48">
        <v>7000123</v>
      </c>
      <c r="BO48">
        <v>7050000</v>
      </c>
      <c r="BP48">
        <v>7000198</v>
      </c>
      <c r="BQ48">
        <v>12060</v>
      </c>
      <c r="BR48">
        <v>418</v>
      </c>
      <c r="BT48" s="24"/>
      <c r="BU48">
        <v>1555</v>
      </c>
      <c r="BV48">
        <v>1878</v>
      </c>
      <c r="BW48">
        <v>1600</v>
      </c>
      <c r="BX48">
        <v>36696059</v>
      </c>
      <c r="BY48">
        <v>366</v>
      </c>
      <c r="CA48" s="24"/>
      <c r="CB48">
        <v>233</v>
      </c>
      <c r="CC48">
        <v>243</v>
      </c>
      <c r="CD48">
        <v>242</v>
      </c>
      <c r="CE48">
        <v>124809164</v>
      </c>
      <c r="CF48">
        <v>351</v>
      </c>
      <c r="CH48" s="24"/>
      <c r="CI48">
        <v>27937</v>
      </c>
      <c r="CJ48">
        <v>28013</v>
      </c>
      <c r="CK48">
        <v>27937</v>
      </c>
      <c r="CL48">
        <v>893369</v>
      </c>
      <c r="CM48">
        <v>183</v>
      </c>
      <c r="CO48" s="24"/>
      <c r="CP48">
        <v>7002</v>
      </c>
      <c r="CQ48">
        <v>7600</v>
      </c>
      <c r="CR48">
        <v>7568</v>
      </c>
      <c r="CS48">
        <v>1041820</v>
      </c>
      <c r="CT48">
        <v>462</v>
      </c>
      <c r="CV48" s="24"/>
      <c r="CW48">
        <v>1400000</v>
      </c>
      <c r="CX48">
        <v>1497968</v>
      </c>
      <c r="CY48">
        <v>1450002</v>
      </c>
      <c r="CZ48">
        <v>13733</v>
      </c>
      <c r="DA48">
        <v>62</v>
      </c>
      <c r="DC48" s="24"/>
      <c r="DD48">
        <v>258</v>
      </c>
      <c r="DE48">
        <v>266</v>
      </c>
      <c r="DF48">
        <v>265</v>
      </c>
      <c r="DG48">
        <v>52769060</v>
      </c>
      <c r="DH48">
        <v>195</v>
      </c>
      <c r="DJ48" s="24"/>
      <c r="DK48">
        <v>38853012</v>
      </c>
      <c r="DL48">
        <v>41063000</v>
      </c>
      <c r="DM48">
        <v>38855114</v>
      </c>
      <c r="DN48">
        <v>348</v>
      </c>
      <c r="DO48">
        <v>89</v>
      </c>
      <c r="DQ48" s="24"/>
      <c r="DR48">
        <v>978001</v>
      </c>
      <c r="DS48">
        <v>1015999</v>
      </c>
      <c r="DT48">
        <v>981001</v>
      </c>
      <c r="DU48">
        <v>10630</v>
      </c>
      <c r="DV48">
        <v>283</v>
      </c>
      <c r="DX48" s="24"/>
      <c r="DY48">
        <v>18552045</v>
      </c>
      <c r="DZ48">
        <v>19552032</v>
      </c>
      <c r="EA48">
        <v>18552047</v>
      </c>
      <c r="EB48">
        <v>576</v>
      </c>
      <c r="EC48">
        <v>157</v>
      </c>
      <c r="EE48" s="24"/>
      <c r="EF48">
        <v>191</v>
      </c>
      <c r="EG48">
        <v>242</v>
      </c>
      <c r="EH48">
        <v>197</v>
      </c>
      <c r="EI48">
        <v>147625873</v>
      </c>
      <c r="EJ48">
        <v>269</v>
      </c>
      <c r="EL48" s="24"/>
      <c r="EM48">
        <v>59213</v>
      </c>
      <c r="EN48">
        <v>59220</v>
      </c>
      <c r="EO48">
        <v>59214</v>
      </c>
      <c r="EP48">
        <v>82161</v>
      </c>
      <c r="EQ48">
        <v>921</v>
      </c>
      <c r="ES48" s="24"/>
      <c r="ET48">
        <v>259</v>
      </c>
      <c r="EU48">
        <v>275</v>
      </c>
      <c r="EV48">
        <v>274</v>
      </c>
      <c r="EW48">
        <v>47402522</v>
      </c>
      <c r="EX48">
        <v>717</v>
      </c>
      <c r="EZ48" s="24"/>
      <c r="FA48">
        <v>4110002</v>
      </c>
      <c r="FB48">
        <v>4419999</v>
      </c>
      <c r="FC48">
        <v>4419000</v>
      </c>
      <c r="FD48">
        <v>1176</v>
      </c>
      <c r="FE48">
        <v>32</v>
      </c>
      <c r="FG48" s="24"/>
      <c r="FH48">
        <v>9551</v>
      </c>
      <c r="FI48">
        <v>9989</v>
      </c>
      <c r="FJ48">
        <v>9949</v>
      </c>
      <c r="FK48">
        <v>3154090</v>
      </c>
      <c r="FL48">
        <v>647</v>
      </c>
      <c r="FN48" s="24"/>
      <c r="FO48">
        <v>17854</v>
      </c>
      <c r="FP48">
        <v>17854</v>
      </c>
      <c r="FQ48">
        <v>17854</v>
      </c>
      <c r="FR48">
        <v>963330</v>
      </c>
      <c r="FS48">
        <v>157</v>
      </c>
      <c r="FU48" s="24"/>
      <c r="FV48">
        <v>28000</v>
      </c>
      <c r="FW48">
        <v>28801</v>
      </c>
      <c r="FX48">
        <v>28015</v>
      </c>
      <c r="FY48">
        <v>330667</v>
      </c>
      <c r="FZ48">
        <v>1651</v>
      </c>
      <c r="GB48" s="24"/>
      <c r="GC48">
        <v>106002363</v>
      </c>
      <c r="GD48">
        <v>110750000</v>
      </c>
      <c r="GE48">
        <v>107999985</v>
      </c>
      <c r="GF48">
        <v>151</v>
      </c>
      <c r="GG48">
        <v>84</v>
      </c>
      <c r="GI48" s="24"/>
      <c r="GJ48">
        <v>27530003</v>
      </c>
      <c r="GK48">
        <v>28900000</v>
      </c>
      <c r="GL48">
        <v>27533004</v>
      </c>
      <c r="GM48">
        <v>854</v>
      </c>
      <c r="GN48">
        <v>128</v>
      </c>
      <c r="GP48" s="24"/>
      <c r="GQ48">
        <v>108</v>
      </c>
      <c r="GR48">
        <v>112</v>
      </c>
      <c r="GS48">
        <v>111</v>
      </c>
      <c r="GT48">
        <v>166051809</v>
      </c>
      <c r="GU48">
        <v>179</v>
      </c>
      <c r="GW48" s="24"/>
      <c r="GX48">
        <v>247</v>
      </c>
      <c r="GY48">
        <v>258</v>
      </c>
      <c r="GZ48">
        <v>252</v>
      </c>
      <c r="HA48">
        <v>64567956</v>
      </c>
      <c r="HB48">
        <v>231</v>
      </c>
      <c r="HD48" s="24"/>
      <c r="HE48">
        <v>4724</v>
      </c>
      <c r="HF48">
        <v>4993</v>
      </c>
      <c r="HG48">
        <v>4975</v>
      </c>
      <c r="HH48">
        <v>19755601</v>
      </c>
      <c r="HI48">
        <v>417</v>
      </c>
      <c r="HK48" s="24"/>
      <c r="HL48">
        <v>111000600</v>
      </c>
      <c r="HM48">
        <v>114999999</v>
      </c>
      <c r="HN48">
        <v>113605376</v>
      </c>
      <c r="HO48">
        <v>102</v>
      </c>
      <c r="HP48">
        <v>72</v>
      </c>
      <c r="HR48" s="24"/>
      <c r="HS48">
        <v>12470</v>
      </c>
      <c r="HT48">
        <v>12998</v>
      </c>
      <c r="HU48">
        <v>12989</v>
      </c>
      <c r="HV48">
        <v>872173</v>
      </c>
      <c r="HW48">
        <v>187</v>
      </c>
      <c r="HY48" s="24"/>
      <c r="HZ48">
        <v>8020</v>
      </c>
      <c r="IA48">
        <v>8499</v>
      </c>
      <c r="IB48">
        <v>8499</v>
      </c>
      <c r="IC48">
        <v>1918792</v>
      </c>
      <c r="ID48">
        <v>565</v>
      </c>
      <c r="IF48" s="24"/>
      <c r="IG48">
        <v>2595</v>
      </c>
      <c r="IH48">
        <v>2599</v>
      </c>
      <c r="II48">
        <v>2597</v>
      </c>
      <c r="IJ48">
        <v>1879809</v>
      </c>
      <c r="IK48">
        <v>184</v>
      </c>
      <c r="IM48" s="24"/>
      <c r="IN48">
        <v>105998724</v>
      </c>
      <c r="IO48">
        <v>117619987</v>
      </c>
      <c r="IP48">
        <v>112000000</v>
      </c>
      <c r="IQ48">
        <v>209</v>
      </c>
      <c r="IR48">
        <v>96</v>
      </c>
      <c r="IT48" s="24"/>
      <c r="IU48">
        <v>9150</v>
      </c>
      <c r="IV48">
        <v>9404</v>
      </c>
      <c r="IW48">
        <v>9403</v>
      </c>
      <c r="IX48">
        <v>2984043</v>
      </c>
      <c r="IY48">
        <v>252</v>
      </c>
      <c r="JA48" s="24"/>
      <c r="JB48">
        <v>102000000</v>
      </c>
      <c r="JC48">
        <v>110000000</v>
      </c>
      <c r="JD48">
        <v>107000200</v>
      </c>
      <c r="JE48">
        <v>144</v>
      </c>
      <c r="JF48">
        <v>76</v>
      </c>
      <c r="JH48" s="24"/>
      <c r="JI48">
        <v>106083500</v>
      </c>
      <c r="JJ48">
        <v>110889599</v>
      </c>
      <c r="JK48">
        <v>109980927</v>
      </c>
      <c r="JL48">
        <v>33</v>
      </c>
      <c r="JM48">
        <v>30</v>
      </c>
      <c r="JO48" s="24"/>
      <c r="JP48">
        <v>76</v>
      </c>
      <c r="JQ48">
        <v>78</v>
      </c>
      <c r="JR48">
        <v>77</v>
      </c>
      <c r="JS48">
        <v>169885683</v>
      </c>
      <c r="JT48">
        <v>139</v>
      </c>
      <c r="JV48" s="24"/>
      <c r="JW48">
        <v>93</v>
      </c>
      <c r="JX48">
        <v>94</v>
      </c>
      <c r="JY48">
        <v>93</v>
      </c>
      <c r="JZ48">
        <v>231190615</v>
      </c>
      <c r="KA48">
        <v>175</v>
      </c>
      <c r="KC48" s="24"/>
      <c r="KD48">
        <v>17</v>
      </c>
      <c r="KE48">
        <v>19</v>
      </c>
      <c r="KF48">
        <v>19</v>
      </c>
      <c r="KG48">
        <v>69957440</v>
      </c>
      <c r="KH48">
        <v>366</v>
      </c>
      <c r="KJ48" s="24"/>
      <c r="KK48">
        <v>100</v>
      </c>
      <c r="KL48">
        <v>102</v>
      </c>
      <c r="KM48">
        <v>100</v>
      </c>
      <c r="KN48">
        <v>183042745</v>
      </c>
      <c r="KO48">
        <v>188</v>
      </c>
      <c r="KQ48" s="24"/>
      <c r="KR48">
        <v>100000</v>
      </c>
      <c r="KS48">
        <v>101999</v>
      </c>
      <c r="KT48">
        <v>100004</v>
      </c>
      <c r="KU48">
        <v>70976</v>
      </c>
      <c r="KV48">
        <v>809</v>
      </c>
      <c r="KX48" s="24"/>
      <c r="KY48">
        <v>502</v>
      </c>
      <c r="KZ48">
        <v>511</v>
      </c>
      <c r="LA48">
        <v>506</v>
      </c>
      <c r="LB48">
        <v>13190201</v>
      </c>
      <c r="LC48">
        <v>256</v>
      </c>
      <c r="LE48" s="24"/>
      <c r="LF48">
        <v>201800</v>
      </c>
      <c r="LG48">
        <v>202008</v>
      </c>
      <c r="LH48">
        <v>201805</v>
      </c>
      <c r="LI48">
        <v>126617</v>
      </c>
      <c r="LJ48">
        <v>1179</v>
      </c>
      <c r="LL48" s="24"/>
      <c r="LM48">
        <v>77356</v>
      </c>
      <c r="LN48">
        <v>78575</v>
      </c>
      <c r="LO48">
        <v>77525</v>
      </c>
      <c r="LP48">
        <v>345609</v>
      </c>
      <c r="LQ48">
        <v>1640</v>
      </c>
      <c r="LS48" s="24"/>
      <c r="LT48">
        <v>228</v>
      </c>
      <c r="LU48">
        <v>231</v>
      </c>
      <c r="LV48">
        <v>231</v>
      </c>
      <c r="LW48">
        <v>127811619</v>
      </c>
      <c r="LX48">
        <v>378</v>
      </c>
      <c r="LZ48" s="24"/>
      <c r="MA48">
        <v>68746</v>
      </c>
      <c r="MB48">
        <v>71798</v>
      </c>
      <c r="MC48">
        <v>71780</v>
      </c>
      <c r="MD48">
        <v>1466129</v>
      </c>
      <c r="ME48">
        <v>158</v>
      </c>
    </row>
    <row r="49" spans="2:343" x14ac:dyDescent="0.25">
      <c r="B49" s="24"/>
      <c r="C49">
        <v>2</v>
      </c>
      <c r="D49">
        <v>2</v>
      </c>
      <c r="E49">
        <v>2</v>
      </c>
      <c r="F49">
        <v>41248112208</v>
      </c>
      <c r="G49">
        <v>3043</v>
      </c>
      <c r="I49" s="24"/>
      <c r="J49">
        <v>4</v>
      </c>
      <c r="K49">
        <v>4</v>
      </c>
      <c r="L49">
        <v>4</v>
      </c>
      <c r="M49">
        <v>6083109508</v>
      </c>
      <c r="N49">
        <v>2201</v>
      </c>
      <c r="P49" s="24"/>
      <c r="Q49">
        <v>28</v>
      </c>
      <c r="R49">
        <v>29</v>
      </c>
      <c r="S49">
        <v>28</v>
      </c>
      <c r="T49">
        <v>2686745274</v>
      </c>
      <c r="U49">
        <v>2026</v>
      </c>
      <c r="W49" s="24"/>
      <c r="X49">
        <v>65</v>
      </c>
      <c r="Y49">
        <v>66</v>
      </c>
      <c r="Z49">
        <v>66</v>
      </c>
      <c r="AA49">
        <v>435135687</v>
      </c>
      <c r="AB49">
        <v>1540</v>
      </c>
      <c r="AD49" s="24"/>
      <c r="AE49">
        <v>542</v>
      </c>
      <c r="AF49">
        <v>563</v>
      </c>
      <c r="AG49">
        <v>550</v>
      </c>
      <c r="AH49">
        <v>87999184</v>
      </c>
      <c r="AI49">
        <v>1631</v>
      </c>
      <c r="AK49" s="24"/>
      <c r="AL49">
        <v>988</v>
      </c>
      <c r="AM49">
        <v>1015</v>
      </c>
      <c r="AN49">
        <v>1012</v>
      </c>
      <c r="AO49">
        <v>25164702</v>
      </c>
      <c r="AP49">
        <v>1299</v>
      </c>
      <c r="AR49" s="24"/>
      <c r="AS49">
        <v>3035</v>
      </c>
      <c r="AT49">
        <v>3140</v>
      </c>
      <c r="AU49">
        <v>3100</v>
      </c>
      <c r="AV49">
        <v>11211619</v>
      </c>
      <c r="AW49">
        <v>1319</v>
      </c>
      <c r="AY49" s="24"/>
      <c r="AZ49">
        <v>333738001</v>
      </c>
      <c r="BA49">
        <v>340999662</v>
      </c>
      <c r="BB49">
        <v>339600000</v>
      </c>
      <c r="BC49">
        <v>2204</v>
      </c>
      <c r="BD49">
        <v>1490</v>
      </c>
      <c r="BF49" s="24"/>
      <c r="BG49">
        <v>22000</v>
      </c>
      <c r="BH49">
        <v>22005</v>
      </c>
      <c r="BI49">
        <v>22005</v>
      </c>
      <c r="BJ49">
        <v>2744869</v>
      </c>
      <c r="BK49">
        <v>176</v>
      </c>
      <c r="BM49" s="24"/>
      <c r="BN49">
        <v>6810010</v>
      </c>
      <c r="BO49">
        <v>7000199</v>
      </c>
      <c r="BP49">
        <v>7000000</v>
      </c>
      <c r="BQ49">
        <v>8200</v>
      </c>
      <c r="BR49">
        <v>325</v>
      </c>
      <c r="BT49" s="24"/>
      <c r="BU49">
        <v>1702</v>
      </c>
      <c r="BV49">
        <v>1817</v>
      </c>
      <c r="BW49">
        <v>1812</v>
      </c>
      <c r="BX49">
        <v>24171018</v>
      </c>
      <c r="BY49">
        <v>288</v>
      </c>
      <c r="CA49" s="24"/>
      <c r="CB49">
        <v>253</v>
      </c>
      <c r="CC49">
        <v>294</v>
      </c>
      <c r="CD49">
        <v>254</v>
      </c>
      <c r="CE49">
        <v>100225657</v>
      </c>
      <c r="CF49">
        <v>308</v>
      </c>
      <c r="CH49" s="24"/>
      <c r="CI49">
        <v>27702</v>
      </c>
      <c r="CJ49">
        <v>27702</v>
      </c>
      <c r="CK49">
        <v>27702</v>
      </c>
      <c r="CL49">
        <v>1020836</v>
      </c>
      <c r="CM49">
        <v>138</v>
      </c>
      <c r="CO49" s="24"/>
      <c r="CP49">
        <v>7680</v>
      </c>
      <c r="CQ49">
        <v>8040</v>
      </c>
      <c r="CR49">
        <v>7750</v>
      </c>
      <c r="CS49">
        <v>1846922</v>
      </c>
      <c r="CT49">
        <v>381</v>
      </c>
      <c r="CV49" s="24"/>
      <c r="CW49">
        <v>1396100</v>
      </c>
      <c r="CX49">
        <v>1484998</v>
      </c>
      <c r="CY49">
        <v>1397273</v>
      </c>
      <c r="CZ49">
        <v>5073</v>
      </c>
      <c r="DA49">
        <v>34</v>
      </c>
      <c r="DC49" s="24"/>
      <c r="DD49">
        <v>275</v>
      </c>
      <c r="DE49">
        <v>282</v>
      </c>
      <c r="DF49">
        <v>281</v>
      </c>
      <c r="DG49">
        <v>56253366</v>
      </c>
      <c r="DH49">
        <v>161</v>
      </c>
      <c r="DJ49" s="24"/>
      <c r="DK49">
        <v>38892003</v>
      </c>
      <c r="DL49">
        <v>39887000</v>
      </c>
      <c r="DM49">
        <v>38906007</v>
      </c>
      <c r="DN49">
        <v>370</v>
      </c>
      <c r="DO49">
        <v>95</v>
      </c>
      <c r="DQ49" s="24"/>
      <c r="DR49">
        <v>978007</v>
      </c>
      <c r="DS49">
        <v>1015000</v>
      </c>
      <c r="DT49">
        <v>978012</v>
      </c>
      <c r="DU49">
        <v>9254</v>
      </c>
      <c r="DV49">
        <v>219</v>
      </c>
      <c r="DX49" s="24"/>
      <c r="DY49">
        <v>18670045</v>
      </c>
      <c r="DZ49">
        <v>19898999</v>
      </c>
      <c r="EA49">
        <v>18681002</v>
      </c>
      <c r="EB49">
        <v>641</v>
      </c>
      <c r="EC49">
        <v>141</v>
      </c>
      <c r="EE49" s="24"/>
      <c r="EF49">
        <v>200</v>
      </c>
      <c r="EG49">
        <v>234</v>
      </c>
      <c r="EH49">
        <v>214</v>
      </c>
      <c r="EI49">
        <v>98503730</v>
      </c>
      <c r="EJ49">
        <v>227</v>
      </c>
      <c r="EL49" s="24"/>
      <c r="EM49">
        <v>59278</v>
      </c>
      <c r="EN49">
        <v>60000</v>
      </c>
      <c r="EO49">
        <v>59281</v>
      </c>
      <c r="EP49">
        <v>77637</v>
      </c>
      <c r="EQ49">
        <v>753</v>
      </c>
      <c r="ES49" s="24"/>
      <c r="ET49">
        <v>277</v>
      </c>
      <c r="EU49">
        <v>278</v>
      </c>
      <c r="EV49">
        <v>278</v>
      </c>
      <c r="EW49">
        <v>34566430</v>
      </c>
      <c r="EX49">
        <v>532</v>
      </c>
      <c r="EZ49" s="24"/>
      <c r="FA49">
        <v>4111990</v>
      </c>
      <c r="FB49">
        <v>4419999</v>
      </c>
      <c r="FC49">
        <v>4418989</v>
      </c>
      <c r="FD49">
        <v>605</v>
      </c>
      <c r="FE49">
        <v>26</v>
      </c>
      <c r="FG49" s="24"/>
      <c r="FH49">
        <v>9730</v>
      </c>
      <c r="FI49">
        <v>10168</v>
      </c>
      <c r="FJ49">
        <v>9985</v>
      </c>
      <c r="FK49">
        <v>3817700</v>
      </c>
      <c r="FL49">
        <v>530</v>
      </c>
      <c r="FN49" s="24"/>
      <c r="FO49">
        <v>17891</v>
      </c>
      <c r="FP49">
        <v>17891</v>
      </c>
      <c r="FQ49">
        <v>17891</v>
      </c>
      <c r="FR49">
        <v>199016</v>
      </c>
      <c r="FS49">
        <v>75</v>
      </c>
      <c r="FU49" s="24"/>
      <c r="FV49">
        <v>28101</v>
      </c>
      <c r="FW49">
        <v>28160</v>
      </c>
      <c r="FX49">
        <v>28121</v>
      </c>
      <c r="FY49">
        <v>340371</v>
      </c>
      <c r="FZ49">
        <v>1468</v>
      </c>
      <c r="GB49" s="24"/>
      <c r="GC49">
        <v>103503887</v>
      </c>
      <c r="GD49">
        <v>106500001</v>
      </c>
      <c r="GE49">
        <v>105875127</v>
      </c>
      <c r="GF49">
        <v>61</v>
      </c>
      <c r="GG49">
        <v>48</v>
      </c>
      <c r="GI49" s="24"/>
      <c r="GJ49">
        <v>27552030</v>
      </c>
      <c r="GK49">
        <v>28510000</v>
      </c>
      <c r="GL49">
        <v>27552089</v>
      </c>
      <c r="GM49">
        <v>340</v>
      </c>
      <c r="GN49">
        <v>77</v>
      </c>
      <c r="GP49" s="24"/>
      <c r="GQ49">
        <v>112</v>
      </c>
      <c r="GR49">
        <v>112</v>
      </c>
      <c r="GS49">
        <v>112</v>
      </c>
      <c r="GT49">
        <v>106667125</v>
      </c>
      <c r="GU49">
        <v>143</v>
      </c>
      <c r="GW49" s="24"/>
      <c r="GX49">
        <v>259</v>
      </c>
      <c r="GY49">
        <v>294</v>
      </c>
      <c r="GZ49">
        <v>265</v>
      </c>
      <c r="HA49">
        <v>68046651</v>
      </c>
      <c r="HB49">
        <v>189</v>
      </c>
      <c r="HD49" s="24"/>
      <c r="HE49">
        <v>4955</v>
      </c>
      <c r="HF49">
        <v>5199</v>
      </c>
      <c r="HG49">
        <v>4995</v>
      </c>
      <c r="HH49">
        <v>14753460</v>
      </c>
      <c r="HI49">
        <v>285</v>
      </c>
      <c r="HK49" s="24"/>
      <c r="HL49">
        <v>112000800</v>
      </c>
      <c r="HM49">
        <v>116997160</v>
      </c>
      <c r="HN49">
        <v>113659032</v>
      </c>
      <c r="HO49">
        <v>65</v>
      </c>
      <c r="HP49">
        <v>54</v>
      </c>
      <c r="HR49" s="24"/>
      <c r="HS49">
        <v>11355</v>
      </c>
      <c r="HT49">
        <v>11649</v>
      </c>
      <c r="HU49">
        <v>11549</v>
      </c>
      <c r="HV49">
        <v>947319</v>
      </c>
      <c r="HW49">
        <v>145</v>
      </c>
      <c r="HY49" s="24"/>
      <c r="HZ49">
        <v>8500</v>
      </c>
      <c r="IA49">
        <v>8698</v>
      </c>
      <c r="IB49">
        <v>8600</v>
      </c>
      <c r="IC49">
        <v>3237705</v>
      </c>
      <c r="ID49">
        <v>498</v>
      </c>
      <c r="IF49" s="24"/>
      <c r="IG49">
        <v>2603</v>
      </c>
      <c r="IH49">
        <v>2725</v>
      </c>
      <c r="II49">
        <v>2625</v>
      </c>
      <c r="IJ49">
        <v>3312664</v>
      </c>
      <c r="IK49">
        <v>132</v>
      </c>
      <c r="IM49" s="24"/>
      <c r="IN49">
        <v>105997825</v>
      </c>
      <c r="IO49">
        <v>110000000</v>
      </c>
      <c r="IP49">
        <v>106000000</v>
      </c>
      <c r="IQ49">
        <v>145</v>
      </c>
      <c r="IR49">
        <v>100</v>
      </c>
      <c r="IT49" s="24"/>
      <c r="IU49">
        <v>8614</v>
      </c>
      <c r="IV49">
        <v>9349</v>
      </c>
      <c r="IW49">
        <v>8977</v>
      </c>
      <c r="IX49">
        <v>1928843</v>
      </c>
      <c r="IY49">
        <v>180</v>
      </c>
      <c r="JA49" s="24"/>
      <c r="JB49">
        <v>105998459</v>
      </c>
      <c r="JC49">
        <v>112000000</v>
      </c>
      <c r="JD49">
        <v>108896804</v>
      </c>
      <c r="JE49">
        <v>99</v>
      </c>
      <c r="JF49">
        <v>74</v>
      </c>
      <c r="JH49" s="24"/>
      <c r="JI49">
        <v>107057580</v>
      </c>
      <c r="JJ49">
        <v>114996712</v>
      </c>
      <c r="JK49">
        <v>113275818</v>
      </c>
      <c r="JL49">
        <v>14</v>
      </c>
      <c r="JM49">
        <v>13</v>
      </c>
      <c r="JO49" s="24"/>
      <c r="JP49">
        <v>72</v>
      </c>
      <c r="JQ49">
        <v>77</v>
      </c>
      <c r="JR49">
        <v>74</v>
      </c>
      <c r="JS49">
        <v>120819658</v>
      </c>
      <c r="JT49">
        <v>105</v>
      </c>
      <c r="JV49" s="24"/>
      <c r="JW49">
        <v>92</v>
      </c>
      <c r="JX49">
        <v>94</v>
      </c>
      <c r="JY49">
        <v>93</v>
      </c>
      <c r="JZ49">
        <v>83660111</v>
      </c>
      <c r="KA49">
        <v>121</v>
      </c>
      <c r="KC49" s="24"/>
      <c r="KD49">
        <v>19</v>
      </c>
      <c r="KE49">
        <v>20</v>
      </c>
      <c r="KF49">
        <v>19</v>
      </c>
      <c r="KG49">
        <v>47924174</v>
      </c>
      <c r="KH49">
        <v>287</v>
      </c>
      <c r="KJ49" s="24"/>
      <c r="KK49">
        <v>96</v>
      </c>
      <c r="KL49">
        <v>100</v>
      </c>
      <c r="KM49">
        <v>96</v>
      </c>
      <c r="KN49">
        <v>109558338</v>
      </c>
      <c r="KO49">
        <v>129</v>
      </c>
      <c r="KQ49" s="24"/>
      <c r="KR49">
        <v>96141</v>
      </c>
      <c r="KS49">
        <v>96148</v>
      </c>
      <c r="KT49">
        <v>96141</v>
      </c>
      <c r="KU49">
        <v>68138</v>
      </c>
      <c r="KV49">
        <v>671</v>
      </c>
      <c r="KX49" s="24"/>
      <c r="KY49">
        <v>509</v>
      </c>
      <c r="KZ49">
        <v>510</v>
      </c>
      <c r="LA49">
        <v>510</v>
      </c>
      <c r="LB49">
        <v>7464736</v>
      </c>
      <c r="LC49">
        <v>173</v>
      </c>
      <c r="LE49" s="24"/>
      <c r="LF49">
        <v>197000</v>
      </c>
      <c r="LG49">
        <v>200560</v>
      </c>
      <c r="LH49">
        <v>200559</v>
      </c>
      <c r="LI49">
        <v>109761</v>
      </c>
      <c r="LJ49">
        <v>1012</v>
      </c>
      <c r="LL49" s="24"/>
      <c r="LM49">
        <v>79598</v>
      </c>
      <c r="LN49">
        <v>79902</v>
      </c>
      <c r="LO49">
        <v>79680</v>
      </c>
      <c r="LP49">
        <v>404328</v>
      </c>
      <c r="LQ49">
        <v>1477</v>
      </c>
      <c r="LS49" s="24"/>
      <c r="LT49">
        <v>231</v>
      </c>
      <c r="LU49">
        <v>233</v>
      </c>
      <c r="LV49">
        <v>232</v>
      </c>
      <c r="LW49">
        <v>137613351</v>
      </c>
      <c r="LX49">
        <v>342</v>
      </c>
      <c r="LZ49" s="24"/>
      <c r="MA49">
        <v>72588</v>
      </c>
      <c r="MB49">
        <v>74896</v>
      </c>
      <c r="MC49">
        <v>73504</v>
      </c>
      <c r="MD49">
        <v>682280</v>
      </c>
      <c r="ME49">
        <v>103</v>
      </c>
    </row>
    <row r="50" spans="2:343" x14ac:dyDescent="0.25">
      <c r="B50" s="24"/>
      <c r="C50">
        <v>2</v>
      </c>
      <c r="D50">
        <v>2</v>
      </c>
      <c r="E50">
        <v>2</v>
      </c>
      <c r="F50">
        <v>13686487938</v>
      </c>
      <c r="G50">
        <v>1553</v>
      </c>
      <c r="I50" s="24"/>
      <c r="J50">
        <v>4</v>
      </c>
      <c r="K50">
        <v>4</v>
      </c>
      <c r="L50">
        <v>4</v>
      </c>
      <c r="M50">
        <v>3848527553</v>
      </c>
      <c r="N50">
        <v>1149</v>
      </c>
      <c r="P50" s="24"/>
      <c r="Q50">
        <v>27</v>
      </c>
      <c r="R50">
        <v>28</v>
      </c>
      <c r="S50">
        <v>28</v>
      </c>
      <c r="T50">
        <v>887724047</v>
      </c>
      <c r="U50">
        <v>1043</v>
      </c>
      <c r="W50" s="24"/>
      <c r="X50">
        <v>64</v>
      </c>
      <c r="Y50">
        <v>66</v>
      </c>
      <c r="Z50">
        <v>65</v>
      </c>
      <c r="AA50">
        <v>245833594</v>
      </c>
      <c r="AB50">
        <v>787</v>
      </c>
      <c r="AD50" s="24"/>
      <c r="AE50">
        <v>539</v>
      </c>
      <c r="AF50">
        <v>555</v>
      </c>
      <c r="AG50">
        <v>555</v>
      </c>
      <c r="AH50">
        <v>37549352</v>
      </c>
      <c r="AI50">
        <v>857</v>
      </c>
      <c r="AK50" s="24"/>
      <c r="AL50">
        <v>988</v>
      </c>
      <c r="AM50">
        <v>1012</v>
      </c>
      <c r="AN50">
        <v>1011</v>
      </c>
      <c r="AO50">
        <v>17098175</v>
      </c>
      <c r="AP50">
        <v>667</v>
      </c>
      <c r="AR50" s="24"/>
      <c r="AS50">
        <v>3030</v>
      </c>
      <c r="AT50">
        <v>3144</v>
      </c>
      <c r="AU50">
        <v>3090</v>
      </c>
      <c r="AV50">
        <v>5700241</v>
      </c>
      <c r="AW50">
        <v>695</v>
      </c>
      <c r="AY50" s="24"/>
      <c r="AZ50">
        <v>337111121</v>
      </c>
      <c r="BA50">
        <v>344458628</v>
      </c>
      <c r="BB50">
        <v>343454287</v>
      </c>
      <c r="BC50">
        <v>974</v>
      </c>
      <c r="BD50">
        <v>668</v>
      </c>
      <c r="BF50" s="24"/>
      <c r="BG50">
        <v>22005</v>
      </c>
      <c r="BH50">
        <v>22005</v>
      </c>
      <c r="BI50">
        <v>22005</v>
      </c>
      <c r="BJ50">
        <v>736211</v>
      </c>
      <c r="BK50">
        <v>62</v>
      </c>
      <c r="BM50" s="24"/>
      <c r="BN50">
        <v>6810010</v>
      </c>
      <c r="BO50">
        <v>6812000</v>
      </c>
      <c r="BP50">
        <v>6810011</v>
      </c>
      <c r="BQ50">
        <v>4878</v>
      </c>
      <c r="BR50">
        <v>169</v>
      </c>
      <c r="BT50" s="24"/>
      <c r="BU50">
        <v>1704</v>
      </c>
      <c r="BV50">
        <v>1797</v>
      </c>
      <c r="BW50">
        <v>1794</v>
      </c>
      <c r="BX50">
        <v>12715709</v>
      </c>
      <c r="BY50">
        <v>143</v>
      </c>
      <c r="CA50" s="24"/>
      <c r="CB50">
        <v>237</v>
      </c>
      <c r="CC50">
        <v>258</v>
      </c>
      <c r="CD50">
        <v>243</v>
      </c>
      <c r="CE50">
        <v>35929417</v>
      </c>
      <c r="CF50">
        <v>136</v>
      </c>
      <c r="CH50" s="24"/>
      <c r="CI50">
        <v>27164</v>
      </c>
      <c r="CJ50">
        <v>27164</v>
      </c>
      <c r="CK50">
        <v>27164</v>
      </c>
      <c r="CL50">
        <v>14288</v>
      </c>
      <c r="CM50">
        <v>41</v>
      </c>
      <c r="CO50" s="24"/>
      <c r="CP50">
        <v>7851</v>
      </c>
      <c r="CQ50">
        <v>8226</v>
      </c>
      <c r="CR50">
        <v>8100</v>
      </c>
      <c r="CS50">
        <v>551849</v>
      </c>
      <c r="CT50">
        <v>218</v>
      </c>
      <c r="CV50" s="24"/>
      <c r="CW50">
        <v>1393172</v>
      </c>
      <c r="CX50">
        <v>1393172</v>
      </c>
      <c r="CY50">
        <v>1393172</v>
      </c>
      <c r="CZ50">
        <v>4864</v>
      </c>
      <c r="DA50">
        <v>23</v>
      </c>
      <c r="DC50" s="24"/>
      <c r="DD50">
        <v>273</v>
      </c>
      <c r="DE50">
        <v>321</v>
      </c>
      <c r="DF50">
        <v>317</v>
      </c>
      <c r="DG50">
        <v>15416859</v>
      </c>
      <c r="DH50">
        <v>62</v>
      </c>
      <c r="DJ50" s="24"/>
      <c r="DK50">
        <v>38930001</v>
      </c>
      <c r="DL50">
        <v>39886997</v>
      </c>
      <c r="DM50">
        <v>38931001</v>
      </c>
      <c r="DN50">
        <v>200</v>
      </c>
      <c r="DO50">
        <v>46</v>
      </c>
      <c r="DQ50" s="24"/>
      <c r="DR50">
        <v>864006</v>
      </c>
      <c r="DS50">
        <v>1084999</v>
      </c>
      <c r="DT50">
        <v>865025</v>
      </c>
      <c r="DU50">
        <v>6171</v>
      </c>
      <c r="DV50">
        <v>116</v>
      </c>
      <c r="DX50" s="24"/>
      <c r="DY50">
        <v>18682001</v>
      </c>
      <c r="DZ50">
        <v>19000000</v>
      </c>
      <c r="EA50">
        <v>18683000</v>
      </c>
      <c r="EB50">
        <v>320</v>
      </c>
      <c r="EC50">
        <v>49</v>
      </c>
      <c r="EE50" s="24"/>
      <c r="EF50">
        <v>198</v>
      </c>
      <c r="EG50">
        <v>213</v>
      </c>
      <c r="EH50">
        <v>213</v>
      </c>
      <c r="EI50">
        <v>33002594</v>
      </c>
      <c r="EJ50">
        <v>91</v>
      </c>
      <c r="EL50" s="24"/>
      <c r="EM50">
        <v>60004</v>
      </c>
      <c r="EN50">
        <v>60020</v>
      </c>
      <c r="EO50">
        <v>60020</v>
      </c>
      <c r="EP50">
        <v>38799</v>
      </c>
      <c r="EQ50">
        <v>326</v>
      </c>
      <c r="ES50" s="24"/>
      <c r="ET50">
        <v>268</v>
      </c>
      <c r="EU50">
        <v>278</v>
      </c>
      <c r="EV50">
        <v>278</v>
      </c>
      <c r="EW50">
        <v>18470505</v>
      </c>
      <c r="EX50">
        <v>266</v>
      </c>
      <c r="EZ50" s="24"/>
      <c r="FA50">
        <v>4110004</v>
      </c>
      <c r="FB50">
        <v>4111990</v>
      </c>
      <c r="FC50">
        <v>4110004</v>
      </c>
      <c r="FD50">
        <v>623</v>
      </c>
      <c r="FE50">
        <v>16</v>
      </c>
      <c r="FG50" s="24"/>
      <c r="FH50">
        <v>9586</v>
      </c>
      <c r="FI50">
        <v>10145</v>
      </c>
      <c r="FJ50">
        <v>9735</v>
      </c>
      <c r="FK50">
        <v>1927826</v>
      </c>
      <c r="FL50">
        <v>309</v>
      </c>
      <c r="FN50" s="24"/>
      <c r="FO50">
        <v>18499</v>
      </c>
      <c r="FP50">
        <v>18499</v>
      </c>
      <c r="FQ50">
        <v>18499</v>
      </c>
      <c r="FR50">
        <v>92700</v>
      </c>
      <c r="FS50">
        <v>37</v>
      </c>
      <c r="FU50" s="24"/>
      <c r="FV50">
        <v>27301</v>
      </c>
      <c r="FW50">
        <v>28999</v>
      </c>
      <c r="FX50">
        <v>27502</v>
      </c>
      <c r="FY50">
        <v>133058</v>
      </c>
      <c r="FZ50">
        <v>656</v>
      </c>
      <c r="GB50" s="24"/>
      <c r="GC50">
        <v>92500000</v>
      </c>
      <c r="GD50">
        <v>103000163</v>
      </c>
      <c r="GE50">
        <v>99983018</v>
      </c>
      <c r="GF50">
        <v>84</v>
      </c>
      <c r="GG50">
        <v>45</v>
      </c>
      <c r="GI50" s="24"/>
      <c r="GJ50">
        <v>27554002</v>
      </c>
      <c r="GK50">
        <v>28499999</v>
      </c>
      <c r="GL50">
        <v>27555000</v>
      </c>
      <c r="GM50">
        <v>375</v>
      </c>
      <c r="GN50">
        <v>52</v>
      </c>
      <c r="GP50" s="24"/>
      <c r="GQ50">
        <v>115</v>
      </c>
      <c r="GR50">
        <v>144</v>
      </c>
      <c r="GS50">
        <v>117</v>
      </c>
      <c r="GT50">
        <v>43410073</v>
      </c>
      <c r="GU50">
        <v>59</v>
      </c>
      <c r="GW50" s="24"/>
      <c r="GX50">
        <v>261</v>
      </c>
      <c r="GY50">
        <v>289</v>
      </c>
      <c r="GZ50">
        <v>286</v>
      </c>
      <c r="HA50">
        <v>30266295</v>
      </c>
      <c r="HB50">
        <v>108</v>
      </c>
      <c r="HD50" s="24"/>
      <c r="HE50">
        <v>4961</v>
      </c>
      <c r="HF50">
        <v>5136</v>
      </c>
      <c r="HG50">
        <v>4999</v>
      </c>
      <c r="HH50">
        <v>6306092</v>
      </c>
      <c r="HI50">
        <v>127</v>
      </c>
      <c r="HK50" s="24"/>
      <c r="HL50">
        <v>100271000</v>
      </c>
      <c r="HM50">
        <v>106101807</v>
      </c>
      <c r="HN50">
        <v>106002223</v>
      </c>
      <c r="HO50">
        <v>122</v>
      </c>
      <c r="HP50">
        <v>48</v>
      </c>
      <c r="HR50" s="24"/>
      <c r="HS50">
        <v>10503</v>
      </c>
      <c r="HT50">
        <v>11250</v>
      </c>
      <c r="HU50">
        <v>10503</v>
      </c>
      <c r="HV50">
        <v>458770</v>
      </c>
      <c r="HW50">
        <v>83</v>
      </c>
      <c r="HY50" s="24"/>
      <c r="HZ50">
        <v>8100</v>
      </c>
      <c r="IA50">
        <v>8700</v>
      </c>
      <c r="IB50">
        <v>8439</v>
      </c>
      <c r="IC50">
        <v>1263630</v>
      </c>
      <c r="ID50">
        <v>292</v>
      </c>
      <c r="IF50" s="24"/>
      <c r="IG50">
        <v>3780</v>
      </c>
      <c r="IH50">
        <v>3787</v>
      </c>
      <c r="II50">
        <v>3786</v>
      </c>
      <c r="IJ50">
        <v>264734</v>
      </c>
      <c r="IK50">
        <v>47</v>
      </c>
      <c r="IM50" s="24"/>
      <c r="IN50">
        <v>104515700</v>
      </c>
      <c r="IO50">
        <v>124499899</v>
      </c>
      <c r="IP50">
        <v>110095683</v>
      </c>
      <c r="IQ50">
        <v>83</v>
      </c>
      <c r="IR50">
        <v>38</v>
      </c>
      <c r="IT50" s="24"/>
      <c r="IU50">
        <v>8627</v>
      </c>
      <c r="IV50">
        <v>9048</v>
      </c>
      <c r="IW50">
        <v>9026</v>
      </c>
      <c r="IX50">
        <v>562932</v>
      </c>
      <c r="IY50">
        <v>64</v>
      </c>
      <c r="JA50" s="24"/>
      <c r="JB50">
        <v>101609999</v>
      </c>
      <c r="JC50">
        <v>109499999</v>
      </c>
      <c r="JD50">
        <v>105039718</v>
      </c>
      <c r="JE50">
        <v>75</v>
      </c>
      <c r="JF50">
        <v>41</v>
      </c>
      <c r="JH50" s="24"/>
      <c r="JI50">
        <v>108002100</v>
      </c>
      <c r="JJ50">
        <v>114498304</v>
      </c>
      <c r="JK50">
        <v>109248728</v>
      </c>
      <c r="JL50">
        <v>40</v>
      </c>
      <c r="JM50">
        <v>22</v>
      </c>
      <c r="JO50" s="24"/>
      <c r="JP50">
        <v>71</v>
      </c>
      <c r="JQ50">
        <v>74</v>
      </c>
      <c r="JR50">
        <v>74</v>
      </c>
      <c r="JS50">
        <v>44007287</v>
      </c>
      <c r="JT50">
        <v>57</v>
      </c>
      <c r="JV50" s="24"/>
      <c r="JW50">
        <v>96</v>
      </c>
      <c r="JX50">
        <v>96</v>
      </c>
      <c r="JY50">
        <v>96</v>
      </c>
      <c r="JZ50">
        <v>31295921</v>
      </c>
      <c r="KA50">
        <v>54</v>
      </c>
      <c r="KC50" s="24"/>
      <c r="KD50">
        <v>19</v>
      </c>
      <c r="KE50">
        <v>22</v>
      </c>
      <c r="KF50">
        <v>20</v>
      </c>
      <c r="KG50">
        <v>97491014</v>
      </c>
      <c r="KH50">
        <v>157</v>
      </c>
      <c r="KJ50" s="24"/>
      <c r="KK50">
        <v>97</v>
      </c>
      <c r="KL50">
        <v>100</v>
      </c>
      <c r="KM50">
        <v>97</v>
      </c>
      <c r="KN50">
        <v>95030709</v>
      </c>
      <c r="KO50">
        <v>71</v>
      </c>
      <c r="KQ50" s="24"/>
      <c r="KR50">
        <v>96115</v>
      </c>
      <c r="KS50">
        <v>99999</v>
      </c>
      <c r="KT50">
        <v>96121</v>
      </c>
      <c r="KU50">
        <v>25486</v>
      </c>
      <c r="KV50">
        <v>323</v>
      </c>
      <c r="KX50" s="24"/>
      <c r="KY50">
        <v>495</v>
      </c>
      <c r="KZ50">
        <v>510</v>
      </c>
      <c r="LA50">
        <v>509</v>
      </c>
      <c r="LB50">
        <v>2210560</v>
      </c>
      <c r="LC50">
        <v>72</v>
      </c>
      <c r="LE50" s="24"/>
      <c r="LF50">
        <v>193200</v>
      </c>
      <c r="LG50">
        <v>194134</v>
      </c>
      <c r="LH50">
        <v>194133</v>
      </c>
      <c r="LI50">
        <v>47786</v>
      </c>
      <c r="LJ50">
        <v>474</v>
      </c>
      <c r="LL50" s="24"/>
      <c r="LM50">
        <v>79850</v>
      </c>
      <c r="LN50">
        <v>79902</v>
      </c>
      <c r="LO50">
        <v>79902</v>
      </c>
      <c r="LP50">
        <v>158979</v>
      </c>
      <c r="LQ50">
        <v>666</v>
      </c>
      <c r="LS50" s="24"/>
      <c r="LT50">
        <v>225</v>
      </c>
      <c r="LU50">
        <v>234</v>
      </c>
      <c r="LV50">
        <v>233</v>
      </c>
      <c r="LW50">
        <v>43444154</v>
      </c>
      <c r="LX50">
        <v>162</v>
      </c>
      <c r="LZ50" s="24"/>
      <c r="MA50">
        <v>68460</v>
      </c>
      <c r="MB50">
        <v>70496</v>
      </c>
      <c r="MC50">
        <v>68474</v>
      </c>
      <c r="MD50">
        <v>424985</v>
      </c>
      <c r="ME50">
        <v>61</v>
      </c>
    </row>
    <row r="51" spans="2:343" x14ac:dyDescent="0.25">
      <c r="B51" s="24"/>
      <c r="C51">
        <v>2</v>
      </c>
      <c r="D51">
        <v>2</v>
      </c>
      <c r="E51">
        <v>2</v>
      </c>
      <c r="F51">
        <v>40026475701</v>
      </c>
      <c r="G51">
        <v>2850</v>
      </c>
      <c r="I51" s="24"/>
      <c r="J51">
        <v>4</v>
      </c>
      <c r="K51">
        <v>4</v>
      </c>
      <c r="L51">
        <v>4</v>
      </c>
      <c r="M51">
        <v>6996363125</v>
      </c>
      <c r="N51">
        <v>2027</v>
      </c>
      <c r="P51" s="24"/>
      <c r="Q51">
        <v>28</v>
      </c>
      <c r="R51">
        <v>28</v>
      </c>
      <c r="S51">
        <v>28</v>
      </c>
      <c r="T51">
        <v>2124027422</v>
      </c>
      <c r="U51">
        <v>1887</v>
      </c>
      <c r="W51" s="24"/>
      <c r="X51">
        <v>65</v>
      </c>
      <c r="Y51">
        <v>65</v>
      </c>
      <c r="Z51">
        <v>65</v>
      </c>
      <c r="AA51">
        <v>435910190</v>
      </c>
      <c r="AB51">
        <v>1458</v>
      </c>
      <c r="AD51" s="24"/>
      <c r="AE51">
        <v>543</v>
      </c>
      <c r="AF51">
        <v>569</v>
      </c>
      <c r="AG51">
        <v>554</v>
      </c>
      <c r="AH51">
        <v>78124378</v>
      </c>
      <c r="AI51">
        <v>1635</v>
      </c>
      <c r="AK51" s="24"/>
      <c r="AL51">
        <v>992</v>
      </c>
      <c r="AM51">
        <v>1021</v>
      </c>
      <c r="AN51">
        <v>1012</v>
      </c>
      <c r="AO51">
        <v>36025924</v>
      </c>
      <c r="AP51">
        <v>1189</v>
      </c>
      <c r="AR51" s="24"/>
      <c r="AS51">
        <v>3021</v>
      </c>
      <c r="AT51">
        <v>3138</v>
      </c>
      <c r="AU51">
        <v>3136</v>
      </c>
      <c r="AV51">
        <v>17813242</v>
      </c>
      <c r="AW51">
        <v>1227</v>
      </c>
      <c r="AY51" s="24"/>
      <c r="AZ51">
        <v>337293000</v>
      </c>
      <c r="BA51">
        <v>343000000</v>
      </c>
      <c r="BB51">
        <v>339700000</v>
      </c>
      <c r="BC51">
        <v>1908</v>
      </c>
      <c r="BD51">
        <v>1314</v>
      </c>
      <c r="BF51" s="24"/>
      <c r="BG51">
        <v>21816</v>
      </c>
      <c r="BH51">
        <v>22500</v>
      </c>
      <c r="BI51">
        <v>21817</v>
      </c>
      <c r="BJ51">
        <v>1604631</v>
      </c>
      <c r="BK51">
        <v>157</v>
      </c>
      <c r="BM51" s="24"/>
      <c r="BN51">
        <v>6850015</v>
      </c>
      <c r="BO51">
        <v>7138983</v>
      </c>
      <c r="BP51">
        <v>6850024</v>
      </c>
      <c r="BQ51">
        <v>6618</v>
      </c>
      <c r="BR51">
        <v>254</v>
      </c>
      <c r="BT51" s="24"/>
      <c r="BU51">
        <v>1708</v>
      </c>
      <c r="BV51">
        <v>1791</v>
      </c>
      <c r="BW51">
        <v>1779</v>
      </c>
      <c r="BX51">
        <v>23733006</v>
      </c>
      <c r="BY51">
        <v>250</v>
      </c>
      <c r="CA51" s="24"/>
      <c r="CB51">
        <v>240</v>
      </c>
      <c r="CC51">
        <v>256</v>
      </c>
      <c r="CD51">
        <v>244</v>
      </c>
      <c r="CE51">
        <v>57601096</v>
      </c>
      <c r="CF51">
        <v>199</v>
      </c>
      <c r="CH51" s="24"/>
      <c r="CI51">
        <v>27053</v>
      </c>
      <c r="CJ51">
        <v>27053</v>
      </c>
      <c r="CK51">
        <v>27053</v>
      </c>
      <c r="CL51">
        <v>1987248</v>
      </c>
      <c r="CM51">
        <v>137</v>
      </c>
      <c r="CO51" s="24"/>
      <c r="CP51">
        <v>7257</v>
      </c>
      <c r="CQ51">
        <v>8215</v>
      </c>
      <c r="CR51">
        <v>7500</v>
      </c>
      <c r="CS51">
        <v>1378063</v>
      </c>
      <c r="CT51">
        <v>341</v>
      </c>
      <c r="CV51" s="24"/>
      <c r="CW51">
        <v>1311553</v>
      </c>
      <c r="CX51">
        <v>1400996</v>
      </c>
      <c r="CY51">
        <v>1311557</v>
      </c>
      <c r="CZ51">
        <v>7514</v>
      </c>
      <c r="DA51">
        <v>34</v>
      </c>
      <c r="DC51" s="24"/>
      <c r="DD51">
        <v>264</v>
      </c>
      <c r="DE51">
        <v>305</v>
      </c>
      <c r="DF51">
        <v>303</v>
      </c>
      <c r="DG51">
        <v>36653766</v>
      </c>
      <c r="DH51">
        <v>142</v>
      </c>
      <c r="DJ51" s="24"/>
      <c r="DK51">
        <v>39012009</v>
      </c>
      <c r="DL51">
        <v>40000000</v>
      </c>
      <c r="DM51">
        <v>39012019</v>
      </c>
      <c r="DN51">
        <v>357</v>
      </c>
      <c r="DO51">
        <v>93</v>
      </c>
      <c r="DQ51" s="24"/>
      <c r="DR51">
        <v>864020</v>
      </c>
      <c r="DS51">
        <v>1182999</v>
      </c>
      <c r="DT51">
        <v>864051</v>
      </c>
      <c r="DU51">
        <v>6104</v>
      </c>
      <c r="DV51">
        <v>249</v>
      </c>
      <c r="DX51" s="24"/>
      <c r="DY51">
        <v>18680000</v>
      </c>
      <c r="DZ51">
        <v>19599999</v>
      </c>
      <c r="EA51">
        <v>18683000</v>
      </c>
      <c r="EB51">
        <v>423</v>
      </c>
      <c r="EC51">
        <v>105</v>
      </c>
      <c r="EE51" s="24"/>
      <c r="EF51">
        <v>198</v>
      </c>
      <c r="EG51">
        <v>207</v>
      </c>
      <c r="EH51">
        <v>204</v>
      </c>
      <c r="EI51">
        <v>104025927</v>
      </c>
      <c r="EJ51">
        <v>181</v>
      </c>
      <c r="EL51" s="24"/>
      <c r="EM51">
        <v>60112</v>
      </c>
      <c r="EN51">
        <v>60120</v>
      </c>
      <c r="EO51">
        <v>60117</v>
      </c>
      <c r="EP51">
        <v>70185</v>
      </c>
      <c r="EQ51">
        <v>649</v>
      </c>
      <c r="ES51" s="24"/>
      <c r="ET51">
        <v>262</v>
      </c>
      <c r="EU51">
        <v>276</v>
      </c>
      <c r="EV51">
        <v>263</v>
      </c>
      <c r="EW51">
        <v>30271113</v>
      </c>
      <c r="EX51">
        <v>499</v>
      </c>
      <c r="EZ51" s="24"/>
      <c r="FA51">
        <v>4407986</v>
      </c>
      <c r="FB51">
        <v>4407996</v>
      </c>
      <c r="FC51">
        <v>4407989</v>
      </c>
      <c r="FD51">
        <v>730</v>
      </c>
      <c r="FE51">
        <v>21</v>
      </c>
      <c r="FG51" s="24"/>
      <c r="FH51">
        <v>9234</v>
      </c>
      <c r="FI51">
        <v>10087</v>
      </c>
      <c r="FJ51">
        <v>9994</v>
      </c>
      <c r="FK51">
        <v>2179866</v>
      </c>
      <c r="FL51">
        <v>453</v>
      </c>
      <c r="FN51" s="24"/>
      <c r="FO51">
        <v>18488</v>
      </c>
      <c r="FP51">
        <v>18488</v>
      </c>
      <c r="FQ51">
        <v>18488</v>
      </c>
      <c r="FR51">
        <v>80796</v>
      </c>
      <c r="FS51">
        <v>69</v>
      </c>
      <c r="FU51" s="24"/>
      <c r="FV51">
        <v>27608</v>
      </c>
      <c r="FW51">
        <v>31079</v>
      </c>
      <c r="FX51">
        <v>27627</v>
      </c>
      <c r="FY51">
        <v>295238</v>
      </c>
      <c r="FZ51">
        <v>1240</v>
      </c>
      <c r="GB51" s="24"/>
      <c r="GC51">
        <v>105101000</v>
      </c>
      <c r="GD51">
        <v>114499998</v>
      </c>
      <c r="GE51">
        <v>109249441</v>
      </c>
      <c r="GF51">
        <v>81</v>
      </c>
      <c r="GG51">
        <v>60</v>
      </c>
      <c r="GI51" s="24"/>
      <c r="GJ51">
        <v>27512003</v>
      </c>
      <c r="GK51">
        <v>27555012</v>
      </c>
      <c r="GL51">
        <v>27554002</v>
      </c>
      <c r="GM51">
        <v>891</v>
      </c>
      <c r="GN51">
        <v>135</v>
      </c>
      <c r="GP51" s="24"/>
      <c r="GQ51">
        <v>116</v>
      </c>
      <c r="GR51">
        <v>138</v>
      </c>
      <c r="GS51">
        <v>138</v>
      </c>
      <c r="GT51">
        <v>53787179</v>
      </c>
      <c r="GU51">
        <v>87</v>
      </c>
      <c r="GW51" s="24"/>
      <c r="GX51">
        <v>247</v>
      </c>
      <c r="GY51">
        <v>284</v>
      </c>
      <c r="GZ51">
        <v>262</v>
      </c>
      <c r="HA51">
        <v>38254437</v>
      </c>
      <c r="HB51">
        <v>171</v>
      </c>
      <c r="HD51" s="24"/>
      <c r="HE51">
        <v>4999</v>
      </c>
      <c r="HF51">
        <v>5117</v>
      </c>
      <c r="HG51">
        <v>5114</v>
      </c>
      <c r="HH51">
        <v>19066911</v>
      </c>
      <c r="HI51">
        <v>274</v>
      </c>
      <c r="HK51" s="24"/>
      <c r="HL51">
        <v>111999800</v>
      </c>
      <c r="HM51">
        <v>114698996</v>
      </c>
      <c r="HN51">
        <v>112613962</v>
      </c>
      <c r="HO51">
        <v>59</v>
      </c>
      <c r="HP51">
        <v>51</v>
      </c>
      <c r="HR51" s="24"/>
      <c r="HS51">
        <v>10700</v>
      </c>
      <c r="HT51">
        <v>11479</v>
      </c>
      <c r="HU51">
        <v>11119</v>
      </c>
      <c r="HV51">
        <v>591070</v>
      </c>
      <c r="HW51">
        <v>112</v>
      </c>
      <c r="HY51" s="24"/>
      <c r="HZ51">
        <v>8400</v>
      </c>
      <c r="IA51">
        <v>8999</v>
      </c>
      <c r="IB51">
        <v>8840</v>
      </c>
      <c r="IC51">
        <v>2910597</v>
      </c>
      <c r="ID51">
        <v>513</v>
      </c>
      <c r="IF51" s="24"/>
      <c r="IG51">
        <v>3076</v>
      </c>
      <c r="IH51">
        <v>3683</v>
      </c>
      <c r="II51">
        <v>3683</v>
      </c>
      <c r="IJ51">
        <v>2919775</v>
      </c>
      <c r="IK51">
        <v>128</v>
      </c>
      <c r="IM51" s="24"/>
      <c r="IN51">
        <v>105000000</v>
      </c>
      <c r="IO51">
        <v>119000000</v>
      </c>
      <c r="IP51">
        <v>115828971</v>
      </c>
      <c r="IQ51">
        <v>46</v>
      </c>
      <c r="IR51">
        <v>44</v>
      </c>
      <c r="IT51" s="24"/>
      <c r="IU51">
        <v>8502</v>
      </c>
      <c r="IV51">
        <v>8993</v>
      </c>
      <c r="IW51">
        <v>8992</v>
      </c>
      <c r="IX51">
        <v>1378972</v>
      </c>
      <c r="IY51">
        <v>149</v>
      </c>
      <c r="JA51" s="24"/>
      <c r="JB51">
        <v>109999800</v>
      </c>
      <c r="JC51">
        <v>113295789</v>
      </c>
      <c r="JD51">
        <v>111763897</v>
      </c>
      <c r="JE51">
        <v>91</v>
      </c>
      <c r="JF51">
        <v>65</v>
      </c>
      <c r="JH51" s="24"/>
      <c r="JI51">
        <v>106116415</v>
      </c>
      <c r="JJ51">
        <v>114998000</v>
      </c>
      <c r="JK51">
        <v>111002011</v>
      </c>
      <c r="JL51">
        <v>70</v>
      </c>
      <c r="JM51">
        <v>40</v>
      </c>
      <c r="JO51" s="24"/>
      <c r="JP51">
        <v>73</v>
      </c>
      <c r="JQ51">
        <v>74</v>
      </c>
      <c r="JR51">
        <v>74</v>
      </c>
      <c r="JS51">
        <v>92533415</v>
      </c>
      <c r="JT51">
        <v>88</v>
      </c>
      <c r="JV51" s="24"/>
      <c r="JW51">
        <v>92</v>
      </c>
      <c r="JX51">
        <v>96</v>
      </c>
      <c r="JY51">
        <v>96</v>
      </c>
      <c r="JZ51">
        <v>122395154</v>
      </c>
      <c r="KA51">
        <v>103</v>
      </c>
      <c r="KC51" s="24"/>
      <c r="KD51">
        <v>18</v>
      </c>
      <c r="KE51">
        <v>22</v>
      </c>
      <c r="KF51">
        <v>19</v>
      </c>
      <c r="KG51">
        <v>43064172</v>
      </c>
      <c r="KH51">
        <v>260</v>
      </c>
      <c r="KJ51" s="24"/>
      <c r="KK51">
        <v>99</v>
      </c>
      <c r="KL51">
        <v>100</v>
      </c>
      <c r="KM51">
        <v>99</v>
      </c>
      <c r="KN51">
        <v>141453669</v>
      </c>
      <c r="KO51">
        <v>111</v>
      </c>
      <c r="KQ51" s="24"/>
      <c r="KR51">
        <v>96115</v>
      </c>
      <c r="KS51">
        <v>99999</v>
      </c>
      <c r="KT51">
        <v>96115</v>
      </c>
      <c r="KU51">
        <v>69194</v>
      </c>
      <c r="KV51">
        <v>588</v>
      </c>
      <c r="KX51" s="24"/>
      <c r="KY51">
        <v>495</v>
      </c>
      <c r="KZ51">
        <v>530</v>
      </c>
      <c r="LA51">
        <v>510</v>
      </c>
      <c r="LB51">
        <v>8109045</v>
      </c>
      <c r="LC51">
        <v>164</v>
      </c>
      <c r="LE51" s="24"/>
      <c r="LF51">
        <v>194189</v>
      </c>
      <c r="LG51">
        <v>195300</v>
      </c>
      <c r="LH51">
        <v>194202</v>
      </c>
      <c r="LI51">
        <v>85552</v>
      </c>
      <c r="LJ51">
        <v>851</v>
      </c>
      <c r="LL51" s="24"/>
      <c r="LM51">
        <v>79861</v>
      </c>
      <c r="LN51">
        <v>81000</v>
      </c>
      <c r="LO51">
        <v>79900</v>
      </c>
      <c r="LP51">
        <v>353699</v>
      </c>
      <c r="LQ51">
        <v>1304</v>
      </c>
      <c r="LS51" s="24"/>
      <c r="LT51">
        <v>220</v>
      </c>
      <c r="LU51">
        <v>234</v>
      </c>
      <c r="LV51">
        <v>233</v>
      </c>
      <c r="LW51">
        <v>96891988</v>
      </c>
      <c r="LX51">
        <v>325</v>
      </c>
      <c r="LZ51" s="24"/>
      <c r="MA51">
        <v>70499</v>
      </c>
      <c r="MB51">
        <v>73184</v>
      </c>
      <c r="MC51">
        <v>70594</v>
      </c>
      <c r="MD51">
        <v>899679</v>
      </c>
      <c r="ME51">
        <v>102</v>
      </c>
    </row>
    <row r="52" spans="2:343" x14ac:dyDescent="0.25">
      <c r="B52" s="24"/>
      <c r="C52">
        <v>2</v>
      </c>
      <c r="D52">
        <v>2</v>
      </c>
      <c r="E52">
        <v>2</v>
      </c>
      <c r="F52">
        <v>38049832578</v>
      </c>
      <c r="G52">
        <v>2861</v>
      </c>
      <c r="I52" s="24"/>
      <c r="J52">
        <v>4</v>
      </c>
      <c r="K52">
        <v>4</v>
      </c>
      <c r="L52">
        <v>4</v>
      </c>
      <c r="M52">
        <v>7698121756</v>
      </c>
      <c r="N52">
        <v>2098</v>
      </c>
      <c r="P52" s="24"/>
      <c r="Q52">
        <v>28</v>
      </c>
      <c r="R52">
        <v>28</v>
      </c>
      <c r="S52">
        <v>28</v>
      </c>
      <c r="T52">
        <v>2529859200</v>
      </c>
      <c r="U52">
        <v>2004</v>
      </c>
      <c r="W52" s="24"/>
      <c r="X52">
        <v>64</v>
      </c>
      <c r="Y52">
        <v>65</v>
      </c>
      <c r="Z52">
        <v>65</v>
      </c>
      <c r="AA52">
        <v>502340650</v>
      </c>
      <c r="AB52">
        <v>1558</v>
      </c>
      <c r="AD52" s="24"/>
      <c r="AE52">
        <v>550</v>
      </c>
      <c r="AF52">
        <v>578</v>
      </c>
      <c r="AG52">
        <v>569</v>
      </c>
      <c r="AH52">
        <v>118909223</v>
      </c>
      <c r="AI52">
        <v>1738</v>
      </c>
      <c r="AK52" s="24"/>
      <c r="AL52">
        <v>984</v>
      </c>
      <c r="AM52">
        <v>1023</v>
      </c>
      <c r="AN52">
        <v>985</v>
      </c>
      <c r="AO52">
        <v>39345018</v>
      </c>
      <c r="AP52">
        <v>1331</v>
      </c>
      <c r="AR52" s="24"/>
      <c r="AS52">
        <v>3005</v>
      </c>
      <c r="AT52">
        <v>3125</v>
      </c>
      <c r="AU52">
        <v>3010</v>
      </c>
      <c r="AV52">
        <v>16617493</v>
      </c>
      <c r="AW52">
        <v>1269</v>
      </c>
      <c r="AY52" s="24"/>
      <c r="AZ52">
        <v>337310010</v>
      </c>
      <c r="BA52">
        <v>343099691</v>
      </c>
      <c r="BB52">
        <v>338999989</v>
      </c>
      <c r="BC52">
        <v>1985</v>
      </c>
      <c r="BD52">
        <v>1346</v>
      </c>
      <c r="BF52" s="24"/>
      <c r="BG52">
        <v>21834</v>
      </c>
      <c r="BH52">
        <v>22100</v>
      </c>
      <c r="BI52">
        <v>22003</v>
      </c>
      <c r="BJ52">
        <v>3254293</v>
      </c>
      <c r="BK52">
        <v>168</v>
      </c>
      <c r="BM52" s="24"/>
      <c r="BN52">
        <v>7000308</v>
      </c>
      <c r="BO52">
        <v>7150188</v>
      </c>
      <c r="BP52">
        <v>7000319</v>
      </c>
      <c r="BQ52">
        <v>10189</v>
      </c>
      <c r="BR52">
        <v>279</v>
      </c>
      <c r="BT52" s="24"/>
      <c r="BU52">
        <v>1593</v>
      </c>
      <c r="BV52">
        <v>1685</v>
      </c>
      <c r="BW52">
        <v>1682</v>
      </c>
      <c r="BX52">
        <v>26480953</v>
      </c>
      <c r="BY52">
        <v>270</v>
      </c>
      <c r="CA52" s="24"/>
      <c r="CB52">
        <v>239</v>
      </c>
      <c r="CC52">
        <v>240</v>
      </c>
      <c r="CD52">
        <v>239</v>
      </c>
      <c r="CE52">
        <v>86804590</v>
      </c>
      <c r="CF52">
        <v>250</v>
      </c>
      <c r="CH52" s="24"/>
      <c r="CI52">
        <v>27708</v>
      </c>
      <c r="CJ52">
        <v>27723</v>
      </c>
      <c r="CK52">
        <v>27709</v>
      </c>
      <c r="CL52">
        <v>1143820</v>
      </c>
      <c r="CM52">
        <v>166</v>
      </c>
      <c r="CO52" s="24"/>
      <c r="CP52">
        <v>7980</v>
      </c>
      <c r="CQ52">
        <v>8085</v>
      </c>
      <c r="CR52">
        <v>8000</v>
      </c>
      <c r="CS52">
        <v>1096065</v>
      </c>
      <c r="CT52">
        <v>410</v>
      </c>
      <c r="CV52" s="24"/>
      <c r="CW52">
        <v>1387887</v>
      </c>
      <c r="CX52">
        <v>1388998</v>
      </c>
      <c r="CY52">
        <v>1387887</v>
      </c>
      <c r="CZ52">
        <v>11876</v>
      </c>
      <c r="DA52">
        <v>58</v>
      </c>
      <c r="DC52" s="24"/>
      <c r="DD52">
        <v>292</v>
      </c>
      <c r="DE52">
        <v>294</v>
      </c>
      <c r="DF52">
        <v>292</v>
      </c>
      <c r="DG52">
        <v>27038584</v>
      </c>
      <c r="DH52">
        <v>129</v>
      </c>
      <c r="DJ52" s="24"/>
      <c r="DK52">
        <v>39027010</v>
      </c>
      <c r="DL52">
        <v>44000000</v>
      </c>
      <c r="DM52">
        <v>40999999</v>
      </c>
      <c r="DN52">
        <v>334</v>
      </c>
      <c r="DO52">
        <v>75</v>
      </c>
      <c r="DQ52" s="24"/>
      <c r="DR52">
        <v>864086</v>
      </c>
      <c r="DS52">
        <v>910008</v>
      </c>
      <c r="DT52">
        <v>881001</v>
      </c>
      <c r="DU52">
        <v>10886</v>
      </c>
      <c r="DV52">
        <v>325</v>
      </c>
      <c r="DX52" s="24"/>
      <c r="DY52">
        <v>18100000</v>
      </c>
      <c r="DZ52">
        <v>18696000</v>
      </c>
      <c r="EA52">
        <v>18600006</v>
      </c>
      <c r="EB52">
        <v>615</v>
      </c>
      <c r="EC52">
        <v>136</v>
      </c>
      <c r="EE52" s="24"/>
      <c r="EF52">
        <v>189</v>
      </c>
      <c r="EG52">
        <v>192</v>
      </c>
      <c r="EH52">
        <v>189</v>
      </c>
      <c r="EI52">
        <v>104524193</v>
      </c>
      <c r="EJ52">
        <v>232</v>
      </c>
      <c r="EL52" s="24"/>
      <c r="EM52">
        <v>60120</v>
      </c>
      <c r="EN52">
        <v>60302</v>
      </c>
      <c r="EO52">
        <v>60181</v>
      </c>
      <c r="EP52">
        <v>58622</v>
      </c>
      <c r="EQ52">
        <v>655</v>
      </c>
      <c r="ES52" s="24"/>
      <c r="ET52">
        <v>265</v>
      </c>
      <c r="EU52">
        <v>278</v>
      </c>
      <c r="EV52">
        <v>275</v>
      </c>
      <c r="EW52">
        <v>41724531</v>
      </c>
      <c r="EX52">
        <v>631</v>
      </c>
      <c r="EZ52" s="24"/>
      <c r="FA52">
        <v>4297999</v>
      </c>
      <c r="FB52">
        <v>4298000</v>
      </c>
      <c r="FC52">
        <v>4297999</v>
      </c>
      <c r="FD52">
        <v>1283</v>
      </c>
      <c r="FE52">
        <v>27</v>
      </c>
      <c r="FG52" s="24"/>
      <c r="FH52">
        <v>9355</v>
      </c>
      <c r="FI52">
        <v>9747</v>
      </c>
      <c r="FJ52">
        <v>9636</v>
      </c>
      <c r="FK52">
        <v>2310693</v>
      </c>
      <c r="FL52">
        <v>538</v>
      </c>
      <c r="FN52" s="24"/>
      <c r="FO52">
        <v>18449</v>
      </c>
      <c r="FP52">
        <v>18499</v>
      </c>
      <c r="FQ52">
        <v>18449</v>
      </c>
      <c r="FR52">
        <v>76190</v>
      </c>
      <c r="FS52">
        <v>76</v>
      </c>
      <c r="FU52" s="24"/>
      <c r="FV52">
        <v>27631</v>
      </c>
      <c r="FW52">
        <v>27899</v>
      </c>
      <c r="FX52">
        <v>27743</v>
      </c>
      <c r="FY52">
        <v>285710</v>
      </c>
      <c r="FZ52">
        <v>1271</v>
      </c>
      <c r="GB52" s="24"/>
      <c r="GC52">
        <v>109258890</v>
      </c>
      <c r="GD52">
        <v>109999999</v>
      </c>
      <c r="GE52">
        <v>109999999</v>
      </c>
      <c r="GF52">
        <v>139</v>
      </c>
      <c r="GG52">
        <v>98</v>
      </c>
      <c r="GI52" s="24"/>
      <c r="GJ52">
        <v>23000210</v>
      </c>
      <c r="GK52">
        <v>25250000</v>
      </c>
      <c r="GL52">
        <v>23251001</v>
      </c>
      <c r="GM52">
        <v>1532</v>
      </c>
      <c r="GN52">
        <v>215</v>
      </c>
      <c r="GP52" s="24"/>
      <c r="GQ52">
        <v>118</v>
      </c>
      <c r="GR52">
        <v>120</v>
      </c>
      <c r="GS52">
        <v>118</v>
      </c>
      <c r="GT52">
        <v>136679030</v>
      </c>
      <c r="GU52">
        <v>172</v>
      </c>
      <c r="GW52" s="24"/>
      <c r="GX52">
        <v>253</v>
      </c>
      <c r="GY52">
        <v>254</v>
      </c>
      <c r="GZ52">
        <v>254</v>
      </c>
      <c r="HA52">
        <v>43813120</v>
      </c>
      <c r="HB52">
        <v>189</v>
      </c>
      <c r="HD52" s="24"/>
      <c r="HE52">
        <v>4836</v>
      </c>
      <c r="HF52">
        <v>5063</v>
      </c>
      <c r="HG52">
        <v>4900</v>
      </c>
      <c r="HH52">
        <v>18344341</v>
      </c>
      <c r="HI52">
        <v>340</v>
      </c>
      <c r="HK52" s="24"/>
      <c r="HL52">
        <v>111000000</v>
      </c>
      <c r="HM52">
        <v>116998262</v>
      </c>
      <c r="HN52">
        <v>114149702</v>
      </c>
      <c r="HO52">
        <v>51</v>
      </c>
      <c r="HP52">
        <v>48</v>
      </c>
      <c r="HR52" s="24"/>
      <c r="HS52">
        <v>11480</v>
      </c>
      <c r="HT52">
        <v>13889</v>
      </c>
      <c r="HU52">
        <v>12999</v>
      </c>
      <c r="HV52">
        <v>2158262</v>
      </c>
      <c r="HW52">
        <v>219</v>
      </c>
      <c r="HY52" s="24"/>
      <c r="HZ52">
        <v>8497</v>
      </c>
      <c r="IA52">
        <v>8799</v>
      </c>
      <c r="IB52">
        <v>8599</v>
      </c>
      <c r="IC52">
        <v>2460916</v>
      </c>
      <c r="ID52">
        <v>591</v>
      </c>
      <c r="IF52" s="24"/>
      <c r="IG52">
        <v>3000</v>
      </c>
      <c r="IH52">
        <v>3528</v>
      </c>
      <c r="II52">
        <v>3100</v>
      </c>
      <c r="IJ52">
        <v>1220256</v>
      </c>
      <c r="IK52">
        <v>109</v>
      </c>
      <c r="IM52" s="24"/>
      <c r="IN52">
        <v>106000000</v>
      </c>
      <c r="IO52">
        <v>115999999</v>
      </c>
      <c r="IP52">
        <v>112162581</v>
      </c>
      <c r="IQ52">
        <v>61</v>
      </c>
      <c r="IR52">
        <v>55</v>
      </c>
      <c r="IT52" s="24"/>
      <c r="IU52">
        <v>8530</v>
      </c>
      <c r="IV52">
        <v>8818</v>
      </c>
      <c r="IW52">
        <v>8540</v>
      </c>
      <c r="IX52">
        <v>2175742</v>
      </c>
      <c r="IY52">
        <v>200</v>
      </c>
      <c r="JA52" s="24"/>
      <c r="JB52">
        <v>110000001</v>
      </c>
      <c r="JC52">
        <v>114000000</v>
      </c>
      <c r="JD52">
        <v>112367472</v>
      </c>
      <c r="JE52">
        <v>95</v>
      </c>
      <c r="JF52">
        <v>79</v>
      </c>
      <c r="JH52" s="24"/>
      <c r="JI52">
        <v>106116600</v>
      </c>
      <c r="JJ52">
        <v>114997958</v>
      </c>
      <c r="JK52">
        <v>114131828</v>
      </c>
      <c r="JL52">
        <v>22</v>
      </c>
      <c r="JM52">
        <v>22</v>
      </c>
      <c r="JO52" s="24"/>
      <c r="JP52">
        <v>71</v>
      </c>
      <c r="JQ52">
        <v>73</v>
      </c>
      <c r="JR52">
        <v>73</v>
      </c>
      <c r="JS52">
        <v>96053969</v>
      </c>
      <c r="JT52">
        <v>103</v>
      </c>
      <c r="JV52" s="24"/>
      <c r="JW52">
        <v>92</v>
      </c>
      <c r="JX52">
        <v>96</v>
      </c>
      <c r="JY52">
        <v>96</v>
      </c>
      <c r="JZ52">
        <v>96726648</v>
      </c>
      <c r="KA52">
        <v>116</v>
      </c>
      <c r="KC52" s="24"/>
      <c r="KD52">
        <v>18</v>
      </c>
      <c r="KE52">
        <v>21</v>
      </c>
      <c r="KF52">
        <v>19</v>
      </c>
      <c r="KG52">
        <v>120339278</v>
      </c>
      <c r="KH52">
        <v>323</v>
      </c>
      <c r="KJ52" s="24"/>
      <c r="KK52">
        <v>95</v>
      </c>
      <c r="KL52">
        <v>99</v>
      </c>
      <c r="KM52">
        <v>95</v>
      </c>
      <c r="KN52">
        <v>123516348</v>
      </c>
      <c r="KO52">
        <v>118</v>
      </c>
      <c r="KQ52" s="24"/>
      <c r="KR52">
        <v>97100</v>
      </c>
      <c r="KS52">
        <v>97208</v>
      </c>
      <c r="KT52">
        <v>97207</v>
      </c>
      <c r="KU52">
        <v>66985</v>
      </c>
      <c r="KV52">
        <v>625</v>
      </c>
      <c r="KX52" s="24"/>
      <c r="KY52">
        <v>494</v>
      </c>
      <c r="KZ52">
        <v>500</v>
      </c>
      <c r="LA52">
        <v>495</v>
      </c>
      <c r="LB52">
        <v>6457504</v>
      </c>
      <c r="LC52">
        <v>166</v>
      </c>
      <c r="LE52" s="24"/>
      <c r="LF52">
        <v>197001</v>
      </c>
      <c r="LG52">
        <v>203250</v>
      </c>
      <c r="LH52">
        <v>197004</v>
      </c>
      <c r="LI52">
        <v>120576</v>
      </c>
      <c r="LJ52">
        <v>937</v>
      </c>
      <c r="LL52" s="24"/>
      <c r="LM52">
        <v>80001</v>
      </c>
      <c r="LN52">
        <v>80801</v>
      </c>
      <c r="LO52">
        <v>80075</v>
      </c>
      <c r="LP52">
        <v>290441</v>
      </c>
      <c r="LQ52">
        <v>1296</v>
      </c>
      <c r="LS52" s="24"/>
      <c r="LT52">
        <v>226</v>
      </c>
      <c r="LU52">
        <v>232</v>
      </c>
      <c r="LV52">
        <v>228</v>
      </c>
      <c r="LW52">
        <v>75110228</v>
      </c>
      <c r="LX52">
        <v>322</v>
      </c>
      <c r="LZ52" s="24"/>
      <c r="MA52">
        <v>71122</v>
      </c>
      <c r="MB52">
        <v>74329</v>
      </c>
      <c r="MC52">
        <v>71157</v>
      </c>
      <c r="MD52">
        <v>750118</v>
      </c>
      <c r="ME52">
        <v>121</v>
      </c>
    </row>
    <row r="53" spans="2:343" x14ac:dyDescent="0.25">
      <c r="B53" s="24"/>
      <c r="C53">
        <v>2</v>
      </c>
      <c r="D53">
        <v>2</v>
      </c>
      <c r="E53">
        <v>2</v>
      </c>
      <c r="F53">
        <v>38988878403</v>
      </c>
      <c r="G53">
        <v>2889</v>
      </c>
      <c r="I53" s="24"/>
      <c r="J53">
        <v>4</v>
      </c>
      <c r="K53">
        <v>4</v>
      </c>
      <c r="L53">
        <v>4</v>
      </c>
      <c r="M53">
        <v>8883199630</v>
      </c>
      <c r="N53">
        <v>2025</v>
      </c>
      <c r="P53" s="24"/>
      <c r="Q53">
        <v>28</v>
      </c>
      <c r="R53">
        <v>28</v>
      </c>
      <c r="S53">
        <v>28</v>
      </c>
      <c r="T53">
        <v>1707479186</v>
      </c>
      <c r="U53">
        <v>1842</v>
      </c>
      <c r="W53" s="24"/>
      <c r="X53">
        <v>65</v>
      </c>
      <c r="Y53">
        <v>65</v>
      </c>
      <c r="Z53">
        <v>65</v>
      </c>
      <c r="AA53">
        <v>335969721</v>
      </c>
      <c r="AB53">
        <v>1403</v>
      </c>
      <c r="AD53" s="24"/>
      <c r="AE53">
        <v>555</v>
      </c>
      <c r="AF53">
        <v>568</v>
      </c>
      <c r="AG53">
        <v>563</v>
      </c>
      <c r="AH53">
        <v>164334525</v>
      </c>
      <c r="AI53">
        <v>1653</v>
      </c>
      <c r="AK53" s="24"/>
      <c r="AL53">
        <v>995</v>
      </c>
      <c r="AM53">
        <v>1014</v>
      </c>
      <c r="AN53">
        <v>1004</v>
      </c>
      <c r="AO53">
        <v>34280166</v>
      </c>
      <c r="AP53">
        <v>1224</v>
      </c>
      <c r="AR53" s="24"/>
      <c r="AS53">
        <v>3035</v>
      </c>
      <c r="AT53">
        <v>3083</v>
      </c>
      <c r="AU53">
        <v>3047</v>
      </c>
      <c r="AV53">
        <v>10940075</v>
      </c>
      <c r="AW53">
        <v>1161</v>
      </c>
      <c r="AY53" s="24"/>
      <c r="AZ53">
        <v>334482001</v>
      </c>
      <c r="BA53">
        <v>341787326</v>
      </c>
      <c r="BB53">
        <v>339855240</v>
      </c>
      <c r="BC53">
        <v>1892</v>
      </c>
      <c r="BD53">
        <v>1311</v>
      </c>
      <c r="BF53" s="24"/>
      <c r="BG53">
        <v>22457</v>
      </c>
      <c r="BH53">
        <v>22459</v>
      </c>
      <c r="BI53">
        <v>22459</v>
      </c>
      <c r="BJ53">
        <v>1783709</v>
      </c>
      <c r="BK53">
        <v>159</v>
      </c>
      <c r="BM53" s="24"/>
      <c r="BN53">
        <v>7060627</v>
      </c>
      <c r="BO53">
        <v>7127001</v>
      </c>
      <c r="BP53">
        <v>7070333</v>
      </c>
      <c r="BQ53">
        <v>7899</v>
      </c>
      <c r="BR53">
        <v>258</v>
      </c>
      <c r="BT53" s="24"/>
      <c r="BU53">
        <v>1595</v>
      </c>
      <c r="BV53">
        <v>1671</v>
      </c>
      <c r="BW53">
        <v>1666</v>
      </c>
      <c r="BX53">
        <v>33341299</v>
      </c>
      <c r="BY53">
        <v>291</v>
      </c>
      <c r="CA53" s="24"/>
      <c r="CB53">
        <v>249</v>
      </c>
      <c r="CC53">
        <v>256</v>
      </c>
      <c r="CD53">
        <v>255</v>
      </c>
      <c r="CE53">
        <v>48691453</v>
      </c>
      <c r="CF53">
        <v>231</v>
      </c>
      <c r="CH53" s="24"/>
      <c r="CI53">
        <v>27001</v>
      </c>
      <c r="CJ53">
        <v>27502</v>
      </c>
      <c r="CK53">
        <v>27002</v>
      </c>
      <c r="CL53">
        <v>651015</v>
      </c>
      <c r="CM53">
        <v>119</v>
      </c>
      <c r="CO53" s="24"/>
      <c r="CP53">
        <v>7358</v>
      </c>
      <c r="CQ53">
        <v>8210</v>
      </c>
      <c r="CR53">
        <v>7949</v>
      </c>
      <c r="CS53">
        <v>722154</v>
      </c>
      <c r="CT53">
        <v>356</v>
      </c>
      <c r="CV53" s="24"/>
      <c r="CW53">
        <v>1388000</v>
      </c>
      <c r="CX53">
        <v>1484945</v>
      </c>
      <c r="CY53">
        <v>1405000</v>
      </c>
      <c r="CZ53">
        <v>9031</v>
      </c>
      <c r="DA53">
        <v>50</v>
      </c>
      <c r="DC53" s="24"/>
      <c r="DD53">
        <v>292</v>
      </c>
      <c r="DE53">
        <v>292</v>
      </c>
      <c r="DF53">
        <v>292</v>
      </c>
      <c r="DG53">
        <v>33194088</v>
      </c>
      <c r="DH53">
        <v>157</v>
      </c>
      <c r="DJ53" s="24"/>
      <c r="DK53">
        <v>39035000</v>
      </c>
      <c r="DL53">
        <v>40001021</v>
      </c>
      <c r="DM53">
        <v>40000003</v>
      </c>
      <c r="DN53">
        <v>375</v>
      </c>
      <c r="DO53">
        <v>92</v>
      </c>
      <c r="DQ53" s="24"/>
      <c r="DR53">
        <v>865008</v>
      </c>
      <c r="DS53">
        <v>909999</v>
      </c>
      <c r="DT53">
        <v>881001</v>
      </c>
      <c r="DU53">
        <v>6466</v>
      </c>
      <c r="DV53">
        <v>246</v>
      </c>
      <c r="DX53" s="24"/>
      <c r="DY53">
        <v>18020087</v>
      </c>
      <c r="DZ53">
        <v>18600000</v>
      </c>
      <c r="EA53">
        <v>18100000</v>
      </c>
      <c r="EB53">
        <v>407</v>
      </c>
      <c r="EC53">
        <v>101</v>
      </c>
      <c r="EE53" s="24"/>
      <c r="EF53">
        <v>182</v>
      </c>
      <c r="EG53">
        <v>189</v>
      </c>
      <c r="EH53">
        <v>189</v>
      </c>
      <c r="EI53">
        <v>164350699</v>
      </c>
      <c r="EJ53">
        <v>227</v>
      </c>
      <c r="EL53" s="24"/>
      <c r="EM53">
        <v>60210</v>
      </c>
      <c r="EN53">
        <v>61003</v>
      </c>
      <c r="EO53">
        <v>60305</v>
      </c>
      <c r="EP53">
        <v>72839</v>
      </c>
      <c r="EQ53">
        <v>617</v>
      </c>
      <c r="ES53" s="24"/>
      <c r="ET53">
        <v>275</v>
      </c>
      <c r="EU53">
        <v>320</v>
      </c>
      <c r="EV53">
        <v>299</v>
      </c>
      <c r="EW53">
        <v>24314180</v>
      </c>
      <c r="EX53">
        <v>527</v>
      </c>
      <c r="EZ53" s="24"/>
      <c r="FA53">
        <v>4405997</v>
      </c>
      <c r="FB53">
        <v>4495000</v>
      </c>
      <c r="FC53">
        <v>4487999</v>
      </c>
      <c r="FD53">
        <v>1201</v>
      </c>
      <c r="FE53">
        <v>27</v>
      </c>
      <c r="FG53" s="24"/>
      <c r="FH53">
        <v>9355</v>
      </c>
      <c r="FI53">
        <v>9700</v>
      </c>
      <c r="FJ53">
        <v>9358</v>
      </c>
      <c r="FK53">
        <v>2179510</v>
      </c>
      <c r="FL53">
        <v>427</v>
      </c>
      <c r="FN53" s="24"/>
      <c r="FO53">
        <v>18499</v>
      </c>
      <c r="FP53">
        <v>18499</v>
      </c>
      <c r="FQ53">
        <v>18499</v>
      </c>
      <c r="FR53">
        <v>170106</v>
      </c>
      <c r="FS53">
        <v>74</v>
      </c>
      <c r="FU53" s="24"/>
      <c r="FV53">
        <v>27675</v>
      </c>
      <c r="FW53">
        <v>27903</v>
      </c>
      <c r="FX53">
        <v>27891</v>
      </c>
      <c r="FY53">
        <v>290690</v>
      </c>
      <c r="FZ53">
        <v>1191</v>
      </c>
      <c r="GB53" s="24"/>
      <c r="GC53">
        <v>109999999</v>
      </c>
      <c r="GD53">
        <v>115500000</v>
      </c>
      <c r="GE53">
        <v>113567627</v>
      </c>
      <c r="GF53">
        <v>90</v>
      </c>
      <c r="GG53">
        <v>66</v>
      </c>
      <c r="GI53" s="24"/>
      <c r="GJ53">
        <v>17000001</v>
      </c>
      <c r="GK53">
        <v>21000009</v>
      </c>
      <c r="GL53">
        <v>18989999</v>
      </c>
      <c r="GM53">
        <v>969</v>
      </c>
      <c r="GN53">
        <v>142</v>
      </c>
      <c r="GP53" s="24"/>
      <c r="GQ53">
        <v>109</v>
      </c>
      <c r="GR53">
        <v>113</v>
      </c>
      <c r="GS53">
        <v>109</v>
      </c>
      <c r="GT53">
        <v>211729961</v>
      </c>
      <c r="GU53">
        <v>164</v>
      </c>
      <c r="GW53" s="24"/>
      <c r="GX53">
        <v>253</v>
      </c>
      <c r="GY53">
        <v>253</v>
      </c>
      <c r="GZ53">
        <v>253</v>
      </c>
      <c r="HA53">
        <v>43338200</v>
      </c>
      <c r="HB53">
        <v>172</v>
      </c>
      <c r="HD53" s="24"/>
      <c r="HE53">
        <v>4750</v>
      </c>
      <c r="HF53">
        <v>4999</v>
      </c>
      <c r="HG53">
        <v>4849</v>
      </c>
      <c r="HH53">
        <v>15280695</v>
      </c>
      <c r="HI53">
        <v>265</v>
      </c>
      <c r="HK53" s="24"/>
      <c r="HL53">
        <v>103000000</v>
      </c>
      <c r="HM53">
        <v>115939498</v>
      </c>
      <c r="HN53">
        <v>110763125</v>
      </c>
      <c r="HO53">
        <v>78</v>
      </c>
      <c r="HP53">
        <v>60</v>
      </c>
      <c r="HR53" s="24"/>
      <c r="HS53">
        <v>11801</v>
      </c>
      <c r="HT53">
        <v>12501</v>
      </c>
      <c r="HU53">
        <v>12001</v>
      </c>
      <c r="HV53">
        <v>1493816</v>
      </c>
      <c r="HW53">
        <v>175</v>
      </c>
      <c r="HY53" s="24"/>
      <c r="HZ53">
        <v>8562</v>
      </c>
      <c r="IA53">
        <v>9489</v>
      </c>
      <c r="IB53">
        <v>9298</v>
      </c>
      <c r="IC53">
        <v>1278960</v>
      </c>
      <c r="ID53">
        <v>417</v>
      </c>
      <c r="IF53" s="24"/>
      <c r="IG53">
        <v>3002</v>
      </c>
      <c r="IH53">
        <v>3246</v>
      </c>
      <c r="II53">
        <v>3030</v>
      </c>
      <c r="IJ53">
        <v>3767498</v>
      </c>
      <c r="IK53">
        <v>136</v>
      </c>
      <c r="IM53" s="24"/>
      <c r="IN53">
        <v>107000000</v>
      </c>
      <c r="IO53">
        <v>111999800</v>
      </c>
      <c r="IP53">
        <v>109884134</v>
      </c>
      <c r="IQ53">
        <v>57</v>
      </c>
      <c r="IR53">
        <v>53</v>
      </c>
      <c r="IT53" s="24"/>
      <c r="IU53">
        <v>8533</v>
      </c>
      <c r="IV53">
        <v>8649</v>
      </c>
      <c r="IW53">
        <v>8599</v>
      </c>
      <c r="IX53">
        <v>1640228</v>
      </c>
      <c r="IY53">
        <v>148</v>
      </c>
      <c r="JA53" s="24"/>
      <c r="JB53">
        <v>108503183</v>
      </c>
      <c r="JC53">
        <v>110799693</v>
      </c>
      <c r="JD53">
        <v>108800022</v>
      </c>
      <c r="JE53">
        <v>106</v>
      </c>
      <c r="JF53">
        <v>77</v>
      </c>
      <c r="JH53" s="24"/>
      <c r="JI53">
        <v>108100000</v>
      </c>
      <c r="JJ53">
        <v>114997999</v>
      </c>
      <c r="JK53">
        <v>112856735</v>
      </c>
      <c r="JL53">
        <v>33</v>
      </c>
      <c r="JM53">
        <v>30</v>
      </c>
      <c r="JO53" s="24"/>
      <c r="JP53">
        <v>71</v>
      </c>
      <c r="JQ53">
        <v>73</v>
      </c>
      <c r="JR53">
        <v>73</v>
      </c>
      <c r="JS53">
        <v>169388407</v>
      </c>
      <c r="JT53">
        <v>115</v>
      </c>
      <c r="JV53" s="24"/>
      <c r="JW53">
        <v>94</v>
      </c>
      <c r="JX53">
        <v>96</v>
      </c>
      <c r="JY53">
        <v>96</v>
      </c>
      <c r="JZ53">
        <v>133051552</v>
      </c>
      <c r="KA53">
        <v>125</v>
      </c>
      <c r="KC53" s="24"/>
      <c r="KD53">
        <v>18</v>
      </c>
      <c r="KE53">
        <v>18</v>
      </c>
      <c r="KF53">
        <v>18</v>
      </c>
      <c r="KG53">
        <v>96885345</v>
      </c>
      <c r="KH53">
        <v>285</v>
      </c>
      <c r="KJ53" s="24"/>
      <c r="KK53">
        <v>99</v>
      </c>
      <c r="KL53">
        <v>99</v>
      </c>
      <c r="KM53">
        <v>99</v>
      </c>
      <c r="KN53">
        <v>200607991</v>
      </c>
      <c r="KO53">
        <v>126</v>
      </c>
      <c r="KQ53" s="24"/>
      <c r="KR53">
        <v>99998</v>
      </c>
      <c r="KS53">
        <v>99999</v>
      </c>
      <c r="KT53">
        <v>99999</v>
      </c>
      <c r="KU53">
        <v>109164</v>
      </c>
      <c r="KV53">
        <v>606</v>
      </c>
      <c r="KX53" s="24"/>
      <c r="KY53">
        <v>518</v>
      </c>
      <c r="KZ53">
        <v>518</v>
      </c>
      <c r="LA53">
        <v>518</v>
      </c>
      <c r="LB53">
        <v>4241400</v>
      </c>
      <c r="LC53">
        <v>136</v>
      </c>
      <c r="LE53" s="24"/>
      <c r="LF53">
        <v>197006</v>
      </c>
      <c r="LG53">
        <v>198000</v>
      </c>
      <c r="LH53">
        <v>197010</v>
      </c>
      <c r="LI53">
        <v>86478</v>
      </c>
      <c r="LJ53">
        <v>845</v>
      </c>
      <c r="LL53" s="24"/>
      <c r="LM53">
        <v>76540</v>
      </c>
      <c r="LN53">
        <v>78799</v>
      </c>
      <c r="LO53">
        <v>77013</v>
      </c>
      <c r="LP53">
        <v>255853</v>
      </c>
      <c r="LQ53">
        <v>1208</v>
      </c>
      <c r="LS53" s="24"/>
      <c r="LT53">
        <v>232</v>
      </c>
      <c r="LU53">
        <v>237</v>
      </c>
      <c r="LV53">
        <v>234</v>
      </c>
      <c r="LW53">
        <v>80627773</v>
      </c>
      <c r="LX53">
        <v>284</v>
      </c>
      <c r="LZ53" s="24"/>
      <c r="MA53">
        <v>72000</v>
      </c>
      <c r="MB53">
        <v>74305</v>
      </c>
      <c r="MC53">
        <v>74255</v>
      </c>
      <c r="MD53">
        <v>814768</v>
      </c>
      <c r="ME53">
        <v>87</v>
      </c>
    </row>
    <row r="54" spans="2:343" x14ac:dyDescent="0.25">
      <c r="B54" s="24"/>
      <c r="C54">
        <v>2</v>
      </c>
      <c r="D54">
        <v>2</v>
      </c>
      <c r="E54">
        <v>2</v>
      </c>
      <c r="F54">
        <v>40347637651</v>
      </c>
      <c r="G54">
        <v>3891</v>
      </c>
      <c r="I54" s="24"/>
      <c r="J54">
        <v>4</v>
      </c>
      <c r="K54">
        <v>4</v>
      </c>
      <c r="L54">
        <v>4</v>
      </c>
      <c r="M54">
        <v>7588421607</v>
      </c>
      <c r="N54">
        <v>2742</v>
      </c>
      <c r="P54" s="24"/>
      <c r="Q54">
        <v>28</v>
      </c>
      <c r="R54">
        <v>28</v>
      </c>
      <c r="S54">
        <v>28</v>
      </c>
      <c r="T54">
        <v>2066021175</v>
      </c>
      <c r="U54">
        <v>2430</v>
      </c>
      <c r="W54" s="24"/>
      <c r="X54">
        <v>64</v>
      </c>
      <c r="Y54">
        <v>65</v>
      </c>
      <c r="Z54">
        <v>65</v>
      </c>
      <c r="AA54">
        <v>464541228</v>
      </c>
      <c r="AB54">
        <v>1927</v>
      </c>
      <c r="AD54" s="24"/>
      <c r="AE54">
        <v>554</v>
      </c>
      <c r="AF54">
        <v>564</v>
      </c>
      <c r="AG54">
        <v>559</v>
      </c>
      <c r="AH54">
        <v>127011165</v>
      </c>
      <c r="AI54">
        <v>2077</v>
      </c>
      <c r="AK54" s="24"/>
      <c r="AL54">
        <v>1000</v>
      </c>
      <c r="AM54">
        <v>1004</v>
      </c>
      <c r="AN54">
        <v>1001</v>
      </c>
      <c r="AO54">
        <v>39918302</v>
      </c>
      <c r="AP54">
        <v>1643</v>
      </c>
      <c r="AR54" s="24"/>
      <c r="AS54">
        <v>3043</v>
      </c>
      <c r="AT54">
        <v>3111</v>
      </c>
      <c r="AU54">
        <v>3099</v>
      </c>
      <c r="AV54">
        <v>13765319</v>
      </c>
      <c r="AW54">
        <v>1489</v>
      </c>
      <c r="AY54" s="24"/>
      <c r="AZ54">
        <v>334097997</v>
      </c>
      <c r="BA54">
        <v>341979999</v>
      </c>
      <c r="BB54">
        <v>335000000</v>
      </c>
      <c r="BC54">
        <v>2360</v>
      </c>
      <c r="BD54">
        <v>1475</v>
      </c>
      <c r="BF54" s="24"/>
      <c r="BG54">
        <v>22154</v>
      </c>
      <c r="BH54">
        <v>22155</v>
      </c>
      <c r="BI54">
        <v>22155</v>
      </c>
      <c r="BJ54">
        <v>2313509</v>
      </c>
      <c r="BK54">
        <v>204</v>
      </c>
      <c r="BM54" s="24"/>
      <c r="BN54">
        <v>7088010</v>
      </c>
      <c r="BO54">
        <v>7088041</v>
      </c>
      <c r="BP54">
        <v>7088033</v>
      </c>
      <c r="BQ54">
        <v>10631</v>
      </c>
      <c r="BR54">
        <v>360</v>
      </c>
      <c r="BT54" s="24"/>
      <c r="BU54">
        <v>1648</v>
      </c>
      <c r="BV54">
        <v>1656</v>
      </c>
      <c r="BW54">
        <v>1648</v>
      </c>
      <c r="BX54">
        <v>38045193</v>
      </c>
      <c r="BY54">
        <v>362</v>
      </c>
      <c r="CA54" s="24"/>
      <c r="CB54">
        <v>247</v>
      </c>
      <c r="CC54">
        <v>255</v>
      </c>
      <c r="CD54">
        <v>253</v>
      </c>
      <c r="CE54">
        <v>105774006</v>
      </c>
      <c r="CF54">
        <v>364</v>
      </c>
      <c r="CH54" s="24"/>
      <c r="CI54">
        <v>27321</v>
      </c>
      <c r="CJ54">
        <v>27900</v>
      </c>
      <c r="CK54">
        <v>27899</v>
      </c>
      <c r="CL54">
        <v>848248</v>
      </c>
      <c r="CM54">
        <v>160</v>
      </c>
      <c r="CO54" s="24"/>
      <c r="CP54">
        <v>7405</v>
      </c>
      <c r="CQ54">
        <v>8189</v>
      </c>
      <c r="CR54">
        <v>8149</v>
      </c>
      <c r="CS54">
        <v>1145794</v>
      </c>
      <c r="CT54">
        <v>474</v>
      </c>
      <c r="CV54" s="24"/>
      <c r="CW54">
        <v>1450000</v>
      </c>
      <c r="CX54">
        <v>1484998</v>
      </c>
      <c r="CY54">
        <v>1484900</v>
      </c>
      <c r="CZ54">
        <v>6136</v>
      </c>
      <c r="DA54">
        <v>48</v>
      </c>
      <c r="DC54" s="24"/>
      <c r="DD54">
        <v>310</v>
      </c>
      <c r="DE54">
        <v>316</v>
      </c>
      <c r="DF54">
        <v>315</v>
      </c>
      <c r="DG54">
        <v>58628771</v>
      </c>
      <c r="DH54">
        <v>226</v>
      </c>
      <c r="DJ54" s="24"/>
      <c r="DK54">
        <v>40003008</v>
      </c>
      <c r="DL54">
        <v>40601051</v>
      </c>
      <c r="DM54">
        <v>40003026</v>
      </c>
      <c r="DN54">
        <v>540</v>
      </c>
      <c r="DO54">
        <v>121</v>
      </c>
      <c r="DQ54" s="24"/>
      <c r="DR54">
        <v>868015</v>
      </c>
      <c r="DS54">
        <v>1000000</v>
      </c>
      <c r="DT54">
        <v>964999</v>
      </c>
      <c r="DU54">
        <v>6344</v>
      </c>
      <c r="DV54">
        <v>304</v>
      </c>
      <c r="DX54" s="24"/>
      <c r="DY54">
        <v>18550017</v>
      </c>
      <c r="DZ54">
        <v>19500012</v>
      </c>
      <c r="EA54">
        <v>19099998</v>
      </c>
      <c r="EB54">
        <v>591</v>
      </c>
      <c r="EC54">
        <v>148</v>
      </c>
      <c r="EE54" s="24"/>
      <c r="EF54">
        <v>187</v>
      </c>
      <c r="EG54">
        <v>201</v>
      </c>
      <c r="EH54">
        <v>201</v>
      </c>
      <c r="EI54">
        <v>159619329</v>
      </c>
      <c r="EJ54">
        <v>318</v>
      </c>
      <c r="EL54" s="24"/>
      <c r="EM54">
        <v>61005</v>
      </c>
      <c r="EN54">
        <v>62789</v>
      </c>
      <c r="EO54">
        <v>61204</v>
      </c>
      <c r="EP54">
        <v>102696</v>
      </c>
      <c r="EQ54">
        <v>867</v>
      </c>
      <c r="ES54" s="24"/>
      <c r="ET54">
        <v>287</v>
      </c>
      <c r="EU54">
        <v>315</v>
      </c>
      <c r="EV54">
        <v>297</v>
      </c>
      <c r="EW54">
        <v>55781085</v>
      </c>
      <c r="EX54">
        <v>840</v>
      </c>
      <c r="EZ54" s="24"/>
      <c r="FA54">
        <v>4495000</v>
      </c>
      <c r="FB54">
        <v>5499988</v>
      </c>
      <c r="FC54">
        <v>5499988</v>
      </c>
      <c r="FD54">
        <v>1452</v>
      </c>
      <c r="FE54">
        <v>24</v>
      </c>
      <c r="FG54" s="24"/>
      <c r="FH54">
        <v>9334</v>
      </c>
      <c r="FI54">
        <v>9700</v>
      </c>
      <c r="FJ54">
        <v>9598</v>
      </c>
      <c r="FK54">
        <v>2093540</v>
      </c>
      <c r="FL54">
        <v>636</v>
      </c>
      <c r="FN54" s="24"/>
      <c r="FO54">
        <v>18030</v>
      </c>
      <c r="FP54">
        <v>18499</v>
      </c>
      <c r="FQ54">
        <v>18300</v>
      </c>
      <c r="FR54">
        <v>329279</v>
      </c>
      <c r="FS54">
        <v>138</v>
      </c>
      <c r="FU54" s="24"/>
      <c r="FV54">
        <v>27672</v>
      </c>
      <c r="FW54">
        <v>28000</v>
      </c>
      <c r="FX54">
        <v>27763</v>
      </c>
      <c r="FY54">
        <v>396951</v>
      </c>
      <c r="FZ54">
        <v>1646</v>
      </c>
      <c r="GB54" s="24"/>
      <c r="GC54">
        <v>107300000</v>
      </c>
      <c r="GD54">
        <v>109000000</v>
      </c>
      <c r="GE54">
        <v>107499999</v>
      </c>
      <c r="GF54">
        <v>110</v>
      </c>
      <c r="GG54">
        <v>73</v>
      </c>
      <c r="GI54" s="24"/>
      <c r="GJ54">
        <v>19000091</v>
      </c>
      <c r="GK54">
        <v>20294997</v>
      </c>
      <c r="GL54">
        <v>19500103</v>
      </c>
      <c r="GM54">
        <v>1015</v>
      </c>
      <c r="GN54">
        <v>139</v>
      </c>
      <c r="GP54" s="24"/>
      <c r="GQ54">
        <v>112</v>
      </c>
      <c r="GR54">
        <v>113</v>
      </c>
      <c r="GS54">
        <v>113</v>
      </c>
      <c r="GT54">
        <v>223859930</v>
      </c>
      <c r="GU54">
        <v>197</v>
      </c>
      <c r="GW54" s="24"/>
      <c r="GX54">
        <v>237</v>
      </c>
      <c r="GY54">
        <v>247</v>
      </c>
      <c r="GZ54">
        <v>243</v>
      </c>
      <c r="HA54">
        <v>61858983</v>
      </c>
      <c r="HB54">
        <v>244</v>
      </c>
      <c r="HD54" s="24"/>
      <c r="HE54">
        <v>4875</v>
      </c>
      <c r="HF54">
        <v>4988</v>
      </c>
      <c r="HG54">
        <v>4924</v>
      </c>
      <c r="HH54">
        <v>28570504</v>
      </c>
      <c r="HI54">
        <v>397</v>
      </c>
      <c r="HK54" s="24"/>
      <c r="HL54">
        <v>100021000</v>
      </c>
      <c r="HM54">
        <v>114899999</v>
      </c>
      <c r="HN54">
        <v>107740692</v>
      </c>
      <c r="HO54">
        <v>92</v>
      </c>
      <c r="HP54">
        <v>56</v>
      </c>
      <c r="HR54" s="24"/>
      <c r="HS54">
        <v>11004</v>
      </c>
      <c r="HT54">
        <v>11489</v>
      </c>
      <c r="HU54">
        <v>11399</v>
      </c>
      <c r="HV54">
        <v>1291833</v>
      </c>
      <c r="HW54">
        <v>178</v>
      </c>
      <c r="HY54" s="24"/>
      <c r="HZ54">
        <v>9199</v>
      </c>
      <c r="IA54">
        <v>9980</v>
      </c>
      <c r="IB54">
        <v>9499</v>
      </c>
      <c r="IC54">
        <v>2458743</v>
      </c>
      <c r="ID54">
        <v>716</v>
      </c>
      <c r="IF54" s="24"/>
      <c r="IG54">
        <v>2935</v>
      </c>
      <c r="IH54">
        <v>2935</v>
      </c>
      <c r="II54">
        <v>2935</v>
      </c>
      <c r="IJ54">
        <v>7270002</v>
      </c>
      <c r="IK54">
        <v>231</v>
      </c>
      <c r="IM54" s="24"/>
      <c r="IN54">
        <v>113500000</v>
      </c>
      <c r="IO54">
        <v>119999999</v>
      </c>
      <c r="IP54">
        <v>116778347</v>
      </c>
      <c r="IQ54">
        <v>92</v>
      </c>
      <c r="IR54">
        <v>72</v>
      </c>
      <c r="IT54" s="24"/>
      <c r="IU54">
        <v>8520</v>
      </c>
      <c r="IV54">
        <v>8646</v>
      </c>
      <c r="IW54">
        <v>8644</v>
      </c>
      <c r="IX54">
        <v>2106239</v>
      </c>
      <c r="IY54">
        <v>203</v>
      </c>
      <c r="JA54" s="24"/>
      <c r="JB54">
        <v>109500000</v>
      </c>
      <c r="JC54">
        <v>112399999</v>
      </c>
      <c r="JD54">
        <v>110989936</v>
      </c>
      <c r="JE54">
        <v>72</v>
      </c>
      <c r="JF54">
        <v>64</v>
      </c>
      <c r="JH54" s="24"/>
      <c r="JI54">
        <v>108100002</v>
      </c>
      <c r="JJ54">
        <v>114899999</v>
      </c>
      <c r="JK54">
        <v>111249656</v>
      </c>
      <c r="JL54">
        <v>40</v>
      </c>
      <c r="JM54">
        <v>31</v>
      </c>
      <c r="JO54" s="24"/>
      <c r="JP54">
        <v>73</v>
      </c>
      <c r="JQ54">
        <v>77</v>
      </c>
      <c r="JR54">
        <v>76</v>
      </c>
      <c r="JS54">
        <v>230492541</v>
      </c>
      <c r="JT54">
        <v>157</v>
      </c>
      <c r="JV54" s="24"/>
      <c r="JW54">
        <v>95</v>
      </c>
      <c r="JX54">
        <v>97</v>
      </c>
      <c r="JY54">
        <v>96</v>
      </c>
      <c r="JZ54">
        <v>195859367</v>
      </c>
      <c r="KA54">
        <v>138</v>
      </c>
      <c r="KC54" s="24"/>
      <c r="KD54">
        <v>18</v>
      </c>
      <c r="KE54">
        <v>19</v>
      </c>
      <c r="KF54">
        <v>19</v>
      </c>
      <c r="KG54">
        <v>84201739</v>
      </c>
      <c r="KH54">
        <v>372</v>
      </c>
      <c r="KJ54" s="24"/>
      <c r="KK54">
        <v>97</v>
      </c>
      <c r="KL54">
        <v>115</v>
      </c>
      <c r="KM54">
        <v>104</v>
      </c>
      <c r="KN54">
        <v>178683333</v>
      </c>
      <c r="KO54">
        <v>212</v>
      </c>
      <c r="KQ54" s="24"/>
      <c r="KR54">
        <v>94001</v>
      </c>
      <c r="KS54">
        <v>98999</v>
      </c>
      <c r="KT54">
        <v>95000</v>
      </c>
      <c r="KU54">
        <v>73070</v>
      </c>
      <c r="KV54">
        <v>803</v>
      </c>
      <c r="KX54" s="24"/>
      <c r="KY54">
        <v>518</v>
      </c>
      <c r="KZ54">
        <v>531</v>
      </c>
      <c r="LA54">
        <v>529</v>
      </c>
      <c r="LB54">
        <v>19628422</v>
      </c>
      <c r="LC54">
        <v>244</v>
      </c>
      <c r="LE54" s="24"/>
      <c r="LF54">
        <v>197100</v>
      </c>
      <c r="LG54">
        <v>205000</v>
      </c>
      <c r="LH54">
        <v>198002</v>
      </c>
      <c r="LI54">
        <v>163214</v>
      </c>
      <c r="LJ54">
        <v>1123</v>
      </c>
      <c r="LL54" s="24"/>
      <c r="LM54">
        <v>77016</v>
      </c>
      <c r="LN54">
        <v>79001</v>
      </c>
      <c r="LO54">
        <v>77347</v>
      </c>
      <c r="LP54">
        <v>404733</v>
      </c>
      <c r="LQ54">
        <v>1665</v>
      </c>
      <c r="LS54" s="24"/>
      <c r="LT54">
        <v>237</v>
      </c>
      <c r="LU54">
        <v>267</v>
      </c>
      <c r="LV54">
        <v>243</v>
      </c>
      <c r="LW54">
        <v>171074278</v>
      </c>
      <c r="LX54">
        <v>468</v>
      </c>
      <c r="LZ54" s="24"/>
      <c r="MA54">
        <v>73510</v>
      </c>
      <c r="MB54">
        <v>74523</v>
      </c>
      <c r="MC54">
        <v>74522</v>
      </c>
      <c r="MD54">
        <v>1005725</v>
      </c>
      <c r="ME54">
        <v>98</v>
      </c>
    </row>
    <row r="55" spans="2:343" x14ac:dyDescent="0.25">
      <c r="B55" s="24"/>
      <c r="C55">
        <v>2</v>
      </c>
      <c r="D55">
        <v>2</v>
      </c>
      <c r="E55">
        <v>2</v>
      </c>
      <c r="F55">
        <v>48834484623</v>
      </c>
      <c r="G55">
        <v>4477</v>
      </c>
      <c r="I55" s="24"/>
      <c r="J55">
        <v>4</v>
      </c>
      <c r="K55">
        <v>4</v>
      </c>
      <c r="L55">
        <v>4</v>
      </c>
      <c r="M55">
        <v>12370505439</v>
      </c>
      <c r="N55">
        <v>3223</v>
      </c>
      <c r="P55" s="24"/>
      <c r="Q55">
        <v>28</v>
      </c>
      <c r="R55">
        <v>29</v>
      </c>
      <c r="S55">
        <v>28</v>
      </c>
      <c r="T55">
        <v>3411386095</v>
      </c>
      <c r="U55">
        <v>2763</v>
      </c>
      <c r="W55" s="24"/>
      <c r="X55">
        <v>63</v>
      </c>
      <c r="Y55">
        <v>65</v>
      </c>
      <c r="Z55">
        <v>65</v>
      </c>
      <c r="AA55">
        <v>541553634</v>
      </c>
      <c r="AB55">
        <v>2129</v>
      </c>
      <c r="AD55" s="24"/>
      <c r="AE55">
        <v>540</v>
      </c>
      <c r="AF55">
        <v>559</v>
      </c>
      <c r="AG55">
        <v>557</v>
      </c>
      <c r="AH55">
        <v>128202454</v>
      </c>
      <c r="AI55">
        <v>2272</v>
      </c>
      <c r="AK55" s="24"/>
      <c r="AL55">
        <v>990</v>
      </c>
      <c r="AM55">
        <v>1018</v>
      </c>
      <c r="AN55">
        <v>1014</v>
      </c>
      <c r="AO55">
        <v>53135012</v>
      </c>
      <c r="AP55">
        <v>1760</v>
      </c>
      <c r="AR55" s="24"/>
      <c r="AS55">
        <v>3005</v>
      </c>
      <c r="AT55">
        <v>3105</v>
      </c>
      <c r="AU55">
        <v>3029</v>
      </c>
      <c r="AV55">
        <v>23519417</v>
      </c>
      <c r="AW55">
        <v>1762</v>
      </c>
      <c r="AY55" s="24"/>
      <c r="AZ55">
        <v>334000003</v>
      </c>
      <c r="BA55">
        <v>341399775</v>
      </c>
      <c r="BB55">
        <v>339990000</v>
      </c>
      <c r="BC55">
        <v>1825</v>
      </c>
      <c r="BD55">
        <v>1312</v>
      </c>
      <c r="BF55" s="24"/>
      <c r="BG55">
        <v>22300</v>
      </c>
      <c r="BH55">
        <v>22500</v>
      </c>
      <c r="BI55">
        <v>22312</v>
      </c>
      <c r="BJ55">
        <v>3978889</v>
      </c>
      <c r="BK55">
        <v>242</v>
      </c>
      <c r="BM55" s="24"/>
      <c r="BN55">
        <v>7088071</v>
      </c>
      <c r="BO55">
        <v>7092000</v>
      </c>
      <c r="BP55">
        <v>7089055</v>
      </c>
      <c r="BQ55">
        <v>11120</v>
      </c>
      <c r="BR55">
        <v>376</v>
      </c>
      <c r="BT55" s="24"/>
      <c r="BU55">
        <v>1617</v>
      </c>
      <c r="BV55">
        <v>1647</v>
      </c>
      <c r="BW55">
        <v>1619</v>
      </c>
      <c r="BX55">
        <v>24082072</v>
      </c>
      <c r="BY55">
        <v>284</v>
      </c>
      <c r="CA55" s="24"/>
      <c r="CB55">
        <v>253</v>
      </c>
      <c r="CC55">
        <v>256</v>
      </c>
      <c r="CD55">
        <v>253</v>
      </c>
      <c r="CE55">
        <v>101681673</v>
      </c>
      <c r="CF55">
        <v>352</v>
      </c>
      <c r="CH55" s="24"/>
      <c r="CI55">
        <v>27332</v>
      </c>
      <c r="CJ55">
        <v>27332</v>
      </c>
      <c r="CK55">
        <v>27332</v>
      </c>
      <c r="CL55">
        <v>949171</v>
      </c>
      <c r="CM55">
        <v>175</v>
      </c>
      <c r="CO55" s="24"/>
      <c r="CP55">
        <v>7761</v>
      </c>
      <c r="CQ55">
        <v>8199</v>
      </c>
      <c r="CR55">
        <v>8139</v>
      </c>
      <c r="CS55">
        <v>1228059</v>
      </c>
      <c r="CT55">
        <v>438</v>
      </c>
      <c r="CV55" s="24"/>
      <c r="CW55">
        <v>1399999</v>
      </c>
      <c r="CX55">
        <v>1496966</v>
      </c>
      <c r="CY55">
        <v>1410039</v>
      </c>
      <c r="CZ55">
        <v>11099</v>
      </c>
      <c r="DA55">
        <v>60</v>
      </c>
      <c r="DC55" s="24"/>
      <c r="DD55">
        <v>300</v>
      </c>
      <c r="DE55">
        <v>349</v>
      </c>
      <c r="DF55">
        <v>345</v>
      </c>
      <c r="DG55">
        <v>60749821</v>
      </c>
      <c r="DH55">
        <v>216</v>
      </c>
      <c r="DJ55" s="24"/>
      <c r="DK55">
        <v>40004001</v>
      </c>
      <c r="DL55">
        <v>40005001</v>
      </c>
      <c r="DM55">
        <v>40004001</v>
      </c>
      <c r="DN55">
        <v>332</v>
      </c>
      <c r="DO55">
        <v>106</v>
      </c>
      <c r="DQ55" s="24"/>
      <c r="DR55">
        <v>950010</v>
      </c>
      <c r="DS55">
        <v>1096898</v>
      </c>
      <c r="DT55">
        <v>971001</v>
      </c>
      <c r="DU55">
        <v>9395</v>
      </c>
      <c r="DV55">
        <v>344</v>
      </c>
      <c r="DX55" s="24"/>
      <c r="DY55">
        <v>18551001</v>
      </c>
      <c r="DZ55">
        <v>19999999</v>
      </c>
      <c r="EA55">
        <v>18553044</v>
      </c>
      <c r="EB55">
        <v>774</v>
      </c>
      <c r="EC55">
        <v>164</v>
      </c>
      <c r="EE55" s="24"/>
      <c r="EF55">
        <v>188</v>
      </c>
      <c r="EG55">
        <v>191</v>
      </c>
      <c r="EH55">
        <v>189</v>
      </c>
      <c r="EI55">
        <v>137384512</v>
      </c>
      <c r="EJ55">
        <v>279</v>
      </c>
      <c r="EL55" s="24"/>
      <c r="EM55">
        <v>59065</v>
      </c>
      <c r="EN55">
        <v>61014</v>
      </c>
      <c r="EO55">
        <v>61004</v>
      </c>
      <c r="EP55">
        <v>89274</v>
      </c>
      <c r="EQ55">
        <v>861</v>
      </c>
      <c r="ES55" s="24"/>
      <c r="ET55">
        <v>283</v>
      </c>
      <c r="EU55">
        <v>294</v>
      </c>
      <c r="EV55">
        <v>291</v>
      </c>
      <c r="EW55">
        <v>47276456</v>
      </c>
      <c r="EX55">
        <v>756</v>
      </c>
      <c r="EZ55" s="24"/>
      <c r="FA55">
        <v>4108300</v>
      </c>
      <c r="FB55">
        <v>5207801</v>
      </c>
      <c r="FC55">
        <v>4108302</v>
      </c>
      <c r="FD55">
        <v>1082</v>
      </c>
      <c r="FE55">
        <v>24</v>
      </c>
      <c r="FG55" s="24"/>
      <c r="FH55">
        <v>9231</v>
      </c>
      <c r="FI55">
        <v>9500</v>
      </c>
      <c r="FJ55">
        <v>9497</v>
      </c>
      <c r="FK55">
        <v>2989836</v>
      </c>
      <c r="FL55">
        <v>621</v>
      </c>
      <c r="FN55" s="24"/>
      <c r="FO55">
        <v>18298</v>
      </c>
      <c r="FP55">
        <v>18499</v>
      </c>
      <c r="FQ55">
        <v>18499</v>
      </c>
      <c r="FR55">
        <v>87939</v>
      </c>
      <c r="FS55">
        <v>83</v>
      </c>
      <c r="FU55" s="24"/>
      <c r="FV55">
        <v>27764</v>
      </c>
      <c r="FW55">
        <v>27805</v>
      </c>
      <c r="FX55">
        <v>27767</v>
      </c>
      <c r="FY55">
        <v>365537</v>
      </c>
      <c r="FZ55">
        <v>1678</v>
      </c>
      <c r="GB55" s="24"/>
      <c r="GC55">
        <v>106600000</v>
      </c>
      <c r="GD55">
        <v>109600000</v>
      </c>
      <c r="GE55">
        <v>108000001</v>
      </c>
      <c r="GF55">
        <v>157</v>
      </c>
      <c r="GG55">
        <v>107</v>
      </c>
      <c r="GI55" s="24"/>
      <c r="GJ55">
        <v>19201002</v>
      </c>
      <c r="GK55">
        <v>20499999</v>
      </c>
      <c r="GL55">
        <v>19500000</v>
      </c>
      <c r="GM55">
        <v>892</v>
      </c>
      <c r="GN55">
        <v>170</v>
      </c>
      <c r="GP55" s="24"/>
      <c r="GQ55">
        <v>104</v>
      </c>
      <c r="GR55">
        <v>107</v>
      </c>
      <c r="GS55">
        <v>105</v>
      </c>
      <c r="GT55">
        <v>162455841</v>
      </c>
      <c r="GU55">
        <v>181</v>
      </c>
      <c r="GW55" s="24"/>
      <c r="GX55">
        <v>237</v>
      </c>
      <c r="GY55">
        <v>273</v>
      </c>
      <c r="GZ55">
        <v>243</v>
      </c>
      <c r="HA55">
        <v>85199141</v>
      </c>
      <c r="HB55">
        <v>291</v>
      </c>
      <c r="HD55" s="24"/>
      <c r="HE55">
        <v>4948</v>
      </c>
      <c r="HF55">
        <v>4953</v>
      </c>
      <c r="HG55">
        <v>4948</v>
      </c>
      <c r="HH55">
        <v>16988508</v>
      </c>
      <c r="HI55">
        <v>331</v>
      </c>
      <c r="HK55" s="24"/>
      <c r="HL55">
        <v>105003000</v>
      </c>
      <c r="HM55">
        <v>110999998</v>
      </c>
      <c r="HN55">
        <v>108000000</v>
      </c>
      <c r="HO55">
        <v>161</v>
      </c>
      <c r="HP55">
        <v>90</v>
      </c>
      <c r="HR55" s="24"/>
      <c r="HS55">
        <v>10503</v>
      </c>
      <c r="HT55">
        <v>11377</v>
      </c>
      <c r="HU55">
        <v>11001</v>
      </c>
      <c r="HV55">
        <v>1029508</v>
      </c>
      <c r="HW55">
        <v>265</v>
      </c>
      <c r="HY55" s="24"/>
      <c r="HZ55">
        <v>9698</v>
      </c>
      <c r="IA55">
        <v>10500</v>
      </c>
      <c r="IB55">
        <v>10300</v>
      </c>
      <c r="IC55">
        <v>3685668</v>
      </c>
      <c r="ID55">
        <v>758</v>
      </c>
      <c r="IF55" s="24"/>
      <c r="IG55">
        <v>2884</v>
      </c>
      <c r="IH55">
        <v>2920</v>
      </c>
      <c r="II55">
        <v>2887</v>
      </c>
      <c r="IJ55">
        <v>2269542</v>
      </c>
      <c r="IK55">
        <v>181</v>
      </c>
      <c r="IM55" s="24"/>
      <c r="IN55">
        <v>105402004</v>
      </c>
      <c r="IO55">
        <v>113250000</v>
      </c>
      <c r="IP55">
        <v>109999999</v>
      </c>
      <c r="IQ55">
        <v>116</v>
      </c>
      <c r="IR55">
        <v>83</v>
      </c>
      <c r="IT55" s="24"/>
      <c r="IU55">
        <v>8294</v>
      </c>
      <c r="IV55">
        <v>8407</v>
      </c>
      <c r="IW55">
        <v>8311</v>
      </c>
      <c r="IX55">
        <v>1909284</v>
      </c>
      <c r="IY55">
        <v>210</v>
      </c>
      <c r="JA55" s="24"/>
      <c r="JB55">
        <v>106500000</v>
      </c>
      <c r="JC55">
        <v>110900400</v>
      </c>
      <c r="JD55">
        <v>107999999</v>
      </c>
      <c r="JE55">
        <v>128</v>
      </c>
      <c r="JF55">
        <v>90</v>
      </c>
      <c r="JH55" s="24"/>
      <c r="JI55">
        <v>106912856</v>
      </c>
      <c r="JJ55">
        <v>114698999</v>
      </c>
      <c r="JK55">
        <v>109000200</v>
      </c>
      <c r="JL55">
        <v>109</v>
      </c>
      <c r="JM55">
        <v>68</v>
      </c>
      <c r="JO55" s="24"/>
      <c r="JP55">
        <v>69</v>
      </c>
      <c r="JQ55">
        <v>77</v>
      </c>
      <c r="JR55">
        <v>70</v>
      </c>
      <c r="JS55">
        <v>138438003</v>
      </c>
      <c r="JT55">
        <v>135</v>
      </c>
      <c r="JV55" s="24"/>
      <c r="JW55">
        <v>99</v>
      </c>
      <c r="JX55">
        <v>116</v>
      </c>
      <c r="JY55">
        <v>99</v>
      </c>
      <c r="JZ55">
        <v>138633859</v>
      </c>
      <c r="KA55">
        <v>160</v>
      </c>
      <c r="KC55" s="24"/>
      <c r="KD55">
        <v>18</v>
      </c>
      <c r="KE55">
        <v>18</v>
      </c>
      <c r="KF55">
        <v>18</v>
      </c>
      <c r="KG55">
        <v>82477294</v>
      </c>
      <c r="KH55">
        <v>375</v>
      </c>
      <c r="KJ55" s="24"/>
      <c r="KK55">
        <v>111</v>
      </c>
      <c r="KL55">
        <v>115</v>
      </c>
      <c r="KM55">
        <v>115</v>
      </c>
      <c r="KN55">
        <v>134143200</v>
      </c>
      <c r="KO55">
        <v>171</v>
      </c>
      <c r="KQ55" s="24"/>
      <c r="KR55">
        <v>94754</v>
      </c>
      <c r="KS55">
        <v>97898</v>
      </c>
      <c r="KT55">
        <v>94759</v>
      </c>
      <c r="KU55">
        <v>69419</v>
      </c>
      <c r="KV55">
        <v>855</v>
      </c>
      <c r="KX55" s="24"/>
      <c r="KY55">
        <v>552</v>
      </c>
      <c r="KZ55">
        <v>623</v>
      </c>
      <c r="LA55">
        <v>552</v>
      </c>
      <c r="LB55">
        <v>6110319</v>
      </c>
      <c r="LC55">
        <v>214</v>
      </c>
      <c r="LE55" s="24"/>
      <c r="LF55">
        <v>195105</v>
      </c>
      <c r="LG55">
        <v>195230</v>
      </c>
      <c r="LH55">
        <v>195122</v>
      </c>
      <c r="LI55">
        <v>162177</v>
      </c>
      <c r="LJ55">
        <v>1228</v>
      </c>
      <c r="LL55" s="24"/>
      <c r="LM55">
        <v>77351</v>
      </c>
      <c r="LN55">
        <v>78051</v>
      </c>
      <c r="LO55">
        <v>78002</v>
      </c>
      <c r="LP55">
        <v>447498</v>
      </c>
      <c r="LQ55">
        <v>1774</v>
      </c>
      <c r="LS55" s="24"/>
      <c r="LT55">
        <v>232</v>
      </c>
      <c r="LU55">
        <v>244</v>
      </c>
      <c r="LV55">
        <v>239</v>
      </c>
      <c r="LW55">
        <v>137695377</v>
      </c>
      <c r="LX55">
        <v>401</v>
      </c>
      <c r="LZ55" s="24"/>
      <c r="MA55">
        <v>72756</v>
      </c>
      <c r="MB55">
        <v>74970</v>
      </c>
      <c r="MC55">
        <v>74600</v>
      </c>
      <c r="MD55">
        <v>1513735</v>
      </c>
      <c r="ME55">
        <v>151</v>
      </c>
    </row>
    <row r="56" spans="2:343" x14ac:dyDescent="0.25">
      <c r="B56" s="24"/>
      <c r="C56">
        <v>2</v>
      </c>
      <c r="D56">
        <v>2</v>
      </c>
      <c r="E56">
        <v>2</v>
      </c>
      <c r="F56">
        <v>44827441552</v>
      </c>
      <c r="G56">
        <v>3723</v>
      </c>
      <c r="I56" s="24"/>
      <c r="J56">
        <v>4</v>
      </c>
      <c r="K56">
        <v>4</v>
      </c>
      <c r="L56">
        <v>4</v>
      </c>
      <c r="M56">
        <v>7650807323</v>
      </c>
      <c r="N56">
        <v>2558</v>
      </c>
      <c r="P56" s="24"/>
      <c r="Q56">
        <v>28</v>
      </c>
      <c r="R56">
        <v>29</v>
      </c>
      <c r="S56">
        <v>29</v>
      </c>
      <c r="T56">
        <v>2503428892</v>
      </c>
      <c r="U56">
        <v>2336</v>
      </c>
      <c r="W56" s="24"/>
      <c r="X56">
        <v>65</v>
      </c>
      <c r="Y56">
        <v>67</v>
      </c>
      <c r="Z56">
        <v>66</v>
      </c>
      <c r="AA56">
        <v>452187819</v>
      </c>
      <c r="AB56">
        <v>1739</v>
      </c>
      <c r="AD56" s="24"/>
      <c r="AE56">
        <v>540</v>
      </c>
      <c r="AF56">
        <v>553</v>
      </c>
      <c r="AG56">
        <v>547</v>
      </c>
      <c r="AH56">
        <v>98766337</v>
      </c>
      <c r="AI56">
        <v>1930</v>
      </c>
      <c r="AK56" s="24"/>
      <c r="AL56">
        <v>985</v>
      </c>
      <c r="AM56">
        <v>1019</v>
      </c>
      <c r="AN56">
        <v>999</v>
      </c>
      <c r="AO56">
        <v>36585005</v>
      </c>
      <c r="AP56">
        <v>1584</v>
      </c>
      <c r="AR56" s="24"/>
      <c r="AS56">
        <v>2996</v>
      </c>
      <c r="AT56">
        <v>3095</v>
      </c>
      <c r="AU56">
        <v>3002</v>
      </c>
      <c r="AV56">
        <v>16369749</v>
      </c>
      <c r="AW56">
        <v>1555</v>
      </c>
      <c r="AY56" s="24"/>
      <c r="AZ56">
        <v>334307000</v>
      </c>
      <c r="BA56">
        <v>341980000</v>
      </c>
      <c r="BB56">
        <v>341000000</v>
      </c>
      <c r="BC56">
        <v>1854</v>
      </c>
      <c r="BD56">
        <v>1335</v>
      </c>
      <c r="BF56" s="24"/>
      <c r="BG56">
        <v>23150</v>
      </c>
      <c r="BH56">
        <v>23700</v>
      </c>
      <c r="BI56">
        <v>23153</v>
      </c>
      <c r="BJ56">
        <v>1779028</v>
      </c>
      <c r="BK56">
        <v>180</v>
      </c>
      <c r="BM56" s="24"/>
      <c r="BN56">
        <v>6900003</v>
      </c>
      <c r="BO56">
        <v>7089004</v>
      </c>
      <c r="BP56">
        <v>6945995</v>
      </c>
      <c r="BQ56">
        <v>10352</v>
      </c>
      <c r="BR56">
        <v>329</v>
      </c>
      <c r="BT56" s="24"/>
      <c r="BU56">
        <v>1571</v>
      </c>
      <c r="BV56">
        <v>1614</v>
      </c>
      <c r="BW56">
        <v>1601</v>
      </c>
      <c r="BX56">
        <v>28104816</v>
      </c>
      <c r="BY56">
        <v>271</v>
      </c>
      <c r="CA56" s="24"/>
      <c r="CB56">
        <v>260</v>
      </c>
      <c r="CC56">
        <v>260</v>
      </c>
      <c r="CD56">
        <v>260</v>
      </c>
      <c r="CE56">
        <v>67736126</v>
      </c>
      <c r="CF56">
        <v>281</v>
      </c>
      <c r="CH56" s="24"/>
      <c r="CI56">
        <v>27501</v>
      </c>
      <c r="CJ56">
        <v>27997</v>
      </c>
      <c r="CK56">
        <v>27554</v>
      </c>
      <c r="CL56">
        <v>568588</v>
      </c>
      <c r="CM56">
        <v>172</v>
      </c>
      <c r="CO56" s="24"/>
      <c r="CP56">
        <v>8199</v>
      </c>
      <c r="CQ56">
        <v>8468</v>
      </c>
      <c r="CR56">
        <v>8248</v>
      </c>
      <c r="CS56">
        <v>1770120</v>
      </c>
      <c r="CT56">
        <v>462</v>
      </c>
      <c r="CV56" s="24"/>
      <c r="CW56">
        <v>1321082</v>
      </c>
      <c r="CX56">
        <v>1387898</v>
      </c>
      <c r="CY56">
        <v>1332018</v>
      </c>
      <c r="CZ56">
        <v>14268</v>
      </c>
      <c r="DA56">
        <v>46</v>
      </c>
      <c r="DC56" s="24"/>
      <c r="DD56">
        <v>295</v>
      </c>
      <c r="DE56">
        <v>335</v>
      </c>
      <c r="DF56">
        <v>310</v>
      </c>
      <c r="DG56">
        <v>68220986</v>
      </c>
      <c r="DH56">
        <v>239</v>
      </c>
      <c r="DJ56" s="24"/>
      <c r="DK56">
        <v>39005009</v>
      </c>
      <c r="DL56">
        <v>39946500</v>
      </c>
      <c r="DM56">
        <v>39018002</v>
      </c>
      <c r="DN56">
        <v>1074</v>
      </c>
      <c r="DO56">
        <v>122</v>
      </c>
      <c r="DQ56" s="24"/>
      <c r="DR56">
        <v>920008</v>
      </c>
      <c r="DS56">
        <v>1096443</v>
      </c>
      <c r="DT56">
        <v>940000</v>
      </c>
      <c r="DU56">
        <v>10411</v>
      </c>
      <c r="DV56">
        <v>311</v>
      </c>
      <c r="DX56" s="24"/>
      <c r="DY56">
        <v>18900001</v>
      </c>
      <c r="DZ56">
        <v>19999999</v>
      </c>
      <c r="EA56">
        <v>18901003</v>
      </c>
      <c r="EB56">
        <v>481</v>
      </c>
      <c r="EC56">
        <v>124</v>
      </c>
      <c r="EE56" s="24"/>
      <c r="EF56">
        <v>183</v>
      </c>
      <c r="EG56">
        <v>187</v>
      </c>
      <c r="EH56">
        <v>184</v>
      </c>
      <c r="EI56">
        <v>123638630</v>
      </c>
      <c r="EJ56">
        <v>214</v>
      </c>
      <c r="EL56" s="24"/>
      <c r="EM56">
        <v>55044</v>
      </c>
      <c r="EN56">
        <v>60996</v>
      </c>
      <c r="EO56">
        <v>55990</v>
      </c>
      <c r="EP56">
        <v>78743</v>
      </c>
      <c r="EQ56">
        <v>778</v>
      </c>
      <c r="ES56" s="24"/>
      <c r="ET56">
        <v>280</v>
      </c>
      <c r="EU56">
        <v>290</v>
      </c>
      <c r="EV56">
        <v>289</v>
      </c>
      <c r="EW56">
        <v>43892476</v>
      </c>
      <c r="EX56">
        <v>627</v>
      </c>
      <c r="EZ56" s="24"/>
      <c r="FA56">
        <v>4514300</v>
      </c>
      <c r="FB56">
        <v>4997999</v>
      </c>
      <c r="FC56">
        <v>4614000</v>
      </c>
      <c r="FD56">
        <v>1926</v>
      </c>
      <c r="FE56">
        <v>23</v>
      </c>
      <c r="FG56" s="24"/>
      <c r="FH56">
        <v>9599</v>
      </c>
      <c r="FI56">
        <v>9898</v>
      </c>
      <c r="FJ56">
        <v>9800</v>
      </c>
      <c r="FK56">
        <v>2726644</v>
      </c>
      <c r="FL56">
        <v>557</v>
      </c>
      <c r="FN56" s="24"/>
      <c r="FO56">
        <v>18298</v>
      </c>
      <c r="FP56">
        <v>18298</v>
      </c>
      <c r="FQ56">
        <v>18298</v>
      </c>
      <c r="FR56">
        <v>130545</v>
      </c>
      <c r="FS56">
        <v>80</v>
      </c>
      <c r="FU56" s="24"/>
      <c r="FV56">
        <v>27865</v>
      </c>
      <c r="FW56">
        <v>29643</v>
      </c>
      <c r="FX56">
        <v>29604</v>
      </c>
      <c r="FY56">
        <v>455998</v>
      </c>
      <c r="FZ56">
        <v>1577</v>
      </c>
      <c r="GB56" s="24"/>
      <c r="GC56">
        <v>100550024</v>
      </c>
      <c r="GD56">
        <v>104749999</v>
      </c>
      <c r="GE56">
        <v>102500002</v>
      </c>
      <c r="GF56">
        <v>132</v>
      </c>
      <c r="GG56">
        <v>79</v>
      </c>
      <c r="GI56" s="24"/>
      <c r="GJ56">
        <v>21501001</v>
      </c>
      <c r="GK56">
        <v>23670000</v>
      </c>
      <c r="GL56">
        <v>21600000</v>
      </c>
      <c r="GM56">
        <v>848</v>
      </c>
      <c r="GN56">
        <v>147</v>
      </c>
      <c r="GP56" s="24"/>
      <c r="GQ56">
        <v>103</v>
      </c>
      <c r="GR56">
        <v>106</v>
      </c>
      <c r="GS56">
        <v>103</v>
      </c>
      <c r="GT56">
        <v>159290750</v>
      </c>
      <c r="GU56">
        <v>159</v>
      </c>
      <c r="GW56" s="24"/>
      <c r="GX56">
        <v>275</v>
      </c>
      <c r="GY56">
        <v>289</v>
      </c>
      <c r="GZ56">
        <v>280</v>
      </c>
      <c r="HA56">
        <v>36562015</v>
      </c>
      <c r="HB56">
        <v>170</v>
      </c>
      <c r="HD56" s="24"/>
      <c r="HE56">
        <v>4865</v>
      </c>
      <c r="HF56">
        <v>4958</v>
      </c>
      <c r="HG56">
        <v>4948</v>
      </c>
      <c r="HH56">
        <v>13235186</v>
      </c>
      <c r="HI56">
        <v>271</v>
      </c>
      <c r="HK56" s="24"/>
      <c r="HL56">
        <v>100021000</v>
      </c>
      <c r="HM56">
        <v>109999800</v>
      </c>
      <c r="HN56">
        <v>106338251</v>
      </c>
      <c r="HO56">
        <v>60</v>
      </c>
      <c r="HP56">
        <v>45</v>
      </c>
      <c r="HR56" s="24"/>
      <c r="HS56">
        <v>10999</v>
      </c>
      <c r="HT56">
        <v>11352</v>
      </c>
      <c r="HU56">
        <v>11199</v>
      </c>
      <c r="HV56">
        <v>829260</v>
      </c>
      <c r="HW56">
        <v>153</v>
      </c>
      <c r="HY56" s="24"/>
      <c r="HZ56">
        <v>10000</v>
      </c>
      <c r="IA56">
        <v>10496</v>
      </c>
      <c r="IB56">
        <v>10483</v>
      </c>
      <c r="IC56">
        <v>2318335</v>
      </c>
      <c r="ID56">
        <v>653</v>
      </c>
      <c r="IF56" s="24"/>
      <c r="IG56">
        <v>2867</v>
      </c>
      <c r="IH56">
        <v>2867</v>
      </c>
      <c r="II56">
        <v>2867</v>
      </c>
      <c r="IJ56">
        <v>1444456</v>
      </c>
      <c r="IK56">
        <v>137</v>
      </c>
      <c r="IM56" s="24"/>
      <c r="IN56">
        <v>105405200</v>
      </c>
      <c r="IO56">
        <v>108998500</v>
      </c>
      <c r="IP56">
        <v>107726480</v>
      </c>
      <c r="IQ56">
        <v>89</v>
      </c>
      <c r="IR56">
        <v>65</v>
      </c>
      <c r="IT56" s="24"/>
      <c r="IU56">
        <v>8052</v>
      </c>
      <c r="IV56">
        <v>8189</v>
      </c>
      <c r="IW56">
        <v>8189</v>
      </c>
      <c r="IX56">
        <v>1532414</v>
      </c>
      <c r="IY56">
        <v>165</v>
      </c>
      <c r="JA56" s="24"/>
      <c r="JB56">
        <v>101400000</v>
      </c>
      <c r="JC56">
        <v>107699798</v>
      </c>
      <c r="JD56">
        <v>106899800</v>
      </c>
      <c r="JE56">
        <v>153</v>
      </c>
      <c r="JF56">
        <v>89</v>
      </c>
      <c r="JH56" s="24"/>
      <c r="JI56">
        <v>106121001</v>
      </c>
      <c r="JJ56">
        <v>114696400</v>
      </c>
      <c r="JK56">
        <v>109682323</v>
      </c>
      <c r="JL56">
        <v>42</v>
      </c>
      <c r="JM56">
        <v>28</v>
      </c>
      <c r="JO56" s="24"/>
      <c r="JP56">
        <v>72</v>
      </c>
      <c r="JQ56">
        <v>75</v>
      </c>
      <c r="JR56">
        <v>75</v>
      </c>
      <c r="JS56">
        <v>125333407</v>
      </c>
      <c r="JT56">
        <v>117</v>
      </c>
      <c r="JV56" s="24"/>
      <c r="JW56">
        <v>100</v>
      </c>
      <c r="JX56">
        <v>104</v>
      </c>
      <c r="JY56">
        <v>101</v>
      </c>
      <c r="JZ56">
        <v>125306477</v>
      </c>
      <c r="KA56">
        <v>141</v>
      </c>
      <c r="KC56" s="24"/>
      <c r="KD56">
        <v>18</v>
      </c>
      <c r="KE56">
        <v>18</v>
      </c>
      <c r="KF56">
        <v>18</v>
      </c>
      <c r="KG56">
        <v>52364603</v>
      </c>
      <c r="KH56">
        <v>310</v>
      </c>
      <c r="KJ56" s="24"/>
      <c r="KK56">
        <v>109</v>
      </c>
      <c r="KL56">
        <v>114</v>
      </c>
      <c r="KM56">
        <v>113</v>
      </c>
      <c r="KN56">
        <v>148715589</v>
      </c>
      <c r="KO56">
        <v>139</v>
      </c>
      <c r="KQ56" s="24"/>
      <c r="KR56">
        <v>93000</v>
      </c>
      <c r="KS56">
        <v>95004</v>
      </c>
      <c r="KT56">
        <v>95000</v>
      </c>
      <c r="KU56">
        <v>96307</v>
      </c>
      <c r="KV56">
        <v>712</v>
      </c>
      <c r="KX56" s="24"/>
      <c r="KY56">
        <v>551</v>
      </c>
      <c r="KZ56">
        <v>553</v>
      </c>
      <c r="LA56">
        <v>553</v>
      </c>
      <c r="LB56">
        <v>7209215</v>
      </c>
      <c r="LC56">
        <v>213</v>
      </c>
      <c r="LE56" s="24"/>
      <c r="LF56">
        <v>195250</v>
      </c>
      <c r="LG56">
        <v>198999</v>
      </c>
      <c r="LH56">
        <v>195260</v>
      </c>
      <c r="LI56">
        <v>110472</v>
      </c>
      <c r="LJ56">
        <v>1096</v>
      </c>
      <c r="LL56" s="24"/>
      <c r="LM56">
        <v>79017</v>
      </c>
      <c r="LN56">
        <v>80557</v>
      </c>
      <c r="LO56">
        <v>80053</v>
      </c>
      <c r="LP56">
        <v>449805</v>
      </c>
      <c r="LQ56">
        <v>1591</v>
      </c>
      <c r="LS56" s="24"/>
      <c r="LT56">
        <v>243</v>
      </c>
      <c r="LU56">
        <v>245</v>
      </c>
      <c r="LV56">
        <v>244</v>
      </c>
      <c r="LW56">
        <v>122899281</v>
      </c>
      <c r="LX56">
        <v>380</v>
      </c>
      <c r="LZ56" s="24"/>
      <c r="MA56">
        <v>72371</v>
      </c>
      <c r="MB56">
        <v>74888</v>
      </c>
      <c r="MC56">
        <v>74747</v>
      </c>
      <c r="MD56">
        <v>745576</v>
      </c>
      <c r="ME56">
        <v>80</v>
      </c>
    </row>
    <row r="57" spans="2:343" x14ac:dyDescent="0.25">
      <c r="B57" s="24"/>
      <c r="C57">
        <v>2</v>
      </c>
      <c r="D57">
        <v>2</v>
      </c>
      <c r="E57">
        <v>2</v>
      </c>
      <c r="F57">
        <v>42656196337</v>
      </c>
      <c r="G57">
        <v>3360</v>
      </c>
      <c r="I57" s="24"/>
      <c r="J57">
        <v>4</v>
      </c>
      <c r="K57">
        <v>4</v>
      </c>
      <c r="L57">
        <v>4</v>
      </c>
      <c r="M57">
        <v>6268422645</v>
      </c>
      <c r="N57">
        <v>2426</v>
      </c>
      <c r="P57" s="24"/>
      <c r="Q57">
        <v>29</v>
      </c>
      <c r="R57">
        <v>29</v>
      </c>
      <c r="S57">
        <v>29</v>
      </c>
      <c r="T57">
        <v>2687733297</v>
      </c>
      <c r="U57">
        <v>2275</v>
      </c>
      <c r="W57" s="24"/>
      <c r="X57">
        <v>65</v>
      </c>
      <c r="Y57">
        <v>66</v>
      </c>
      <c r="Z57">
        <v>66</v>
      </c>
      <c r="AA57">
        <v>395918400</v>
      </c>
      <c r="AB57">
        <v>1678</v>
      </c>
      <c r="AD57" s="24"/>
      <c r="AE57">
        <v>541</v>
      </c>
      <c r="AF57">
        <v>556</v>
      </c>
      <c r="AG57">
        <v>553</v>
      </c>
      <c r="AH57">
        <v>95493026</v>
      </c>
      <c r="AI57">
        <v>1768</v>
      </c>
      <c r="AK57" s="24"/>
      <c r="AL57">
        <v>985</v>
      </c>
      <c r="AM57">
        <v>1013</v>
      </c>
      <c r="AN57">
        <v>1010</v>
      </c>
      <c r="AO57">
        <v>39242074</v>
      </c>
      <c r="AP57">
        <v>1414</v>
      </c>
      <c r="AR57" s="24"/>
      <c r="AS57">
        <v>3011</v>
      </c>
      <c r="AT57">
        <v>3089</v>
      </c>
      <c r="AU57">
        <v>3013</v>
      </c>
      <c r="AV57">
        <v>17670545</v>
      </c>
      <c r="AW57">
        <v>1420</v>
      </c>
      <c r="AY57" s="24"/>
      <c r="AZ57">
        <v>334483000</v>
      </c>
      <c r="BA57">
        <v>343000000</v>
      </c>
      <c r="BB57">
        <v>341000000</v>
      </c>
      <c r="BC57">
        <v>1826</v>
      </c>
      <c r="BD57">
        <v>1268</v>
      </c>
      <c r="BF57" s="24"/>
      <c r="BG57">
        <v>23009</v>
      </c>
      <c r="BH57">
        <v>23698</v>
      </c>
      <c r="BI57">
        <v>23168</v>
      </c>
      <c r="BJ57">
        <v>3490411</v>
      </c>
      <c r="BK57">
        <v>219</v>
      </c>
      <c r="BM57" s="24"/>
      <c r="BN57">
        <v>6905506</v>
      </c>
      <c r="BO57">
        <v>7010000</v>
      </c>
      <c r="BP57">
        <v>6906797</v>
      </c>
      <c r="BQ57">
        <v>10727</v>
      </c>
      <c r="BR57">
        <v>358</v>
      </c>
      <c r="BT57" s="24"/>
      <c r="BU57">
        <v>1533</v>
      </c>
      <c r="BV57">
        <v>1609</v>
      </c>
      <c r="BW57">
        <v>1553</v>
      </c>
      <c r="BX57">
        <v>36967788</v>
      </c>
      <c r="BY57">
        <v>342</v>
      </c>
      <c r="CA57" s="24"/>
      <c r="CB57">
        <v>260</v>
      </c>
      <c r="CC57">
        <v>273</v>
      </c>
      <c r="CD57">
        <v>260</v>
      </c>
      <c r="CE57">
        <v>110387253</v>
      </c>
      <c r="CF57">
        <v>263</v>
      </c>
      <c r="CH57" s="24"/>
      <c r="CI57">
        <v>27383</v>
      </c>
      <c r="CJ57">
        <v>28500</v>
      </c>
      <c r="CK57">
        <v>27562</v>
      </c>
      <c r="CL57">
        <v>3541291</v>
      </c>
      <c r="CM57">
        <v>219</v>
      </c>
      <c r="CO57" s="24"/>
      <c r="CP57">
        <v>8388</v>
      </c>
      <c r="CQ57">
        <v>8949</v>
      </c>
      <c r="CR57">
        <v>8500</v>
      </c>
      <c r="CS57">
        <v>1974010</v>
      </c>
      <c r="CT57">
        <v>566</v>
      </c>
      <c r="CV57" s="24"/>
      <c r="CW57">
        <v>1376000</v>
      </c>
      <c r="CX57">
        <v>1377999</v>
      </c>
      <c r="CY57">
        <v>1376999</v>
      </c>
      <c r="CZ57">
        <v>9005</v>
      </c>
      <c r="DA57">
        <v>45</v>
      </c>
      <c r="DC57" s="24"/>
      <c r="DD57">
        <v>310</v>
      </c>
      <c r="DE57">
        <v>322</v>
      </c>
      <c r="DF57">
        <v>319</v>
      </c>
      <c r="DG57">
        <v>34033968</v>
      </c>
      <c r="DH57">
        <v>145</v>
      </c>
      <c r="DJ57" s="24"/>
      <c r="DK57">
        <v>38000000</v>
      </c>
      <c r="DL57">
        <v>38999999</v>
      </c>
      <c r="DM57">
        <v>38996000</v>
      </c>
      <c r="DN57">
        <v>359</v>
      </c>
      <c r="DO57">
        <v>96</v>
      </c>
      <c r="DQ57" s="24"/>
      <c r="DR57">
        <v>900101</v>
      </c>
      <c r="DS57">
        <v>979994</v>
      </c>
      <c r="DT57">
        <v>930008</v>
      </c>
      <c r="DU57">
        <v>7322</v>
      </c>
      <c r="DV57">
        <v>234</v>
      </c>
      <c r="DX57" s="24"/>
      <c r="DY57">
        <v>19000100</v>
      </c>
      <c r="DZ57">
        <v>19999999</v>
      </c>
      <c r="EA57">
        <v>19002105</v>
      </c>
      <c r="EB57">
        <v>656</v>
      </c>
      <c r="EC57">
        <v>130</v>
      </c>
      <c r="EE57" s="24"/>
      <c r="EF57">
        <v>183</v>
      </c>
      <c r="EG57">
        <v>190</v>
      </c>
      <c r="EH57">
        <v>190</v>
      </c>
      <c r="EI57">
        <v>83436393</v>
      </c>
      <c r="EJ57">
        <v>187</v>
      </c>
      <c r="EL57" s="24"/>
      <c r="EM57">
        <v>57009</v>
      </c>
      <c r="EN57">
        <v>62649</v>
      </c>
      <c r="EO57">
        <v>59992</v>
      </c>
      <c r="EP57">
        <v>88069</v>
      </c>
      <c r="EQ57">
        <v>815</v>
      </c>
      <c r="ES57" s="24"/>
      <c r="ET57">
        <v>277</v>
      </c>
      <c r="EU57">
        <v>289</v>
      </c>
      <c r="EV57">
        <v>287</v>
      </c>
      <c r="EW57">
        <v>49438037</v>
      </c>
      <c r="EX57">
        <v>680</v>
      </c>
      <c r="EZ57" s="24"/>
      <c r="FA57">
        <v>4392013</v>
      </c>
      <c r="FB57">
        <v>4649996</v>
      </c>
      <c r="FC57">
        <v>4498999</v>
      </c>
      <c r="FD57">
        <v>986</v>
      </c>
      <c r="FE57">
        <v>33</v>
      </c>
      <c r="FG57" s="24"/>
      <c r="FH57">
        <v>9510</v>
      </c>
      <c r="FI57">
        <v>9988</v>
      </c>
      <c r="FJ57">
        <v>9551</v>
      </c>
      <c r="FK57">
        <v>2523436</v>
      </c>
      <c r="FL57">
        <v>550</v>
      </c>
      <c r="FN57" s="24"/>
      <c r="FO57">
        <v>18499</v>
      </c>
      <c r="FP57">
        <v>18499</v>
      </c>
      <c r="FQ57">
        <v>18499</v>
      </c>
      <c r="FR57">
        <v>92972</v>
      </c>
      <c r="FS57">
        <v>68</v>
      </c>
      <c r="FU57" s="24"/>
      <c r="FV57">
        <v>29633</v>
      </c>
      <c r="FW57">
        <v>29680</v>
      </c>
      <c r="FX57">
        <v>29649</v>
      </c>
      <c r="FY57">
        <v>382784</v>
      </c>
      <c r="FZ57">
        <v>1508</v>
      </c>
      <c r="GB57" s="24"/>
      <c r="GC57">
        <v>98000000</v>
      </c>
      <c r="GD57">
        <v>105000000</v>
      </c>
      <c r="GE57">
        <v>101146204</v>
      </c>
      <c r="GF57">
        <v>90</v>
      </c>
      <c r="GG57">
        <v>64</v>
      </c>
      <c r="GI57" s="24"/>
      <c r="GJ57">
        <v>20000000</v>
      </c>
      <c r="GK57">
        <v>20999999</v>
      </c>
      <c r="GL57">
        <v>20000000</v>
      </c>
      <c r="GM57">
        <v>648</v>
      </c>
      <c r="GN57">
        <v>99</v>
      </c>
      <c r="GP57" s="24"/>
      <c r="GQ57">
        <v>109</v>
      </c>
      <c r="GR57">
        <v>117</v>
      </c>
      <c r="GS57">
        <v>111</v>
      </c>
      <c r="GT57">
        <v>120822596</v>
      </c>
      <c r="GU57">
        <v>163</v>
      </c>
      <c r="GW57" s="24"/>
      <c r="GX57">
        <v>276</v>
      </c>
      <c r="GY57">
        <v>279</v>
      </c>
      <c r="GZ57">
        <v>279</v>
      </c>
      <c r="HA57">
        <v>53817810</v>
      </c>
      <c r="HB57">
        <v>190</v>
      </c>
      <c r="HD57" s="24"/>
      <c r="HE57">
        <v>4814</v>
      </c>
      <c r="HF57">
        <v>4957</v>
      </c>
      <c r="HG57">
        <v>4953</v>
      </c>
      <c r="HH57">
        <v>16663980</v>
      </c>
      <c r="HI57">
        <v>329</v>
      </c>
      <c r="HK57" s="24"/>
      <c r="HL57">
        <v>100021003</v>
      </c>
      <c r="HM57">
        <v>108697401</v>
      </c>
      <c r="HN57">
        <v>104386597</v>
      </c>
      <c r="HO57">
        <v>64</v>
      </c>
      <c r="HP57">
        <v>45</v>
      </c>
      <c r="HR57" s="24"/>
      <c r="HS57">
        <v>10522</v>
      </c>
      <c r="HT57">
        <v>11080</v>
      </c>
      <c r="HU57">
        <v>10996</v>
      </c>
      <c r="HV57">
        <v>1164885</v>
      </c>
      <c r="HW57">
        <v>178</v>
      </c>
      <c r="HY57" s="24"/>
      <c r="HZ57">
        <v>9857</v>
      </c>
      <c r="IA57">
        <v>10393</v>
      </c>
      <c r="IB57">
        <v>10089</v>
      </c>
      <c r="IC57">
        <v>2744195</v>
      </c>
      <c r="ID57">
        <v>632</v>
      </c>
      <c r="IF57" s="24"/>
      <c r="IG57">
        <v>2859</v>
      </c>
      <c r="IH57">
        <v>2865</v>
      </c>
      <c r="II57">
        <v>2863</v>
      </c>
      <c r="IJ57">
        <v>1301057</v>
      </c>
      <c r="IK57">
        <v>127</v>
      </c>
      <c r="IM57" s="24"/>
      <c r="IN57">
        <v>105407202</v>
      </c>
      <c r="IO57">
        <v>108997599</v>
      </c>
      <c r="IP57">
        <v>107471217</v>
      </c>
      <c r="IQ57">
        <v>58</v>
      </c>
      <c r="IR57">
        <v>45</v>
      </c>
      <c r="IT57" s="24"/>
      <c r="IU57">
        <v>7990</v>
      </c>
      <c r="IV57">
        <v>8188</v>
      </c>
      <c r="IW57">
        <v>8186</v>
      </c>
      <c r="IX57">
        <v>1583611</v>
      </c>
      <c r="IY57">
        <v>173</v>
      </c>
      <c r="JA57" s="24"/>
      <c r="JB57">
        <v>106000100</v>
      </c>
      <c r="JC57">
        <v>109698998</v>
      </c>
      <c r="JD57">
        <v>107966797</v>
      </c>
      <c r="JE57">
        <v>73</v>
      </c>
      <c r="JF57">
        <v>59</v>
      </c>
      <c r="JH57" s="24"/>
      <c r="JI57">
        <v>106122000</v>
      </c>
      <c r="JJ57">
        <v>114694800</v>
      </c>
      <c r="JK57">
        <v>110474874</v>
      </c>
      <c r="JL57">
        <v>43</v>
      </c>
      <c r="JM57">
        <v>33</v>
      </c>
      <c r="JO57" s="24"/>
      <c r="JP57">
        <v>74</v>
      </c>
      <c r="JQ57">
        <v>75</v>
      </c>
      <c r="JR57">
        <v>75</v>
      </c>
      <c r="JS57">
        <v>199636307</v>
      </c>
      <c r="JT57">
        <v>178</v>
      </c>
      <c r="JV57" s="24"/>
      <c r="JW57">
        <v>94</v>
      </c>
      <c r="JX57">
        <v>101</v>
      </c>
      <c r="JY57">
        <v>98</v>
      </c>
      <c r="JZ57">
        <v>150151065</v>
      </c>
      <c r="KA57">
        <v>165</v>
      </c>
      <c r="KC57" s="24"/>
      <c r="KD57">
        <v>17</v>
      </c>
      <c r="KE57">
        <v>18</v>
      </c>
      <c r="KF57">
        <v>18</v>
      </c>
      <c r="KG57">
        <v>63328081</v>
      </c>
      <c r="KH57">
        <v>358</v>
      </c>
      <c r="KJ57" s="24"/>
      <c r="KK57">
        <v>106</v>
      </c>
      <c r="KL57">
        <v>114</v>
      </c>
      <c r="KM57">
        <v>108</v>
      </c>
      <c r="KN57">
        <v>150061037</v>
      </c>
      <c r="KO57">
        <v>139</v>
      </c>
      <c r="KQ57" s="24"/>
      <c r="KR57">
        <v>90018</v>
      </c>
      <c r="KS57">
        <v>94498</v>
      </c>
      <c r="KT57">
        <v>90053</v>
      </c>
      <c r="KU57">
        <v>68438</v>
      </c>
      <c r="KV57">
        <v>695</v>
      </c>
      <c r="KX57" s="24"/>
      <c r="KY57">
        <v>500</v>
      </c>
      <c r="KZ57">
        <v>551</v>
      </c>
      <c r="LA57">
        <v>549</v>
      </c>
      <c r="LB57">
        <v>5413864</v>
      </c>
      <c r="LC57">
        <v>194</v>
      </c>
      <c r="LE57" s="24"/>
      <c r="LF57">
        <v>196011</v>
      </c>
      <c r="LG57">
        <v>203800</v>
      </c>
      <c r="LH57">
        <v>200013</v>
      </c>
      <c r="LI57">
        <v>164930</v>
      </c>
      <c r="LJ57">
        <v>1009</v>
      </c>
      <c r="LL57" s="24"/>
      <c r="LM57">
        <v>78082</v>
      </c>
      <c r="LN57">
        <v>80555</v>
      </c>
      <c r="LO57">
        <v>79170</v>
      </c>
      <c r="LP57">
        <v>394707</v>
      </c>
      <c r="LQ57">
        <v>1511</v>
      </c>
      <c r="LS57" s="24"/>
      <c r="LT57">
        <v>241</v>
      </c>
      <c r="LU57">
        <v>244</v>
      </c>
      <c r="LV57">
        <v>243</v>
      </c>
      <c r="LW57">
        <v>119019589</v>
      </c>
      <c r="LX57">
        <v>376</v>
      </c>
      <c r="LZ57" s="24"/>
      <c r="MA57">
        <v>74747</v>
      </c>
      <c r="MB57">
        <v>75000</v>
      </c>
      <c r="MC57">
        <v>74750</v>
      </c>
      <c r="MD57">
        <v>1407823</v>
      </c>
      <c r="ME57">
        <v>112</v>
      </c>
    </row>
    <row r="58" spans="2:343" x14ac:dyDescent="0.25">
      <c r="B58" s="24"/>
      <c r="C58">
        <v>2</v>
      </c>
      <c r="D58">
        <v>2</v>
      </c>
      <c r="E58">
        <v>2</v>
      </c>
      <c r="F58">
        <v>24643097025</v>
      </c>
      <c r="G58">
        <v>3261</v>
      </c>
      <c r="I58" s="24"/>
      <c r="J58">
        <v>4</v>
      </c>
      <c r="K58">
        <v>4</v>
      </c>
      <c r="L58">
        <v>4</v>
      </c>
      <c r="M58">
        <v>6765635745</v>
      </c>
      <c r="N58">
        <v>2353</v>
      </c>
      <c r="P58" s="24"/>
      <c r="Q58">
        <v>29</v>
      </c>
      <c r="R58">
        <v>29</v>
      </c>
      <c r="S58">
        <v>29</v>
      </c>
      <c r="T58">
        <v>2099664281</v>
      </c>
      <c r="U58">
        <v>2170</v>
      </c>
      <c r="W58" s="24"/>
      <c r="X58">
        <v>65</v>
      </c>
      <c r="Y58">
        <v>66</v>
      </c>
      <c r="Z58">
        <v>66</v>
      </c>
      <c r="AA58">
        <v>340884161</v>
      </c>
      <c r="AB58">
        <v>1662</v>
      </c>
      <c r="AD58" s="24"/>
      <c r="AE58">
        <v>547</v>
      </c>
      <c r="AF58">
        <v>559</v>
      </c>
      <c r="AG58">
        <v>556</v>
      </c>
      <c r="AH58">
        <v>178878883</v>
      </c>
      <c r="AI58">
        <v>1868</v>
      </c>
      <c r="AK58" s="24"/>
      <c r="AL58">
        <v>1005</v>
      </c>
      <c r="AM58">
        <v>1012</v>
      </c>
      <c r="AN58">
        <v>1008</v>
      </c>
      <c r="AO58">
        <v>45395916</v>
      </c>
      <c r="AP58">
        <v>1482</v>
      </c>
      <c r="AR58" s="24"/>
      <c r="AS58">
        <v>3004</v>
      </c>
      <c r="AT58">
        <v>3078</v>
      </c>
      <c r="AU58">
        <v>3070</v>
      </c>
      <c r="AV58">
        <v>13035633</v>
      </c>
      <c r="AW58">
        <v>1370</v>
      </c>
      <c r="AY58" s="24"/>
      <c r="AZ58">
        <v>333500101</v>
      </c>
      <c r="BA58">
        <v>339500000</v>
      </c>
      <c r="BB58">
        <v>337000000</v>
      </c>
      <c r="BC58">
        <v>1843</v>
      </c>
      <c r="BD58">
        <v>1275</v>
      </c>
      <c r="BF58" s="24"/>
      <c r="BG58">
        <v>23202</v>
      </c>
      <c r="BH58">
        <v>23500</v>
      </c>
      <c r="BI58">
        <v>23300</v>
      </c>
      <c r="BJ58">
        <v>1734830</v>
      </c>
      <c r="BK58">
        <v>169</v>
      </c>
      <c r="BM58" s="24"/>
      <c r="BN58">
        <v>6906886</v>
      </c>
      <c r="BO58">
        <v>7000000</v>
      </c>
      <c r="BP58">
        <v>6906903</v>
      </c>
      <c r="BQ58">
        <v>10288</v>
      </c>
      <c r="BR58">
        <v>332</v>
      </c>
      <c r="BT58" s="24"/>
      <c r="BU58">
        <v>1535</v>
      </c>
      <c r="BV58">
        <v>1590</v>
      </c>
      <c r="BW58">
        <v>1587</v>
      </c>
      <c r="BX58">
        <v>27138915</v>
      </c>
      <c r="BY58">
        <v>284</v>
      </c>
      <c r="CA58" s="24"/>
      <c r="CB58">
        <v>258</v>
      </c>
      <c r="CC58">
        <v>270</v>
      </c>
      <c r="CD58">
        <v>269</v>
      </c>
      <c r="CE58">
        <v>104931273</v>
      </c>
      <c r="CF58">
        <v>295</v>
      </c>
      <c r="CH58" s="24"/>
      <c r="CI58">
        <v>27505</v>
      </c>
      <c r="CJ58">
        <v>27511</v>
      </c>
      <c r="CK58">
        <v>27508</v>
      </c>
      <c r="CL58">
        <v>560313</v>
      </c>
      <c r="CM58">
        <v>144</v>
      </c>
      <c r="CO58" s="24"/>
      <c r="CP58">
        <v>8672</v>
      </c>
      <c r="CQ58">
        <v>9349</v>
      </c>
      <c r="CR58">
        <v>8850</v>
      </c>
      <c r="CS58">
        <v>1773330</v>
      </c>
      <c r="CT58">
        <v>529</v>
      </c>
      <c r="CV58" s="24"/>
      <c r="CW58">
        <v>1320000</v>
      </c>
      <c r="CX58">
        <v>1380000</v>
      </c>
      <c r="CY58">
        <v>1321062</v>
      </c>
      <c r="CZ58">
        <v>14087</v>
      </c>
      <c r="DA58">
        <v>65</v>
      </c>
      <c r="DC58" s="24"/>
      <c r="DD58">
        <v>299</v>
      </c>
      <c r="DE58">
        <v>311</v>
      </c>
      <c r="DF58">
        <v>309</v>
      </c>
      <c r="DG58">
        <v>44340350</v>
      </c>
      <c r="DH58">
        <v>187</v>
      </c>
      <c r="DJ58" s="24"/>
      <c r="DK58">
        <v>39651141</v>
      </c>
      <c r="DL58">
        <v>39651701</v>
      </c>
      <c r="DM58">
        <v>39651144</v>
      </c>
      <c r="DN58">
        <v>284</v>
      </c>
      <c r="DO58">
        <v>90</v>
      </c>
      <c r="DQ58" s="24"/>
      <c r="DR58">
        <v>915050</v>
      </c>
      <c r="DS58">
        <v>980950</v>
      </c>
      <c r="DT58">
        <v>979998</v>
      </c>
      <c r="DU58">
        <v>6527</v>
      </c>
      <c r="DV58">
        <v>237</v>
      </c>
      <c r="DX58" s="24"/>
      <c r="DY58">
        <v>19103005</v>
      </c>
      <c r="DZ58">
        <v>20499998</v>
      </c>
      <c r="EA58">
        <v>19109001</v>
      </c>
      <c r="EB58">
        <v>488</v>
      </c>
      <c r="EC58">
        <v>114</v>
      </c>
      <c r="EE58" s="24"/>
      <c r="EF58">
        <v>183</v>
      </c>
      <c r="EG58">
        <v>189</v>
      </c>
      <c r="EH58">
        <v>183</v>
      </c>
      <c r="EI58">
        <v>128848268</v>
      </c>
      <c r="EJ58">
        <v>198</v>
      </c>
      <c r="EL58" s="24"/>
      <c r="EM58">
        <v>64022</v>
      </c>
      <c r="EN58">
        <v>69899</v>
      </c>
      <c r="EO58">
        <v>66000</v>
      </c>
      <c r="EP58">
        <v>84266</v>
      </c>
      <c r="EQ58">
        <v>691</v>
      </c>
      <c r="ES58" s="24"/>
      <c r="ET58">
        <v>283</v>
      </c>
      <c r="EU58">
        <v>287</v>
      </c>
      <c r="EV58">
        <v>285</v>
      </c>
      <c r="EW58">
        <v>41582043</v>
      </c>
      <c r="EX58">
        <v>588</v>
      </c>
      <c r="EZ58" s="24"/>
      <c r="FA58">
        <v>4120021</v>
      </c>
      <c r="FB58">
        <v>4150000</v>
      </c>
      <c r="FC58">
        <v>4120022</v>
      </c>
      <c r="FD58">
        <v>2980</v>
      </c>
      <c r="FE58">
        <v>37</v>
      </c>
      <c r="FG58" s="24"/>
      <c r="FH58">
        <v>9420</v>
      </c>
      <c r="FI58">
        <v>9690</v>
      </c>
      <c r="FJ58">
        <v>9500</v>
      </c>
      <c r="FK58">
        <v>2174334</v>
      </c>
      <c r="FL58">
        <v>526</v>
      </c>
      <c r="FN58" s="24"/>
      <c r="FO58">
        <v>18001</v>
      </c>
      <c r="FP58">
        <v>18499</v>
      </c>
      <c r="FQ58">
        <v>18499</v>
      </c>
      <c r="FR58">
        <v>237803</v>
      </c>
      <c r="FS58">
        <v>97</v>
      </c>
      <c r="FU58" s="24"/>
      <c r="FV58">
        <v>29721</v>
      </c>
      <c r="FW58">
        <v>30448</v>
      </c>
      <c r="FX58">
        <v>29740</v>
      </c>
      <c r="FY58">
        <v>382617</v>
      </c>
      <c r="FZ58">
        <v>1387</v>
      </c>
      <c r="GB58" s="24"/>
      <c r="GC58">
        <v>104000001</v>
      </c>
      <c r="GD58">
        <v>108000000</v>
      </c>
      <c r="GE58">
        <v>107000200</v>
      </c>
      <c r="GF58">
        <v>167</v>
      </c>
      <c r="GG58">
        <v>87</v>
      </c>
      <c r="GI58" s="24"/>
      <c r="GJ58">
        <v>19001824</v>
      </c>
      <c r="GK58">
        <v>21799998</v>
      </c>
      <c r="GL58">
        <v>19680000</v>
      </c>
      <c r="GM58">
        <v>466</v>
      </c>
      <c r="GN58">
        <v>76</v>
      </c>
      <c r="GP58" s="24"/>
      <c r="GQ58">
        <v>113</v>
      </c>
      <c r="GR58">
        <v>117</v>
      </c>
      <c r="GS58">
        <v>116</v>
      </c>
      <c r="GT58">
        <v>117006256</v>
      </c>
      <c r="GU58">
        <v>116</v>
      </c>
      <c r="GW58" s="24"/>
      <c r="GX58">
        <v>274</v>
      </c>
      <c r="GY58">
        <v>276</v>
      </c>
      <c r="GZ58">
        <v>275</v>
      </c>
      <c r="HA58">
        <v>68284206</v>
      </c>
      <c r="HB58">
        <v>217</v>
      </c>
      <c r="HD58" s="24"/>
      <c r="HE58">
        <v>4810</v>
      </c>
      <c r="HF58">
        <v>4945</v>
      </c>
      <c r="HG58">
        <v>4944</v>
      </c>
      <c r="HH58">
        <v>19451641</v>
      </c>
      <c r="HI58">
        <v>306</v>
      </c>
      <c r="HK58" s="24"/>
      <c r="HL58">
        <v>104999791</v>
      </c>
      <c r="HM58">
        <v>109497999</v>
      </c>
      <c r="HN58">
        <v>107238784</v>
      </c>
      <c r="HO58">
        <v>71</v>
      </c>
      <c r="HP58">
        <v>47</v>
      </c>
      <c r="HR58" s="24"/>
      <c r="HS58">
        <v>10524</v>
      </c>
      <c r="HT58">
        <v>10999</v>
      </c>
      <c r="HU58">
        <v>10801</v>
      </c>
      <c r="HV58">
        <v>660234</v>
      </c>
      <c r="HW58">
        <v>156</v>
      </c>
      <c r="HY58" s="24"/>
      <c r="HZ58">
        <v>9200</v>
      </c>
      <c r="IA58">
        <v>9744</v>
      </c>
      <c r="IB58">
        <v>9439</v>
      </c>
      <c r="IC58">
        <v>2368718</v>
      </c>
      <c r="ID58">
        <v>580</v>
      </c>
      <c r="IF58" s="24"/>
      <c r="IG58">
        <v>2700</v>
      </c>
      <c r="IH58">
        <v>2847</v>
      </c>
      <c r="II58">
        <v>2704</v>
      </c>
      <c r="IJ58">
        <v>2833575</v>
      </c>
      <c r="IK58">
        <v>154</v>
      </c>
      <c r="IM58" s="24"/>
      <c r="IN58">
        <v>102012000</v>
      </c>
      <c r="IO58">
        <v>110999999</v>
      </c>
      <c r="IP58">
        <v>105408201</v>
      </c>
      <c r="IQ58">
        <v>275</v>
      </c>
      <c r="IR58">
        <v>106</v>
      </c>
      <c r="IT58" s="24"/>
      <c r="IU58">
        <v>7649</v>
      </c>
      <c r="IV58">
        <v>7998</v>
      </c>
      <c r="IW58">
        <v>7913</v>
      </c>
      <c r="IX58">
        <v>2206671</v>
      </c>
      <c r="IY58">
        <v>231</v>
      </c>
      <c r="JA58" s="24"/>
      <c r="JB58">
        <v>104500000</v>
      </c>
      <c r="JC58">
        <v>107000200</v>
      </c>
      <c r="JD58">
        <v>106200000</v>
      </c>
      <c r="JE58">
        <v>131</v>
      </c>
      <c r="JF58">
        <v>73</v>
      </c>
      <c r="JH58" s="24"/>
      <c r="JI58">
        <v>106122000</v>
      </c>
      <c r="JJ58">
        <v>114693200</v>
      </c>
      <c r="JK58">
        <v>110060805</v>
      </c>
      <c r="JL58">
        <v>37</v>
      </c>
      <c r="JM58">
        <v>21</v>
      </c>
      <c r="JO58" s="24"/>
      <c r="JP58">
        <v>78</v>
      </c>
      <c r="JQ58">
        <v>83</v>
      </c>
      <c r="JR58">
        <v>83</v>
      </c>
      <c r="JS58">
        <v>97069410</v>
      </c>
      <c r="JT58">
        <v>98</v>
      </c>
      <c r="JV58" s="24"/>
      <c r="JW58">
        <v>94</v>
      </c>
      <c r="JX58">
        <v>97</v>
      </c>
      <c r="JY58">
        <v>96</v>
      </c>
      <c r="JZ58">
        <v>95618847</v>
      </c>
      <c r="KA58">
        <v>123</v>
      </c>
      <c r="KC58" s="24"/>
      <c r="KD58">
        <v>16</v>
      </c>
      <c r="KE58">
        <v>18</v>
      </c>
      <c r="KF58">
        <v>18</v>
      </c>
      <c r="KG58">
        <v>51612358</v>
      </c>
      <c r="KH58">
        <v>296</v>
      </c>
      <c r="KJ58" s="24"/>
      <c r="KK58">
        <v>106</v>
      </c>
      <c r="KL58">
        <v>112</v>
      </c>
      <c r="KM58">
        <v>106</v>
      </c>
      <c r="KN58">
        <v>112467680</v>
      </c>
      <c r="KO58">
        <v>148</v>
      </c>
      <c r="KQ58" s="24"/>
      <c r="KR58">
        <v>90298</v>
      </c>
      <c r="KS58">
        <v>97896</v>
      </c>
      <c r="KT58">
        <v>93000</v>
      </c>
      <c r="KU58">
        <v>60871</v>
      </c>
      <c r="KV58">
        <v>660</v>
      </c>
      <c r="KX58" s="24"/>
      <c r="KY58">
        <v>502</v>
      </c>
      <c r="KZ58">
        <v>503</v>
      </c>
      <c r="LA58">
        <v>502</v>
      </c>
      <c r="LB58">
        <v>14243771</v>
      </c>
      <c r="LC58">
        <v>205</v>
      </c>
      <c r="LE58" s="24"/>
      <c r="LF58">
        <v>201022</v>
      </c>
      <c r="LG58">
        <v>205499</v>
      </c>
      <c r="LH58">
        <v>201026</v>
      </c>
      <c r="LI58">
        <v>130387</v>
      </c>
      <c r="LJ58">
        <v>1003</v>
      </c>
      <c r="LL58" s="24"/>
      <c r="LM58">
        <v>81000</v>
      </c>
      <c r="LN58">
        <v>81054</v>
      </c>
      <c r="LO58">
        <v>81025</v>
      </c>
      <c r="LP58">
        <v>340590</v>
      </c>
      <c r="LQ58">
        <v>1440</v>
      </c>
      <c r="LS58" s="24"/>
      <c r="LT58">
        <v>247</v>
      </c>
      <c r="LU58">
        <v>258</v>
      </c>
      <c r="LV58">
        <v>253</v>
      </c>
      <c r="LW58">
        <v>138505024</v>
      </c>
      <c r="LX58">
        <v>361</v>
      </c>
      <c r="LZ58" s="24"/>
      <c r="MA58">
        <v>79286</v>
      </c>
      <c r="MB58">
        <v>84394</v>
      </c>
      <c r="MC58">
        <v>79982</v>
      </c>
      <c r="MD58">
        <v>525020</v>
      </c>
      <c r="ME58">
        <v>87</v>
      </c>
    </row>
    <row r="59" spans="2:343" x14ac:dyDescent="0.25">
      <c r="B59" s="24"/>
      <c r="C59">
        <v>2</v>
      </c>
      <c r="D59">
        <v>2</v>
      </c>
      <c r="E59">
        <v>2</v>
      </c>
      <c r="F59">
        <v>42369434422</v>
      </c>
      <c r="G59">
        <v>2895</v>
      </c>
      <c r="I59" s="24"/>
      <c r="J59">
        <v>4</v>
      </c>
      <c r="K59">
        <v>4</v>
      </c>
      <c r="L59">
        <v>4</v>
      </c>
      <c r="M59">
        <v>6102372380</v>
      </c>
      <c r="N59">
        <v>2130</v>
      </c>
      <c r="P59" s="24"/>
      <c r="Q59">
        <v>29</v>
      </c>
      <c r="R59">
        <v>30</v>
      </c>
      <c r="S59">
        <v>29</v>
      </c>
      <c r="T59">
        <v>2090499834</v>
      </c>
      <c r="U59">
        <v>1964</v>
      </c>
      <c r="W59" s="24"/>
      <c r="X59">
        <v>67</v>
      </c>
      <c r="Y59">
        <v>69</v>
      </c>
      <c r="Z59">
        <v>69</v>
      </c>
      <c r="AA59">
        <v>482019505</v>
      </c>
      <c r="AB59">
        <v>1519</v>
      </c>
      <c r="AD59" s="24"/>
      <c r="AE59">
        <v>535</v>
      </c>
      <c r="AF59">
        <v>559</v>
      </c>
      <c r="AG59">
        <v>549</v>
      </c>
      <c r="AH59">
        <v>91211323</v>
      </c>
      <c r="AI59">
        <v>1730</v>
      </c>
      <c r="AK59" s="24"/>
      <c r="AL59">
        <v>1005</v>
      </c>
      <c r="AM59">
        <v>1020</v>
      </c>
      <c r="AN59">
        <v>1005</v>
      </c>
      <c r="AO59">
        <v>45842127</v>
      </c>
      <c r="AP59">
        <v>1205</v>
      </c>
      <c r="AR59" s="24"/>
      <c r="AS59">
        <v>2995</v>
      </c>
      <c r="AT59">
        <v>3073</v>
      </c>
      <c r="AU59">
        <v>3013</v>
      </c>
      <c r="AV59">
        <v>20059874</v>
      </c>
      <c r="AW59">
        <v>1290</v>
      </c>
      <c r="AY59" s="24"/>
      <c r="AZ59">
        <v>335000000</v>
      </c>
      <c r="BA59">
        <v>340989997</v>
      </c>
      <c r="BB59">
        <v>339299000</v>
      </c>
      <c r="BC59">
        <v>1865</v>
      </c>
      <c r="BD59">
        <v>1143</v>
      </c>
      <c r="BF59" s="24"/>
      <c r="BG59">
        <v>23802</v>
      </c>
      <c r="BH59">
        <v>24700</v>
      </c>
      <c r="BI59">
        <v>24000</v>
      </c>
      <c r="BJ59">
        <v>2413962</v>
      </c>
      <c r="BK59">
        <v>141</v>
      </c>
      <c r="BM59" s="24"/>
      <c r="BN59">
        <v>7001003</v>
      </c>
      <c r="BO59">
        <v>7010000</v>
      </c>
      <c r="BP59">
        <v>7001008</v>
      </c>
      <c r="BQ59">
        <v>8178</v>
      </c>
      <c r="BR59">
        <v>272</v>
      </c>
      <c r="BT59" s="24"/>
      <c r="BU59">
        <v>1532</v>
      </c>
      <c r="BV59">
        <v>1581</v>
      </c>
      <c r="BW59">
        <v>1555</v>
      </c>
      <c r="BX59">
        <v>18955193</v>
      </c>
      <c r="BY59">
        <v>231</v>
      </c>
      <c r="CA59" s="24"/>
      <c r="CB59">
        <v>258</v>
      </c>
      <c r="CC59">
        <v>267</v>
      </c>
      <c r="CD59">
        <v>266</v>
      </c>
      <c r="CE59">
        <v>61586389</v>
      </c>
      <c r="CF59">
        <v>209</v>
      </c>
      <c r="CH59" s="24"/>
      <c r="CI59">
        <v>27800</v>
      </c>
      <c r="CJ59">
        <v>27800</v>
      </c>
      <c r="CK59">
        <v>27800</v>
      </c>
      <c r="CL59">
        <v>850546</v>
      </c>
      <c r="CM59">
        <v>111</v>
      </c>
      <c r="CO59" s="24"/>
      <c r="CP59">
        <v>8753</v>
      </c>
      <c r="CQ59">
        <v>9497</v>
      </c>
      <c r="CR59">
        <v>9000</v>
      </c>
      <c r="CS59">
        <v>1252009</v>
      </c>
      <c r="CT59">
        <v>411</v>
      </c>
      <c r="CV59" s="24"/>
      <c r="CW59">
        <v>1350000</v>
      </c>
      <c r="CX59">
        <v>1491998</v>
      </c>
      <c r="CY59">
        <v>1350000</v>
      </c>
      <c r="CZ59">
        <v>6706</v>
      </c>
      <c r="DA59">
        <v>32</v>
      </c>
      <c r="DC59" s="24"/>
      <c r="DD59">
        <v>306</v>
      </c>
      <c r="DE59">
        <v>309</v>
      </c>
      <c r="DF59">
        <v>307</v>
      </c>
      <c r="DG59">
        <v>43171398</v>
      </c>
      <c r="DH59">
        <v>183</v>
      </c>
      <c r="DJ59" s="24"/>
      <c r="DK59">
        <v>39651703</v>
      </c>
      <c r="DL59">
        <v>39900012</v>
      </c>
      <c r="DM59">
        <v>39900006</v>
      </c>
      <c r="DN59">
        <v>286</v>
      </c>
      <c r="DO59">
        <v>84</v>
      </c>
      <c r="DQ59" s="24"/>
      <c r="DR59">
        <v>925122</v>
      </c>
      <c r="DS59">
        <v>1098999</v>
      </c>
      <c r="DT59">
        <v>1009999</v>
      </c>
      <c r="DU59">
        <v>5591</v>
      </c>
      <c r="DV59">
        <v>219</v>
      </c>
      <c r="DX59" s="24"/>
      <c r="DY59">
        <v>19150004</v>
      </c>
      <c r="DZ59">
        <v>19999997</v>
      </c>
      <c r="EA59">
        <v>19160027</v>
      </c>
      <c r="EB59">
        <v>592</v>
      </c>
      <c r="EC59">
        <v>137</v>
      </c>
      <c r="EE59" s="24"/>
      <c r="EF59">
        <v>182</v>
      </c>
      <c r="EG59">
        <v>187</v>
      </c>
      <c r="EH59">
        <v>187</v>
      </c>
      <c r="EI59">
        <v>72267783</v>
      </c>
      <c r="EJ59">
        <v>170</v>
      </c>
      <c r="EL59" s="24"/>
      <c r="EM59">
        <v>70000</v>
      </c>
      <c r="EN59">
        <v>72002</v>
      </c>
      <c r="EO59">
        <v>71990</v>
      </c>
      <c r="EP59">
        <v>75595</v>
      </c>
      <c r="EQ59">
        <v>706</v>
      </c>
      <c r="ES59" s="24"/>
      <c r="ET59">
        <v>280</v>
      </c>
      <c r="EU59">
        <v>294</v>
      </c>
      <c r="EV59">
        <v>289</v>
      </c>
      <c r="EW59">
        <v>35894320</v>
      </c>
      <c r="EX59">
        <v>581</v>
      </c>
      <c r="EZ59" s="24"/>
      <c r="FA59">
        <v>4120020</v>
      </c>
      <c r="FB59">
        <v>4389998</v>
      </c>
      <c r="FC59">
        <v>4389996</v>
      </c>
      <c r="FD59">
        <v>763</v>
      </c>
      <c r="FE59">
        <v>25</v>
      </c>
      <c r="FG59" s="24"/>
      <c r="FH59">
        <v>9200</v>
      </c>
      <c r="FI59">
        <v>9549</v>
      </c>
      <c r="FJ59">
        <v>9312</v>
      </c>
      <c r="FK59">
        <v>2085630</v>
      </c>
      <c r="FL59">
        <v>450</v>
      </c>
      <c r="FN59" s="24"/>
      <c r="FO59">
        <v>18499</v>
      </c>
      <c r="FP59">
        <v>18499</v>
      </c>
      <c r="FQ59">
        <v>18499</v>
      </c>
      <c r="FR59">
        <v>121923</v>
      </c>
      <c r="FS59">
        <v>78</v>
      </c>
      <c r="FU59" s="24"/>
      <c r="FV59">
        <v>29743</v>
      </c>
      <c r="FW59">
        <v>29767</v>
      </c>
      <c r="FX59">
        <v>29762</v>
      </c>
      <c r="FY59">
        <v>419511</v>
      </c>
      <c r="FZ59">
        <v>1266</v>
      </c>
      <c r="GB59" s="24"/>
      <c r="GC59">
        <v>103100000</v>
      </c>
      <c r="GD59">
        <v>107399999</v>
      </c>
      <c r="GE59">
        <v>106998800</v>
      </c>
      <c r="GF59">
        <v>112</v>
      </c>
      <c r="GG59">
        <v>67</v>
      </c>
      <c r="GI59" s="24"/>
      <c r="GJ59">
        <v>19701855</v>
      </c>
      <c r="GK59">
        <v>20000001</v>
      </c>
      <c r="GL59">
        <v>19701881</v>
      </c>
      <c r="GM59">
        <v>351</v>
      </c>
      <c r="GN59">
        <v>73</v>
      </c>
      <c r="GP59" s="24"/>
      <c r="GQ59">
        <v>113</v>
      </c>
      <c r="GR59">
        <v>117</v>
      </c>
      <c r="GS59">
        <v>113</v>
      </c>
      <c r="GT59">
        <v>83610272</v>
      </c>
      <c r="GU59">
        <v>120</v>
      </c>
      <c r="GW59" s="24"/>
      <c r="GX59">
        <v>275</v>
      </c>
      <c r="GY59">
        <v>279</v>
      </c>
      <c r="GZ59">
        <v>278</v>
      </c>
      <c r="HA59">
        <v>43320684</v>
      </c>
      <c r="HB59">
        <v>178</v>
      </c>
      <c r="HD59" s="24"/>
      <c r="HE59">
        <v>4823</v>
      </c>
      <c r="HF59">
        <v>4919</v>
      </c>
      <c r="HG59">
        <v>4900</v>
      </c>
      <c r="HH59">
        <v>17232973</v>
      </c>
      <c r="HI59">
        <v>257</v>
      </c>
      <c r="HK59" s="24"/>
      <c r="HL59">
        <v>100609126</v>
      </c>
      <c r="HM59">
        <v>107599399</v>
      </c>
      <c r="HN59">
        <v>103954951</v>
      </c>
      <c r="HO59">
        <v>72</v>
      </c>
      <c r="HP59">
        <v>41</v>
      </c>
      <c r="HR59" s="24"/>
      <c r="HS59">
        <v>10801</v>
      </c>
      <c r="HT59">
        <v>11137</v>
      </c>
      <c r="HU59">
        <v>10999</v>
      </c>
      <c r="HV59">
        <v>487902</v>
      </c>
      <c r="HW59">
        <v>143</v>
      </c>
      <c r="HY59" s="24"/>
      <c r="HZ59">
        <v>9500</v>
      </c>
      <c r="IA59">
        <v>10345</v>
      </c>
      <c r="IB59">
        <v>9990</v>
      </c>
      <c r="IC59">
        <v>1547394</v>
      </c>
      <c r="ID59">
        <v>454</v>
      </c>
      <c r="IF59" s="24"/>
      <c r="IG59">
        <v>2847</v>
      </c>
      <c r="IH59">
        <v>2847</v>
      </c>
      <c r="II59">
        <v>2847</v>
      </c>
      <c r="IJ59">
        <v>1084587</v>
      </c>
      <c r="IK59">
        <v>117</v>
      </c>
      <c r="IM59" s="24"/>
      <c r="IN59">
        <v>104649987</v>
      </c>
      <c r="IO59">
        <v>114999798</v>
      </c>
      <c r="IP59">
        <v>107413746</v>
      </c>
      <c r="IQ59">
        <v>94</v>
      </c>
      <c r="IR59">
        <v>59</v>
      </c>
      <c r="IT59" s="24"/>
      <c r="IU59">
        <v>7951</v>
      </c>
      <c r="IV59">
        <v>8179</v>
      </c>
      <c r="IW59">
        <v>7980</v>
      </c>
      <c r="IX59">
        <v>1219922</v>
      </c>
      <c r="IY59">
        <v>154</v>
      </c>
      <c r="JA59" s="24"/>
      <c r="JB59">
        <v>103001000</v>
      </c>
      <c r="JC59">
        <v>108499600</v>
      </c>
      <c r="JD59">
        <v>105747148</v>
      </c>
      <c r="JE59">
        <v>77</v>
      </c>
      <c r="JF59">
        <v>50</v>
      </c>
      <c r="JH59" s="24"/>
      <c r="JI59">
        <v>109999799</v>
      </c>
      <c r="JJ59">
        <v>114693198</v>
      </c>
      <c r="JK59">
        <v>110536999</v>
      </c>
      <c r="JL59">
        <v>19</v>
      </c>
      <c r="JM59">
        <v>18</v>
      </c>
      <c r="JO59" s="24"/>
      <c r="JP59">
        <v>79</v>
      </c>
      <c r="JQ59">
        <v>83</v>
      </c>
      <c r="JR59">
        <v>83</v>
      </c>
      <c r="JS59">
        <v>78258010</v>
      </c>
      <c r="JT59">
        <v>97</v>
      </c>
      <c r="JV59" s="24"/>
      <c r="JW59">
        <v>95</v>
      </c>
      <c r="JX59">
        <v>96</v>
      </c>
      <c r="JY59">
        <v>96</v>
      </c>
      <c r="JZ59">
        <v>79753721</v>
      </c>
      <c r="KA59">
        <v>124</v>
      </c>
      <c r="KC59" s="24"/>
      <c r="KD59">
        <v>17</v>
      </c>
      <c r="KE59">
        <v>18</v>
      </c>
      <c r="KF59">
        <v>18</v>
      </c>
      <c r="KG59">
        <v>36303197</v>
      </c>
      <c r="KH59">
        <v>252</v>
      </c>
      <c r="KJ59" s="24"/>
      <c r="KK59">
        <v>107</v>
      </c>
      <c r="KL59">
        <v>109</v>
      </c>
      <c r="KM59">
        <v>109</v>
      </c>
      <c r="KN59">
        <v>58257376</v>
      </c>
      <c r="KO59">
        <v>97</v>
      </c>
      <c r="KQ59" s="24"/>
      <c r="KR59">
        <v>93251</v>
      </c>
      <c r="KS59">
        <v>93500</v>
      </c>
      <c r="KT59">
        <v>93500</v>
      </c>
      <c r="KU59">
        <v>49369</v>
      </c>
      <c r="KV59">
        <v>586</v>
      </c>
      <c r="KX59" s="24"/>
      <c r="KY59">
        <v>501</v>
      </c>
      <c r="KZ59">
        <v>538</v>
      </c>
      <c r="LA59">
        <v>529</v>
      </c>
      <c r="LB59">
        <v>3579245</v>
      </c>
      <c r="LC59">
        <v>168</v>
      </c>
      <c r="LE59" s="24"/>
      <c r="LF59">
        <v>197600</v>
      </c>
      <c r="LG59">
        <v>201026</v>
      </c>
      <c r="LH59">
        <v>200003</v>
      </c>
      <c r="LI59">
        <v>116128</v>
      </c>
      <c r="LJ59">
        <v>921</v>
      </c>
      <c r="LL59" s="24"/>
      <c r="LM59">
        <v>81070</v>
      </c>
      <c r="LN59">
        <v>81507</v>
      </c>
      <c r="LO59">
        <v>81109</v>
      </c>
      <c r="LP59">
        <v>319317</v>
      </c>
      <c r="LQ59">
        <v>1321</v>
      </c>
      <c r="LS59" s="24"/>
      <c r="LT59">
        <v>253</v>
      </c>
      <c r="LU59">
        <v>254</v>
      </c>
      <c r="LV59">
        <v>254</v>
      </c>
      <c r="LW59">
        <v>74312181</v>
      </c>
      <c r="LX59">
        <v>280</v>
      </c>
      <c r="LZ59" s="24"/>
      <c r="MA59">
        <v>77517</v>
      </c>
      <c r="MB59">
        <v>79998</v>
      </c>
      <c r="MC59">
        <v>78958</v>
      </c>
      <c r="MD59">
        <v>420535</v>
      </c>
      <c r="ME59">
        <v>66</v>
      </c>
    </row>
    <row r="60" spans="2:343" x14ac:dyDescent="0.25">
      <c r="B60" s="24"/>
      <c r="C60">
        <v>2</v>
      </c>
      <c r="D60">
        <v>2</v>
      </c>
      <c r="E60">
        <v>2</v>
      </c>
      <c r="F60">
        <v>34434548897</v>
      </c>
      <c r="G60">
        <v>3221</v>
      </c>
      <c r="I60" s="24"/>
      <c r="J60">
        <v>4</v>
      </c>
      <c r="K60">
        <v>4</v>
      </c>
      <c r="L60">
        <v>4</v>
      </c>
      <c r="M60">
        <v>6178337976</v>
      </c>
      <c r="N60">
        <v>2310</v>
      </c>
      <c r="P60" s="24"/>
      <c r="Q60">
        <v>29</v>
      </c>
      <c r="R60">
        <v>30</v>
      </c>
      <c r="S60">
        <v>30</v>
      </c>
      <c r="T60">
        <v>2438253891</v>
      </c>
      <c r="U60">
        <v>2141</v>
      </c>
      <c r="W60" s="24"/>
      <c r="X60">
        <v>68</v>
      </c>
      <c r="Y60">
        <v>70</v>
      </c>
      <c r="Z60">
        <v>69</v>
      </c>
      <c r="AA60">
        <v>446571353</v>
      </c>
      <c r="AB60">
        <v>1650</v>
      </c>
      <c r="AD60" s="24"/>
      <c r="AE60">
        <v>540</v>
      </c>
      <c r="AF60">
        <v>557</v>
      </c>
      <c r="AG60">
        <v>550</v>
      </c>
      <c r="AH60">
        <v>121089551</v>
      </c>
      <c r="AI60">
        <v>1836</v>
      </c>
      <c r="AK60" s="24"/>
      <c r="AL60">
        <v>1005</v>
      </c>
      <c r="AM60">
        <v>1089</v>
      </c>
      <c r="AN60">
        <v>1024</v>
      </c>
      <c r="AO60">
        <v>69698444</v>
      </c>
      <c r="AP60">
        <v>1564</v>
      </c>
      <c r="AR60" s="24"/>
      <c r="AS60">
        <v>3021</v>
      </c>
      <c r="AT60">
        <v>3054</v>
      </c>
      <c r="AU60">
        <v>3053</v>
      </c>
      <c r="AV60">
        <v>24029834</v>
      </c>
      <c r="AW60">
        <v>1487</v>
      </c>
      <c r="AY60" s="24"/>
      <c r="AZ60">
        <v>334811028</v>
      </c>
      <c r="BA60">
        <v>340396600</v>
      </c>
      <c r="BB60">
        <v>337000000</v>
      </c>
      <c r="BC60">
        <v>2151</v>
      </c>
      <c r="BD60">
        <v>1276</v>
      </c>
      <c r="BF60" s="24"/>
      <c r="BG60">
        <v>24500</v>
      </c>
      <c r="BH60">
        <v>24500</v>
      </c>
      <c r="BI60">
        <v>24500</v>
      </c>
      <c r="BJ60">
        <v>3820656</v>
      </c>
      <c r="BK60">
        <v>232</v>
      </c>
      <c r="BM60" s="24"/>
      <c r="BN60">
        <v>7002000</v>
      </c>
      <c r="BO60">
        <v>7010006</v>
      </c>
      <c r="BP60">
        <v>7002021</v>
      </c>
      <c r="BQ60">
        <v>9385</v>
      </c>
      <c r="BR60">
        <v>327</v>
      </c>
      <c r="BT60" s="24"/>
      <c r="BU60">
        <v>1530</v>
      </c>
      <c r="BV60">
        <v>1555</v>
      </c>
      <c r="BW60">
        <v>1552</v>
      </c>
      <c r="BX60">
        <v>37974592</v>
      </c>
      <c r="BY60">
        <v>279</v>
      </c>
      <c r="CA60" s="24"/>
      <c r="CB60">
        <v>261</v>
      </c>
      <c r="CC60">
        <v>268</v>
      </c>
      <c r="CD60">
        <v>267</v>
      </c>
      <c r="CE60">
        <v>77339728</v>
      </c>
      <c r="CF60">
        <v>282</v>
      </c>
      <c r="CH60" s="24"/>
      <c r="CI60">
        <v>27515</v>
      </c>
      <c r="CJ60">
        <v>27515</v>
      </c>
      <c r="CK60">
        <v>27515</v>
      </c>
      <c r="CL60">
        <v>2285255</v>
      </c>
      <c r="CM60">
        <v>194</v>
      </c>
      <c r="CO60" s="24"/>
      <c r="CP60">
        <v>9000</v>
      </c>
      <c r="CQ60">
        <v>9250</v>
      </c>
      <c r="CR60">
        <v>9000</v>
      </c>
      <c r="CS60">
        <v>1612303</v>
      </c>
      <c r="CT60">
        <v>464</v>
      </c>
      <c r="CV60" s="24"/>
      <c r="CW60">
        <v>1301202</v>
      </c>
      <c r="CX60">
        <v>1489998</v>
      </c>
      <c r="CY60">
        <v>1301225</v>
      </c>
      <c r="CZ60">
        <v>9002</v>
      </c>
      <c r="DA60">
        <v>44</v>
      </c>
      <c r="DC60" s="24"/>
      <c r="DD60">
        <v>290</v>
      </c>
      <c r="DE60">
        <v>304</v>
      </c>
      <c r="DF60">
        <v>302</v>
      </c>
      <c r="DG60">
        <v>39069782</v>
      </c>
      <c r="DH60">
        <v>174</v>
      </c>
      <c r="DJ60" s="24"/>
      <c r="DK60">
        <v>39899999</v>
      </c>
      <c r="DL60">
        <v>40403024</v>
      </c>
      <c r="DM60">
        <v>39900012</v>
      </c>
      <c r="DN60">
        <v>374</v>
      </c>
      <c r="DO60">
        <v>107</v>
      </c>
      <c r="DQ60" s="24"/>
      <c r="DR60">
        <v>1000022</v>
      </c>
      <c r="DS60">
        <v>1100000</v>
      </c>
      <c r="DT60">
        <v>1000025</v>
      </c>
      <c r="DU60">
        <v>5196</v>
      </c>
      <c r="DV60">
        <v>255</v>
      </c>
      <c r="DX60" s="24"/>
      <c r="DY60">
        <v>19350000</v>
      </c>
      <c r="DZ60">
        <v>19591054</v>
      </c>
      <c r="EA60">
        <v>19570013</v>
      </c>
      <c r="EB60">
        <v>368</v>
      </c>
      <c r="EC60">
        <v>112</v>
      </c>
      <c r="EE60" s="24"/>
      <c r="EF60">
        <v>182</v>
      </c>
      <c r="EG60">
        <v>187</v>
      </c>
      <c r="EH60">
        <v>182</v>
      </c>
      <c r="EI60">
        <v>149275916</v>
      </c>
      <c r="EJ60">
        <v>229</v>
      </c>
      <c r="EL60" s="24"/>
      <c r="EM60">
        <v>72012</v>
      </c>
      <c r="EN60">
        <v>78000</v>
      </c>
      <c r="EO60">
        <v>72018</v>
      </c>
      <c r="EP60">
        <v>100734</v>
      </c>
      <c r="EQ60">
        <v>745</v>
      </c>
      <c r="ES60" s="24"/>
      <c r="ET60">
        <v>277</v>
      </c>
      <c r="EU60">
        <v>290</v>
      </c>
      <c r="EV60">
        <v>289</v>
      </c>
      <c r="EW60">
        <v>46360457</v>
      </c>
      <c r="EX60">
        <v>693</v>
      </c>
      <c r="EZ60" s="24"/>
      <c r="FA60">
        <v>4388988</v>
      </c>
      <c r="FB60">
        <v>4388988</v>
      </c>
      <c r="FC60">
        <v>4388988</v>
      </c>
      <c r="FD60">
        <v>962</v>
      </c>
      <c r="FE60">
        <v>30</v>
      </c>
      <c r="FG60" s="24"/>
      <c r="FH60">
        <v>9200</v>
      </c>
      <c r="FI60">
        <v>9439</v>
      </c>
      <c r="FJ60">
        <v>9211</v>
      </c>
      <c r="FK60">
        <v>1929828</v>
      </c>
      <c r="FL60">
        <v>487</v>
      </c>
      <c r="FN60" s="24"/>
      <c r="FO60">
        <v>18114</v>
      </c>
      <c r="FP60">
        <v>18499</v>
      </c>
      <c r="FQ60">
        <v>18499</v>
      </c>
      <c r="FR60">
        <v>132376</v>
      </c>
      <c r="FS60">
        <v>84</v>
      </c>
      <c r="FU60" s="24"/>
      <c r="FV60">
        <v>29772</v>
      </c>
      <c r="FW60">
        <v>29792</v>
      </c>
      <c r="FX60">
        <v>29775</v>
      </c>
      <c r="FY60">
        <v>305756</v>
      </c>
      <c r="FZ60">
        <v>1396</v>
      </c>
      <c r="GB60" s="24"/>
      <c r="GC60">
        <v>105600000</v>
      </c>
      <c r="GD60">
        <v>112899800</v>
      </c>
      <c r="GE60">
        <v>109000001</v>
      </c>
      <c r="GF60">
        <v>114</v>
      </c>
      <c r="GG60">
        <v>77</v>
      </c>
      <c r="GI60" s="24"/>
      <c r="GJ60">
        <v>19703007</v>
      </c>
      <c r="GK60">
        <v>21979990</v>
      </c>
      <c r="GL60">
        <v>21299464</v>
      </c>
      <c r="GM60">
        <v>817</v>
      </c>
      <c r="GN60">
        <v>97</v>
      </c>
      <c r="GP60" s="24"/>
      <c r="GQ60">
        <v>103</v>
      </c>
      <c r="GR60">
        <v>118</v>
      </c>
      <c r="GS60">
        <v>117</v>
      </c>
      <c r="GT60">
        <v>116545319</v>
      </c>
      <c r="GU60">
        <v>117</v>
      </c>
      <c r="GW60" s="24"/>
      <c r="GX60">
        <v>261</v>
      </c>
      <c r="GY60">
        <v>275</v>
      </c>
      <c r="GZ60">
        <v>271</v>
      </c>
      <c r="HA60">
        <v>59699601</v>
      </c>
      <c r="HB60">
        <v>227</v>
      </c>
      <c r="HD60" s="24"/>
      <c r="HE60">
        <v>4918</v>
      </c>
      <c r="HF60">
        <v>4919</v>
      </c>
      <c r="HG60">
        <v>4918</v>
      </c>
      <c r="HH60">
        <v>30774143</v>
      </c>
      <c r="HI60">
        <v>329</v>
      </c>
      <c r="HK60" s="24"/>
      <c r="HL60">
        <v>102000000</v>
      </c>
      <c r="HM60">
        <v>114888886</v>
      </c>
      <c r="HN60">
        <v>109832486</v>
      </c>
      <c r="HO60">
        <v>50</v>
      </c>
      <c r="HP60">
        <v>44</v>
      </c>
      <c r="HR60" s="24"/>
      <c r="HS60">
        <v>10619</v>
      </c>
      <c r="HT60">
        <v>11348</v>
      </c>
      <c r="HU60">
        <v>11137</v>
      </c>
      <c r="HV60">
        <v>512111</v>
      </c>
      <c r="HW60">
        <v>180</v>
      </c>
      <c r="HY60" s="24"/>
      <c r="HZ60">
        <v>9701</v>
      </c>
      <c r="IA60">
        <v>10094</v>
      </c>
      <c r="IB60">
        <v>9999</v>
      </c>
      <c r="IC60">
        <v>1758812</v>
      </c>
      <c r="ID60">
        <v>585</v>
      </c>
      <c r="IF60" s="24"/>
      <c r="IG60">
        <v>2823</v>
      </c>
      <c r="IH60">
        <v>2847</v>
      </c>
      <c r="II60">
        <v>2847</v>
      </c>
      <c r="IJ60">
        <v>2316138</v>
      </c>
      <c r="IK60">
        <v>154</v>
      </c>
      <c r="IM60" s="24"/>
      <c r="IN60">
        <v>105777781</v>
      </c>
      <c r="IO60">
        <v>118999600</v>
      </c>
      <c r="IP60">
        <v>111554453</v>
      </c>
      <c r="IQ60">
        <v>81</v>
      </c>
      <c r="IR60">
        <v>53</v>
      </c>
      <c r="IT60" s="24"/>
      <c r="IU60">
        <v>8000</v>
      </c>
      <c r="IV60">
        <v>8177</v>
      </c>
      <c r="IW60">
        <v>8176</v>
      </c>
      <c r="IX60">
        <v>2491273</v>
      </c>
      <c r="IY60">
        <v>186</v>
      </c>
      <c r="JA60" s="24"/>
      <c r="JB60">
        <v>106500000</v>
      </c>
      <c r="JC60">
        <v>110400001</v>
      </c>
      <c r="JD60">
        <v>108725480</v>
      </c>
      <c r="JE60">
        <v>89</v>
      </c>
      <c r="JF60">
        <v>64</v>
      </c>
      <c r="JH60" s="24"/>
      <c r="JI60">
        <v>106131200</v>
      </c>
      <c r="JJ60">
        <v>109999600</v>
      </c>
      <c r="JK60">
        <v>107172724</v>
      </c>
      <c r="JL60">
        <v>80</v>
      </c>
      <c r="JM60">
        <v>40</v>
      </c>
      <c r="JO60" s="24"/>
      <c r="JP60">
        <v>78</v>
      </c>
      <c r="JQ60">
        <v>82</v>
      </c>
      <c r="JR60">
        <v>78</v>
      </c>
      <c r="JS60">
        <v>180042244</v>
      </c>
      <c r="JT60">
        <v>179</v>
      </c>
      <c r="JV60" s="24"/>
      <c r="JW60">
        <v>95</v>
      </c>
      <c r="JX60">
        <v>96</v>
      </c>
      <c r="JY60">
        <v>96</v>
      </c>
      <c r="JZ60">
        <v>136044575</v>
      </c>
      <c r="KA60">
        <v>148</v>
      </c>
      <c r="KC60" s="24"/>
      <c r="KD60">
        <v>17</v>
      </c>
      <c r="KE60">
        <v>18</v>
      </c>
      <c r="KF60">
        <v>18</v>
      </c>
      <c r="KG60">
        <v>64737078</v>
      </c>
      <c r="KH60">
        <v>346</v>
      </c>
      <c r="KJ60" s="24"/>
      <c r="KK60">
        <v>107</v>
      </c>
      <c r="KL60">
        <v>113</v>
      </c>
      <c r="KM60">
        <v>109</v>
      </c>
      <c r="KN60">
        <v>164626178</v>
      </c>
      <c r="KO60">
        <v>169</v>
      </c>
      <c r="KQ60" s="24"/>
      <c r="KR60">
        <v>93253</v>
      </c>
      <c r="KS60">
        <v>97897</v>
      </c>
      <c r="KT60">
        <v>93259</v>
      </c>
      <c r="KU60">
        <v>54093</v>
      </c>
      <c r="KV60">
        <v>657</v>
      </c>
      <c r="KX60" s="24"/>
      <c r="KY60">
        <v>502</v>
      </c>
      <c r="KZ60">
        <v>528</v>
      </c>
      <c r="LA60">
        <v>526</v>
      </c>
      <c r="LB60">
        <v>5636188</v>
      </c>
      <c r="LC60">
        <v>197</v>
      </c>
      <c r="LE60" s="24"/>
      <c r="LF60">
        <v>200005</v>
      </c>
      <c r="LG60">
        <v>204988</v>
      </c>
      <c r="LH60">
        <v>200017</v>
      </c>
      <c r="LI60">
        <v>135340</v>
      </c>
      <c r="LJ60">
        <v>999</v>
      </c>
      <c r="LL60" s="24"/>
      <c r="LM60">
        <v>81520</v>
      </c>
      <c r="LN60">
        <v>81584</v>
      </c>
      <c r="LO60">
        <v>81521</v>
      </c>
      <c r="LP60">
        <v>331576</v>
      </c>
      <c r="LQ60">
        <v>1454</v>
      </c>
      <c r="LS60" s="24"/>
      <c r="LT60">
        <v>244</v>
      </c>
      <c r="LU60">
        <v>251</v>
      </c>
      <c r="LV60">
        <v>249</v>
      </c>
      <c r="LW60">
        <v>126860611</v>
      </c>
      <c r="LX60">
        <v>355</v>
      </c>
      <c r="LZ60" s="24"/>
      <c r="MA60">
        <v>79998</v>
      </c>
      <c r="MB60">
        <v>81100</v>
      </c>
      <c r="MC60">
        <v>80121</v>
      </c>
      <c r="MD60">
        <v>1545327</v>
      </c>
      <c r="ME60">
        <v>136</v>
      </c>
    </row>
    <row r="61" spans="2:343" x14ac:dyDescent="0.25">
      <c r="B61" s="24"/>
      <c r="C61">
        <v>2</v>
      </c>
      <c r="D61">
        <v>2</v>
      </c>
      <c r="E61">
        <v>2</v>
      </c>
      <c r="F61">
        <v>32702112265</v>
      </c>
      <c r="G61">
        <v>3933</v>
      </c>
      <c r="I61" s="24"/>
      <c r="J61">
        <v>4</v>
      </c>
      <c r="K61">
        <v>4</v>
      </c>
      <c r="L61">
        <v>4</v>
      </c>
      <c r="M61">
        <v>9088234039</v>
      </c>
      <c r="N61">
        <v>2794</v>
      </c>
      <c r="P61" s="24"/>
      <c r="Q61">
        <v>29</v>
      </c>
      <c r="R61">
        <v>30</v>
      </c>
      <c r="S61">
        <v>29</v>
      </c>
      <c r="T61">
        <v>2803547080</v>
      </c>
      <c r="U61">
        <v>2518</v>
      </c>
      <c r="W61" s="24"/>
      <c r="X61">
        <v>69</v>
      </c>
      <c r="Y61">
        <v>71</v>
      </c>
      <c r="Z61">
        <v>70</v>
      </c>
      <c r="AA61">
        <v>423065725</v>
      </c>
      <c r="AB61">
        <v>2011</v>
      </c>
      <c r="AD61" s="24"/>
      <c r="AE61">
        <v>546</v>
      </c>
      <c r="AF61">
        <v>558</v>
      </c>
      <c r="AG61">
        <v>557</v>
      </c>
      <c r="AH61">
        <v>117766540</v>
      </c>
      <c r="AI61">
        <v>1987</v>
      </c>
      <c r="AK61" s="24"/>
      <c r="AL61">
        <v>1035</v>
      </c>
      <c r="AM61">
        <v>1068</v>
      </c>
      <c r="AN61">
        <v>1046</v>
      </c>
      <c r="AO61">
        <v>38423502</v>
      </c>
      <c r="AP61">
        <v>1712</v>
      </c>
      <c r="AR61" s="24"/>
      <c r="AS61">
        <v>3046</v>
      </c>
      <c r="AT61">
        <v>3083</v>
      </c>
      <c r="AU61">
        <v>3055</v>
      </c>
      <c r="AV61">
        <v>23144579</v>
      </c>
      <c r="AW61">
        <v>1607</v>
      </c>
      <c r="AY61" s="24"/>
      <c r="AZ61">
        <v>331001000</v>
      </c>
      <c r="BA61">
        <v>337250000</v>
      </c>
      <c r="BB61">
        <v>335000000</v>
      </c>
      <c r="BC61">
        <v>2318</v>
      </c>
      <c r="BD61">
        <v>1518</v>
      </c>
      <c r="BF61" s="24"/>
      <c r="BG61">
        <v>24606</v>
      </c>
      <c r="BH61">
        <v>25000</v>
      </c>
      <c r="BI61">
        <v>24701</v>
      </c>
      <c r="BJ61">
        <v>2014882</v>
      </c>
      <c r="BK61">
        <v>223</v>
      </c>
      <c r="BM61" s="24"/>
      <c r="BN61">
        <v>6907020</v>
      </c>
      <c r="BO61">
        <v>7010000</v>
      </c>
      <c r="BP61">
        <v>6910000</v>
      </c>
      <c r="BQ61">
        <v>11264</v>
      </c>
      <c r="BR61">
        <v>391</v>
      </c>
      <c r="BT61" s="24"/>
      <c r="BU61">
        <v>1551</v>
      </c>
      <c r="BV61">
        <v>1556</v>
      </c>
      <c r="BW61">
        <v>1551</v>
      </c>
      <c r="BX61">
        <v>30895596</v>
      </c>
      <c r="BY61">
        <v>253</v>
      </c>
      <c r="CA61" s="24"/>
      <c r="CB61">
        <v>269</v>
      </c>
      <c r="CC61">
        <v>285</v>
      </c>
      <c r="CD61">
        <v>271</v>
      </c>
      <c r="CE61">
        <v>55514428</v>
      </c>
      <c r="CF61">
        <v>244</v>
      </c>
      <c r="CH61" s="24"/>
      <c r="CI61">
        <v>27403</v>
      </c>
      <c r="CJ61">
        <v>27515</v>
      </c>
      <c r="CK61">
        <v>27514</v>
      </c>
      <c r="CL61">
        <v>1786814</v>
      </c>
      <c r="CM61">
        <v>212</v>
      </c>
      <c r="CO61" s="24"/>
      <c r="CP61">
        <v>8900</v>
      </c>
      <c r="CQ61">
        <v>9501</v>
      </c>
      <c r="CR61">
        <v>9107</v>
      </c>
      <c r="CS61">
        <v>2890404</v>
      </c>
      <c r="CT61">
        <v>581</v>
      </c>
      <c r="CV61" s="24"/>
      <c r="CW61">
        <v>1313020</v>
      </c>
      <c r="CX61">
        <v>1479994</v>
      </c>
      <c r="CY61">
        <v>1479783</v>
      </c>
      <c r="CZ61">
        <v>5897</v>
      </c>
      <c r="DA61">
        <v>38</v>
      </c>
      <c r="DC61" s="24"/>
      <c r="DD61">
        <v>301</v>
      </c>
      <c r="DE61">
        <v>303</v>
      </c>
      <c r="DF61">
        <v>302</v>
      </c>
      <c r="DG61">
        <v>37735221</v>
      </c>
      <c r="DH61">
        <v>185</v>
      </c>
      <c r="DJ61" s="24"/>
      <c r="DK61">
        <v>39651725</v>
      </c>
      <c r="DL61">
        <v>39900012</v>
      </c>
      <c r="DM61">
        <v>39900008</v>
      </c>
      <c r="DN61">
        <v>369</v>
      </c>
      <c r="DO61">
        <v>95</v>
      </c>
      <c r="DQ61" s="24"/>
      <c r="DR61">
        <v>930015</v>
      </c>
      <c r="DS61">
        <v>1098000</v>
      </c>
      <c r="DT61">
        <v>935000</v>
      </c>
      <c r="DU61">
        <v>4670</v>
      </c>
      <c r="DV61">
        <v>227</v>
      </c>
      <c r="DX61" s="24"/>
      <c r="DY61">
        <v>19592110</v>
      </c>
      <c r="DZ61">
        <v>21223003</v>
      </c>
      <c r="EA61">
        <v>19595005</v>
      </c>
      <c r="EB61">
        <v>491</v>
      </c>
      <c r="EC61">
        <v>124</v>
      </c>
      <c r="EE61" s="24"/>
      <c r="EF61">
        <v>173</v>
      </c>
      <c r="EG61">
        <v>183</v>
      </c>
      <c r="EH61">
        <v>181</v>
      </c>
      <c r="EI61">
        <v>103816528</v>
      </c>
      <c r="EJ61">
        <v>226</v>
      </c>
      <c r="EL61" s="24"/>
      <c r="EM61">
        <v>72038</v>
      </c>
      <c r="EN61">
        <v>75888</v>
      </c>
      <c r="EO61">
        <v>72047</v>
      </c>
      <c r="EP61">
        <v>94512</v>
      </c>
      <c r="EQ61">
        <v>905</v>
      </c>
      <c r="ES61" s="24"/>
      <c r="ET61">
        <v>289</v>
      </c>
      <c r="EU61">
        <v>290</v>
      </c>
      <c r="EV61">
        <v>290</v>
      </c>
      <c r="EW61">
        <v>39124028</v>
      </c>
      <c r="EX61">
        <v>719</v>
      </c>
      <c r="EZ61" s="24"/>
      <c r="FA61">
        <v>4287700</v>
      </c>
      <c r="FB61">
        <v>4287939</v>
      </c>
      <c r="FC61">
        <v>4287779</v>
      </c>
      <c r="FD61">
        <v>430</v>
      </c>
      <c r="FE61">
        <v>17</v>
      </c>
      <c r="FG61" s="24"/>
      <c r="FH61">
        <v>8910</v>
      </c>
      <c r="FI61">
        <v>9269</v>
      </c>
      <c r="FJ61">
        <v>9001</v>
      </c>
      <c r="FK61">
        <v>2341914</v>
      </c>
      <c r="FL61">
        <v>671</v>
      </c>
      <c r="FN61" s="24"/>
      <c r="FO61">
        <v>18449</v>
      </c>
      <c r="FP61">
        <v>18499</v>
      </c>
      <c r="FQ61">
        <v>18499</v>
      </c>
      <c r="FR61">
        <v>149986</v>
      </c>
      <c r="FS61">
        <v>107</v>
      </c>
      <c r="FU61" s="24"/>
      <c r="FV61">
        <v>29792</v>
      </c>
      <c r="FW61">
        <v>30211</v>
      </c>
      <c r="FX61">
        <v>29795</v>
      </c>
      <c r="FY61">
        <v>377410</v>
      </c>
      <c r="FZ61">
        <v>1637</v>
      </c>
      <c r="GB61" s="24"/>
      <c r="GC61">
        <v>109494999</v>
      </c>
      <c r="GD61">
        <v>112799999</v>
      </c>
      <c r="GE61">
        <v>111383315</v>
      </c>
      <c r="GF61">
        <v>88</v>
      </c>
      <c r="GG61">
        <v>61</v>
      </c>
      <c r="GI61" s="24"/>
      <c r="GJ61">
        <v>19901307</v>
      </c>
      <c r="GK61">
        <v>21500000</v>
      </c>
      <c r="GL61">
        <v>19902004</v>
      </c>
      <c r="GM61">
        <v>875</v>
      </c>
      <c r="GN61">
        <v>94</v>
      </c>
      <c r="GP61" s="24"/>
      <c r="GQ61">
        <v>110</v>
      </c>
      <c r="GR61">
        <v>114</v>
      </c>
      <c r="GS61">
        <v>110</v>
      </c>
      <c r="GT61">
        <v>130393409</v>
      </c>
      <c r="GU61">
        <v>129</v>
      </c>
      <c r="GW61" s="24"/>
      <c r="GX61">
        <v>269</v>
      </c>
      <c r="GY61">
        <v>271</v>
      </c>
      <c r="GZ61">
        <v>269</v>
      </c>
      <c r="HA61">
        <v>51586931</v>
      </c>
      <c r="HB61">
        <v>240</v>
      </c>
      <c r="HD61" s="24"/>
      <c r="HE61">
        <v>5005</v>
      </c>
      <c r="HF61">
        <v>5114</v>
      </c>
      <c r="HG61">
        <v>5099</v>
      </c>
      <c r="HH61">
        <v>17074745</v>
      </c>
      <c r="HI61">
        <v>303</v>
      </c>
      <c r="HK61" s="24"/>
      <c r="HL61">
        <v>103001200</v>
      </c>
      <c r="HM61">
        <v>114888887</v>
      </c>
      <c r="HN61">
        <v>112168606</v>
      </c>
      <c r="HO61">
        <v>41</v>
      </c>
      <c r="HP61">
        <v>41</v>
      </c>
      <c r="HR61" s="24"/>
      <c r="HS61">
        <v>10900</v>
      </c>
      <c r="HT61">
        <v>11410</v>
      </c>
      <c r="HU61">
        <v>11408</v>
      </c>
      <c r="HV61">
        <v>1226054</v>
      </c>
      <c r="HW61">
        <v>249</v>
      </c>
      <c r="HY61" s="24"/>
      <c r="HZ61">
        <v>9301</v>
      </c>
      <c r="IA61">
        <v>9699</v>
      </c>
      <c r="IB61">
        <v>9582</v>
      </c>
      <c r="IC61">
        <v>2346910</v>
      </c>
      <c r="ID61">
        <v>651</v>
      </c>
      <c r="IF61" s="24"/>
      <c r="IG61">
        <v>2845</v>
      </c>
      <c r="IH61">
        <v>2846</v>
      </c>
      <c r="II61">
        <v>2846</v>
      </c>
      <c r="IJ61">
        <v>1802392</v>
      </c>
      <c r="IK61">
        <v>175</v>
      </c>
      <c r="IM61" s="24"/>
      <c r="IN61">
        <v>108001020</v>
      </c>
      <c r="IO61">
        <v>117294499</v>
      </c>
      <c r="IP61">
        <v>115202097</v>
      </c>
      <c r="IQ61">
        <v>37</v>
      </c>
      <c r="IR61">
        <v>37</v>
      </c>
      <c r="IT61" s="24"/>
      <c r="IU61">
        <v>8172</v>
      </c>
      <c r="IV61">
        <v>8177</v>
      </c>
      <c r="IW61">
        <v>8175</v>
      </c>
      <c r="IX61">
        <v>2279123</v>
      </c>
      <c r="IY61">
        <v>200</v>
      </c>
      <c r="JA61" s="24"/>
      <c r="JB61">
        <v>104500000</v>
      </c>
      <c r="JC61">
        <v>111699999</v>
      </c>
      <c r="JD61">
        <v>108527577</v>
      </c>
      <c r="JE61">
        <v>90</v>
      </c>
      <c r="JF61">
        <v>57</v>
      </c>
      <c r="JH61" s="24"/>
      <c r="JI61">
        <v>103500200</v>
      </c>
      <c r="JJ61">
        <v>114692800</v>
      </c>
      <c r="JK61">
        <v>112552928</v>
      </c>
      <c r="JL61">
        <v>24</v>
      </c>
      <c r="JM61">
        <v>22</v>
      </c>
      <c r="JO61" s="24"/>
      <c r="JP61">
        <v>77</v>
      </c>
      <c r="JQ61">
        <v>80</v>
      </c>
      <c r="JR61">
        <v>80</v>
      </c>
      <c r="JS61">
        <v>92907490</v>
      </c>
      <c r="JT61">
        <v>106</v>
      </c>
      <c r="JV61" s="24"/>
      <c r="JW61">
        <v>98</v>
      </c>
      <c r="JX61">
        <v>106</v>
      </c>
      <c r="JY61">
        <v>100</v>
      </c>
      <c r="JZ61">
        <v>155193544</v>
      </c>
      <c r="KA61">
        <v>153</v>
      </c>
      <c r="KC61" s="24"/>
      <c r="KD61">
        <v>18</v>
      </c>
      <c r="KE61">
        <v>19</v>
      </c>
      <c r="KF61">
        <v>19</v>
      </c>
      <c r="KG61">
        <v>61697943</v>
      </c>
      <c r="KH61">
        <v>389</v>
      </c>
      <c r="KJ61" s="24"/>
      <c r="KK61">
        <v>110</v>
      </c>
      <c r="KL61">
        <v>115</v>
      </c>
      <c r="KM61">
        <v>113</v>
      </c>
      <c r="KN61">
        <v>166414817</v>
      </c>
      <c r="KO61">
        <v>178</v>
      </c>
      <c r="KQ61" s="24"/>
      <c r="KR61">
        <v>94200</v>
      </c>
      <c r="KS61">
        <v>94210</v>
      </c>
      <c r="KT61">
        <v>94203</v>
      </c>
      <c r="KU61">
        <v>67346</v>
      </c>
      <c r="KV61">
        <v>783</v>
      </c>
      <c r="KX61" s="24"/>
      <c r="KY61">
        <v>500</v>
      </c>
      <c r="KZ61">
        <v>523</v>
      </c>
      <c r="LA61">
        <v>505</v>
      </c>
      <c r="LB61">
        <v>5730780</v>
      </c>
      <c r="LC61">
        <v>231</v>
      </c>
      <c r="LE61" s="24"/>
      <c r="LF61">
        <v>200307</v>
      </c>
      <c r="LG61">
        <v>201300</v>
      </c>
      <c r="LH61">
        <v>200311</v>
      </c>
      <c r="LI61">
        <v>208802</v>
      </c>
      <c r="LJ61">
        <v>1266</v>
      </c>
      <c r="LL61" s="24"/>
      <c r="LM61">
        <v>81593</v>
      </c>
      <c r="LN61">
        <v>83007</v>
      </c>
      <c r="LO61">
        <v>81608</v>
      </c>
      <c r="LP61">
        <v>386950</v>
      </c>
      <c r="LQ61">
        <v>1684</v>
      </c>
      <c r="LS61" s="24"/>
      <c r="LT61">
        <v>234</v>
      </c>
      <c r="LU61">
        <v>248</v>
      </c>
      <c r="LV61">
        <v>240</v>
      </c>
      <c r="LW61">
        <v>128216541</v>
      </c>
      <c r="LX61">
        <v>415</v>
      </c>
      <c r="LZ61" s="24"/>
      <c r="MA61">
        <v>76700</v>
      </c>
      <c r="MB61">
        <v>79030</v>
      </c>
      <c r="MC61">
        <v>78963</v>
      </c>
      <c r="MD61">
        <v>405445</v>
      </c>
      <c r="ME61">
        <v>80</v>
      </c>
    </row>
    <row r="62" spans="2:343" x14ac:dyDescent="0.25">
      <c r="B62" s="24"/>
      <c r="C62">
        <v>2</v>
      </c>
      <c r="D62">
        <v>2</v>
      </c>
      <c r="E62">
        <v>2</v>
      </c>
      <c r="F62">
        <v>27701721457</v>
      </c>
      <c r="G62">
        <v>4087</v>
      </c>
      <c r="I62" s="24"/>
      <c r="J62">
        <v>4</v>
      </c>
      <c r="K62">
        <v>4</v>
      </c>
      <c r="L62">
        <v>4</v>
      </c>
      <c r="M62">
        <v>6713085086</v>
      </c>
      <c r="N62">
        <v>2902</v>
      </c>
      <c r="P62" s="24"/>
      <c r="Q62">
        <v>29</v>
      </c>
      <c r="R62">
        <v>29</v>
      </c>
      <c r="S62">
        <v>29</v>
      </c>
      <c r="T62">
        <v>2366045623</v>
      </c>
      <c r="U62">
        <v>2628</v>
      </c>
      <c r="W62" s="24"/>
      <c r="X62">
        <v>72</v>
      </c>
      <c r="Y62">
        <v>73</v>
      </c>
      <c r="Z62">
        <v>73</v>
      </c>
      <c r="AA62">
        <v>329635522</v>
      </c>
      <c r="AB62">
        <v>2161</v>
      </c>
      <c r="AD62" s="24"/>
      <c r="AE62">
        <v>547</v>
      </c>
      <c r="AF62">
        <v>556</v>
      </c>
      <c r="AG62">
        <v>556</v>
      </c>
      <c r="AH62">
        <v>106788472</v>
      </c>
      <c r="AI62">
        <v>2136</v>
      </c>
      <c r="AK62" s="24"/>
      <c r="AL62">
        <v>1018</v>
      </c>
      <c r="AM62">
        <v>1055</v>
      </c>
      <c r="AN62">
        <v>1024</v>
      </c>
      <c r="AO62">
        <v>37390635</v>
      </c>
      <c r="AP62">
        <v>1801</v>
      </c>
      <c r="AR62" s="24"/>
      <c r="AS62">
        <v>2930</v>
      </c>
      <c r="AT62">
        <v>3067</v>
      </c>
      <c r="AU62">
        <v>2999</v>
      </c>
      <c r="AV62">
        <v>19237950</v>
      </c>
      <c r="AW62">
        <v>1862</v>
      </c>
      <c r="AY62" s="24"/>
      <c r="AZ62">
        <v>327750000</v>
      </c>
      <c r="BA62">
        <v>336500000</v>
      </c>
      <c r="BB62">
        <v>333992990</v>
      </c>
      <c r="BC62">
        <v>2315</v>
      </c>
      <c r="BD62">
        <v>1509</v>
      </c>
      <c r="BF62" s="24"/>
      <c r="BG62">
        <v>24725</v>
      </c>
      <c r="BH62">
        <v>24725</v>
      </c>
      <c r="BI62">
        <v>24725</v>
      </c>
      <c r="BJ62">
        <v>2178327</v>
      </c>
      <c r="BK62">
        <v>215</v>
      </c>
      <c r="BM62" s="24"/>
      <c r="BN62">
        <v>6910000</v>
      </c>
      <c r="BO62">
        <v>7000220</v>
      </c>
      <c r="BP62">
        <v>7000192</v>
      </c>
      <c r="BQ62">
        <v>10569</v>
      </c>
      <c r="BR62">
        <v>419</v>
      </c>
      <c r="BT62" s="24"/>
      <c r="BU62">
        <v>1601</v>
      </c>
      <c r="BV62">
        <v>1665</v>
      </c>
      <c r="BW62">
        <v>1605</v>
      </c>
      <c r="BX62">
        <v>40813428</v>
      </c>
      <c r="BY62">
        <v>334</v>
      </c>
      <c r="CA62" s="24"/>
      <c r="CB62">
        <v>292</v>
      </c>
      <c r="CC62">
        <v>322</v>
      </c>
      <c r="CD62">
        <v>309</v>
      </c>
      <c r="CE62">
        <v>133170322</v>
      </c>
      <c r="CF62">
        <v>354</v>
      </c>
      <c r="CH62" s="24"/>
      <c r="CI62">
        <v>27404</v>
      </c>
      <c r="CJ62">
        <v>27651</v>
      </c>
      <c r="CK62">
        <v>27600</v>
      </c>
      <c r="CL62">
        <v>882460</v>
      </c>
      <c r="CM62">
        <v>183</v>
      </c>
      <c r="CO62" s="24"/>
      <c r="CP62">
        <v>7785</v>
      </c>
      <c r="CQ62">
        <v>8500</v>
      </c>
      <c r="CR62">
        <v>8100</v>
      </c>
      <c r="CS62">
        <v>1660788</v>
      </c>
      <c r="CT62">
        <v>565</v>
      </c>
      <c r="CV62" s="24"/>
      <c r="CW62">
        <v>1312040</v>
      </c>
      <c r="CX62">
        <v>1478982</v>
      </c>
      <c r="CY62">
        <v>1478982</v>
      </c>
      <c r="CZ62">
        <v>8527</v>
      </c>
      <c r="DA62">
        <v>58</v>
      </c>
      <c r="DC62" s="24"/>
      <c r="DD62">
        <v>303</v>
      </c>
      <c r="DE62">
        <v>303</v>
      </c>
      <c r="DF62">
        <v>303</v>
      </c>
      <c r="DG62">
        <v>38983298</v>
      </c>
      <c r="DH62">
        <v>191</v>
      </c>
      <c r="DJ62" s="24"/>
      <c r="DK62">
        <v>37001062</v>
      </c>
      <c r="DL62">
        <v>39551129</v>
      </c>
      <c r="DM62">
        <v>38999799</v>
      </c>
      <c r="DN62">
        <v>209</v>
      </c>
      <c r="DO62">
        <v>83</v>
      </c>
      <c r="DQ62" s="24"/>
      <c r="DR62">
        <v>1002128</v>
      </c>
      <c r="DS62">
        <v>1184000</v>
      </c>
      <c r="DT62">
        <v>1183980</v>
      </c>
      <c r="DU62">
        <v>5505</v>
      </c>
      <c r="DV62">
        <v>245</v>
      </c>
      <c r="DX62" s="24"/>
      <c r="DY62">
        <v>19600056</v>
      </c>
      <c r="DZ62">
        <v>21550000</v>
      </c>
      <c r="EA62">
        <v>21499999</v>
      </c>
      <c r="EB62">
        <v>764</v>
      </c>
      <c r="EC62">
        <v>159</v>
      </c>
      <c r="EE62" s="24"/>
      <c r="EF62">
        <v>175</v>
      </c>
      <c r="EG62">
        <v>181</v>
      </c>
      <c r="EH62">
        <v>180</v>
      </c>
      <c r="EI62">
        <v>152290972</v>
      </c>
      <c r="EJ62">
        <v>267</v>
      </c>
      <c r="EL62" s="24"/>
      <c r="EM62">
        <v>73508</v>
      </c>
      <c r="EN62">
        <v>75306</v>
      </c>
      <c r="EO62">
        <v>73546</v>
      </c>
      <c r="EP62">
        <v>84266</v>
      </c>
      <c r="EQ62">
        <v>895</v>
      </c>
      <c r="ES62" s="24"/>
      <c r="ET62">
        <v>290</v>
      </c>
      <c r="EU62">
        <v>304</v>
      </c>
      <c r="EV62">
        <v>293</v>
      </c>
      <c r="EW62">
        <v>51811783</v>
      </c>
      <c r="EX62">
        <v>705</v>
      </c>
      <c r="EZ62" s="24"/>
      <c r="FA62">
        <v>4194100</v>
      </c>
      <c r="FB62">
        <v>4284299</v>
      </c>
      <c r="FC62">
        <v>4284299</v>
      </c>
      <c r="FD62">
        <v>2243</v>
      </c>
      <c r="FE62">
        <v>40</v>
      </c>
      <c r="FG62" s="24"/>
      <c r="FH62">
        <v>8904</v>
      </c>
      <c r="FI62">
        <v>9268</v>
      </c>
      <c r="FJ62">
        <v>9001</v>
      </c>
      <c r="FK62">
        <v>1798216</v>
      </c>
      <c r="FL62">
        <v>649</v>
      </c>
      <c r="FN62" s="24"/>
      <c r="FO62">
        <v>18448</v>
      </c>
      <c r="FP62">
        <v>18449</v>
      </c>
      <c r="FQ62">
        <v>18449</v>
      </c>
      <c r="FR62">
        <v>126405</v>
      </c>
      <c r="FS62">
        <v>89</v>
      </c>
      <c r="FU62" s="24"/>
      <c r="FV62">
        <v>30107</v>
      </c>
      <c r="FW62">
        <v>30315</v>
      </c>
      <c r="FX62">
        <v>30208</v>
      </c>
      <c r="FY62">
        <v>390546</v>
      </c>
      <c r="FZ62">
        <v>1729</v>
      </c>
      <c r="GB62" s="24"/>
      <c r="GC62">
        <v>107500000</v>
      </c>
      <c r="GD62">
        <v>114299000</v>
      </c>
      <c r="GE62">
        <v>114200000</v>
      </c>
      <c r="GF62">
        <v>133</v>
      </c>
      <c r="GG62">
        <v>87</v>
      </c>
      <c r="GI62" s="24"/>
      <c r="GJ62">
        <v>19905309</v>
      </c>
      <c r="GK62">
        <v>21799999</v>
      </c>
      <c r="GL62">
        <v>20500008</v>
      </c>
      <c r="GM62">
        <v>468</v>
      </c>
      <c r="GN62">
        <v>81</v>
      </c>
      <c r="GP62" s="24"/>
      <c r="GQ62">
        <v>106</v>
      </c>
      <c r="GR62">
        <v>110</v>
      </c>
      <c r="GS62">
        <v>107</v>
      </c>
      <c r="GT62">
        <v>258121590</v>
      </c>
      <c r="GU62">
        <v>191</v>
      </c>
      <c r="GW62" s="24"/>
      <c r="GX62">
        <v>258</v>
      </c>
      <c r="GY62">
        <v>274</v>
      </c>
      <c r="GZ62">
        <v>271</v>
      </c>
      <c r="HA62">
        <v>61897775</v>
      </c>
      <c r="HB62">
        <v>237</v>
      </c>
      <c r="HD62" s="24"/>
      <c r="HE62">
        <v>5199</v>
      </c>
      <c r="HF62">
        <v>5361</v>
      </c>
      <c r="HG62">
        <v>5300</v>
      </c>
      <c r="HH62">
        <v>18853632</v>
      </c>
      <c r="HI62">
        <v>306</v>
      </c>
      <c r="HK62" s="24"/>
      <c r="HL62">
        <v>103605002</v>
      </c>
      <c r="HM62">
        <v>114888888</v>
      </c>
      <c r="HN62">
        <v>111193707</v>
      </c>
      <c r="HO62">
        <v>48</v>
      </c>
      <c r="HP62">
        <v>44</v>
      </c>
      <c r="HR62" s="24"/>
      <c r="HS62">
        <v>10660</v>
      </c>
      <c r="HT62">
        <v>11297</v>
      </c>
      <c r="HU62">
        <v>11183</v>
      </c>
      <c r="HV62">
        <v>932529</v>
      </c>
      <c r="HW62">
        <v>220</v>
      </c>
      <c r="HY62" s="24"/>
      <c r="HZ62">
        <v>9152</v>
      </c>
      <c r="IA62">
        <v>9478</v>
      </c>
      <c r="IB62">
        <v>9300</v>
      </c>
      <c r="IC62">
        <v>1940578</v>
      </c>
      <c r="ID62">
        <v>571</v>
      </c>
      <c r="IF62" s="24"/>
      <c r="IG62">
        <v>2818</v>
      </c>
      <c r="IH62">
        <v>2819</v>
      </c>
      <c r="II62">
        <v>2818</v>
      </c>
      <c r="IJ62">
        <v>2100040</v>
      </c>
      <c r="IK62">
        <v>160</v>
      </c>
      <c r="IM62" s="24"/>
      <c r="IN62">
        <v>108001800</v>
      </c>
      <c r="IO62">
        <v>108203400</v>
      </c>
      <c r="IP62">
        <v>108201200</v>
      </c>
      <c r="IQ62">
        <v>187</v>
      </c>
      <c r="IR62">
        <v>88</v>
      </c>
      <c r="IT62" s="24"/>
      <c r="IU62">
        <v>8175</v>
      </c>
      <c r="IV62">
        <v>8177</v>
      </c>
      <c r="IW62">
        <v>8177</v>
      </c>
      <c r="IX62">
        <v>1671184</v>
      </c>
      <c r="IY62">
        <v>184</v>
      </c>
      <c r="JA62" s="24"/>
      <c r="JB62">
        <v>105500001</v>
      </c>
      <c r="JC62">
        <v>112799000</v>
      </c>
      <c r="JD62">
        <v>105800000</v>
      </c>
      <c r="JE62">
        <v>187</v>
      </c>
      <c r="JF62">
        <v>110</v>
      </c>
      <c r="JH62" s="24"/>
      <c r="JI62">
        <v>103701600</v>
      </c>
      <c r="JJ62">
        <v>114690799</v>
      </c>
      <c r="JK62">
        <v>107944516</v>
      </c>
      <c r="JL62">
        <v>46</v>
      </c>
      <c r="JM62">
        <v>30</v>
      </c>
      <c r="JO62" s="24"/>
      <c r="JP62">
        <v>76</v>
      </c>
      <c r="JQ62">
        <v>79</v>
      </c>
      <c r="JR62">
        <v>78</v>
      </c>
      <c r="JS62">
        <v>131129635</v>
      </c>
      <c r="JT62">
        <v>148</v>
      </c>
      <c r="JV62" s="24"/>
      <c r="JW62">
        <v>107</v>
      </c>
      <c r="JX62">
        <v>116</v>
      </c>
      <c r="JY62">
        <v>110</v>
      </c>
      <c r="JZ62">
        <v>133369927</v>
      </c>
      <c r="KA62">
        <v>134</v>
      </c>
      <c r="KC62" s="24"/>
      <c r="KD62">
        <v>19</v>
      </c>
      <c r="KE62">
        <v>20</v>
      </c>
      <c r="KF62">
        <v>19</v>
      </c>
      <c r="KG62">
        <v>91340147</v>
      </c>
      <c r="KH62">
        <v>377</v>
      </c>
      <c r="KJ62" s="24"/>
      <c r="KK62">
        <v>108</v>
      </c>
      <c r="KL62">
        <v>117</v>
      </c>
      <c r="KM62">
        <v>114</v>
      </c>
      <c r="KN62">
        <v>135503263</v>
      </c>
      <c r="KO62">
        <v>190</v>
      </c>
      <c r="KQ62" s="24"/>
      <c r="KR62">
        <v>95002</v>
      </c>
      <c r="KS62">
        <v>97399</v>
      </c>
      <c r="KT62">
        <v>95010</v>
      </c>
      <c r="KU62">
        <v>87687</v>
      </c>
      <c r="KV62">
        <v>824</v>
      </c>
      <c r="KX62" s="24"/>
      <c r="KY62">
        <v>476</v>
      </c>
      <c r="KZ62">
        <v>490</v>
      </c>
      <c r="LA62">
        <v>489</v>
      </c>
      <c r="LB62">
        <v>12738553</v>
      </c>
      <c r="LC62">
        <v>259</v>
      </c>
      <c r="LE62" s="24"/>
      <c r="LF62">
        <v>200316</v>
      </c>
      <c r="LG62">
        <v>206004</v>
      </c>
      <c r="LH62">
        <v>203007</v>
      </c>
      <c r="LI62">
        <v>107611</v>
      </c>
      <c r="LJ62">
        <v>1242</v>
      </c>
      <c r="LL62" s="24"/>
      <c r="LM62">
        <v>83504</v>
      </c>
      <c r="LN62">
        <v>85006</v>
      </c>
      <c r="LO62">
        <v>83755</v>
      </c>
      <c r="LP62">
        <v>343996</v>
      </c>
      <c r="LQ62">
        <v>1703</v>
      </c>
      <c r="LS62" s="24"/>
      <c r="LT62">
        <v>247</v>
      </c>
      <c r="LU62">
        <v>250</v>
      </c>
      <c r="LV62">
        <v>250</v>
      </c>
      <c r="LW62">
        <v>123694048</v>
      </c>
      <c r="LX62">
        <v>408</v>
      </c>
      <c r="LZ62" s="24"/>
      <c r="MA62">
        <v>76876</v>
      </c>
      <c r="MB62">
        <v>78996</v>
      </c>
      <c r="MC62">
        <v>76881</v>
      </c>
      <c r="MD62">
        <v>1448638</v>
      </c>
      <c r="ME62">
        <v>89</v>
      </c>
    </row>
    <row r="63" spans="2:343" x14ac:dyDescent="0.25">
      <c r="B63" s="24"/>
      <c r="C63">
        <v>2</v>
      </c>
      <c r="D63">
        <v>2</v>
      </c>
      <c r="E63">
        <v>2</v>
      </c>
      <c r="F63">
        <v>55903695453</v>
      </c>
      <c r="G63">
        <v>3362</v>
      </c>
      <c r="I63" s="24"/>
      <c r="J63">
        <v>4</v>
      </c>
      <c r="K63">
        <v>4</v>
      </c>
      <c r="L63">
        <v>4</v>
      </c>
      <c r="M63">
        <v>7393242770</v>
      </c>
      <c r="N63">
        <v>2349</v>
      </c>
      <c r="P63" s="24"/>
      <c r="Q63">
        <v>29</v>
      </c>
      <c r="R63">
        <v>29</v>
      </c>
      <c r="S63">
        <v>29</v>
      </c>
      <c r="T63">
        <v>2481325980</v>
      </c>
      <c r="U63">
        <v>2119</v>
      </c>
      <c r="W63" s="24"/>
      <c r="X63">
        <v>72</v>
      </c>
      <c r="Y63">
        <v>73</v>
      </c>
      <c r="Z63">
        <v>73</v>
      </c>
      <c r="AA63">
        <v>584205785</v>
      </c>
      <c r="AB63">
        <v>1798</v>
      </c>
      <c r="AD63" s="24"/>
      <c r="AE63">
        <v>548</v>
      </c>
      <c r="AF63">
        <v>556</v>
      </c>
      <c r="AG63">
        <v>555</v>
      </c>
      <c r="AH63">
        <v>123887173</v>
      </c>
      <c r="AI63">
        <v>1757</v>
      </c>
      <c r="AK63" s="24"/>
      <c r="AL63">
        <v>1006</v>
      </c>
      <c r="AM63">
        <v>1041</v>
      </c>
      <c r="AN63">
        <v>1039</v>
      </c>
      <c r="AO63">
        <v>43614759</v>
      </c>
      <c r="AP63">
        <v>1458</v>
      </c>
      <c r="AR63" s="24"/>
      <c r="AS63">
        <v>2928</v>
      </c>
      <c r="AT63">
        <v>3028</v>
      </c>
      <c r="AU63">
        <v>3018</v>
      </c>
      <c r="AV63">
        <v>14617356</v>
      </c>
      <c r="AW63">
        <v>1512</v>
      </c>
      <c r="AY63" s="24"/>
      <c r="AZ63">
        <v>331825810</v>
      </c>
      <c r="BA63">
        <v>339749841</v>
      </c>
      <c r="BB63">
        <v>336249999</v>
      </c>
      <c r="BC63">
        <v>2013</v>
      </c>
      <c r="BD63">
        <v>1383</v>
      </c>
      <c r="BF63" s="24"/>
      <c r="BG63">
        <v>25010</v>
      </c>
      <c r="BH63">
        <v>25010</v>
      </c>
      <c r="BI63">
        <v>25010</v>
      </c>
      <c r="BJ63">
        <v>4350948</v>
      </c>
      <c r="BK63">
        <v>197</v>
      </c>
      <c r="BM63" s="24"/>
      <c r="BN63">
        <v>7000225</v>
      </c>
      <c r="BO63">
        <v>7010048</v>
      </c>
      <c r="BP63">
        <v>7000234</v>
      </c>
      <c r="BQ63">
        <v>8146</v>
      </c>
      <c r="BR63">
        <v>307</v>
      </c>
      <c r="BT63" s="24"/>
      <c r="BU63">
        <v>1610</v>
      </c>
      <c r="BV63">
        <v>1671</v>
      </c>
      <c r="BW63">
        <v>1649</v>
      </c>
      <c r="BX63">
        <v>24237525</v>
      </c>
      <c r="BY63">
        <v>306</v>
      </c>
      <c r="CA63" s="24"/>
      <c r="CB63">
        <v>269</v>
      </c>
      <c r="CC63">
        <v>291</v>
      </c>
      <c r="CD63">
        <v>289</v>
      </c>
      <c r="CE63">
        <v>82680534</v>
      </c>
      <c r="CF63">
        <v>303</v>
      </c>
      <c r="CH63" s="24"/>
      <c r="CI63">
        <v>27653</v>
      </c>
      <c r="CJ63">
        <v>27800</v>
      </c>
      <c r="CK63">
        <v>27654</v>
      </c>
      <c r="CL63">
        <v>1310462</v>
      </c>
      <c r="CM63">
        <v>172</v>
      </c>
      <c r="CO63" s="24"/>
      <c r="CP63">
        <v>7847</v>
      </c>
      <c r="CQ63">
        <v>8119</v>
      </c>
      <c r="CR63">
        <v>7932</v>
      </c>
      <c r="CS63">
        <v>1288579</v>
      </c>
      <c r="CT63">
        <v>477</v>
      </c>
      <c r="CV63" s="24"/>
      <c r="CW63">
        <v>1315450</v>
      </c>
      <c r="CX63">
        <v>1449999</v>
      </c>
      <c r="CY63">
        <v>1315465</v>
      </c>
      <c r="CZ63">
        <v>6295</v>
      </c>
      <c r="DA63">
        <v>40</v>
      </c>
      <c r="DC63" s="24"/>
      <c r="DD63">
        <v>302</v>
      </c>
      <c r="DE63">
        <v>304</v>
      </c>
      <c r="DF63">
        <v>303</v>
      </c>
      <c r="DG63">
        <v>40780202</v>
      </c>
      <c r="DH63">
        <v>175</v>
      </c>
      <c r="DJ63" s="24"/>
      <c r="DK63">
        <v>37003000</v>
      </c>
      <c r="DL63">
        <v>39999999</v>
      </c>
      <c r="DM63">
        <v>37003002</v>
      </c>
      <c r="DN63">
        <v>452</v>
      </c>
      <c r="DO63">
        <v>118</v>
      </c>
      <c r="DQ63" s="24"/>
      <c r="DR63">
        <v>1026003</v>
      </c>
      <c r="DS63">
        <v>1183999</v>
      </c>
      <c r="DT63">
        <v>1182999</v>
      </c>
      <c r="DU63">
        <v>7220</v>
      </c>
      <c r="DV63">
        <v>243</v>
      </c>
      <c r="DX63" s="24"/>
      <c r="DY63">
        <v>19780070</v>
      </c>
      <c r="DZ63">
        <v>21425000</v>
      </c>
      <c r="EA63">
        <v>20100548</v>
      </c>
      <c r="EB63">
        <v>438</v>
      </c>
      <c r="EC63">
        <v>108</v>
      </c>
      <c r="EE63" s="24"/>
      <c r="EF63">
        <v>172</v>
      </c>
      <c r="EG63">
        <v>177</v>
      </c>
      <c r="EH63">
        <v>177</v>
      </c>
      <c r="EI63">
        <v>120949308</v>
      </c>
      <c r="EJ63">
        <v>224</v>
      </c>
      <c r="EL63" s="24"/>
      <c r="EM63">
        <v>76000</v>
      </c>
      <c r="EN63">
        <v>79999</v>
      </c>
      <c r="EO63">
        <v>78073</v>
      </c>
      <c r="EP63">
        <v>77708</v>
      </c>
      <c r="EQ63">
        <v>827</v>
      </c>
      <c r="ES63" s="24"/>
      <c r="ET63">
        <v>294</v>
      </c>
      <c r="EU63">
        <v>295</v>
      </c>
      <c r="EV63">
        <v>295</v>
      </c>
      <c r="EW63">
        <v>36225225</v>
      </c>
      <c r="EX63">
        <v>680</v>
      </c>
      <c r="EZ63" s="24"/>
      <c r="FA63">
        <v>4075000</v>
      </c>
      <c r="FB63">
        <v>4283297</v>
      </c>
      <c r="FC63">
        <v>4282648</v>
      </c>
      <c r="FD63">
        <v>758</v>
      </c>
      <c r="FE63">
        <v>17</v>
      </c>
      <c r="FG63" s="24"/>
      <c r="FH63">
        <v>8862</v>
      </c>
      <c r="FI63">
        <v>9166</v>
      </c>
      <c r="FJ63">
        <v>9099</v>
      </c>
      <c r="FK63">
        <v>1547049</v>
      </c>
      <c r="FL63">
        <v>558</v>
      </c>
      <c r="FN63" s="24"/>
      <c r="FO63">
        <v>18300</v>
      </c>
      <c r="FP63">
        <v>18448</v>
      </c>
      <c r="FQ63">
        <v>18445</v>
      </c>
      <c r="FR63">
        <v>211408</v>
      </c>
      <c r="FS63">
        <v>107</v>
      </c>
      <c r="FU63" s="24"/>
      <c r="FV63">
        <v>30303</v>
      </c>
      <c r="FW63">
        <v>30326</v>
      </c>
      <c r="FX63">
        <v>30314</v>
      </c>
      <c r="FY63">
        <v>325105</v>
      </c>
      <c r="FZ63">
        <v>1425</v>
      </c>
      <c r="GB63" s="24"/>
      <c r="GC63">
        <v>109500000</v>
      </c>
      <c r="GD63">
        <v>114499998</v>
      </c>
      <c r="GE63">
        <v>113192855</v>
      </c>
      <c r="GF63">
        <v>71</v>
      </c>
      <c r="GG63">
        <v>53</v>
      </c>
      <c r="GI63" s="24"/>
      <c r="GJ63">
        <v>20552000</v>
      </c>
      <c r="GK63">
        <v>21310055</v>
      </c>
      <c r="GL63">
        <v>21000000</v>
      </c>
      <c r="GM63">
        <v>565</v>
      </c>
      <c r="GN63">
        <v>89</v>
      </c>
      <c r="GP63" s="24"/>
      <c r="GQ63">
        <v>111</v>
      </c>
      <c r="GR63">
        <v>119</v>
      </c>
      <c r="GS63">
        <v>116</v>
      </c>
      <c r="GT63">
        <v>132143768</v>
      </c>
      <c r="GU63">
        <v>145</v>
      </c>
      <c r="GW63" s="24"/>
      <c r="GX63">
        <v>258</v>
      </c>
      <c r="GY63">
        <v>274</v>
      </c>
      <c r="GZ63">
        <v>273</v>
      </c>
      <c r="HA63">
        <v>44595856</v>
      </c>
      <c r="HB63">
        <v>227</v>
      </c>
      <c r="HD63" s="24"/>
      <c r="HE63">
        <v>5059</v>
      </c>
      <c r="HF63">
        <v>5281</v>
      </c>
      <c r="HG63">
        <v>5090</v>
      </c>
      <c r="HH63">
        <v>21241071</v>
      </c>
      <c r="HI63">
        <v>360</v>
      </c>
      <c r="HK63" s="24"/>
      <c r="HL63">
        <v>107001900</v>
      </c>
      <c r="HM63">
        <v>119448597</v>
      </c>
      <c r="HN63">
        <v>114437046</v>
      </c>
      <c r="HO63">
        <v>59</v>
      </c>
      <c r="HP63">
        <v>49</v>
      </c>
      <c r="HR63" s="24"/>
      <c r="HS63">
        <v>10750</v>
      </c>
      <c r="HT63">
        <v>11165</v>
      </c>
      <c r="HU63">
        <v>11100</v>
      </c>
      <c r="HV63">
        <v>806635</v>
      </c>
      <c r="HW63">
        <v>210</v>
      </c>
      <c r="HY63" s="24"/>
      <c r="HZ63">
        <v>8892</v>
      </c>
      <c r="IA63">
        <v>8998</v>
      </c>
      <c r="IB63">
        <v>8897</v>
      </c>
      <c r="IC63">
        <v>1971890</v>
      </c>
      <c r="ID63">
        <v>555</v>
      </c>
      <c r="IF63" s="24"/>
      <c r="IG63">
        <v>2808</v>
      </c>
      <c r="IH63">
        <v>2811</v>
      </c>
      <c r="II63">
        <v>2808</v>
      </c>
      <c r="IJ63">
        <v>2092566</v>
      </c>
      <c r="IK63">
        <v>167</v>
      </c>
      <c r="IM63" s="24"/>
      <c r="IN63">
        <v>102500015</v>
      </c>
      <c r="IO63">
        <v>109000000</v>
      </c>
      <c r="IP63">
        <v>107999999</v>
      </c>
      <c r="IQ63">
        <v>144</v>
      </c>
      <c r="IR63">
        <v>80</v>
      </c>
      <c r="IT63" s="24"/>
      <c r="IU63">
        <v>7930</v>
      </c>
      <c r="IV63">
        <v>8174</v>
      </c>
      <c r="IW63">
        <v>8174</v>
      </c>
      <c r="IX63">
        <v>1925346</v>
      </c>
      <c r="IY63">
        <v>173</v>
      </c>
      <c r="JA63" s="24"/>
      <c r="JB63">
        <v>108000000</v>
      </c>
      <c r="JC63">
        <v>113399999</v>
      </c>
      <c r="JD63">
        <v>112046669</v>
      </c>
      <c r="JE63">
        <v>75</v>
      </c>
      <c r="JF63">
        <v>57</v>
      </c>
      <c r="JH63" s="24"/>
      <c r="JI63">
        <v>103705600</v>
      </c>
      <c r="JJ63">
        <v>114689999</v>
      </c>
      <c r="JK63">
        <v>110735208</v>
      </c>
      <c r="JL63">
        <v>25</v>
      </c>
      <c r="JM63">
        <v>21</v>
      </c>
      <c r="JO63" s="24"/>
      <c r="JP63">
        <v>77</v>
      </c>
      <c r="JQ63">
        <v>80</v>
      </c>
      <c r="JR63">
        <v>77</v>
      </c>
      <c r="JS63">
        <v>140706649</v>
      </c>
      <c r="JT63">
        <v>125</v>
      </c>
      <c r="JV63" s="24"/>
      <c r="JW63">
        <v>91</v>
      </c>
      <c r="JX63">
        <v>108</v>
      </c>
      <c r="JY63">
        <v>106</v>
      </c>
      <c r="JZ63">
        <v>167433162</v>
      </c>
      <c r="KA63">
        <v>146</v>
      </c>
      <c r="KC63" s="24"/>
      <c r="KD63">
        <v>18</v>
      </c>
      <c r="KE63">
        <v>20</v>
      </c>
      <c r="KF63">
        <v>20</v>
      </c>
      <c r="KG63">
        <v>42028271</v>
      </c>
      <c r="KH63">
        <v>314</v>
      </c>
      <c r="KJ63" s="24"/>
      <c r="KK63">
        <v>109</v>
      </c>
      <c r="KL63">
        <v>124</v>
      </c>
      <c r="KM63">
        <v>114</v>
      </c>
      <c r="KN63">
        <v>174244272</v>
      </c>
      <c r="KO63">
        <v>166</v>
      </c>
      <c r="KQ63" s="24"/>
      <c r="KR63">
        <v>95000</v>
      </c>
      <c r="KS63">
        <v>95013</v>
      </c>
      <c r="KT63">
        <v>95012</v>
      </c>
      <c r="KU63">
        <v>78542</v>
      </c>
      <c r="KV63">
        <v>710</v>
      </c>
      <c r="KX63" s="24"/>
      <c r="KY63">
        <v>478</v>
      </c>
      <c r="KZ63">
        <v>479</v>
      </c>
      <c r="LA63">
        <v>478</v>
      </c>
      <c r="LB63">
        <v>12250829</v>
      </c>
      <c r="LC63">
        <v>227</v>
      </c>
      <c r="LE63" s="24"/>
      <c r="LF63">
        <v>205001</v>
      </c>
      <c r="LG63">
        <v>207033</v>
      </c>
      <c r="LH63">
        <v>207000</v>
      </c>
      <c r="LI63">
        <v>117893</v>
      </c>
      <c r="LJ63">
        <v>1033</v>
      </c>
      <c r="LL63" s="24"/>
      <c r="LM63">
        <v>85009</v>
      </c>
      <c r="LN63">
        <v>85064</v>
      </c>
      <c r="LO63">
        <v>85015</v>
      </c>
      <c r="LP63">
        <v>359989</v>
      </c>
      <c r="LQ63">
        <v>1542</v>
      </c>
      <c r="LS63" s="24"/>
      <c r="LT63">
        <v>250</v>
      </c>
      <c r="LU63">
        <v>254</v>
      </c>
      <c r="LV63">
        <v>254</v>
      </c>
      <c r="LW63">
        <v>97402154</v>
      </c>
      <c r="LX63">
        <v>386</v>
      </c>
      <c r="LZ63" s="24"/>
      <c r="MA63">
        <v>76100</v>
      </c>
      <c r="MB63">
        <v>78545</v>
      </c>
      <c r="MC63">
        <v>77000</v>
      </c>
      <c r="MD63">
        <v>928473</v>
      </c>
      <c r="ME63">
        <v>91</v>
      </c>
    </row>
    <row r="64" spans="2:343" x14ac:dyDescent="0.25">
      <c r="B64" s="24"/>
      <c r="C64">
        <v>2</v>
      </c>
      <c r="D64">
        <v>2</v>
      </c>
      <c r="E64">
        <v>2</v>
      </c>
      <c r="F64">
        <v>43259637513</v>
      </c>
      <c r="G64">
        <v>3017</v>
      </c>
      <c r="I64" s="24"/>
      <c r="J64">
        <v>4</v>
      </c>
      <c r="K64">
        <v>4</v>
      </c>
      <c r="L64">
        <v>4</v>
      </c>
      <c r="M64">
        <v>5620408958</v>
      </c>
      <c r="N64">
        <v>2150</v>
      </c>
      <c r="P64" s="24"/>
      <c r="Q64">
        <v>29</v>
      </c>
      <c r="R64">
        <v>29</v>
      </c>
      <c r="S64">
        <v>29</v>
      </c>
      <c r="T64">
        <v>1915677367</v>
      </c>
      <c r="U64">
        <v>2003</v>
      </c>
      <c r="W64" s="24"/>
      <c r="X64">
        <v>69</v>
      </c>
      <c r="Y64">
        <v>72</v>
      </c>
      <c r="Z64">
        <v>72</v>
      </c>
      <c r="AA64">
        <v>303833024</v>
      </c>
      <c r="AB64">
        <v>1668</v>
      </c>
      <c r="AD64" s="24"/>
      <c r="AE64">
        <v>534</v>
      </c>
      <c r="AF64">
        <v>552</v>
      </c>
      <c r="AG64">
        <v>547</v>
      </c>
      <c r="AH64">
        <v>72200493</v>
      </c>
      <c r="AI64">
        <v>1728</v>
      </c>
      <c r="AK64" s="24"/>
      <c r="AL64">
        <v>1007</v>
      </c>
      <c r="AM64">
        <v>1037</v>
      </c>
      <c r="AN64">
        <v>1018</v>
      </c>
      <c r="AO64">
        <v>24574904</v>
      </c>
      <c r="AP64">
        <v>1319</v>
      </c>
      <c r="AR64" s="24"/>
      <c r="AS64">
        <v>2951</v>
      </c>
      <c r="AT64">
        <v>3055</v>
      </c>
      <c r="AU64">
        <v>3028</v>
      </c>
      <c r="AV64">
        <v>11517089</v>
      </c>
      <c r="AW64">
        <v>1347</v>
      </c>
      <c r="AY64" s="24"/>
      <c r="AZ64">
        <v>330600005</v>
      </c>
      <c r="BA64">
        <v>336744794</v>
      </c>
      <c r="BB64">
        <v>335000000</v>
      </c>
      <c r="BC64">
        <v>1899</v>
      </c>
      <c r="BD64">
        <v>1182</v>
      </c>
      <c r="BF64" s="24"/>
      <c r="BG64">
        <v>25010</v>
      </c>
      <c r="BH64">
        <v>25030</v>
      </c>
      <c r="BI64">
        <v>25010</v>
      </c>
      <c r="BJ64">
        <v>4245774</v>
      </c>
      <c r="BK64">
        <v>203</v>
      </c>
      <c r="BM64" s="24"/>
      <c r="BN64">
        <v>7020000</v>
      </c>
      <c r="BO64">
        <v>7051102</v>
      </c>
      <c r="BP64">
        <v>7050000</v>
      </c>
      <c r="BQ64">
        <v>10882</v>
      </c>
      <c r="BR64">
        <v>310</v>
      </c>
      <c r="BT64" s="24"/>
      <c r="BU64">
        <v>1590</v>
      </c>
      <c r="BV64">
        <v>1647</v>
      </c>
      <c r="BW64">
        <v>1598</v>
      </c>
      <c r="BX64">
        <v>33979441</v>
      </c>
      <c r="BY64">
        <v>300</v>
      </c>
      <c r="CA64" s="24"/>
      <c r="CB64">
        <v>285</v>
      </c>
      <c r="CC64">
        <v>287</v>
      </c>
      <c r="CD64">
        <v>285</v>
      </c>
      <c r="CE64">
        <v>69761926</v>
      </c>
      <c r="CF64">
        <v>324</v>
      </c>
      <c r="CH64" s="24"/>
      <c r="CI64">
        <v>27654</v>
      </c>
      <c r="CJ64">
        <v>27700</v>
      </c>
      <c r="CK64">
        <v>27700</v>
      </c>
      <c r="CL64">
        <v>649717</v>
      </c>
      <c r="CM64">
        <v>134</v>
      </c>
      <c r="CO64" s="24"/>
      <c r="CP64">
        <v>8487</v>
      </c>
      <c r="CQ64">
        <v>8920</v>
      </c>
      <c r="CR64">
        <v>8687</v>
      </c>
      <c r="CS64">
        <v>1126391</v>
      </c>
      <c r="CT64">
        <v>453</v>
      </c>
      <c r="CV64" s="24"/>
      <c r="CW64">
        <v>1350000</v>
      </c>
      <c r="CX64">
        <v>1439000</v>
      </c>
      <c r="CY64">
        <v>1437000</v>
      </c>
      <c r="CZ64">
        <v>12952</v>
      </c>
      <c r="DA64">
        <v>46</v>
      </c>
      <c r="DC64" s="24"/>
      <c r="DD64">
        <v>306</v>
      </c>
      <c r="DE64">
        <v>306</v>
      </c>
      <c r="DF64">
        <v>306</v>
      </c>
      <c r="DG64">
        <v>24199482</v>
      </c>
      <c r="DH64">
        <v>124</v>
      </c>
      <c r="DJ64" s="24"/>
      <c r="DK64">
        <v>37004048</v>
      </c>
      <c r="DL64">
        <v>40000000</v>
      </c>
      <c r="DM64">
        <v>39002006</v>
      </c>
      <c r="DN64">
        <v>310</v>
      </c>
      <c r="DO64">
        <v>94</v>
      </c>
      <c r="DQ64" s="24"/>
      <c r="DR64">
        <v>1046011</v>
      </c>
      <c r="DS64">
        <v>1183997</v>
      </c>
      <c r="DT64">
        <v>1182998</v>
      </c>
      <c r="DU64">
        <v>5869</v>
      </c>
      <c r="DV64">
        <v>217</v>
      </c>
      <c r="DX64" s="24"/>
      <c r="DY64">
        <v>21552999</v>
      </c>
      <c r="DZ64">
        <v>21552999</v>
      </c>
      <c r="EA64">
        <v>21552999</v>
      </c>
      <c r="EB64">
        <v>539</v>
      </c>
      <c r="EC64">
        <v>97</v>
      </c>
      <c r="EE64" s="24"/>
      <c r="EF64">
        <v>166</v>
      </c>
      <c r="EG64">
        <v>176</v>
      </c>
      <c r="EH64">
        <v>171</v>
      </c>
      <c r="EI64">
        <v>129180224</v>
      </c>
      <c r="EJ64">
        <v>286</v>
      </c>
      <c r="EL64" s="24"/>
      <c r="EM64">
        <v>75000</v>
      </c>
      <c r="EN64">
        <v>75100</v>
      </c>
      <c r="EO64">
        <v>75100</v>
      </c>
      <c r="EP64">
        <v>61141</v>
      </c>
      <c r="EQ64">
        <v>636</v>
      </c>
      <c r="ES64" s="24"/>
      <c r="ET64">
        <v>283</v>
      </c>
      <c r="EU64">
        <v>292</v>
      </c>
      <c r="EV64">
        <v>290</v>
      </c>
      <c r="EW64">
        <v>43800232</v>
      </c>
      <c r="EX64">
        <v>580</v>
      </c>
      <c r="EZ64" s="24"/>
      <c r="FA64">
        <v>4074003</v>
      </c>
      <c r="FB64">
        <v>4169999</v>
      </c>
      <c r="FC64">
        <v>4074004</v>
      </c>
      <c r="FD64">
        <v>1463</v>
      </c>
      <c r="FE64">
        <v>26</v>
      </c>
      <c r="FG64" s="24"/>
      <c r="FH64">
        <v>8075</v>
      </c>
      <c r="FI64">
        <v>8399</v>
      </c>
      <c r="FJ64">
        <v>8200</v>
      </c>
      <c r="FK64">
        <v>4240588</v>
      </c>
      <c r="FL64">
        <v>624</v>
      </c>
      <c r="FN64" s="24"/>
      <c r="FO64">
        <v>18499</v>
      </c>
      <c r="FP64">
        <v>18499</v>
      </c>
      <c r="FQ64">
        <v>18499</v>
      </c>
      <c r="FR64">
        <v>599434</v>
      </c>
      <c r="FS64">
        <v>97</v>
      </c>
      <c r="FU64" s="24"/>
      <c r="FV64">
        <v>30400</v>
      </c>
      <c r="FW64">
        <v>31499</v>
      </c>
      <c r="FX64">
        <v>30799</v>
      </c>
      <c r="FY64">
        <v>368099</v>
      </c>
      <c r="FZ64">
        <v>1342</v>
      </c>
      <c r="GB64" s="24"/>
      <c r="GC64">
        <v>107501000</v>
      </c>
      <c r="GD64">
        <v>115999900</v>
      </c>
      <c r="GE64">
        <v>111745596</v>
      </c>
      <c r="GF64">
        <v>99</v>
      </c>
      <c r="GG64">
        <v>57</v>
      </c>
      <c r="GI64" s="24"/>
      <c r="GJ64">
        <v>19800047</v>
      </c>
      <c r="GK64">
        <v>21179998</v>
      </c>
      <c r="GL64">
        <v>20400001</v>
      </c>
      <c r="GM64">
        <v>301</v>
      </c>
      <c r="GN64">
        <v>66</v>
      </c>
      <c r="GP64" s="24"/>
      <c r="GQ64">
        <v>111</v>
      </c>
      <c r="GR64">
        <v>116</v>
      </c>
      <c r="GS64">
        <v>114</v>
      </c>
      <c r="GT64">
        <v>108160060</v>
      </c>
      <c r="GU64">
        <v>169</v>
      </c>
      <c r="GW64" s="24"/>
      <c r="GX64">
        <v>255</v>
      </c>
      <c r="GY64">
        <v>274</v>
      </c>
      <c r="GZ64">
        <v>274</v>
      </c>
      <c r="HA64">
        <v>45534964</v>
      </c>
      <c r="HB64">
        <v>205</v>
      </c>
      <c r="HD64" s="24"/>
      <c r="HE64">
        <v>4925</v>
      </c>
      <c r="HF64">
        <v>5106</v>
      </c>
      <c r="HG64">
        <v>5096</v>
      </c>
      <c r="HH64">
        <v>15962608</v>
      </c>
      <c r="HI64">
        <v>309</v>
      </c>
      <c r="HK64" s="24"/>
      <c r="HL64">
        <v>109901000</v>
      </c>
      <c r="HM64">
        <v>117999999</v>
      </c>
      <c r="HN64">
        <v>110900000</v>
      </c>
      <c r="HO64">
        <v>103</v>
      </c>
      <c r="HP64">
        <v>60</v>
      </c>
      <c r="HR64" s="24"/>
      <c r="HS64">
        <v>10667</v>
      </c>
      <c r="HT64">
        <v>11098</v>
      </c>
      <c r="HU64">
        <v>10671</v>
      </c>
      <c r="HV64">
        <v>906998</v>
      </c>
      <c r="HW64">
        <v>171</v>
      </c>
      <c r="HY64" s="24"/>
      <c r="HZ64">
        <v>8900</v>
      </c>
      <c r="IA64">
        <v>9395</v>
      </c>
      <c r="IB64">
        <v>9339</v>
      </c>
      <c r="IC64">
        <v>2537550</v>
      </c>
      <c r="ID64">
        <v>572</v>
      </c>
      <c r="IF64" s="24"/>
      <c r="IG64">
        <v>2806</v>
      </c>
      <c r="IH64">
        <v>2806</v>
      </c>
      <c r="II64">
        <v>2806</v>
      </c>
      <c r="IJ64">
        <v>1335943</v>
      </c>
      <c r="IK64">
        <v>161</v>
      </c>
      <c r="IM64" s="24"/>
      <c r="IN64">
        <v>106000400</v>
      </c>
      <c r="IO64">
        <v>114084720</v>
      </c>
      <c r="IP64">
        <v>109424080</v>
      </c>
      <c r="IQ64">
        <v>81</v>
      </c>
      <c r="IR64">
        <v>62</v>
      </c>
      <c r="IT64" s="24"/>
      <c r="IU64">
        <v>8173</v>
      </c>
      <c r="IV64">
        <v>8174</v>
      </c>
      <c r="IW64">
        <v>8173</v>
      </c>
      <c r="IX64">
        <v>2149783</v>
      </c>
      <c r="IY64">
        <v>171</v>
      </c>
      <c r="JA64" s="24"/>
      <c r="JB64">
        <v>105000000</v>
      </c>
      <c r="JC64">
        <v>113299999</v>
      </c>
      <c r="JD64">
        <v>109585074</v>
      </c>
      <c r="JE64">
        <v>81</v>
      </c>
      <c r="JF64">
        <v>65</v>
      </c>
      <c r="JH64" s="24"/>
      <c r="JI64">
        <v>104001000</v>
      </c>
      <c r="JJ64">
        <v>114687600</v>
      </c>
      <c r="JK64">
        <v>109882797</v>
      </c>
      <c r="JL64">
        <v>38</v>
      </c>
      <c r="JM64">
        <v>32</v>
      </c>
      <c r="JO64" s="24"/>
      <c r="JP64">
        <v>71</v>
      </c>
      <c r="JQ64">
        <v>76</v>
      </c>
      <c r="JR64">
        <v>74</v>
      </c>
      <c r="JS64">
        <v>134106302</v>
      </c>
      <c r="JT64">
        <v>137</v>
      </c>
      <c r="JV64" s="24"/>
      <c r="JW64">
        <v>92</v>
      </c>
      <c r="JX64">
        <v>96</v>
      </c>
      <c r="JY64">
        <v>95</v>
      </c>
      <c r="JZ64">
        <v>115246730</v>
      </c>
      <c r="KA64">
        <v>154</v>
      </c>
      <c r="KC64" s="24"/>
      <c r="KD64">
        <v>18</v>
      </c>
      <c r="KE64">
        <v>20</v>
      </c>
      <c r="KF64">
        <v>18</v>
      </c>
      <c r="KG64">
        <v>67889254</v>
      </c>
      <c r="KH64">
        <v>319</v>
      </c>
      <c r="KJ64" s="24"/>
      <c r="KK64">
        <v>108</v>
      </c>
      <c r="KL64">
        <v>114</v>
      </c>
      <c r="KM64">
        <v>109</v>
      </c>
      <c r="KN64">
        <v>149634427</v>
      </c>
      <c r="KO64">
        <v>163</v>
      </c>
      <c r="KQ64" s="24"/>
      <c r="KR64">
        <v>95500</v>
      </c>
      <c r="KS64">
        <v>95852</v>
      </c>
      <c r="KT64">
        <v>95851</v>
      </c>
      <c r="KU64">
        <v>50417</v>
      </c>
      <c r="KV64">
        <v>652</v>
      </c>
      <c r="KX64" s="24"/>
      <c r="KY64">
        <v>479</v>
      </c>
      <c r="KZ64">
        <v>521</v>
      </c>
      <c r="LA64">
        <v>480</v>
      </c>
      <c r="LB64">
        <v>6973800</v>
      </c>
      <c r="LC64">
        <v>189</v>
      </c>
      <c r="LE64" s="24"/>
      <c r="LF64">
        <v>201010</v>
      </c>
      <c r="LG64">
        <v>205508</v>
      </c>
      <c r="LH64">
        <v>205108</v>
      </c>
      <c r="LI64">
        <v>102527</v>
      </c>
      <c r="LJ64">
        <v>958</v>
      </c>
      <c r="LL64" s="24"/>
      <c r="LM64">
        <v>85500</v>
      </c>
      <c r="LN64">
        <v>86304</v>
      </c>
      <c r="LO64">
        <v>86250</v>
      </c>
      <c r="LP64">
        <v>247749</v>
      </c>
      <c r="LQ64">
        <v>1295</v>
      </c>
      <c r="LS64" s="24"/>
      <c r="LT64">
        <v>259</v>
      </c>
      <c r="LU64">
        <v>278</v>
      </c>
      <c r="LV64">
        <v>262</v>
      </c>
      <c r="LW64">
        <v>98833574</v>
      </c>
      <c r="LX64">
        <v>348</v>
      </c>
      <c r="LZ64" s="24"/>
      <c r="MA64">
        <v>75003</v>
      </c>
      <c r="MB64">
        <v>76921</v>
      </c>
      <c r="MC64">
        <v>75188</v>
      </c>
      <c r="MD64">
        <v>818868</v>
      </c>
      <c r="ME64">
        <v>85</v>
      </c>
    </row>
    <row r="65" spans="2:343" x14ac:dyDescent="0.25">
      <c r="B65" s="24"/>
      <c r="C65">
        <v>2</v>
      </c>
      <c r="D65">
        <v>2</v>
      </c>
      <c r="E65">
        <v>2</v>
      </c>
      <c r="F65">
        <v>29066856571</v>
      </c>
      <c r="G65">
        <v>3069</v>
      </c>
      <c r="I65" s="24"/>
      <c r="J65">
        <v>4</v>
      </c>
      <c r="K65">
        <v>4</v>
      </c>
      <c r="L65">
        <v>4</v>
      </c>
      <c r="M65">
        <v>5633280823</v>
      </c>
      <c r="N65">
        <v>2165</v>
      </c>
      <c r="P65" s="24"/>
      <c r="Q65">
        <v>28</v>
      </c>
      <c r="R65">
        <v>29</v>
      </c>
      <c r="S65">
        <v>29</v>
      </c>
      <c r="T65">
        <v>2280885752</v>
      </c>
      <c r="U65">
        <v>1981</v>
      </c>
      <c r="W65" s="24"/>
      <c r="X65">
        <v>71</v>
      </c>
      <c r="Y65">
        <v>72</v>
      </c>
      <c r="Z65">
        <v>72</v>
      </c>
      <c r="AA65">
        <v>407140712</v>
      </c>
      <c r="AB65">
        <v>1517</v>
      </c>
      <c r="AD65" s="24"/>
      <c r="AE65">
        <v>533</v>
      </c>
      <c r="AF65">
        <v>549</v>
      </c>
      <c r="AG65">
        <v>534</v>
      </c>
      <c r="AH65">
        <v>107092704</v>
      </c>
      <c r="AI65">
        <v>1608</v>
      </c>
      <c r="AK65" s="24"/>
      <c r="AL65">
        <v>1007</v>
      </c>
      <c r="AM65">
        <v>1039</v>
      </c>
      <c r="AN65">
        <v>1018</v>
      </c>
      <c r="AO65">
        <v>35446822</v>
      </c>
      <c r="AP65">
        <v>1306</v>
      </c>
      <c r="AR65" s="24"/>
      <c r="AS65">
        <v>2950</v>
      </c>
      <c r="AT65">
        <v>3043</v>
      </c>
      <c r="AU65">
        <v>2960</v>
      </c>
      <c r="AV65">
        <v>15552802</v>
      </c>
      <c r="AW65">
        <v>1294</v>
      </c>
      <c r="AY65" s="24"/>
      <c r="AZ65">
        <v>327000000</v>
      </c>
      <c r="BA65">
        <v>335003000</v>
      </c>
      <c r="BB65">
        <v>330000000</v>
      </c>
      <c r="BC65">
        <v>2366</v>
      </c>
      <c r="BD65">
        <v>1579</v>
      </c>
      <c r="BF65" s="24"/>
      <c r="BG65">
        <v>24631</v>
      </c>
      <c r="BH65">
        <v>24901</v>
      </c>
      <c r="BI65">
        <v>24900</v>
      </c>
      <c r="BJ65">
        <v>2407662</v>
      </c>
      <c r="BK65">
        <v>181</v>
      </c>
      <c r="BM65" s="24"/>
      <c r="BN65">
        <v>7051110</v>
      </c>
      <c r="BO65">
        <v>7141058</v>
      </c>
      <c r="BP65">
        <v>7061077</v>
      </c>
      <c r="BQ65">
        <v>11570</v>
      </c>
      <c r="BR65">
        <v>365</v>
      </c>
      <c r="BT65" s="24"/>
      <c r="BU65">
        <v>1585</v>
      </c>
      <c r="BV65">
        <v>1623</v>
      </c>
      <c r="BW65">
        <v>1623</v>
      </c>
      <c r="BX65">
        <v>26306387</v>
      </c>
      <c r="BY65">
        <v>219</v>
      </c>
      <c r="CA65" s="24"/>
      <c r="CB65">
        <v>283</v>
      </c>
      <c r="CC65">
        <v>286</v>
      </c>
      <c r="CD65">
        <v>285</v>
      </c>
      <c r="CE65">
        <v>66322754</v>
      </c>
      <c r="CF65">
        <v>259</v>
      </c>
      <c r="CH65" s="24"/>
      <c r="CI65">
        <v>27652</v>
      </c>
      <c r="CJ65">
        <v>27652</v>
      </c>
      <c r="CK65">
        <v>27652</v>
      </c>
      <c r="CL65">
        <v>1352016</v>
      </c>
      <c r="CM65">
        <v>156</v>
      </c>
      <c r="CO65" s="24"/>
      <c r="CP65">
        <v>8169</v>
      </c>
      <c r="CQ65">
        <v>8784</v>
      </c>
      <c r="CR65">
        <v>8500</v>
      </c>
      <c r="CS65">
        <v>1575604</v>
      </c>
      <c r="CT65">
        <v>438</v>
      </c>
      <c r="CV65" s="24"/>
      <c r="CW65">
        <v>1350001</v>
      </c>
      <c r="CX65">
        <v>1399999</v>
      </c>
      <c r="CY65">
        <v>1350006</v>
      </c>
      <c r="CZ65">
        <v>18314</v>
      </c>
      <c r="DA65">
        <v>56</v>
      </c>
      <c r="DC65" s="24"/>
      <c r="DD65">
        <v>295</v>
      </c>
      <c r="DE65">
        <v>307</v>
      </c>
      <c r="DF65">
        <v>306</v>
      </c>
      <c r="DG65">
        <v>49814129</v>
      </c>
      <c r="DH65">
        <v>148</v>
      </c>
      <c r="DJ65" s="24"/>
      <c r="DK65">
        <v>37004268</v>
      </c>
      <c r="DL65">
        <v>42002115</v>
      </c>
      <c r="DM65">
        <v>39000033</v>
      </c>
      <c r="DN65">
        <v>440</v>
      </c>
      <c r="DO65">
        <v>109</v>
      </c>
      <c r="DQ65" s="24"/>
      <c r="DR65">
        <v>1122019</v>
      </c>
      <c r="DS65">
        <v>1182996</v>
      </c>
      <c r="DT65">
        <v>1179997</v>
      </c>
      <c r="DU65">
        <v>5890</v>
      </c>
      <c r="DV65">
        <v>210</v>
      </c>
      <c r="DX65" s="24"/>
      <c r="DY65">
        <v>20190007</v>
      </c>
      <c r="DZ65">
        <v>21159999</v>
      </c>
      <c r="EA65">
        <v>21159999</v>
      </c>
      <c r="EB65">
        <v>459</v>
      </c>
      <c r="EC65">
        <v>100</v>
      </c>
      <c r="EE65" s="24"/>
      <c r="EF65">
        <v>172</v>
      </c>
      <c r="EG65">
        <v>174</v>
      </c>
      <c r="EH65">
        <v>174</v>
      </c>
      <c r="EI65">
        <v>102271085</v>
      </c>
      <c r="EJ65">
        <v>188</v>
      </c>
      <c r="EL65" s="24"/>
      <c r="EM65">
        <v>75000</v>
      </c>
      <c r="EN65">
        <v>80999</v>
      </c>
      <c r="EO65">
        <v>75000</v>
      </c>
      <c r="EP65">
        <v>80153</v>
      </c>
      <c r="EQ65">
        <v>709</v>
      </c>
      <c r="ES65" s="24"/>
      <c r="ET65">
        <v>280</v>
      </c>
      <c r="EU65">
        <v>308</v>
      </c>
      <c r="EV65">
        <v>294</v>
      </c>
      <c r="EW65">
        <v>44466433</v>
      </c>
      <c r="EX65">
        <v>639</v>
      </c>
      <c r="EZ65" s="24"/>
      <c r="FA65">
        <v>4078000</v>
      </c>
      <c r="FB65">
        <v>4078000</v>
      </c>
      <c r="FC65">
        <v>4078000</v>
      </c>
      <c r="FD65">
        <v>1532</v>
      </c>
      <c r="FE65">
        <v>25</v>
      </c>
      <c r="FG65" s="24"/>
      <c r="FH65">
        <v>7998</v>
      </c>
      <c r="FI65">
        <v>8386</v>
      </c>
      <c r="FJ65">
        <v>8141</v>
      </c>
      <c r="FK65">
        <v>2408017</v>
      </c>
      <c r="FL65">
        <v>518</v>
      </c>
      <c r="FN65" s="24"/>
      <c r="FO65">
        <v>19997</v>
      </c>
      <c r="FP65">
        <v>19998</v>
      </c>
      <c r="FQ65">
        <v>19998</v>
      </c>
      <c r="FR65">
        <v>125498</v>
      </c>
      <c r="FS65">
        <v>61</v>
      </c>
      <c r="FU65" s="24"/>
      <c r="FV65">
        <v>31750</v>
      </c>
      <c r="FW65">
        <v>31757</v>
      </c>
      <c r="FX65">
        <v>31750</v>
      </c>
      <c r="FY65">
        <v>308159</v>
      </c>
      <c r="FZ65">
        <v>1306</v>
      </c>
      <c r="GB65" s="24"/>
      <c r="GC65">
        <v>113000200</v>
      </c>
      <c r="GD65">
        <v>115900000</v>
      </c>
      <c r="GE65">
        <v>113989399</v>
      </c>
      <c r="GF65">
        <v>77</v>
      </c>
      <c r="GG65">
        <v>61</v>
      </c>
      <c r="GI65" s="24"/>
      <c r="GJ65">
        <v>20410000</v>
      </c>
      <c r="GK65">
        <v>21179999</v>
      </c>
      <c r="GL65">
        <v>21178999</v>
      </c>
      <c r="GM65">
        <v>461</v>
      </c>
      <c r="GN65">
        <v>74</v>
      </c>
      <c r="GP65" s="24"/>
      <c r="GQ65">
        <v>105</v>
      </c>
      <c r="GR65">
        <v>113</v>
      </c>
      <c r="GS65">
        <v>113</v>
      </c>
      <c r="GT65">
        <v>99891514</v>
      </c>
      <c r="GU65">
        <v>115</v>
      </c>
      <c r="GW65" s="24"/>
      <c r="GX65">
        <v>272</v>
      </c>
      <c r="GY65">
        <v>273</v>
      </c>
      <c r="GZ65">
        <v>272</v>
      </c>
      <c r="HA65">
        <v>66857902</v>
      </c>
      <c r="HB65">
        <v>208</v>
      </c>
      <c r="HD65" s="24"/>
      <c r="HE65">
        <v>4999</v>
      </c>
      <c r="HF65">
        <v>5093</v>
      </c>
      <c r="HG65">
        <v>5088</v>
      </c>
      <c r="HH65">
        <v>20615508</v>
      </c>
      <c r="HI65">
        <v>300</v>
      </c>
      <c r="HK65" s="24"/>
      <c r="HL65">
        <v>104105907</v>
      </c>
      <c r="HM65">
        <v>118445296</v>
      </c>
      <c r="HN65">
        <v>114081079</v>
      </c>
      <c r="HO65">
        <v>66</v>
      </c>
      <c r="HP65">
        <v>53</v>
      </c>
      <c r="HR65" s="24"/>
      <c r="HS65">
        <v>10502</v>
      </c>
      <c r="HT65">
        <v>10979</v>
      </c>
      <c r="HU65">
        <v>10653</v>
      </c>
      <c r="HV65">
        <v>788561</v>
      </c>
      <c r="HW65">
        <v>182</v>
      </c>
      <c r="HY65" s="24"/>
      <c r="HZ65">
        <v>8761</v>
      </c>
      <c r="IA65">
        <v>9358</v>
      </c>
      <c r="IB65">
        <v>9198</v>
      </c>
      <c r="IC65">
        <v>1946800</v>
      </c>
      <c r="ID65">
        <v>512</v>
      </c>
      <c r="IF65" s="24"/>
      <c r="IG65">
        <v>2766</v>
      </c>
      <c r="IH65">
        <v>2805</v>
      </c>
      <c r="II65">
        <v>2798</v>
      </c>
      <c r="IJ65">
        <v>2161455</v>
      </c>
      <c r="IK65">
        <v>122</v>
      </c>
      <c r="IM65" s="24"/>
      <c r="IN65">
        <v>114000000</v>
      </c>
      <c r="IO65">
        <v>114083129</v>
      </c>
      <c r="IP65">
        <v>114081330</v>
      </c>
      <c r="IQ65">
        <v>132</v>
      </c>
      <c r="IR65">
        <v>77</v>
      </c>
      <c r="IT65" s="24"/>
      <c r="IU65">
        <v>8004</v>
      </c>
      <c r="IV65">
        <v>8174</v>
      </c>
      <c r="IW65">
        <v>8129</v>
      </c>
      <c r="IX65">
        <v>1829732</v>
      </c>
      <c r="IY65">
        <v>153</v>
      </c>
      <c r="JA65" s="24"/>
      <c r="JB65">
        <v>110000000</v>
      </c>
      <c r="JC65">
        <v>114499998</v>
      </c>
      <c r="JD65">
        <v>113399999</v>
      </c>
      <c r="JE65">
        <v>153</v>
      </c>
      <c r="JF65">
        <v>95</v>
      </c>
      <c r="JH65" s="24"/>
      <c r="JI65">
        <v>104101801</v>
      </c>
      <c r="JJ65">
        <v>114499999</v>
      </c>
      <c r="JK65">
        <v>110746319</v>
      </c>
      <c r="JL65">
        <v>42</v>
      </c>
      <c r="JM65">
        <v>35</v>
      </c>
      <c r="JO65" s="24"/>
      <c r="JP65">
        <v>71</v>
      </c>
      <c r="JQ65">
        <v>74</v>
      </c>
      <c r="JR65">
        <v>73</v>
      </c>
      <c r="JS65">
        <v>118711975</v>
      </c>
      <c r="JT65">
        <v>107</v>
      </c>
      <c r="JV65" s="24"/>
      <c r="JW65">
        <v>91</v>
      </c>
      <c r="JX65">
        <v>94</v>
      </c>
      <c r="JY65">
        <v>93</v>
      </c>
      <c r="JZ65">
        <v>138433081</v>
      </c>
      <c r="KA65">
        <v>102</v>
      </c>
      <c r="KC65" s="24"/>
      <c r="KD65">
        <v>18</v>
      </c>
      <c r="KE65">
        <v>19</v>
      </c>
      <c r="KF65">
        <v>19</v>
      </c>
      <c r="KG65">
        <v>46340421</v>
      </c>
      <c r="KH65">
        <v>290</v>
      </c>
      <c r="KJ65" s="24"/>
      <c r="KK65">
        <v>107</v>
      </c>
      <c r="KL65">
        <v>111</v>
      </c>
      <c r="KM65">
        <v>111</v>
      </c>
      <c r="KN65">
        <v>152372582</v>
      </c>
      <c r="KO65">
        <v>160</v>
      </c>
      <c r="KQ65" s="24"/>
      <c r="KR65">
        <v>95100</v>
      </c>
      <c r="KS65">
        <v>95101</v>
      </c>
      <c r="KT65">
        <v>95100</v>
      </c>
      <c r="KU65">
        <v>60605</v>
      </c>
      <c r="KV65">
        <v>665</v>
      </c>
      <c r="KX65" s="24"/>
      <c r="KY65">
        <v>519</v>
      </c>
      <c r="KZ65">
        <v>521</v>
      </c>
      <c r="LA65">
        <v>519</v>
      </c>
      <c r="LB65">
        <v>4785219</v>
      </c>
      <c r="LC65">
        <v>161</v>
      </c>
      <c r="LE65" s="24"/>
      <c r="LF65">
        <v>206000</v>
      </c>
      <c r="LG65">
        <v>206048</v>
      </c>
      <c r="LH65">
        <v>206030</v>
      </c>
      <c r="LI65">
        <v>136134</v>
      </c>
      <c r="LJ65">
        <v>1010</v>
      </c>
      <c r="LL65" s="24"/>
      <c r="LM65">
        <v>87002</v>
      </c>
      <c r="LN65">
        <v>87505</v>
      </c>
      <c r="LO65">
        <v>87010</v>
      </c>
      <c r="LP65">
        <v>400102</v>
      </c>
      <c r="LQ65">
        <v>1375</v>
      </c>
      <c r="LS65" s="24"/>
      <c r="LT65">
        <v>260</v>
      </c>
      <c r="LU65">
        <v>269</v>
      </c>
      <c r="LV65">
        <v>262</v>
      </c>
      <c r="LW65">
        <v>87725691</v>
      </c>
      <c r="LX65">
        <v>325</v>
      </c>
      <c r="LZ65" s="24"/>
      <c r="MA65">
        <v>72511</v>
      </c>
      <c r="MB65">
        <v>75997</v>
      </c>
      <c r="MC65">
        <v>75928</v>
      </c>
      <c r="MD65">
        <v>559132</v>
      </c>
      <c r="ME65">
        <v>78</v>
      </c>
    </row>
    <row r="66" spans="2:343" x14ac:dyDescent="0.25">
      <c r="B66" s="24"/>
      <c r="C66">
        <v>2</v>
      </c>
      <c r="D66">
        <v>2</v>
      </c>
      <c r="E66">
        <v>2</v>
      </c>
      <c r="F66">
        <v>49013096683</v>
      </c>
      <c r="G66">
        <v>3075</v>
      </c>
      <c r="I66" s="24"/>
      <c r="J66">
        <v>4</v>
      </c>
      <c r="K66">
        <v>4</v>
      </c>
      <c r="L66">
        <v>4</v>
      </c>
      <c r="M66">
        <v>6620201372</v>
      </c>
      <c r="N66">
        <v>2103</v>
      </c>
      <c r="P66" s="24"/>
      <c r="Q66">
        <v>29</v>
      </c>
      <c r="R66">
        <v>29</v>
      </c>
      <c r="S66">
        <v>29</v>
      </c>
      <c r="T66">
        <v>2181510805</v>
      </c>
      <c r="U66">
        <v>1938</v>
      </c>
      <c r="W66" s="24"/>
      <c r="X66">
        <v>72</v>
      </c>
      <c r="Y66">
        <v>75</v>
      </c>
      <c r="Z66">
        <v>73</v>
      </c>
      <c r="AA66">
        <v>345114722</v>
      </c>
      <c r="AB66">
        <v>1550</v>
      </c>
      <c r="AD66" s="24"/>
      <c r="AE66">
        <v>531</v>
      </c>
      <c r="AF66">
        <v>547</v>
      </c>
      <c r="AG66">
        <v>533</v>
      </c>
      <c r="AH66">
        <v>114781567</v>
      </c>
      <c r="AI66">
        <v>1631</v>
      </c>
      <c r="AK66" s="24"/>
      <c r="AL66">
        <v>1017</v>
      </c>
      <c r="AM66">
        <v>1040</v>
      </c>
      <c r="AN66">
        <v>1020</v>
      </c>
      <c r="AO66">
        <v>42116528</v>
      </c>
      <c r="AP66">
        <v>1254</v>
      </c>
      <c r="AR66" s="24"/>
      <c r="AS66">
        <v>2955</v>
      </c>
      <c r="AT66">
        <v>3041</v>
      </c>
      <c r="AU66">
        <v>3000</v>
      </c>
      <c r="AV66">
        <v>15510656</v>
      </c>
      <c r="AW66">
        <v>1259</v>
      </c>
      <c r="AY66" s="24"/>
      <c r="AZ66">
        <v>325000000</v>
      </c>
      <c r="BA66">
        <v>332600840</v>
      </c>
      <c r="BB66">
        <v>328872497</v>
      </c>
      <c r="BC66">
        <v>2003</v>
      </c>
      <c r="BD66">
        <v>1315</v>
      </c>
      <c r="BF66" s="24"/>
      <c r="BG66">
        <v>23928</v>
      </c>
      <c r="BH66">
        <v>25057</v>
      </c>
      <c r="BI66">
        <v>24502</v>
      </c>
      <c r="BJ66">
        <v>2349421</v>
      </c>
      <c r="BK66">
        <v>179</v>
      </c>
      <c r="BM66" s="24"/>
      <c r="BN66">
        <v>6750000</v>
      </c>
      <c r="BO66">
        <v>7061103</v>
      </c>
      <c r="BP66">
        <v>6900002</v>
      </c>
      <c r="BQ66">
        <v>6277</v>
      </c>
      <c r="BR66">
        <v>292</v>
      </c>
      <c r="BT66" s="24"/>
      <c r="BU66">
        <v>1599</v>
      </c>
      <c r="BV66">
        <v>1622</v>
      </c>
      <c r="BW66">
        <v>1622</v>
      </c>
      <c r="BX66">
        <v>19580968</v>
      </c>
      <c r="BY66">
        <v>232</v>
      </c>
      <c r="CA66" s="24"/>
      <c r="CB66">
        <v>285</v>
      </c>
      <c r="CC66">
        <v>299</v>
      </c>
      <c r="CD66">
        <v>298</v>
      </c>
      <c r="CE66">
        <v>64396931</v>
      </c>
      <c r="CF66">
        <v>284</v>
      </c>
      <c r="CH66" s="24"/>
      <c r="CI66">
        <v>27343</v>
      </c>
      <c r="CJ66">
        <v>27499</v>
      </c>
      <c r="CK66">
        <v>27344</v>
      </c>
      <c r="CL66">
        <v>1195638</v>
      </c>
      <c r="CM66">
        <v>163</v>
      </c>
      <c r="CO66" s="24"/>
      <c r="CP66">
        <v>8155</v>
      </c>
      <c r="CQ66">
        <v>8518</v>
      </c>
      <c r="CR66">
        <v>8489</v>
      </c>
      <c r="CS66">
        <v>1047784</v>
      </c>
      <c r="CT66">
        <v>374</v>
      </c>
      <c r="CV66" s="24"/>
      <c r="CW66">
        <v>1332090</v>
      </c>
      <c r="CX66">
        <v>1350000</v>
      </c>
      <c r="CY66">
        <v>1340077</v>
      </c>
      <c r="CZ66">
        <v>6158</v>
      </c>
      <c r="DA66">
        <v>32</v>
      </c>
      <c r="DC66" s="24"/>
      <c r="DD66">
        <v>302</v>
      </c>
      <c r="DE66">
        <v>303</v>
      </c>
      <c r="DF66">
        <v>303</v>
      </c>
      <c r="DG66">
        <v>34491229</v>
      </c>
      <c r="DH66">
        <v>140</v>
      </c>
      <c r="DJ66" s="24"/>
      <c r="DK66">
        <v>39000123</v>
      </c>
      <c r="DL66">
        <v>39000201</v>
      </c>
      <c r="DM66">
        <v>39000183</v>
      </c>
      <c r="DN66">
        <v>606</v>
      </c>
      <c r="DO66">
        <v>102</v>
      </c>
      <c r="DQ66" s="24"/>
      <c r="DR66">
        <v>1122052</v>
      </c>
      <c r="DS66">
        <v>1182000</v>
      </c>
      <c r="DT66">
        <v>1122053</v>
      </c>
      <c r="DU66">
        <v>8685</v>
      </c>
      <c r="DV66">
        <v>264</v>
      </c>
      <c r="DX66" s="24"/>
      <c r="DY66">
        <v>20250004</v>
      </c>
      <c r="DZ66">
        <v>21549999</v>
      </c>
      <c r="EA66">
        <v>20250012</v>
      </c>
      <c r="EB66">
        <v>495</v>
      </c>
      <c r="EC66">
        <v>110</v>
      </c>
      <c r="EE66" s="24"/>
      <c r="EF66">
        <v>167</v>
      </c>
      <c r="EG66">
        <v>174</v>
      </c>
      <c r="EH66">
        <v>170</v>
      </c>
      <c r="EI66">
        <v>97861976</v>
      </c>
      <c r="EJ66">
        <v>214</v>
      </c>
      <c r="EL66" s="24"/>
      <c r="EM66">
        <v>75000</v>
      </c>
      <c r="EN66">
        <v>77999</v>
      </c>
      <c r="EO66">
        <v>75000</v>
      </c>
      <c r="EP66">
        <v>59047</v>
      </c>
      <c r="EQ66">
        <v>680</v>
      </c>
      <c r="ES66" s="24"/>
      <c r="ET66">
        <v>303</v>
      </c>
      <c r="EU66">
        <v>308</v>
      </c>
      <c r="EV66">
        <v>305</v>
      </c>
      <c r="EW66">
        <v>29373459</v>
      </c>
      <c r="EX66">
        <v>529</v>
      </c>
      <c r="EZ66" s="24"/>
      <c r="FA66">
        <v>3494051</v>
      </c>
      <c r="FB66">
        <v>4057995</v>
      </c>
      <c r="FC66">
        <v>3494051</v>
      </c>
      <c r="FD66">
        <v>773</v>
      </c>
      <c r="FE66">
        <v>21</v>
      </c>
      <c r="FG66" s="24"/>
      <c r="FH66">
        <v>8119</v>
      </c>
      <c r="FI66">
        <v>8889</v>
      </c>
      <c r="FJ66">
        <v>8502</v>
      </c>
      <c r="FK66">
        <v>3765714</v>
      </c>
      <c r="FL66">
        <v>528</v>
      </c>
      <c r="FN66" s="24"/>
      <c r="FO66">
        <v>18404</v>
      </c>
      <c r="FP66">
        <v>18898</v>
      </c>
      <c r="FQ66">
        <v>18406</v>
      </c>
      <c r="FR66">
        <v>379768</v>
      </c>
      <c r="FS66">
        <v>107</v>
      </c>
      <c r="FU66" s="24"/>
      <c r="FV66">
        <v>30316</v>
      </c>
      <c r="FW66">
        <v>31748</v>
      </c>
      <c r="FX66">
        <v>30385</v>
      </c>
      <c r="FY66">
        <v>291070</v>
      </c>
      <c r="FZ66">
        <v>1357</v>
      </c>
      <c r="GB66" s="24"/>
      <c r="GC66">
        <v>107000001</v>
      </c>
      <c r="GD66">
        <v>116000000</v>
      </c>
      <c r="GE66">
        <v>111051905</v>
      </c>
      <c r="GF66">
        <v>86</v>
      </c>
      <c r="GG66">
        <v>51</v>
      </c>
      <c r="GI66" s="24"/>
      <c r="GJ66">
        <v>21179999</v>
      </c>
      <c r="GK66">
        <v>21179999</v>
      </c>
      <c r="GL66">
        <v>21179999</v>
      </c>
      <c r="GM66">
        <v>887</v>
      </c>
      <c r="GN66">
        <v>101</v>
      </c>
      <c r="GP66" s="24"/>
      <c r="GQ66">
        <v>106</v>
      </c>
      <c r="GR66">
        <v>113</v>
      </c>
      <c r="GS66">
        <v>113</v>
      </c>
      <c r="GT66">
        <v>124688962</v>
      </c>
      <c r="GU66">
        <v>147</v>
      </c>
      <c r="GW66" s="24"/>
      <c r="GX66">
        <v>257</v>
      </c>
      <c r="GY66">
        <v>274</v>
      </c>
      <c r="GZ66">
        <v>266</v>
      </c>
      <c r="HA66">
        <v>61768966</v>
      </c>
      <c r="HB66">
        <v>193</v>
      </c>
      <c r="HD66" s="24"/>
      <c r="HE66">
        <v>4941</v>
      </c>
      <c r="HF66">
        <v>5088</v>
      </c>
      <c r="HG66">
        <v>5084</v>
      </c>
      <c r="HH66">
        <v>19097023</v>
      </c>
      <c r="HI66">
        <v>318</v>
      </c>
      <c r="HK66" s="24"/>
      <c r="HL66">
        <v>104129906</v>
      </c>
      <c r="HM66">
        <v>118345990</v>
      </c>
      <c r="HN66">
        <v>117320635</v>
      </c>
      <c r="HO66">
        <v>29</v>
      </c>
      <c r="HP66">
        <v>28</v>
      </c>
      <c r="HR66" s="24"/>
      <c r="HS66">
        <v>10030</v>
      </c>
      <c r="HT66">
        <v>10502</v>
      </c>
      <c r="HU66">
        <v>10495</v>
      </c>
      <c r="HV66">
        <v>891587</v>
      </c>
      <c r="HW66">
        <v>176</v>
      </c>
      <c r="HY66" s="24"/>
      <c r="HZ66">
        <v>8753</v>
      </c>
      <c r="IA66">
        <v>9023</v>
      </c>
      <c r="IB66">
        <v>8999</v>
      </c>
      <c r="IC66">
        <v>1539263</v>
      </c>
      <c r="ID66">
        <v>456</v>
      </c>
      <c r="IF66" s="24"/>
      <c r="IG66">
        <v>2797</v>
      </c>
      <c r="IH66">
        <v>2798</v>
      </c>
      <c r="II66">
        <v>2797</v>
      </c>
      <c r="IJ66">
        <v>2966993</v>
      </c>
      <c r="IK66">
        <v>146</v>
      </c>
      <c r="IM66" s="24"/>
      <c r="IN66">
        <v>106002404</v>
      </c>
      <c r="IO66">
        <v>114486699</v>
      </c>
      <c r="IP66">
        <v>109829617</v>
      </c>
      <c r="IQ66">
        <v>53</v>
      </c>
      <c r="IR66">
        <v>49</v>
      </c>
      <c r="IT66" s="24"/>
      <c r="IU66">
        <v>8174</v>
      </c>
      <c r="IV66">
        <v>8174</v>
      </c>
      <c r="IW66">
        <v>8174</v>
      </c>
      <c r="IX66">
        <v>945891</v>
      </c>
      <c r="IY66">
        <v>154</v>
      </c>
      <c r="JA66" s="24"/>
      <c r="JB66">
        <v>109600000</v>
      </c>
      <c r="JC66">
        <v>114749999</v>
      </c>
      <c r="JD66">
        <v>112928170</v>
      </c>
      <c r="JE66">
        <v>83</v>
      </c>
      <c r="JF66">
        <v>61</v>
      </c>
      <c r="JH66" s="24"/>
      <c r="JI66">
        <v>104106407</v>
      </c>
      <c r="JJ66">
        <v>112104799</v>
      </c>
      <c r="JK66">
        <v>110375695</v>
      </c>
      <c r="JL66">
        <v>21</v>
      </c>
      <c r="JM66">
        <v>20</v>
      </c>
      <c r="JO66" s="24"/>
      <c r="JP66">
        <v>70</v>
      </c>
      <c r="JQ66">
        <v>74</v>
      </c>
      <c r="JR66">
        <v>74</v>
      </c>
      <c r="JS66">
        <v>99733184</v>
      </c>
      <c r="JT66">
        <v>97</v>
      </c>
      <c r="JV66" s="24"/>
      <c r="JW66">
        <v>91</v>
      </c>
      <c r="JX66">
        <v>95</v>
      </c>
      <c r="JY66">
        <v>94</v>
      </c>
      <c r="JZ66">
        <v>139585114</v>
      </c>
      <c r="KA66">
        <v>112</v>
      </c>
      <c r="KC66" s="24"/>
      <c r="KD66">
        <v>19</v>
      </c>
      <c r="KE66">
        <v>19</v>
      </c>
      <c r="KF66">
        <v>19</v>
      </c>
      <c r="KG66">
        <v>45346913</v>
      </c>
      <c r="KH66">
        <v>281</v>
      </c>
      <c r="KJ66" s="24"/>
      <c r="KK66">
        <v>102</v>
      </c>
      <c r="KL66">
        <v>109</v>
      </c>
      <c r="KM66">
        <v>109</v>
      </c>
      <c r="KN66">
        <v>86707627</v>
      </c>
      <c r="KO66">
        <v>159</v>
      </c>
      <c r="KQ66" s="24"/>
      <c r="KR66">
        <v>95000</v>
      </c>
      <c r="KS66">
        <v>97899</v>
      </c>
      <c r="KT66">
        <v>96000</v>
      </c>
      <c r="KU66">
        <v>44861</v>
      </c>
      <c r="KV66">
        <v>627</v>
      </c>
      <c r="KX66" s="24"/>
      <c r="KY66">
        <v>519</v>
      </c>
      <c r="KZ66">
        <v>519</v>
      </c>
      <c r="LA66">
        <v>519</v>
      </c>
      <c r="LB66">
        <v>5911303</v>
      </c>
      <c r="LC66">
        <v>190</v>
      </c>
      <c r="LE66" s="24"/>
      <c r="LF66">
        <v>206041</v>
      </c>
      <c r="LG66">
        <v>208056</v>
      </c>
      <c r="LH66">
        <v>206049</v>
      </c>
      <c r="LI66">
        <v>95804</v>
      </c>
      <c r="LJ66">
        <v>945</v>
      </c>
      <c r="LL66" s="24"/>
      <c r="LM66">
        <v>87613</v>
      </c>
      <c r="LN66">
        <v>88518</v>
      </c>
      <c r="LO66">
        <v>87999</v>
      </c>
      <c r="LP66">
        <v>324655</v>
      </c>
      <c r="LQ66">
        <v>1400</v>
      </c>
      <c r="LS66" s="24"/>
      <c r="LT66">
        <v>256</v>
      </c>
      <c r="LU66">
        <v>262</v>
      </c>
      <c r="LV66">
        <v>262</v>
      </c>
      <c r="LW66">
        <v>86132721</v>
      </c>
      <c r="LX66">
        <v>331</v>
      </c>
      <c r="LZ66" s="24"/>
      <c r="MA66">
        <v>74000</v>
      </c>
      <c r="MB66">
        <v>75986</v>
      </c>
      <c r="MC66">
        <v>74000</v>
      </c>
      <c r="MD66">
        <v>822425</v>
      </c>
      <c r="ME66">
        <v>78</v>
      </c>
    </row>
    <row r="67" spans="2:343" x14ac:dyDescent="0.25">
      <c r="B67" s="24"/>
      <c r="C67">
        <v>2</v>
      </c>
      <c r="D67">
        <v>2</v>
      </c>
      <c r="E67">
        <v>2</v>
      </c>
      <c r="F67">
        <v>56334129291</v>
      </c>
      <c r="G67">
        <v>3089</v>
      </c>
      <c r="I67" s="24"/>
      <c r="J67">
        <v>4</v>
      </c>
      <c r="K67">
        <v>4</v>
      </c>
      <c r="L67">
        <v>4</v>
      </c>
      <c r="M67">
        <v>5997685727</v>
      </c>
      <c r="N67">
        <v>2145</v>
      </c>
      <c r="P67" s="24"/>
      <c r="Q67">
        <v>29</v>
      </c>
      <c r="R67">
        <v>29</v>
      </c>
      <c r="S67">
        <v>29</v>
      </c>
      <c r="T67">
        <v>2289666812</v>
      </c>
      <c r="U67">
        <v>1955</v>
      </c>
      <c r="W67" s="24"/>
      <c r="X67">
        <v>72</v>
      </c>
      <c r="Y67">
        <v>74</v>
      </c>
      <c r="Z67">
        <v>74</v>
      </c>
      <c r="AA67">
        <v>424045932</v>
      </c>
      <c r="AB67">
        <v>1515</v>
      </c>
      <c r="AD67" s="24"/>
      <c r="AE67">
        <v>533</v>
      </c>
      <c r="AF67">
        <v>541</v>
      </c>
      <c r="AG67">
        <v>539</v>
      </c>
      <c r="AH67">
        <v>91073798</v>
      </c>
      <c r="AI67">
        <v>1542</v>
      </c>
      <c r="AK67" s="24"/>
      <c r="AL67">
        <v>1016</v>
      </c>
      <c r="AM67">
        <v>1044</v>
      </c>
      <c r="AN67">
        <v>1026</v>
      </c>
      <c r="AO67">
        <v>41509573</v>
      </c>
      <c r="AP67">
        <v>1279</v>
      </c>
      <c r="AR67" s="24"/>
      <c r="AS67">
        <v>2932</v>
      </c>
      <c r="AT67">
        <v>3014</v>
      </c>
      <c r="AU67">
        <v>3012</v>
      </c>
      <c r="AV67">
        <v>10926207</v>
      </c>
      <c r="AW67">
        <v>1211</v>
      </c>
      <c r="AY67" s="24"/>
      <c r="AZ67">
        <v>325000000</v>
      </c>
      <c r="BA67">
        <v>331439988</v>
      </c>
      <c r="BB67">
        <v>328599993</v>
      </c>
      <c r="BC67">
        <v>2325</v>
      </c>
      <c r="BD67">
        <v>1504</v>
      </c>
      <c r="BF67" s="24"/>
      <c r="BG67">
        <v>24300</v>
      </c>
      <c r="BH67">
        <v>25061</v>
      </c>
      <c r="BI67">
        <v>24400</v>
      </c>
      <c r="BJ67">
        <v>2757269</v>
      </c>
      <c r="BK67">
        <v>183</v>
      </c>
      <c r="BM67" s="24"/>
      <c r="BN67">
        <v>6752607</v>
      </c>
      <c r="BO67">
        <v>6950001</v>
      </c>
      <c r="BP67">
        <v>6753081</v>
      </c>
      <c r="BQ67">
        <v>10908</v>
      </c>
      <c r="BR67">
        <v>340</v>
      </c>
      <c r="BT67" s="24"/>
      <c r="BU67">
        <v>1610</v>
      </c>
      <c r="BV67">
        <v>1617</v>
      </c>
      <c r="BW67">
        <v>1612</v>
      </c>
      <c r="BX67">
        <v>29225199</v>
      </c>
      <c r="BY67">
        <v>221</v>
      </c>
      <c r="CA67" s="24"/>
      <c r="CB67">
        <v>281</v>
      </c>
      <c r="CC67">
        <v>293</v>
      </c>
      <c r="CD67">
        <v>293</v>
      </c>
      <c r="CE67">
        <v>77228004</v>
      </c>
      <c r="CF67">
        <v>289</v>
      </c>
      <c r="CH67" s="24"/>
      <c r="CI67">
        <v>27000</v>
      </c>
      <c r="CJ67">
        <v>27205</v>
      </c>
      <c r="CK67">
        <v>27203</v>
      </c>
      <c r="CL67">
        <v>982937</v>
      </c>
      <c r="CM67">
        <v>145</v>
      </c>
      <c r="CO67" s="24"/>
      <c r="CP67">
        <v>7900</v>
      </c>
      <c r="CQ67">
        <v>8343</v>
      </c>
      <c r="CR67">
        <v>8140</v>
      </c>
      <c r="CS67">
        <v>858411</v>
      </c>
      <c r="CT67">
        <v>374</v>
      </c>
      <c r="CV67" s="24"/>
      <c r="CW67">
        <v>1332105</v>
      </c>
      <c r="CX67">
        <v>1399995</v>
      </c>
      <c r="CY67">
        <v>1399888</v>
      </c>
      <c r="CZ67">
        <v>7817</v>
      </c>
      <c r="DA67">
        <v>55</v>
      </c>
      <c r="DC67" s="24"/>
      <c r="DD67">
        <v>293</v>
      </c>
      <c r="DE67">
        <v>306</v>
      </c>
      <c r="DF67">
        <v>302</v>
      </c>
      <c r="DG67">
        <v>46011388</v>
      </c>
      <c r="DH67">
        <v>176</v>
      </c>
      <c r="DJ67" s="24"/>
      <c r="DK67">
        <v>39000030</v>
      </c>
      <c r="DL67">
        <v>40999999</v>
      </c>
      <c r="DM67">
        <v>39000200</v>
      </c>
      <c r="DN67">
        <v>710</v>
      </c>
      <c r="DO67">
        <v>144</v>
      </c>
      <c r="DQ67" s="24"/>
      <c r="DR67">
        <v>1100043</v>
      </c>
      <c r="DS67">
        <v>1137000</v>
      </c>
      <c r="DT67">
        <v>1100077</v>
      </c>
      <c r="DU67">
        <v>6046</v>
      </c>
      <c r="DV67">
        <v>219</v>
      </c>
      <c r="DX67" s="24"/>
      <c r="DY67">
        <v>20230016</v>
      </c>
      <c r="DZ67">
        <v>20700000</v>
      </c>
      <c r="EA67">
        <v>20230025</v>
      </c>
      <c r="EB67">
        <v>330</v>
      </c>
      <c r="EC67">
        <v>108</v>
      </c>
      <c r="EE67" s="24"/>
      <c r="EF67">
        <v>168</v>
      </c>
      <c r="EG67">
        <v>174</v>
      </c>
      <c r="EH67">
        <v>170</v>
      </c>
      <c r="EI67">
        <v>117528489</v>
      </c>
      <c r="EJ67">
        <v>221</v>
      </c>
      <c r="EL67" s="24"/>
      <c r="EM67">
        <v>66031</v>
      </c>
      <c r="EN67">
        <v>71998</v>
      </c>
      <c r="EO67">
        <v>70999</v>
      </c>
      <c r="EP67">
        <v>74754</v>
      </c>
      <c r="EQ67">
        <v>640</v>
      </c>
      <c r="ES67" s="24"/>
      <c r="ET67">
        <v>292</v>
      </c>
      <c r="EU67">
        <v>306</v>
      </c>
      <c r="EV67">
        <v>306</v>
      </c>
      <c r="EW67">
        <v>42613345</v>
      </c>
      <c r="EX67">
        <v>611</v>
      </c>
      <c r="EZ67" s="24"/>
      <c r="FA67">
        <v>4056997</v>
      </c>
      <c r="FB67">
        <v>4056997</v>
      </c>
      <c r="FC67">
        <v>4056997</v>
      </c>
      <c r="FD67">
        <v>1600</v>
      </c>
      <c r="FE67">
        <v>31</v>
      </c>
      <c r="FG67" s="24"/>
      <c r="FH67">
        <v>7907</v>
      </c>
      <c r="FI67">
        <v>8512</v>
      </c>
      <c r="FJ67">
        <v>8039</v>
      </c>
      <c r="FK67">
        <v>1844218</v>
      </c>
      <c r="FL67">
        <v>513</v>
      </c>
      <c r="FN67" s="24"/>
      <c r="FO67">
        <v>18796</v>
      </c>
      <c r="FP67">
        <v>18797</v>
      </c>
      <c r="FQ67">
        <v>18797</v>
      </c>
      <c r="FR67">
        <v>78467</v>
      </c>
      <c r="FS67">
        <v>75</v>
      </c>
      <c r="FU67" s="24"/>
      <c r="FV67">
        <v>31001</v>
      </c>
      <c r="FW67">
        <v>32000</v>
      </c>
      <c r="FX67">
        <v>31002</v>
      </c>
      <c r="FY67">
        <v>192702</v>
      </c>
      <c r="FZ67">
        <v>1191</v>
      </c>
      <c r="GB67" s="24"/>
      <c r="GC67">
        <v>107100000</v>
      </c>
      <c r="GD67">
        <v>112990002</v>
      </c>
      <c r="GE67">
        <v>110988536</v>
      </c>
      <c r="GF67">
        <v>100</v>
      </c>
      <c r="GG67">
        <v>65</v>
      </c>
      <c r="GI67" s="24"/>
      <c r="GJ67">
        <v>22050009</v>
      </c>
      <c r="GK67">
        <v>22690003</v>
      </c>
      <c r="GL67">
        <v>22100400</v>
      </c>
      <c r="GM67">
        <v>352</v>
      </c>
      <c r="GN67">
        <v>73</v>
      </c>
      <c r="GP67" s="24"/>
      <c r="GQ67">
        <v>113</v>
      </c>
      <c r="GR67">
        <v>113</v>
      </c>
      <c r="GS67">
        <v>113</v>
      </c>
      <c r="GT67">
        <v>91848244</v>
      </c>
      <c r="GU67">
        <v>134</v>
      </c>
      <c r="GW67" s="24"/>
      <c r="GX67">
        <v>275</v>
      </c>
      <c r="GY67">
        <v>289</v>
      </c>
      <c r="GZ67">
        <v>289</v>
      </c>
      <c r="HA67">
        <v>59533681</v>
      </c>
      <c r="HB67">
        <v>199</v>
      </c>
      <c r="HD67" s="24"/>
      <c r="HE67">
        <v>4950</v>
      </c>
      <c r="HF67">
        <v>5078</v>
      </c>
      <c r="HG67">
        <v>5078</v>
      </c>
      <c r="HH67">
        <v>19099347</v>
      </c>
      <c r="HI67">
        <v>305</v>
      </c>
      <c r="HK67" s="24"/>
      <c r="HL67">
        <v>104331600</v>
      </c>
      <c r="HM67">
        <v>118144989</v>
      </c>
      <c r="HN67">
        <v>113861200</v>
      </c>
      <c r="HO67">
        <v>62</v>
      </c>
      <c r="HP67">
        <v>49</v>
      </c>
      <c r="HR67" s="24"/>
      <c r="HS67">
        <v>10249</v>
      </c>
      <c r="HT67">
        <v>10444</v>
      </c>
      <c r="HU67">
        <v>10442</v>
      </c>
      <c r="HV67">
        <v>1066877</v>
      </c>
      <c r="HW67">
        <v>205</v>
      </c>
      <c r="HY67" s="24"/>
      <c r="HZ67">
        <v>8522</v>
      </c>
      <c r="IA67">
        <v>8995</v>
      </c>
      <c r="IB67">
        <v>8898</v>
      </c>
      <c r="IC67">
        <v>1848300</v>
      </c>
      <c r="ID67">
        <v>542</v>
      </c>
      <c r="IF67" s="24"/>
      <c r="IG67">
        <v>2799</v>
      </c>
      <c r="IH67">
        <v>2799</v>
      </c>
      <c r="II67">
        <v>2799</v>
      </c>
      <c r="IJ67">
        <v>1713034</v>
      </c>
      <c r="IK67">
        <v>140</v>
      </c>
      <c r="IM67" s="24"/>
      <c r="IN67">
        <v>112010405</v>
      </c>
      <c r="IO67">
        <v>114007802</v>
      </c>
      <c r="IP67">
        <v>114007802</v>
      </c>
      <c r="IQ67">
        <v>113</v>
      </c>
      <c r="IR67">
        <v>64</v>
      </c>
      <c r="IT67" s="24"/>
      <c r="IU67">
        <v>8010</v>
      </c>
      <c r="IV67">
        <v>8117</v>
      </c>
      <c r="IW67">
        <v>8113</v>
      </c>
      <c r="IX67">
        <v>1623948</v>
      </c>
      <c r="IY67">
        <v>155</v>
      </c>
      <c r="JA67" s="24"/>
      <c r="JB67">
        <v>107100001</v>
      </c>
      <c r="JC67">
        <v>113500000</v>
      </c>
      <c r="JD67">
        <v>110900000</v>
      </c>
      <c r="JE67">
        <v>113</v>
      </c>
      <c r="JF67">
        <v>76</v>
      </c>
      <c r="JH67" s="24"/>
      <c r="JI67">
        <v>104109200</v>
      </c>
      <c r="JJ67">
        <v>114497797</v>
      </c>
      <c r="JK67">
        <v>111742778</v>
      </c>
      <c r="JL67">
        <v>35</v>
      </c>
      <c r="JM67">
        <v>33</v>
      </c>
      <c r="JO67" s="24"/>
      <c r="JP67">
        <v>72</v>
      </c>
      <c r="JQ67">
        <v>74</v>
      </c>
      <c r="JR67">
        <v>74</v>
      </c>
      <c r="JS67">
        <v>93367091</v>
      </c>
      <c r="JT67">
        <v>103</v>
      </c>
      <c r="JV67" s="24"/>
      <c r="JW67">
        <v>92</v>
      </c>
      <c r="JX67">
        <v>95</v>
      </c>
      <c r="JY67">
        <v>95</v>
      </c>
      <c r="JZ67">
        <v>152985153</v>
      </c>
      <c r="KA67">
        <v>140</v>
      </c>
      <c r="KC67" s="24"/>
      <c r="KD67">
        <v>19</v>
      </c>
      <c r="KE67">
        <v>19</v>
      </c>
      <c r="KF67">
        <v>19</v>
      </c>
      <c r="KG67">
        <v>53636498</v>
      </c>
      <c r="KH67">
        <v>301</v>
      </c>
      <c r="KJ67" s="24"/>
      <c r="KK67">
        <v>103</v>
      </c>
      <c r="KL67">
        <v>107</v>
      </c>
      <c r="KM67">
        <v>105</v>
      </c>
      <c r="KN67">
        <v>138159370</v>
      </c>
      <c r="KO67">
        <v>172</v>
      </c>
      <c r="KQ67" s="24"/>
      <c r="KR67">
        <v>96041</v>
      </c>
      <c r="KS67">
        <v>102899</v>
      </c>
      <c r="KT67">
        <v>96042</v>
      </c>
      <c r="KU67">
        <v>131210</v>
      </c>
      <c r="KV67">
        <v>623</v>
      </c>
      <c r="KX67" s="24"/>
      <c r="KY67">
        <v>520</v>
      </c>
      <c r="KZ67">
        <v>521</v>
      </c>
      <c r="LA67">
        <v>521</v>
      </c>
      <c r="LB67">
        <v>9325471</v>
      </c>
      <c r="LC67">
        <v>186</v>
      </c>
      <c r="LE67" s="24"/>
      <c r="LF67">
        <v>208062</v>
      </c>
      <c r="LG67">
        <v>209500</v>
      </c>
      <c r="LH67">
        <v>208065</v>
      </c>
      <c r="LI67">
        <v>115740</v>
      </c>
      <c r="LJ67">
        <v>936</v>
      </c>
      <c r="LL67" s="24"/>
      <c r="LM67">
        <v>89019</v>
      </c>
      <c r="LN67">
        <v>89295</v>
      </c>
      <c r="LO67">
        <v>89250</v>
      </c>
      <c r="LP67">
        <v>295177</v>
      </c>
      <c r="LQ67">
        <v>1334</v>
      </c>
      <c r="LS67" s="24"/>
      <c r="LT67">
        <v>260</v>
      </c>
      <c r="LU67">
        <v>262</v>
      </c>
      <c r="LV67">
        <v>262</v>
      </c>
      <c r="LW67">
        <v>78146731</v>
      </c>
      <c r="LX67">
        <v>351</v>
      </c>
      <c r="LZ67" s="24"/>
      <c r="MA67">
        <v>75902</v>
      </c>
      <c r="MB67">
        <v>75983</v>
      </c>
      <c r="MC67">
        <v>75983</v>
      </c>
      <c r="MD67">
        <v>602867</v>
      </c>
      <c r="ME67">
        <v>85</v>
      </c>
    </row>
    <row r="68" spans="2:343" x14ac:dyDescent="0.25">
      <c r="B68" s="24"/>
      <c r="C68">
        <v>2</v>
      </c>
      <c r="D68">
        <v>2</v>
      </c>
      <c r="E68">
        <v>2</v>
      </c>
      <c r="F68">
        <v>68156960297</v>
      </c>
      <c r="G68">
        <v>3518</v>
      </c>
      <c r="I68" s="24"/>
      <c r="J68">
        <v>4</v>
      </c>
      <c r="K68">
        <v>4</v>
      </c>
      <c r="L68">
        <v>4</v>
      </c>
      <c r="M68">
        <v>8129603295</v>
      </c>
      <c r="N68">
        <v>2555</v>
      </c>
      <c r="P68" s="24"/>
      <c r="Q68">
        <v>29</v>
      </c>
      <c r="R68">
        <v>29</v>
      </c>
      <c r="S68">
        <v>29</v>
      </c>
      <c r="T68">
        <v>2719103924</v>
      </c>
      <c r="U68">
        <v>2451</v>
      </c>
      <c r="W68" s="24"/>
      <c r="X68">
        <v>73</v>
      </c>
      <c r="Y68">
        <v>73</v>
      </c>
      <c r="Z68">
        <v>73</v>
      </c>
      <c r="AA68">
        <v>498366626</v>
      </c>
      <c r="AB68">
        <v>1882</v>
      </c>
      <c r="AD68" s="24"/>
      <c r="AE68">
        <v>530</v>
      </c>
      <c r="AF68">
        <v>545</v>
      </c>
      <c r="AG68">
        <v>541</v>
      </c>
      <c r="AH68">
        <v>159362236</v>
      </c>
      <c r="AI68">
        <v>2082</v>
      </c>
      <c r="AK68" s="24"/>
      <c r="AL68">
        <v>1024</v>
      </c>
      <c r="AM68">
        <v>1044</v>
      </c>
      <c r="AN68">
        <v>1041</v>
      </c>
      <c r="AO68">
        <v>78799018</v>
      </c>
      <c r="AP68">
        <v>1608</v>
      </c>
      <c r="AR68" s="24"/>
      <c r="AS68">
        <v>3010</v>
      </c>
      <c r="AT68">
        <v>3050</v>
      </c>
      <c r="AU68">
        <v>3015</v>
      </c>
      <c r="AV68">
        <v>31127231</v>
      </c>
      <c r="AW68">
        <v>1626</v>
      </c>
      <c r="AY68" s="24"/>
      <c r="AZ68">
        <v>321750002</v>
      </c>
      <c r="BA68">
        <v>327000000</v>
      </c>
      <c r="BB68">
        <v>325550016</v>
      </c>
      <c r="BC68">
        <v>2390</v>
      </c>
      <c r="BD68">
        <v>1554</v>
      </c>
      <c r="BF68" s="24"/>
      <c r="BG68">
        <v>23949</v>
      </c>
      <c r="BH68">
        <v>23949</v>
      </c>
      <c r="BI68">
        <v>23949</v>
      </c>
      <c r="BJ68">
        <v>1123479</v>
      </c>
      <c r="BK68">
        <v>178</v>
      </c>
      <c r="BM68" s="24"/>
      <c r="BN68">
        <v>6764318</v>
      </c>
      <c r="BO68">
        <v>6990000</v>
      </c>
      <c r="BP68">
        <v>6770092</v>
      </c>
      <c r="BQ68">
        <v>10225</v>
      </c>
      <c r="BR68">
        <v>358</v>
      </c>
      <c r="BT68" s="24"/>
      <c r="BU68">
        <v>1617</v>
      </c>
      <c r="BV68">
        <v>1645</v>
      </c>
      <c r="BW68">
        <v>1644</v>
      </c>
      <c r="BX68">
        <v>48090835</v>
      </c>
      <c r="BY68">
        <v>315</v>
      </c>
      <c r="CA68" s="24"/>
      <c r="CB68">
        <v>293</v>
      </c>
      <c r="CC68">
        <v>295</v>
      </c>
      <c r="CD68">
        <v>294</v>
      </c>
      <c r="CE68">
        <v>83124711</v>
      </c>
      <c r="CF68">
        <v>328</v>
      </c>
      <c r="CH68" s="24"/>
      <c r="CI68">
        <v>26800</v>
      </c>
      <c r="CJ68">
        <v>26801</v>
      </c>
      <c r="CK68">
        <v>26801</v>
      </c>
      <c r="CL68">
        <v>799075</v>
      </c>
      <c r="CM68">
        <v>168</v>
      </c>
      <c r="CO68" s="24"/>
      <c r="CP68">
        <v>7653</v>
      </c>
      <c r="CQ68">
        <v>8100</v>
      </c>
      <c r="CR68">
        <v>7989</v>
      </c>
      <c r="CS68">
        <v>1229263</v>
      </c>
      <c r="CT68">
        <v>475</v>
      </c>
      <c r="CV68" s="24"/>
      <c r="CW68">
        <v>1333112</v>
      </c>
      <c r="CX68">
        <v>1399884</v>
      </c>
      <c r="CY68">
        <v>1333210</v>
      </c>
      <c r="CZ68">
        <v>10122</v>
      </c>
      <c r="DA68">
        <v>74</v>
      </c>
      <c r="DC68" s="24"/>
      <c r="DD68">
        <v>305</v>
      </c>
      <c r="DE68">
        <v>322</v>
      </c>
      <c r="DF68">
        <v>307</v>
      </c>
      <c r="DG68">
        <v>45187915</v>
      </c>
      <c r="DH68">
        <v>213</v>
      </c>
      <c r="DJ68" s="24"/>
      <c r="DK68">
        <v>39100020</v>
      </c>
      <c r="DL68">
        <v>39900001</v>
      </c>
      <c r="DM68">
        <v>39500013</v>
      </c>
      <c r="DN68">
        <v>453</v>
      </c>
      <c r="DO68">
        <v>93</v>
      </c>
      <c r="DQ68" s="24"/>
      <c r="DR68">
        <v>1130001</v>
      </c>
      <c r="DS68">
        <v>1165666</v>
      </c>
      <c r="DT68">
        <v>1164998</v>
      </c>
      <c r="DU68">
        <v>5236</v>
      </c>
      <c r="DV68">
        <v>240</v>
      </c>
      <c r="DX68" s="24"/>
      <c r="DY68">
        <v>20230014</v>
      </c>
      <c r="DZ68">
        <v>21299999</v>
      </c>
      <c r="EA68">
        <v>21200010</v>
      </c>
      <c r="EB68">
        <v>604</v>
      </c>
      <c r="EC68">
        <v>155</v>
      </c>
      <c r="EE68" s="24"/>
      <c r="EF68">
        <v>173</v>
      </c>
      <c r="EG68">
        <v>176</v>
      </c>
      <c r="EH68">
        <v>174</v>
      </c>
      <c r="EI68">
        <v>135444536</v>
      </c>
      <c r="EJ68">
        <v>245</v>
      </c>
      <c r="EL68" s="24"/>
      <c r="EM68">
        <v>66300</v>
      </c>
      <c r="EN68">
        <v>70016</v>
      </c>
      <c r="EO68">
        <v>68000</v>
      </c>
      <c r="EP68">
        <v>100460</v>
      </c>
      <c r="EQ68">
        <v>782</v>
      </c>
      <c r="ES68" s="24"/>
      <c r="ET68">
        <v>304</v>
      </c>
      <c r="EU68">
        <v>308</v>
      </c>
      <c r="EV68">
        <v>306</v>
      </c>
      <c r="EW68">
        <v>47131320</v>
      </c>
      <c r="EX68">
        <v>774</v>
      </c>
      <c r="EZ68" s="24"/>
      <c r="FA68">
        <v>3999981</v>
      </c>
      <c r="FB68">
        <v>4055993</v>
      </c>
      <c r="FC68">
        <v>4055992</v>
      </c>
      <c r="FD68">
        <v>1088</v>
      </c>
      <c r="FE68">
        <v>28</v>
      </c>
      <c r="FG68" s="24"/>
      <c r="FH68">
        <v>7502</v>
      </c>
      <c r="FI68">
        <v>7839</v>
      </c>
      <c r="FJ68">
        <v>7550</v>
      </c>
      <c r="FK68">
        <v>3910628</v>
      </c>
      <c r="FL68">
        <v>688</v>
      </c>
      <c r="FN68" s="24"/>
      <c r="FO68">
        <v>18763</v>
      </c>
      <c r="FP68">
        <v>18777</v>
      </c>
      <c r="FQ68">
        <v>18770</v>
      </c>
      <c r="FR68">
        <v>196387</v>
      </c>
      <c r="FS68">
        <v>96</v>
      </c>
      <c r="FU68" s="24"/>
      <c r="FV68">
        <v>30297</v>
      </c>
      <c r="FW68">
        <v>30802</v>
      </c>
      <c r="FX68">
        <v>30800</v>
      </c>
      <c r="FY68">
        <v>321768</v>
      </c>
      <c r="FZ68">
        <v>1549</v>
      </c>
      <c r="GB68" s="24"/>
      <c r="GC68">
        <v>104501500</v>
      </c>
      <c r="GD68">
        <v>107996600</v>
      </c>
      <c r="GE68">
        <v>107001400</v>
      </c>
      <c r="GF68">
        <v>122</v>
      </c>
      <c r="GG68">
        <v>90</v>
      </c>
      <c r="GI68" s="24"/>
      <c r="GJ68">
        <v>23100009</v>
      </c>
      <c r="GK68">
        <v>23908989</v>
      </c>
      <c r="GL68">
        <v>23541106</v>
      </c>
      <c r="GM68">
        <v>509</v>
      </c>
      <c r="GN68">
        <v>95</v>
      </c>
      <c r="GP68" s="24"/>
      <c r="GQ68">
        <v>113</v>
      </c>
      <c r="GR68">
        <v>113</v>
      </c>
      <c r="GS68">
        <v>113</v>
      </c>
      <c r="GT68">
        <v>198619693</v>
      </c>
      <c r="GU68">
        <v>185</v>
      </c>
      <c r="GW68" s="24"/>
      <c r="GX68">
        <v>290</v>
      </c>
      <c r="GY68">
        <v>303</v>
      </c>
      <c r="GZ68">
        <v>300</v>
      </c>
      <c r="HA68">
        <v>61496437</v>
      </c>
      <c r="HB68">
        <v>291</v>
      </c>
      <c r="HD68" s="24"/>
      <c r="HE68">
        <v>5082</v>
      </c>
      <c r="HF68">
        <v>5215</v>
      </c>
      <c r="HG68">
        <v>5200</v>
      </c>
      <c r="HH68">
        <v>26185298</v>
      </c>
      <c r="HI68">
        <v>386</v>
      </c>
      <c r="HK68" s="24"/>
      <c r="HL68">
        <v>104334100</v>
      </c>
      <c r="HM68">
        <v>117942800</v>
      </c>
      <c r="HN68">
        <v>110941443</v>
      </c>
      <c r="HO68">
        <v>96</v>
      </c>
      <c r="HP68">
        <v>65</v>
      </c>
      <c r="HR68" s="24"/>
      <c r="HS68">
        <v>10011</v>
      </c>
      <c r="HT68">
        <v>10442</v>
      </c>
      <c r="HU68">
        <v>10420</v>
      </c>
      <c r="HV68">
        <v>822533</v>
      </c>
      <c r="HW68">
        <v>217</v>
      </c>
      <c r="HY68" s="24"/>
      <c r="HZ68">
        <v>8522</v>
      </c>
      <c r="IA68">
        <v>8949</v>
      </c>
      <c r="IB68">
        <v>8669</v>
      </c>
      <c r="IC68">
        <v>2326857</v>
      </c>
      <c r="ID68">
        <v>629</v>
      </c>
      <c r="IF68" s="24"/>
      <c r="IG68">
        <v>2798</v>
      </c>
      <c r="IH68">
        <v>2798</v>
      </c>
      <c r="II68">
        <v>2798</v>
      </c>
      <c r="IJ68">
        <v>2897659</v>
      </c>
      <c r="IK68">
        <v>173</v>
      </c>
      <c r="IM68" s="24"/>
      <c r="IN68">
        <v>106007801</v>
      </c>
      <c r="IO68">
        <v>114107000</v>
      </c>
      <c r="IP68">
        <v>108998800</v>
      </c>
      <c r="IQ68">
        <v>181</v>
      </c>
      <c r="IR68">
        <v>92</v>
      </c>
      <c r="IT68" s="24"/>
      <c r="IU68">
        <v>8052</v>
      </c>
      <c r="IV68">
        <v>8109</v>
      </c>
      <c r="IW68">
        <v>8108</v>
      </c>
      <c r="IX68">
        <v>2278219</v>
      </c>
      <c r="IY68">
        <v>194</v>
      </c>
      <c r="JA68" s="24"/>
      <c r="JB68">
        <v>105501003</v>
      </c>
      <c r="JC68">
        <v>108999999</v>
      </c>
      <c r="JD68">
        <v>107761811</v>
      </c>
      <c r="JE68">
        <v>94</v>
      </c>
      <c r="JF68">
        <v>75</v>
      </c>
      <c r="JH68" s="24"/>
      <c r="JI68">
        <v>106000801</v>
      </c>
      <c r="JJ68">
        <v>109000000</v>
      </c>
      <c r="JK68">
        <v>108366706</v>
      </c>
      <c r="JL68">
        <v>75</v>
      </c>
      <c r="JM68">
        <v>48</v>
      </c>
      <c r="JO68" s="24"/>
      <c r="JP68">
        <v>74</v>
      </c>
      <c r="JQ68">
        <v>74</v>
      </c>
      <c r="JR68">
        <v>74</v>
      </c>
      <c r="JS68">
        <v>182732837</v>
      </c>
      <c r="JT68">
        <v>145</v>
      </c>
      <c r="JV68" s="24"/>
      <c r="JW68">
        <v>96</v>
      </c>
      <c r="JX68">
        <v>98</v>
      </c>
      <c r="JY68">
        <v>98</v>
      </c>
      <c r="JZ68">
        <v>228128239</v>
      </c>
      <c r="KA68">
        <v>177</v>
      </c>
      <c r="KC68" s="24"/>
      <c r="KD68">
        <v>19</v>
      </c>
      <c r="KE68">
        <v>19</v>
      </c>
      <c r="KF68">
        <v>19</v>
      </c>
      <c r="KG68">
        <v>70863931</v>
      </c>
      <c r="KH68">
        <v>377</v>
      </c>
      <c r="KJ68" s="24"/>
      <c r="KK68">
        <v>101</v>
      </c>
      <c r="KL68">
        <v>104</v>
      </c>
      <c r="KM68">
        <v>104</v>
      </c>
      <c r="KN68">
        <v>199476741</v>
      </c>
      <c r="KO68">
        <v>210</v>
      </c>
      <c r="KQ68" s="24"/>
      <c r="KR68">
        <v>95002</v>
      </c>
      <c r="KS68">
        <v>95501</v>
      </c>
      <c r="KT68">
        <v>95100</v>
      </c>
      <c r="KU68">
        <v>45100</v>
      </c>
      <c r="KV68">
        <v>701</v>
      </c>
      <c r="KX68" s="24"/>
      <c r="KY68">
        <v>480</v>
      </c>
      <c r="KZ68">
        <v>515</v>
      </c>
      <c r="LA68">
        <v>495</v>
      </c>
      <c r="LB68">
        <v>10802845</v>
      </c>
      <c r="LC68">
        <v>260</v>
      </c>
      <c r="LE68" s="24"/>
      <c r="LF68">
        <v>208101</v>
      </c>
      <c r="LG68">
        <v>211200</v>
      </c>
      <c r="LH68">
        <v>208102</v>
      </c>
      <c r="LI68">
        <v>121813</v>
      </c>
      <c r="LJ68">
        <v>1084</v>
      </c>
      <c r="LL68" s="24"/>
      <c r="LM68">
        <v>85110</v>
      </c>
      <c r="LN68">
        <v>86999</v>
      </c>
      <c r="LO68">
        <v>86128</v>
      </c>
      <c r="LP68">
        <v>297644</v>
      </c>
      <c r="LQ68">
        <v>1552</v>
      </c>
      <c r="LS68" s="24"/>
      <c r="LT68">
        <v>260</v>
      </c>
      <c r="LU68">
        <v>262</v>
      </c>
      <c r="LV68">
        <v>261</v>
      </c>
      <c r="LW68">
        <v>142015267</v>
      </c>
      <c r="LX68">
        <v>438</v>
      </c>
      <c r="LZ68" s="24"/>
      <c r="MA68">
        <v>75998</v>
      </c>
      <c r="MB68">
        <v>75998</v>
      </c>
      <c r="MC68">
        <v>75998</v>
      </c>
      <c r="MD68">
        <v>1207799</v>
      </c>
      <c r="ME68">
        <v>65</v>
      </c>
    </row>
    <row r="69" spans="2:343" x14ac:dyDescent="0.25">
      <c r="B69" s="24"/>
      <c r="C69">
        <v>2</v>
      </c>
      <c r="D69">
        <v>2</v>
      </c>
      <c r="E69">
        <v>2</v>
      </c>
      <c r="F69">
        <v>36412626804</v>
      </c>
      <c r="G69">
        <v>3850</v>
      </c>
      <c r="I69" s="24"/>
      <c r="J69">
        <v>4</v>
      </c>
      <c r="K69">
        <v>4</v>
      </c>
      <c r="L69">
        <v>4</v>
      </c>
      <c r="M69">
        <v>10692974452</v>
      </c>
      <c r="N69">
        <v>2720</v>
      </c>
      <c r="P69" s="24"/>
      <c r="Q69">
        <v>29</v>
      </c>
      <c r="R69">
        <v>29</v>
      </c>
      <c r="S69">
        <v>29</v>
      </c>
      <c r="T69">
        <v>2322556951</v>
      </c>
      <c r="U69">
        <v>2567</v>
      </c>
      <c r="W69" s="24"/>
      <c r="X69">
        <v>73</v>
      </c>
      <c r="Y69">
        <v>73</v>
      </c>
      <c r="Z69">
        <v>73</v>
      </c>
      <c r="AA69">
        <v>451433968</v>
      </c>
      <c r="AB69">
        <v>1969</v>
      </c>
      <c r="AD69" s="24"/>
      <c r="AE69">
        <v>527</v>
      </c>
      <c r="AF69">
        <v>546</v>
      </c>
      <c r="AG69">
        <v>536</v>
      </c>
      <c r="AH69">
        <v>92174402</v>
      </c>
      <c r="AI69">
        <v>2173</v>
      </c>
      <c r="AK69" s="24"/>
      <c r="AL69">
        <v>1023</v>
      </c>
      <c r="AM69">
        <v>1052</v>
      </c>
      <c r="AN69">
        <v>1048</v>
      </c>
      <c r="AO69">
        <v>33929855</v>
      </c>
      <c r="AP69">
        <v>1630</v>
      </c>
      <c r="AR69" s="24"/>
      <c r="AS69">
        <v>2961</v>
      </c>
      <c r="AT69">
        <v>3065</v>
      </c>
      <c r="AU69">
        <v>2989</v>
      </c>
      <c r="AV69">
        <v>18809802</v>
      </c>
      <c r="AW69">
        <v>1695</v>
      </c>
      <c r="AY69" s="24"/>
      <c r="AZ69">
        <v>318000000</v>
      </c>
      <c r="BA69">
        <v>327999999</v>
      </c>
      <c r="BB69">
        <v>323999898</v>
      </c>
      <c r="BC69">
        <v>2394</v>
      </c>
      <c r="BD69">
        <v>1604</v>
      </c>
      <c r="BF69" s="24"/>
      <c r="BG69">
        <v>24901</v>
      </c>
      <c r="BH69">
        <v>25000</v>
      </c>
      <c r="BI69">
        <v>24901</v>
      </c>
      <c r="BJ69">
        <v>2117254</v>
      </c>
      <c r="BK69">
        <v>228</v>
      </c>
      <c r="BM69" s="24"/>
      <c r="BN69">
        <v>6787430</v>
      </c>
      <c r="BO69">
        <v>6890001</v>
      </c>
      <c r="BP69">
        <v>6790285</v>
      </c>
      <c r="BQ69">
        <v>7455</v>
      </c>
      <c r="BR69">
        <v>324</v>
      </c>
      <c r="BT69" s="24"/>
      <c r="BU69">
        <v>1721</v>
      </c>
      <c r="BV69">
        <v>1799</v>
      </c>
      <c r="BW69">
        <v>1751</v>
      </c>
      <c r="BX69">
        <v>44380026</v>
      </c>
      <c r="BY69">
        <v>350</v>
      </c>
      <c r="CA69" s="24"/>
      <c r="CB69">
        <v>298</v>
      </c>
      <c r="CC69">
        <v>316</v>
      </c>
      <c r="CD69">
        <v>299</v>
      </c>
      <c r="CE69">
        <v>66296703</v>
      </c>
      <c r="CF69">
        <v>249</v>
      </c>
      <c r="CH69" s="24"/>
      <c r="CI69">
        <v>27200</v>
      </c>
      <c r="CJ69">
        <v>28480</v>
      </c>
      <c r="CK69">
        <v>27400</v>
      </c>
      <c r="CL69">
        <v>1681288</v>
      </c>
      <c r="CM69">
        <v>213</v>
      </c>
      <c r="CO69" s="24"/>
      <c r="CP69">
        <v>7652</v>
      </c>
      <c r="CQ69">
        <v>7971</v>
      </c>
      <c r="CR69">
        <v>7949</v>
      </c>
      <c r="CS69">
        <v>1512211</v>
      </c>
      <c r="CT69">
        <v>500</v>
      </c>
      <c r="CV69" s="24"/>
      <c r="CW69">
        <v>1300250</v>
      </c>
      <c r="CX69">
        <v>1415964</v>
      </c>
      <c r="CY69">
        <v>1415948</v>
      </c>
      <c r="CZ69">
        <v>5057</v>
      </c>
      <c r="DA69">
        <v>48</v>
      </c>
      <c r="DC69" s="24"/>
      <c r="DD69">
        <v>320</v>
      </c>
      <c r="DE69">
        <v>322</v>
      </c>
      <c r="DF69">
        <v>321</v>
      </c>
      <c r="DG69">
        <v>35340847</v>
      </c>
      <c r="DH69">
        <v>200</v>
      </c>
      <c r="DJ69" s="24"/>
      <c r="DK69">
        <v>37004300</v>
      </c>
      <c r="DL69">
        <v>38000102</v>
      </c>
      <c r="DM69">
        <v>37804999</v>
      </c>
      <c r="DN69">
        <v>705</v>
      </c>
      <c r="DO69">
        <v>120</v>
      </c>
      <c r="DQ69" s="24"/>
      <c r="DR69">
        <v>1130014</v>
      </c>
      <c r="DS69">
        <v>1165989</v>
      </c>
      <c r="DT69">
        <v>1165989</v>
      </c>
      <c r="DU69">
        <v>9120</v>
      </c>
      <c r="DV69">
        <v>306</v>
      </c>
      <c r="DX69" s="24"/>
      <c r="DY69">
        <v>19398001</v>
      </c>
      <c r="DZ69">
        <v>21389998</v>
      </c>
      <c r="EA69">
        <v>20550000</v>
      </c>
      <c r="EB69">
        <v>464</v>
      </c>
      <c r="EC69">
        <v>141</v>
      </c>
      <c r="EE69" s="24"/>
      <c r="EF69">
        <v>183</v>
      </c>
      <c r="EG69">
        <v>187</v>
      </c>
      <c r="EH69">
        <v>186</v>
      </c>
      <c r="EI69">
        <v>121010986</v>
      </c>
      <c r="EJ69">
        <v>238</v>
      </c>
      <c r="EL69" s="24"/>
      <c r="EM69">
        <v>68010</v>
      </c>
      <c r="EN69">
        <v>72900</v>
      </c>
      <c r="EO69">
        <v>70000</v>
      </c>
      <c r="EP69">
        <v>120885</v>
      </c>
      <c r="EQ69">
        <v>895</v>
      </c>
      <c r="ES69" s="24"/>
      <c r="ET69">
        <v>303</v>
      </c>
      <c r="EU69">
        <v>314</v>
      </c>
      <c r="EV69">
        <v>310</v>
      </c>
      <c r="EW69">
        <v>36838379</v>
      </c>
      <c r="EX69">
        <v>692</v>
      </c>
      <c r="EZ69" s="24"/>
      <c r="FA69">
        <v>3750164</v>
      </c>
      <c r="FB69">
        <v>3988999</v>
      </c>
      <c r="FC69">
        <v>3750167</v>
      </c>
      <c r="FD69">
        <v>1127</v>
      </c>
      <c r="FE69">
        <v>34</v>
      </c>
      <c r="FG69" s="24"/>
      <c r="FH69">
        <v>7804</v>
      </c>
      <c r="FI69">
        <v>8139</v>
      </c>
      <c r="FJ69">
        <v>7999</v>
      </c>
      <c r="FK69">
        <v>2300764</v>
      </c>
      <c r="FL69">
        <v>595</v>
      </c>
      <c r="FN69" s="24"/>
      <c r="FO69">
        <v>18768</v>
      </c>
      <c r="FP69">
        <v>18768</v>
      </c>
      <c r="FQ69">
        <v>18768</v>
      </c>
      <c r="FR69">
        <v>680066</v>
      </c>
      <c r="FS69">
        <v>127</v>
      </c>
      <c r="FU69" s="24"/>
      <c r="FV69">
        <v>30290</v>
      </c>
      <c r="FW69">
        <v>30803</v>
      </c>
      <c r="FX69">
        <v>30500</v>
      </c>
      <c r="FY69">
        <v>431164</v>
      </c>
      <c r="FZ69">
        <v>1608</v>
      </c>
      <c r="GB69" s="24"/>
      <c r="GC69">
        <v>107403600</v>
      </c>
      <c r="GD69">
        <v>112894599</v>
      </c>
      <c r="GE69">
        <v>108900728</v>
      </c>
      <c r="GF69">
        <v>95</v>
      </c>
      <c r="GG69">
        <v>69</v>
      </c>
      <c r="GI69" s="24"/>
      <c r="GJ69">
        <v>23541106</v>
      </c>
      <c r="GK69">
        <v>24541105</v>
      </c>
      <c r="GL69">
        <v>23999989</v>
      </c>
      <c r="GM69">
        <v>685</v>
      </c>
      <c r="GN69">
        <v>111</v>
      </c>
      <c r="GP69" s="24"/>
      <c r="GQ69">
        <v>118</v>
      </c>
      <c r="GR69">
        <v>120</v>
      </c>
      <c r="GS69">
        <v>119</v>
      </c>
      <c r="GT69">
        <v>297902459</v>
      </c>
      <c r="GU69">
        <v>189</v>
      </c>
      <c r="GW69" s="24"/>
      <c r="GX69">
        <v>279</v>
      </c>
      <c r="GY69">
        <v>291</v>
      </c>
      <c r="GZ69">
        <v>285</v>
      </c>
      <c r="HA69">
        <v>64181674</v>
      </c>
      <c r="HB69">
        <v>264</v>
      </c>
      <c r="HD69" s="24"/>
      <c r="HE69">
        <v>5258</v>
      </c>
      <c r="HF69">
        <v>5361</v>
      </c>
      <c r="HG69">
        <v>5299</v>
      </c>
      <c r="HH69">
        <v>24555459</v>
      </c>
      <c r="HI69">
        <v>354</v>
      </c>
      <c r="HK69" s="24"/>
      <c r="HL69">
        <v>106501500</v>
      </c>
      <c r="HM69">
        <v>116940442</v>
      </c>
      <c r="HN69">
        <v>114684694</v>
      </c>
      <c r="HO69">
        <v>68</v>
      </c>
      <c r="HP69">
        <v>61</v>
      </c>
      <c r="HR69" s="24"/>
      <c r="HS69">
        <v>10022</v>
      </c>
      <c r="HT69">
        <v>10022</v>
      </c>
      <c r="HU69">
        <v>10022</v>
      </c>
      <c r="HV69">
        <v>972754</v>
      </c>
      <c r="HW69">
        <v>245</v>
      </c>
      <c r="HY69" s="24"/>
      <c r="HZ69">
        <v>8292</v>
      </c>
      <c r="IA69">
        <v>8768</v>
      </c>
      <c r="IB69">
        <v>8587</v>
      </c>
      <c r="IC69">
        <v>2162566</v>
      </c>
      <c r="ID69">
        <v>602</v>
      </c>
      <c r="IF69" s="24"/>
      <c r="IG69">
        <v>2700</v>
      </c>
      <c r="IH69">
        <v>2798</v>
      </c>
      <c r="II69">
        <v>2798</v>
      </c>
      <c r="IJ69">
        <v>2571839</v>
      </c>
      <c r="IK69">
        <v>187</v>
      </c>
      <c r="IM69" s="24"/>
      <c r="IN69">
        <v>108001000</v>
      </c>
      <c r="IO69">
        <v>113000000</v>
      </c>
      <c r="IP69">
        <v>108986988</v>
      </c>
      <c r="IQ69">
        <v>86</v>
      </c>
      <c r="IR69">
        <v>63</v>
      </c>
      <c r="IT69" s="24"/>
      <c r="IU69">
        <v>8089</v>
      </c>
      <c r="IV69">
        <v>8108</v>
      </c>
      <c r="IW69">
        <v>8108</v>
      </c>
      <c r="IX69">
        <v>2789488</v>
      </c>
      <c r="IY69">
        <v>227</v>
      </c>
      <c r="JA69" s="24"/>
      <c r="JB69">
        <v>106900200</v>
      </c>
      <c r="JC69">
        <v>113499999</v>
      </c>
      <c r="JD69">
        <v>107186941</v>
      </c>
      <c r="JE69">
        <v>148</v>
      </c>
      <c r="JF69">
        <v>82</v>
      </c>
      <c r="JH69" s="24"/>
      <c r="JI69">
        <v>106209400</v>
      </c>
      <c r="JJ69">
        <v>114494400</v>
      </c>
      <c r="JK69">
        <v>109736980</v>
      </c>
      <c r="JL69">
        <v>69</v>
      </c>
      <c r="JM69">
        <v>45</v>
      </c>
      <c r="JO69" s="24"/>
      <c r="JP69">
        <v>75</v>
      </c>
      <c r="JQ69">
        <v>77</v>
      </c>
      <c r="JR69">
        <v>76</v>
      </c>
      <c r="JS69">
        <v>203471353</v>
      </c>
      <c r="JT69">
        <v>144</v>
      </c>
      <c r="JV69" s="24"/>
      <c r="JW69">
        <v>96</v>
      </c>
      <c r="JX69">
        <v>97</v>
      </c>
      <c r="JY69">
        <v>97</v>
      </c>
      <c r="JZ69">
        <v>201825896</v>
      </c>
      <c r="KA69">
        <v>203</v>
      </c>
      <c r="KC69" s="24"/>
      <c r="KD69">
        <v>19</v>
      </c>
      <c r="KE69">
        <v>20</v>
      </c>
      <c r="KF69">
        <v>20</v>
      </c>
      <c r="KG69">
        <v>50918344</v>
      </c>
      <c r="KH69">
        <v>362</v>
      </c>
      <c r="KJ69" s="24"/>
      <c r="KK69">
        <v>97</v>
      </c>
      <c r="KL69">
        <v>103</v>
      </c>
      <c r="KM69">
        <v>101</v>
      </c>
      <c r="KN69">
        <v>177411732</v>
      </c>
      <c r="KO69">
        <v>183</v>
      </c>
      <c r="KQ69" s="24"/>
      <c r="KR69">
        <v>95102</v>
      </c>
      <c r="KS69">
        <v>95123</v>
      </c>
      <c r="KT69">
        <v>95107</v>
      </c>
      <c r="KU69">
        <v>61619</v>
      </c>
      <c r="KV69">
        <v>804</v>
      </c>
      <c r="KX69" s="24"/>
      <c r="KY69">
        <v>485</v>
      </c>
      <c r="KZ69">
        <v>507</v>
      </c>
      <c r="LA69">
        <v>504</v>
      </c>
      <c r="LB69">
        <v>10935934</v>
      </c>
      <c r="LC69">
        <v>251</v>
      </c>
      <c r="LE69" s="24"/>
      <c r="LF69">
        <v>201012</v>
      </c>
      <c r="LG69">
        <v>206595</v>
      </c>
      <c r="LH69">
        <v>201050</v>
      </c>
      <c r="LI69">
        <v>124715</v>
      </c>
      <c r="LJ69">
        <v>1152</v>
      </c>
      <c r="LL69" s="24"/>
      <c r="LM69">
        <v>86135</v>
      </c>
      <c r="LN69">
        <v>86510</v>
      </c>
      <c r="LO69">
        <v>86140</v>
      </c>
      <c r="LP69">
        <v>372272</v>
      </c>
      <c r="LQ69">
        <v>1642</v>
      </c>
      <c r="LS69" s="24"/>
      <c r="LT69">
        <v>269</v>
      </c>
      <c r="LU69">
        <v>274</v>
      </c>
      <c r="LV69">
        <v>270</v>
      </c>
      <c r="LW69">
        <v>109121935</v>
      </c>
      <c r="LX69">
        <v>432</v>
      </c>
      <c r="LZ69" s="24"/>
      <c r="MA69">
        <v>77607</v>
      </c>
      <c r="MB69">
        <v>79494</v>
      </c>
      <c r="MC69">
        <v>79472</v>
      </c>
      <c r="MD69">
        <v>1100562</v>
      </c>
      <c r="ME69">
        <v>89</v>
      </c>
    </row>
    <row r="70" spans="2:343" x14ac:dyDescent="0.25">
      <c r="B70" s="24"/>
      <c r="C70">
        <v>2</v>
      </c>
      <c r="D70">
        <v>2</v>
      </c>
      <c r="E70">
        <v>2</v>
      </c>
      <c r="F70">
        <v>37010183745</v>
      </c>
      <c r="G70">
        <v>3268</v>
      </c>
      <c r="I70" s="24"/>
      <c r="J70">
        <v>4</v>
      </c>
      <c r="K70">
        <v>4</v>
      </c>
      <c r="L70">
        <v>4</v>
      </c>
      <c r="M70">
        <v>8401322388</v>
      </c>
      <c r="N70">
        <v>2245</v>
      </c>
      <c r="P70" s="24"/>
      <c r="Q70">
        <v>29</v>
      </c>
      <c r="R70">
        <v>29</v>
      </c>
      <c r="S70">
        <v>29</v>
      </c>
      <c r="T70">
        <v>3267053878</v>
      </c>
      <c r="U70">
        <v>2116</v>
      </c>
      <c r="W70" s="24"/>
      <c r="X70">
        <v>73</v>
      </c>
      <c r="Y70">
        <v>73</v>
      </c>
      <c r="Z70">
        <v>73</v>
      </c>
      <c r="AA70">
        <v>619514105</v>
      </c>
      <c r="AB70">
        <v>1662</v>
      </c>
      <c r="AD70" s="24"/>
      <c r="AE70">
        <v>536</v>
      </c>
      <c r="AF70">
        <v>549</v>
      </c>
      <c r="AG70">
        <v>543</v>
      </c>
      <c r="AH70">
        <v>136049949</v>
      </c>
      <c r="AI70">
        <v>1784</v>
      </c>
      <c r="AK70" s="24"/>
      <c r="AL70">
        <v>1027</v>
      </c>
      <c r="AM70">
        <v>1061</v>
      </c>
      <c r="AN70">
        <v>1040</v>
      </c>
      <c r="AO70">
        <v>44300551</v>
      </c>
      <c r="AP70">
        <v>1361</v>
      </c>
      <c r="AR70" s="24"/>
      <c r="AS70">
        <v>3005</v>
      </c>
      <c r="AT70">
        <v>3067</v>
      </c>
      <c r="AU70">
        <v>3007</v>
      </c>
      <c r="AV70">
        <v>20855433</v>
      </c>
      <c r="AW70">
        <v>1373</v>
      </c>
      <c r="AY70" s="24"/>
      <c r="AZ70">
        <v>324000009</v>
      </c>
      <c r="BA70">
        <v>329500000</v>
      </c>
      <c r="BB70">
        <v>326150008</v>
      </c>
      <c r="BC70">
        <v>1768</v>
      </c>
      <c r="BD70">
        <v>1293</v>
      </c>
      <c r="BF70" s="24"/>
      <c r="BG70">
        <v>25000</v>
      </c>
      <c r="BH70">
        <v>25354</v>
      </c>
      <c r="BI70">
        <v>25341</v>
      </c>
      <c r="BJ70">
        <v>4809358</v>
      </c>
      <c r="BK70">
        <v>190</v>
      </c>
      <c r="BM70" s="24"/>
      <c r="BN70">
        <v>6890091</v>
      </c>
      <c r="BO70">
        <v>6948870</v>
      </c>
      <c r="BP70">
        <v>6891041</v>
      </c>
      <c r="BQ70">
        <v>11748</v>
      </c>
      <c r="BR70">
        <v>319</v>
      </c>
      <c r="BT70" s="24"/>
      <c r="BU70">
        <v>1710</v>
      </c>
      <c r="BV70">
        <v>1749</v>
      </c>
      <c r="BW70">
        <v>1749</v>
      </c>
      <c r="BX70">
        <v>22308119</v>
      </c>
      <c r="BY70">
        <v>237</v>
      </c>
      <c r="CA70" s="24"/>
      <c r="CB70">
        <v>307</v>
      </c>
      <c r="CC70">
        <v>315</v>
      </c>
      <c r="CD70">
        <v>315</v>
      </c>
      <c r="CE70">
        <v>70962057</v>
      </c>
      <c r="CF70">
        <v>259</v>
      </c>
      <c r="CH70" s="24"/>
      <c r="CI70">
        <v>27117</v>
      </c>
      <c r="CJ70">
        <v>27200</v>
      </c>
      <c r="CK70">
        <v>27200</v>
      </c>
      <c r="CL70">
        <v>2198570</v>
      </c>
      <c r="CM70">
        <v>191</v>
      </c>
      <c r="CO70" s="24"/>
      <c r="CP70">
        <v>7653</v>
      </c>
      <c r="CQ70">
        <v>7968</v>
      </c>
      <c r="CR70">
        <v>7950</v>
      </c>
      <c r="CS70">
        <v>1381507</v>
      </c>
      <c r="CT70">
        <v>380</v>
      </c>
      <c r="CV70" s="24"/>
      <c r="CW70">
        <v>1415944</v>
      </c>
      <c r="CX70">
        <v>1415944</v>
      </c>
      <c r="CY70">
        <v>1415944</v>
      </c>
      <c r="CZ70">
        <v>3443</v>
      </c>
      <c r="DA70">
        <v>20</v>
      </c>
      <c r="DC70" s="24"/>
      <c r="DD70">
        <v>318</v>
      </c>
      <c r="DE70">
        <v>319</v>
      </c>
      <c r="DF70">
        <v>318</v>
      </c>
      <c r="DG70">
        <v>37108187</v>
      </c>
      <c r="DH70">
        <v>151</v>
      </c>
      <c r="DJ70" s="24"/>
      <c r="DK70">
        <v>37100013</v>
      </c>
      <c r="DL70">
        <v>37699996</v>
      </c>
      <c r="DM70">
        <v>37100024</v>
      </c>
      <c r="DN70">
        <v>371</v>
      </c>
      <c r="DO70">
        <v>103</v>
      </c>
      <c r="DQ70" s="24"/>
      <c r="DR70">
        <v>1121031</v>
      </c>
      <c r="DS70">
        <v>1165989</v>
      </c>
      <c r="DT70">
        <v>1165989</v>
      </c>
      <c r="DU70">
        <v>5719</v>
      </c>
      <c r="DV70">
        <v>228</v>
      </c>
      <c r="DX70" s="24"/>
      <c r="DY70">
        <v>19405075</v>
      </c>
      <c r="DZ70">
        <v>21499990</v>
      </c>
      <c r="EA70">
        <v>20398110</v>
      </c>
      <c r="EB70">
        <v>556</v>
      </c>
      <c r="EC70">
        <v>130</v>
      </c>
      <c r="EE70" s="24"/>
      <c r="EF70">
        <v>183</v>
      </c>
      <c r="EG70">
        <v>185</v>
      </c>
      <c r="EH70">
        <v>184</v>
      </c>
      <c r="EI70">
        <v>112666524</v>
      </c>
      <c r="EJ70">
        <v>190</v>
      </c>
      <c r="EL70" s="24"/>
      <c r="EM70">
        <v>70022</v>
      </c>
      <c r="EN70">
        <v>71000</v>
      </c>
      <c r="EO70">
        <v>70060</v>
      </c>
      <c r="EP70">
        <v>73157</v>
      </c>
      <c r="EQ70">
        <v>780</v>
      </c>
      <c r="ES70" s="24"/>
      <c r="ET70">
        <v>298</v>
      </c>
      <c r="EU70">
        <v>314</v>
      </c>
      <c r="EV70">
        <v>303</v>
      </c>
      <c r="EW70">
        <v>55641779</v>
      </c>
      <c r="EX70">
        <v>584</v>
      </c>
      <c r="EZ70" s="24"/>
      <c r="FA70">
        <v>3760000</v>
      </c>
      <c r="FB70">
        <v>3986988</v>
      </c>
      <c r="FC70">
        <v>3976883</v>
      </c>
      <c r="FD70">
        <v>778</v>
      </c>
      <c r="FE70">
        <v>18</v>
      </c>
      <c r="FG70" s="24"/>
      <c r="FH70">
        <v>7435</v>
      </c>
      <c r="FI70">
        <v>7897</v>
      </c>
      <c r="FJ70">
        <v>7750</v>
      </c>
      <c r="FK70">
        <v>2662612</v>
      </c>
      <c r="FL70">
        <v>521</v>
      </c>
      <c r="FN70" s="24"/>
      <c r="FO70">
        <v>19001</v>
      </c>
      <c r="FP70">
        <v>19930</v>
      </c>
      <c r="FQ70">
        <v>19930</v>
      </c>
      <c r="FR70">
        <v>202782</v>
      </c>
      <c r="FS70">
        <v>90</v>
      </c>
      <c r="FU70" s="24"/>
      <c r="FV70">
        <v>30556</v>
      </c>
      <c r="FW70">
        <v>30610</v>
      </c>
      <c r="FX70">
        <v>30608</v>
      </c>
      <c r="FY70">
        <v>291695</v>
      </c>
      <c r="FZ70">
        <v>1360</v>
      </c>
      <c r="GB70" s="24"/>
      <c r="GC70">
        <v>110501000</v>
      </c>
      <c r="GD70">
        <v>115000201</v>
      </c>
      <c r="GE70">
        <v>113500200</v>
      </c>
      <c r="GF70">
        <v>117</v>
      </c>
      <c r="GG70">
        <v>62</v>
      </c>
      <c r="GI70" s="24"/>
      <c r="GJ70">
        <v>23541108</v>
      </c>
      <c r="GK70">
        <v>24499999</v>
      </c>
      <c r="GL70">
        <v>23748928</v>
      </c>
      <c r="GM70">
        <v>464</v>
      </c>
      <c r="GN70">
        <v>89</v>
      </c>
      <c r="GP70" s="24"/>
      <c r="GQ70">
        <v>118</v>
      </c>
      <c r="GR70">
        <v>127</v>
      </c>
      <c r="GS70">
        <v>125</v>
      </c>
      <c r="GT70">
        <v>115359046</v>
      </c>
      <c r="GU70">
        <v>137</v>
      </c>
      <c r="GW70" s="24"/>
      <c r="GX70">
        <v>274</v>
      </c>
      <c r="GY70">
        <v>283</v>
      </c>
      <c r="GZ70">
        <v>275</v>
      </c>
      <c r="HA70">
        <v>68726526</v>
      </c>
      <c r="HB70">
        <v>206</v>
      </c>
      <c r="HD70" s="24"/>
      <c r="HE70">
        <v>5317</v>
      </c>
      <c r="HF70">
        <v>5500</v>
      </c>
      <c r="HG70">
        <v>5359</v>
      </c>
      <c r="HH70">
        <v>17883402</v>
      </c>
      <c r="HI70">
        <v>297</v>
      </c>
      <c r="HK70" s="24"/>
      <c r="HL70">
        <v>108007600</v>
      </c>
      <c r="HM70">
        <v>117971026</v>
      </c>
      <c r="HN70">
        <v>115217263</v>
      </c>
      <c r="HO70">
        <v>65</v>
      </c>
      <c r="HP70">
        <v>51</v>
      </c>
      <c r="HR70" s="24"/>
      <c r="HS70">
        <v>9030</v>
      </c>
      <c r="HT70">
        <v>10119</v>
      </c>
      <c r="HU70">
        <v>9202</v>
      </c>
      <c r="HV70">
        <v>839397</v>
      </c>
      <c r="HW70">
        <v>209</v>
      </c>
      <c r="HY70" s="24"/>
      <c r="HZ70">
        <v>8269</v>
      </c>
      <c r="IA70">
        <v>8689</v>
      </c>
      <c r="IB70">
        <v>8684</v>
      </c>
      <c r="IC70">
        <v>2544641</v>
      </c>
      <c r="ID70">
        <v>521</v>
      </c>
      <c r="IF70" s="24"/>
      <c r="IG70">
        <v>2704</v>
      </c>
      <c r="IH70">
        <v>2779</v>
      </c>
      <c r="II70">
        <v>2704</v>
      </c>
      <c r="IJ70">
        <v>1998380</v>
      </c>
      <c r="IK70">
        <v>154</v>
      </c>
      <c r="IM70" s="24"/>
      <c r="IN70">
        <v>113106340</v>
      </c>
      <c r="IO70">
        <v>113506340</v>
      </c>
      <c r="IP70">
        <v>113249498</v>
      </c>
      <c r="IQ70">
        <v>140</v>
      </c>
      <c r="IR70">
        <v>66</v>
      </c>
      <c r="IT70" s="24"/>
      <c r="IU70">
        <v>7460</v>
      </c>
      <c r="IV70">
        <v>8095</v>
      </c>
      <c r="IW70">
        <v>8093</v>
      </c>
      <c r="IX70">
        <v>1095405</v>
      </c>
      <c r="IY70">
        <v>147</v>
      </c>
      <c r="JA70" s="24"/>
      <c r="JB70">
        <v>113000000</v>
      </c>
      <c r="JC70">
        <v>120000000</v>
      </c>
      <c r="JD70">
        <v>113598199</v>
      </c>
      <c r="JE70">
        <v>189</v>
      </c>
      <c r="JF70">
        <v>89</v>
      </c>
      <c r="JH70" s="24"/>
      <c r="JI70">
        <v>108004800</v>
      </c>
      <c r="JJ70">
        <v>114482400</v>
      </c>
      <c r="JK70">
        <v>111694306</v>
      </c>
      <c r="JL70">
        <v>67</v>
      </c>
      <c r="JM70">
        <v>35</v>
      </c>
      <c r="JO70" s="24"/>
      <c r="JP70">
        <v>75</v>
      </c>
      <c r="JQ70">
        <v>79</v>
      </c>
      <c r="JR70">
        <v>76</v>
      </c>
      <c r="JS70">
        <v>89045082</v>
      </c>
      <c r="JT70">
        <v>100</v>
      </c>
      <c r="JV70" s="24"/>
      <c r="JW70">
        <v>92</v>
      </c>
      <c r="JX70">
        <v>95</v>
      </c>
      <c r="JY70">
        <v>93</v>
      </c>
      <c r="JZ70">
        <v>107546923</v>
      </c>
      <c r="KA70">
        <v>119</v>
      </c>
      <c r="KC70" s="24"/>
      <c r="KD70">
        <v>19</v>
      </c>
      <c r="KE70">
        <v>20</v>
      </c>
      <c r="KF70">
        <v>19</v>
      </c>
      <c r="KG70">
        <v>50272042</v>
      </c>
      <c r="KH70">
        <v>287</v>
      </c>
      <c r="KJ70" s="24"/>
      <c r="KK70">
        <v>98</v>
      </c>
      <c r="KL70">
        <v>102</v>
      </c>
      <c r="KM70">
        <v>98</v>
      </c>
      <c r="KN70">
        <v>129227024</v>
      </c>
      <c r="KO70">
        <v>131</v>
      </c>
      <c r="KQ70" s="24"/>
      <c r="KR70">
        <v>92250</v>
      </c>
      <c r="KS70">
        <v>94995</v>
      </c>
      <c r="KT70">
        <v>92274</v>
      </c>
      <c r="KU70">
        <v>58495</v>
      </c>
      <c r="KV70">
        <v>677</v>
      </c>
      <c r="KX70" s="24"/>
      <c r="KY70">
        <v>504</v>
      </c>
      <c r="KZ70">
        <v>504</v>
      </c>
      <c r="LA70">
        <v>504</v>
      </c>
      <c r="LB70">
        <v>5040583</v>
      </c>
      <c r="LC70">
        <v>192</v>
      </c>
      <c r="LE70" s="24"/>
      <c r="LF70">
        <v>207502</v>
      </c>
      <c r="LG70">
        <v>212196</v>
      </c>
      <c r="LH70">
        <v>207510</v>
      </c>
      <c r="LI70">
        <v>160803</v>
      </c>
      <c r="LJ70">
        <v>1027</v>
      </c>
      <c r="LL70" s="24"/>
      <c r="LM70">
        <v>87705</v>
      </c>
      <c r="LN70">
        <v>87800</v>
      </c>
      <c r="LO70">
        <v>87725</v>
      </c>
      <c r="LP70">
        <v>327914</v>
      </c>
      <c r="LQ70">
        <v>1430</v>
      </c>
      <c r="LS70" s="24"/>
      <c r="LT70">
        <v>274</v>
      </c>
      <c r="LU70">
        <v>278</v>
      </c>
      <c r="LV70">
        <v>277</v>
      </c>
      <c r="LW70">
        <v>92386969</v>
      </c>
      <c r="LX70">
        <v>345</v>
      </c>
      <c r="LZ70" s="24"/>
      <c r="MA70">
        <v>79282</v>
      </c>
      <c r="MB70">
        <v>79290</v>
      </c>
      <c r="MC70">
        <v>79285</v>
      </c>
      <c r="MD70">
        <v>781365</v>
      </c>
      <c r="ME70">
        <v>90</v>
      </c>
    </row>
    <row r="71" spans="2:343" x14ac:dyDescent="0.25">
      <c r="B71" s="24"/>
      <c r="C71">
        <v>2</v>
      </c>
      <c r="D71">
        <v>2</v>
      </c>
      <c r="E71">
        <v>2</v>
      </c>
      <c r="F71">
        <v>39243129106</v>
      </c>
      <c r="G71">
        <v>3068</v>
      </c>
      <c r="I71" s="24"/>
      <c r="J71">
        <v>4</v>
      </c>
      <c r="K71">
        <v>4</v>
      </c>
      <c r="L71">
        <v>4</v>
      </c>
      <c r="M71">
        <v>5737884787</v>
      </c>
      <c r="N71">
        <v>2094</v>
      </c>
      <c r="P71" s="24"/>
      <c r="Q71">
        <v>29</v>
      </c>
      <c r="R71">
        <v>29</v>
      </c>
      <c r="S71">
        <v>29</v>
      </c>
      <c r="T71">
        <v>3090069527</v>
      </c>
      <c r="U71">
        <v>1957</v>
      </c>
      <c r="W71" s="24"/>
      <c r="X71">
        <v>71</v>
      </c>
      <c r="Y71">
        <v>72</v>
      </c>
      <c r="Z71">
        <v>72</v>
      </c>
      <c r="AA71">
        <v>316550018</v>
      </c>
      <c r="AB71">
        <v>1425</v>
      </c>
      <c r="AD71" s="24"/>
      <c r="AE71">
        <v>550</v>
      </c>
      <c r="AF71">
        <v>564</v>
      </c>
      <c r="AG71">
        <v>552</v>
      </c>
      <c r="AH71">
        <v>197233917</v>
      </c>
      <c r="AI71">
        <v>1585</v>
      </c>
      <c r="AK71" s="24"/>
      <c r="AL71">
        <v>1025</v>
      </c>
      <c r="AM71">
        <v>1053</v>
      </c>
      <c r="AN71">
        <v>1026</v>
      </c>
      <c r="AO71">
        <v>52676287</v>
      </c>
      <c r="AP71">
        <v>1314</v>
      </c>
      <c r="AR71" s="24"/>
      <c r="AS71">
        <v>3000</v>
      </c>
      <c r="AT71">
        <v>3061</v>
      </c>
      <c r="AU71">
        <v>3005</v>
      </c>
      <c r="AV71">
        <v>15894090</v>
      </c>
      <c r="AW71">
        <v>1159</v>
      </c>
      <c r="AY71" s="24"/>
      <c r="AZ71">
        <v>324000001</v>
      </c>
      <c r="BA71">
        <v>331179999</v>
      </c>
      <c r="BB71">
        <v>328750491</v>
      </c>
      <c r="BC71">
        <v>1934</v>
      </c>
      <c r="BD71">
        <v>1386</v>
      </c>
      <c r="BF71" s="24"/>
      <c r="BG71">
        <v>25001</v>
      </c>
      <c r="BH71">
        <v>25300</v>
      </c>
      <c r="BI71">
        <v>25103</v>
      </c>
      <c r="BJ71">
        <v>3281413</v>
      </c>
      <c r="BK71">
        <v>201</v>
      </c>
      <c r="BM71" s="24"/>
      <c r="BN71">
        <v>6910000</v>
      </c>
      <c r="BO71">
        <v>7098998</v>
      </c>
      <c r="BP71">
        <v>6970979</v>
      </c>
      <c r="BQ71">
        <v>8536</v>
      </c>
      <c r="BR71">
        <v>350</v>
      </c>
      <c r="BT71" s="24"/>
      <c r="BU71">
        <v>1701</v>
      </c>
      <c r="BV71">
        <v>1745</v>
      </c>
      <c r="BW71">
        <v>1744</v>
      </c>
      <c r="BX71">
        <v>23676801</v>
      </c>
      <c r="BY71">
        <v>234</v>
      </c>
      <c r="CA71" s="24"/>
      <c r="CB71">
        <v>300</v>
      </c>
      <c r="CC71">
        <v>314</v>
      </c>
      <c r="CD71">
        <v>313</v>
      </c>
      <c r="CE71">
        <v>103355564</v>
      </c>
      <c r="CF71">
        <v>271</v>
      </c>
      <c r="CH71" s="24"/>
      <c r="CI71">
        <v>27400</v>
      </c>
      <c r="CJ71">
        <v>27401</v>
      </c>
      <c r="CK71">
        <v>27401</v>
      </c>
      <c r="CL71">
        <v>1033399</v>
      </c>
      <c r="CM71">
        <v>151</v>
      </c>
      <c r="CO71" s="24"/>
      <c r="CP71">
        <v>7702</v>
      </c>
      <c r="CQ71">
        <v>7996</v>
      </c>
      <c r="CR71">
        <v>7951</v>
      </c>
      <c r="CS71">
        <v>980913</v>
      </c>
      <c r="CT71">
        <v>388</v>
      </c>
      <c r="CV71" s="24"/>
      <c r="CW71">
        <v>1332409</v>
      </c>
      <c r="CX71">
        <v>1413949</v>
      </c>
      <c r="CY71">
        <v>1413947</v>
      </c>
      <c r="CZ71">
        <v>10115</v>
      </c>
      <c r="DA71">
        <v>52</v>
      </c>
      <c r="DC71" s="24"/>
      <c r="DD71">
        <v>303</v>
      </c>
      <c r="DE71">
        <v>353</v>
      </c>
      <c r="DF71">
        <v>347</v>
      </c>
      <c r="DG71">
        <v>42778652</v>
      </c>
      <c r="DH71">
        <v>155</v>
      </c>
      <c r="DJ71" s="24"/>
      <c r="DK71">
        <v>37100029</v>
      </c>
      <c r="DL71">
        <v>37100668</v>
      </c>
      <c r="DM71">
        <v>37100667</v>
      </c>
      <c r="DN71">
        <v>564</v>
      </c>
      <c r="DO71">
        <v>88</v>
      </c>
      <c r="DQ71" s="24"/>
      <c r="DR71">
        <v>1121033</v>
      </c>
      <c r="DS71">
        <v>1165984</v>
      </c>
      <c r="DT71">
        <v>1159998</v>
      </c>
      <c r="DU71">
        <v>4647</v>
      </c>
      <c r="DV71">
        <v>212</v>
      </c>
      <c r="DX71" s="24"/>
      <c r="DY71">
        <v>22000023</v>
      </c>
      <c r="DZ71">
        <v>22000030</v>
      </c>
      <c r="EA71">
        <v>22000026</v>
      </c>
      <c r="EB71">
        <v>339</v>
      </c>
      <c r="EC71">
        <v>104</v>
      </c>
      <c r="EE71" s="24"/>
      <c r="EF71">
        <v>176</v>
      </c>
      <c r="EG71">
        <v>182</v>
      </c>
      <c r="EH71">
        <v>178</v>
      </c>
      <c r="EI71">
        <v>109009185</v>
      </c>
      <c r="EJ71">
        <v>240</v>
      </c>
      <c r="EL71" s="24"/>
      <c r="EM71">
        <v>66550</v>
      </c>
      <c r="EN71">
        <v>69000</v>
      </c>
      <c r="EO71">
        <v>68012</v>
      </c>
      <c r="EP71">
        <v>60249</v>
      </c>
      <c r="EQ71">
        <v>681</v>
      </c>
      <c r="ES71" s="24"/>
      <c r="ET71">
        <v>332</v>
      </c>
      <c r="EU71">
        <v>338</v>
      </c>
      <c r="EV71">
        <v>334</v>
      </c>
      <c r="EW71">
        <v>64043331</v>
      </c>
      <c r="EX71">
        <v>561</v>
      </c>
      <c r="EZ71" s="24"/>
      <c r="FA71">
        <v>3887887</v>
      </c>
      <c r="FB71">
        <v>3887887</v>
      </c>
      <c r="FC71">
        <v>3887887</v>
      </c>
      <c r="FD71">
        <v>805</v>
      </c>
      <c r="FE71">
        <v>22</v>
      </c>
      <c r="FG71" s="24"/>
      <c r="FH71">
        <v>7432</v>
      </c>
      <c r="FI71">
        <v>7899</v>
      </c>
      <c r="FJ71">
        <v>7596</v>
      </c>
      <c r="FK71">
        <v>2499886</v>
      </c>
      <c r="FL71">
        <v>534</v>
      </c>
      <c r="FN71" s="24"/>
      <c r="FO71">
        <v>19924</v>
      </c>
      <c r="FP71">
        <v>19930</v>
      </c>
      <c r="FQ71">
        <v>19930</v>
      </c>
      <c r="FR71">
        <v>67166</v>
      </c>
      <c r="FS71">
        <v>87</v>
      </c>
      <c r="FU71" s="24"/>
      <c r="FV71">
        <v>29770</v>
      </c>
      <c r="FW71">
        <v>30290</v>
      </c>
      <c r="FX71">
        <v>29771</v>
      </c>
      <c r="FY71">
        <v>327672</v>
      </c>
      <c r="FZ71">
        <v>1323</v>
      </c>
      <c r="GB71" s="24"/>
      <c r="GC71">
        <v>105503000</v>
      </c>
      <c r="GD71">
        <v>108249900</v>
      </c>
      <c r="GE71">
        <v>107073187</v>
      </c>
      <c r="GF71">
        <v>94</v>
      </c>
      <c r="GG71">
        <v>65</v>
      </c>
      <c r="GI71" s="24"/>
      <c r="GJ71">
        <v>22851022</v>
      </c>
      <c r="GK71">
        <v>24499989</v>
      </c>
      <c r="GL71">
        <v>22890106</v>
      </c>
      <c r="GM71">
        <v>425</v>
      </c>
      <c r="GN71">
        <v>70</v>
      </c>
      <c r="GP71" s="24"/>
      <c r="GQ71">
        <v>118</v>
      </c>
      <c r="GR71">
        <v>124</v>
      </c>
      <c r="GS71">
        <v>118</v>
      </c>
      <c r="GT71">
        <v>150385571</v>
      </c>
      <c r="GU71">
        <v>179</v>
      </c>
      <c r="GW71" s="24"/>
      <c r="GX71">
        <v>275</v>
      </c>
      <c r="GY71">
        <v>288</v>
      </c>
      <c r="GZ71">
        <v>279</v>
      </c>
      <c r="HA71">
        <v>42839635</v>
      </c>
      <c r="HB71">
        <v>171</v>
      </c>
      <c r="HD71" s="24"/>
      <c r="HE71">
        <v>5360</v>
      </c>
      <c r="HF71">
        <v>5500</v>
      </c>
      <c r="HG71">
        <v>5412</v>
      </c>
      <c r="HH71">
        <v>16374612</v>
      </c>
      <c r="HI71">
        <v>354</v>
      </c>
      <c r="HK71" s="24"/>
      <c r="HL71">
        <v>108002200</v>
      </c>
      <c r="HM71">
        <v>111000000</v>
      </c>
      <c r="HN71">
        <v>108007601</v>
      </c>
      <c r="HO71">
        <v>158</v>
      </c>
      <c r="HP71">
        <v>97</v>
      </c>
      <c r="HR71" s="24"/>
      <c r="HS71">
        <v>9500</v>
      </c>
      <c r="HT71">
        <v>9741</v>
      </c>
      <c r="HU71">
        <v>9741</v>
      </c>
      <c r="HV71">
        <v>596111</v>
      </c>
      <c r="HW71">
        <v>168</v>
      </c>
      <c r="HY71" s="24"/>
      <c r="HZ71">
        <v>8200</v>
      </c>
      <c r="IA71">
        <v>8598</v>
      </c>
      <c r="IB71">
        <v>8444</v>
      </c>
      <c r="IC71">
        <v>1754200</v>
      </c>
      <c r="ID71">
        <v>491</v>
      </c>
      <c r="IF71" s="24"/>
      <c r="IG71">
        <v>2699</v>
      </c>
      <c r="IH71">
        <v>2699</v>
      </c>
      <c r="II71">
        <v>2699</v>
      </c>
      <c r="IJ71">
        <v>1292335</v>
      </c>
      <c r="IK71">
        <v>146</v>
      </c>
      <c r="IM71" s="24"/>
      <c r="IN71">
        <v>106513900</v>
      </c>
      <c r="IO71">
        <v>113505786</v>
      </c>
      <c r="IP71">
        <v>110844871</v>
      </c>
      <c r="IQ71">
        <v>64</v>
      </c>
      <c r="IR71">
        <v>59</v>
      </c>
      <c r="IT71" s="24"/>
      <c r="IU71">
        <v>8075</v>
      </c>
      <c r="IV71">
        <v>8079</v>
      </c>
      <c r="IW71">
        <v>8079</v>
      </c>
      <c r="IX71">
        <v>975139</v>
      </c>
      <c r="IY71">
        <v>189</v>
      </c>
      <c r="JA71" s="24"/>
      <c r="JB71">
        <v>109000000</v>
      </c>
      <c r="JC71">
        <v>111500000</v>
      </c>
      <c r="JD71">
        <v>109999999</v>
      </c>
      <c r="JE71">
        <v>146</v>
      </c>
      <c r="JF71">
        <v>98</v>
      </c>
      <c r="JH71" s="24"/>
      <c r="JI71">
        <v>106203201</v>
      </c>
      <c r="JJ71">
        <v>108005000</v>
      </c>
      <c r="JK71">
        <v>108002900</v>
      </c>
      <c r="JL71">
        <v>105</v>
      </c>
      <c r="JM71">
        <v>55</v>
      </c>
      <c r="JO71" s="24"/>
      <c r="JP71">
        <v>77</v>
      </c>
      <c r="JQ71">
        <v>80</v>
      </c>
      <c r="JR71">
        <v>77</v>
      </c>
      <c r="JS71">
        <v>161702826</v>
      </c>
      <c r="JT71">
        <v>154</v>
      </c>
      <c r="JV71" s="24"/>
      <c r="JW71">
        <v>85</v>
      </c>
      <c r="JX71">
        <v>92</v>
      </c>
      <c r="JY71">
        <v>91</v>
      </c>
      <c r="JZ71">
        <v>261959315</v>
      </c>
      <c r="KA71">
        <v>152</v>
      </c>
      <c r="KC71" s="24"/>
      <c r="KD71">
        <v>19</v>
      </c>
      <c r="KE71">
        <v>20</v>
      </c>
      <c r="KF71">
        <v>20</v>
      </c>
      <c r="KG71">
        <v>81758211</v>
      </c>
      <c r="KH71">
        <v>319</v>
      </c>
      <c r="KJ71" s="24"/>
      <c r="KK71">
        <v>100</v>
      </c>
      <c r="KL71">
        <v>102</v>
      </c>
      <c r="KM71">
        <v>100</v>
      </c>
      <c r="KN71">
        <v>173844844</v>
      </c>
      <c r="KO71">
        <v>163</v>
      </c>
      <c r="KQ71" s="24"/>
      <c r="KR71">
        <v>92295</v>
      </c>
      <c r="KS71">
        <v>93999</v>
      </c>
      <c r="KT71">
        <v>92298</v>
      </c>
      <c r="KU71">
        <v>69090</v>
      </c>
      <c r="KV71">
        <v>664</v>
      </c>
      <c r="KX71" s="24"/>
      <c r="KY71">
        <v>509</v>
      </c>
      <c r="KZ71">
        <v>514</v>
      </c>
      <c r="LA71">
        <v>514</v>
      </c>
      <c r="LB71">
        <v>4880397</v>
      </c>
      <c r="LC71">
        <v>193</v>
      </c>
      <c r="LE71" s="24"/>
      <c r="LF71">
        <v>207543</v>
      </c>
      <c r="LG71">
        <v>212516</v>
      </c>
      <c r="LH71">
        <v>208197</v>
      </c>
      <c r="LI71">
        <v>124407</v>
      </c>
      <c r="LJ71">
        <v>985</v>
      </c>
      <c r="LL71" s="24"/>
      <c r="LM71">
        <v>85126</v>
      </c>
      <c r="LN71">
        <v>87725</v>
      </c>
      <c r="LO71">
        <v>87722</v>
      </c>
      <c r="LP71">
        <v>388190</v>
      </c>
      <c r="LQ71">
        <v>1397</v>
      </c>
      <c r="LS71" s="24"/>
      <c r="LT71">
        <v>275</v>
      </c>
      <c r="LU71">
        <v>283</v>
      </c>
      <c r="LV71">
        <v>282</v>
      </c>
      <c r="LW71">
        <v>132324268</v>
      </c>
      <c r="LX71">
        <v>383</v>
      </c>
      <c r="LZ71" s="24"/>
      <c r="MA71">
        <v>79390</v>
      </c>
      <c r="MB71">
        <v>79391</v>
      </c>
      <c r="MC71">
        <v>79391</v>
      </c>
      <c r="MD71">
        <v>1020370</v>
      </c>
      <c r="ME71">
        <v>92</v>
      </c>
    </row>
    <row r="72" spans="2:343" x14ac:dyDescent="0.25">
      <c r="B72" s="24"/>
      <c r="C72">
        <v>2</v>
      </c>
      <c r="D72">
        <v>2</v>
      </c>
      <c r="E72">
        <v>2</v>
      </c>
      <c r="F72">
        <v>46733304417</v>
      </c>
      <c r="G72">
        <v>3109</v>
      </c>
      <c r="I72" s="24"/>
      <c r="J72">
        <v>4</v>
      </c>
      <c r="K72">
        <v>4</v>
      </c>
      <c r="L72">
        <v>4</v>
      </c>
      <c r="M72">
        <v>5285461520</v>
      </c>
      <c r="N72">
        <v>2154</v>
      </c>
      <c r="P72" s="24"/>
      <c r="Q72">
        <v>28</v>
      </c>
      <c r="R72">
        <v>29</v>
      </c>
      <c r="S72">
        <v>29</v>
      </c>
      <c r="T72">
        <v>1840443204</v>
      </c>
      <c r="U72">
        <v>1960</v>
      </c>
      <c r="W72" s="24"/>
      <c r="X72">
        <v>70</v>
      </c>
      <c r="Y72">
        <v>71</v>
      </c>
      <c r="Z72">
        <v>71</v>
      </c>
      <c r="AA72">
        <v>278479664</v>
      </c>
      <c r="AB72">
        <v>1482</v>
      </c>
      <c r="AD72" s="24"/>
      <c r="AE72">
        <v>562</v>
      </c>
      <c r="AF72">
        <v>589</v>
      </c>
      <c r="AG72">
        <v>565</v>
      </c>
      <c r="AH72">
        <v>164926743</v>
      </c>
      <c r="AI72">
        <v>1811</v>
      </c>
      <c r="AK72" s="24"/>
      <c r="AL72">
        <v>1005</v>
      </c>
      <c r="AM72">
        <v>1019</v>
      </c>
      <c r="AN72">
        <v>1006</v>
      </c>
      <c r="AO72">
        <v>63381299</v>
      </c>
      <c r="AP72">
        <v>1360</v>
      </c>
      <c r="AR72" s="24"/>
      <c r="AS72">
        <v>2960</v>
      </c>
      <c r="AT72">
        <v>3006</v>
      </c>
      <c r="AU72">
        <v>2999</v>
      </c>
      <c r="AV72">
        <v>18756325</v>
      </c>
      <c r="AW72">
        <v>1193</v>
      </c>
      <c r="AY72" s="24"/>
      <c r="AZ72">
        <v>323000006</v>
      </c>
      <c r="BA72">
        <v>329699992</v>
      </c>
      <c r="BB72">
        <v>325999995</v>
      </c>
      <c r="BC72">
        <v>2315</v>
      </c>
      <c r="BD72">
        <v>1542</v>
      </c>
      <c r="BF72" s="24"/>
      <c r="BG72">
        <v>25105</v>
      </c>
      <c r="BH72">
        <v>25250</v>
      </c>
      <c r="BI72">
        <v>25119</v>
      </c>
      <c r="BJ72">
        <v>1970808</v>
      </c>
      <c r="BK72">
        <v>176</v>
      </c>
      <c r="BM72" s="24"/>
      <c r="BN72">
        <v>6914006</v>
      </c>
      <c r="BO72">
        <v>6917067</v>
      </c>
      <c r="BP72">
        <v>6917015</v>
      </c>
      <c r="BQ72">
        <v>7382</v>
      </c>
      <c r="BR72">
        <v>266</v>
      </c>
      <c r="BT72" s="24"/>
      <c r="BU72">
        <v>1741</v>
      </c>
      <c r="BV72">
        <v>1743</v>
      </c>
      <c r="BW72">
        <v>1742</v>
      </c>
      <c r="BX72">
        <v>16413534</v>
      </c>
      <c r="BY72">
        <v>224</v>
      </c>
      <c r="CA72" s="24"/>
      <c r="CB72">
        <v>312</v>
      </c>
      <c r="CC72">
        <v>313</v>
      </c>
      <c r="CD72">
        <v>313</v>
      </c>
      <c r="CE72">
        <v>82967096</v>
      </c>
      <c r="CF72">
        <v>305</v>
      </c>
      <c r="CH72" s="24"/>
      <c r="CI72">
        <v>27902</v>
      </c>
      <c r="CJ72">
        <v>27903</v>
      </c>
      <c r="CK72">
        <v>27903</v>
      </c>
      <c r="CL72">
        <v>1393301</v>
      </c>
      <c r="CM72">
        <v>177</v>
      </c>
      <c r="CO72" s="24"/>
      <c r="CP72">
        <v>7657</v>
      </c>
      <c r="CQ72">
        <v>7998</v>
      </c>
      <c r="CR72">
        <v>7996</v>
      </c>
      <c r="CS72">
        <v>1024716</v>
      </c>
      <c r="CT72">
        <v>438</v>
      </c>
      <c r="CV72" s="24"/>
      <c r="CW72">
        <v>1412999</v>
      </c>
      <c r="CX72">
        <v>1413885</v>
      </c>
      <c r="CY72">
        <v>1413884</v>
      </c>
      <c r="CZ72">
        <v>6887</v>
      </c>
      <c r="DA72">
        <v>26</v>
      </c>
      <c r="DC72" s="24"/>
      <c r="DD72">
        <v>310</v>
      </c>
      <c r="DE72">
        <v>338</v>
      </c>
      <c r="DF72">
        <v>336</v>
      </c>
      <c r="DG72">
        <v>60586139</v>
      </c>
      <c r="DH72">
        <v>204</v>
      </c>
      <c r="DJ72" s="24"/>
      <c r="DK72">
        <v>37006030</v>
      </c>
      <c r="DL72">
        <v>38293999</v>
      </c>
      <c r="DM72">
        <v>37006060</v>
      </c>
      <c r="DN72">
        <v>418</v>
      </c>
      <c r="DO72">
        <v>92</v>
      </c>
      <c r="DQ72" s="24"/>
      <c r="DR72">
        <v>1121040</v>
      </c>
      <c r="DS72">
        <v>1165989</v>
      </c>
      <c r="DT72">
        <v>1154999</v>
      </c>
      <c r="DU72">
        <v>7232</v>
      </c>
      <c r="DV72">
        <v>225</v>
      </c>
      <c r="DX72" s="24"/>
      <c r="DY72">
        <v>20500028</v>
      </c>
      <c r="DZ72">
        <v>22599016</v>
      </c>
      <c r="EA72">
        <v>21492002</v>
      </c>
      <c r="EB72">
        <v>649</v>
      </c>
      <c r="EC72">
        <v>114</v>
      </c>
      <c r="EE72" s="24"/>
      <c r="EF72">
        <v>175</v>
      </c>
      <c r="EG72">
        <v>179</v>
      </c>
      <c r="EH72">
        <v>175</v>
      </c>
      <c r="EI72">
        <v>99020088</v>
      </c>
      <c r="EJ72">
        <v>185</v>
      </c>
      <c r="EL72" s="24"/>
      <c r="EM72">
        <v>66000</v>
      </c>
      <c r="EN72">
        <v>66106</v>
      </c>
      <c r="EO72">
        <v>66025</v>
      </c>
      <c r="EP72">
        <v>73765</v>
      </c>
      <c r="EQ72">
        <v>677</v>
      </c>
      <c r="ES72" s="24"/>
      <c r="ET72">
        <v>360</v>
      </c>
      <c r="EU72">
        <v>391</v>
      </c>
      <c r="EV72">
        <v>386</v>
      </c>
      <c r="EW72">
        <v>35408806</v>
      </c>
      <c r="EX72">
        <v>600</v>
      </c>
      <c r="EZ72" s="24"/>
      <c r="FA72">
        <v>3948876</v>
      </c>
      <c r="FB72">
        <v>3948877</v>
      </c>
      <c r="FC72">
        <v>3948877</v>
      </c>
      <c r="FD72">
        <v>2378</v>
      </c>
      <c r="FE72">
        <v>30</v>
      </c>
      <c r="FG72" s="24"/>
      <c r="FH72">
        <v>7189</v>
      </c>
      <c r="FI72">
        <v>7400</v>
      </c>
      <c r="FJ72">
        <v>7249</v>
      </c>
      <c r="FK72">
        <v>2580454</v>
      </c>
      <c r="FL72">
        <v>554</v>
      </c>
      <c r="FN72" s="24"/>
      <c r="FO72">
        <v>19924</v>
      </c>
      <c r="FP72">
        <v>19924</v>
      </c>
      <c r="FQ72">
        <v>19924</v>
      </c>
      <c r="FR72">
        <v>151676</v>
      </c>
      <c r="FS72">
        <v>72</v>
      </c>
      <c r="FU72" s="24"/>
      <c r="FV72">
        <v>27279</v>
      </c>
      <c r="FW72">
        <v>28618</v>
      </c>
      <c r="FX72">
        <v>28352</v>
      </c>
      <c r="FY72">
        <v>328171</v>
      </c>
      <c r="FZ72">
        <v>1299</v>
      </c>
      <c r="GB72" s="24"/>
      <c r="GC72">
        <v>105200000</v>
      </c>
      <c r="GD72">
        <v>108599999</v>
      </c>
      <c r="GE72">
        <v>108100000</v>
      </c>
      <c r="GF72">
        <v>112</v>
      </c>
      <c r="GG72">
        <v>62</v>
      </c>
      <c r="GI72" s="24"/>
      <c r="GJ72">
        <v>22931106</v>
      </c>
      <c r="GK72">
        <v>23999990</v>
      </c>
      <c r="GL72">
        <v>22990102</v>
      </c>
      <c r="GM72">
        <v>623</v>
      </c>
      <c r="GN72">
        <v>77</v>
      </c>
      <c r="GP72" s="24"/>
      <c r="GQ72">
        <v>110</v>
      </c>
      <c r="GR72">
        <v>121</v>
      </c>
      <c r="GS72">
        <v>112</v>
      </c>
      <c r="GT72">
        <v>56907311</v>
      </c>
      <c r="GU72">
        <v>111</v>
      </c>
      <c r="GW72" s="24"/>
      <c r="GX72">
        <v>280</v>
      </c>
      <c r="GY72">
        <v>289</v>
      </c>
      <c r="GZ72">
        <v>289</v>
      </c>
      <c r="HA72">
        <v>50733474</v>
      </c>
      <c r="HB72">
        <v>216</v>
      </c>
      <c r="HD72" s="24"/>
      <c r="HE72">
        <v>5457</v>
      </c>
      <c r="HF72">
        <v>5587</v>
      </c>
      <c r="HG72">
        <v>5530</v>
      </c>
      <c r="HH72">
        <v>14384900</v>
      </c>
      <c r="HI72">
        <v>305</v>
      </c>
      <c r="HK72" s="24"/>
      <c r="HL72">
        <v>106499003</v>
      </c>
      <c r="HM72">
        <v>111470000</v>
      </c>
      <c r="HN72">
        <v>109859638</v>
      </c>
      <c r="HO72">
        <v>59</v>
      </c>
      <c r="HP72">
        <v>52</v>
      </c>
      <c r="HR72" s="24"/>
      <c r="HS72">
        <v>8950</v>
      </c>
      <c r="HT72">
        <v>9578</v>
      </c>
      <c r="HU72">
        <v>8950</v>
      </c>
      <c r="HV72">
        <v>887937</v>
      </c>
      <c r="HW72">
        <v>190</v>
      </c>
      <c r="HY72" s="24"/>
      <c r="HZ72">
        <v>8200</v>
      </c>
      <c r="IA72">
        <v>8597</v>
      </c>
      <c r="IB72">
        <v>8500</v>
      </c>
      <c r="IC72">
        <v>2093852</v>
      </c>
      <c r="ID72">
        <v>533</v>
      </c>
      <c r="IF72" s="24"/>
      <c r="IG72">
        <v>2765</v>
      </c>
      <c r="IH72">
        <v>2766</v>
      </c>
      <c r="II72">
        <v>2766</v>
      </c>
      <c r="IJ72">
        <v>1646825</v>
      </c>
      <c r="IK72">
        <v>144</v>
      </c>
      <c r="IM72" s="24"/>
      <c r="IN72">
        <v>106703500</v>
      </c>
      <c r="IO72">
        <v>113504998</v>
      </c>
      <c r="IP72">
        <v>109216833</v>
      </c>
      <c r="IQ72">
        <v>99</v>
      </c>
      <c r="IR72">
        <v>72</v>
      </c>
      <c r="IT72" s="24"/>
      <c r="IU72">
        <v>7951</v>
      </c>
      <c r="IV72">
        <v>8073</v>
      </c>
      <c r="IW72">
        <v>8069</v>
      </c>
      <c r="IX72">
        <v>1443258</v>
      </c>
      <c r="IY72">
        <v>137</v>
      </c>
      <c r="JA72" s="24"/>
      <c r="JB72">
        <v>107500000</v>
      </c>
      <c r="JC72">
        <v>110999800</v>
      </c>
      <c r="JD72">
        <v>109500000</v>
      </c>
      <c r="JE72">
        <v>284</v>
      </c>
      <c r="JF72">
        <v>130</v>
      </c>
      <c r="JH72" s="24"/>
      <c r="JI72">
        <v>108901000</v>
      </c>
      <c r="JJ72">
        <v>110900000</v>
      </c>
      <c r="JK72">
        <v>110282670</v>
      </c>
      <c r="JL72">
        <v>34</v>
      </c>
      <c r="JM72">
        <v>29</v>
      </c>
      <c r="JO72" s="24"/>
      <c r="JP72">
        <v>78</v>
      </c>
      <c r="JQ72">
        <v>80</v>
      </c>
      <c r="JR72">
        <v>80</v>
      </c>
      <c r="JS72">
        <v>123684687</v>
      </c>
      <c r="JT72">
        <v>141</v>
      </c>
      <c r="JV72" s="24"/>
      <c r="JW72">
        <v>87</v>
      </c>
      <c r="JX72">
        <v>90</v>
      </c>
      <c r="JY72">
        <v>90</v>
      </c>
      <c r="JZ72">
        <v>167711673</v>
      </c>
      <c r="KA72">
        <v>133</v>
      </c>
      <c r="KC72" s="24"/>
      <c r="KD72">
        <v>19</v>
      </c>
      <c r="KE72">
        <v>19</v>
      </c>
      <c r="KF72">
        <v>19</v>
      </c>
      <c r="KG72">
        <v>56670739</v>
      </c>
      <c r="KH72">
        <v>301</v>
      </c>
      <c r="KJ72" s="24"/>
      <c r="KK72">
        <v>100</v>
      </c>
      <c r="KL72">
        <v>103</v>
      </c>
      <c r="KM72">
        <v>100</v>
      </c>
      <c r="KN72">
        <v>97720911</v>
      </c>
      <c r="KO72">
        <v>131</v>
      </c>
      <c r="KQ72" s="24"/>
      <c r="KR72">
        <v>93002</v>
      </c>
      <c r="KS72">
        <v>96899</v>
      </c>
      <c r="KT72">
        <v>93031</v>
      </c>
      <c r="KU72">
        <v>72501</v>
      </c>
      <c r="KV72">
        <v>676</v>
      </c>
      <c r="KX72" s="24"/>
      <c r="KY72">
        <v>500</v>
      </c>
      <c r="KZ72">
        <v>520</v>
      </c>
      <c r="LA72">
        <v>519</v>
      </c>
      <c r="LB72">
        <v>8260946</v>
      </c>
      <c r="LC72">
        <v>197</v>
      </c>
      <c r="LE72" s="24"/>
      <c r="LF72">
        <v>208204</v>
      </c>
      <c r="LG72">
        <v>208416</v>
      </c>
      <c r="LH72">
        <v>208380</v>
      </c>
      <c r="LI72">
        <v>120494</v>
      </c>
      <c r="LJ72">
        <v>957</v>
      </c>
      <c r="LL72" s="24"/>
      <c r="LM72">
        <v>85148</v>
      </c>
      <c r="LN72">
        <v>85673</v>
      </c>
      <c r="LO72">
        <v>85187</v>
      </c>
      <c r="LP72">
        <v>312968</v>
      </c>
      <c r="LQ72">
        <v>1325</v>
      </c>
      <c r="LS72" s="24"/>
      <c r="LT72">
        <v>278</v>
      </c>
      <c r="LU72">
        <v>279</v>
      </c>
      <c r="LV72">
        <v>278</v>
      </c>
      <c r="LW72">
        <v>103159028</v>
      </c>
      <c r="LX72">
        <v>379</v>
      </c>
      <c r="LZ72" s="24"/>
      <c r="MA72">
        <v>77667</v>
      </c>
      <c r="MB72">
        <v>79498</v>
      </c>
      <c r="MC72">
        <v>79399</v>
      </c>
      <c r="MD72">
        <v>409686</v>
      </c>
      <c r="ME72">
        <v>59</v>
      </c>
    </row>
    <row r="73" spans="2:343" x14ac:dyDescent="0.25">
      <c r="B73" s="24"/>
      <c r="C73">
        <v>2</v>
      </c>
      <c r="D73">
        <v>2</v>
      </c>
      <c r="E73">
        <v>2</v>
      </c>
      <c r="F73">
        <v>37490572623</v>
      </c>
      <c r="G73">
        <v>3290</v>
      </c>
      <c r="I73" s="24"/>
      <c r="J73">
        <v>4</v>
      </c>
      <c r="K73">
        <v>4</v>
      </c>
      <c r="L73">
        <v>4</v>
      </c>
      <c r="M73">
        <v>7509705442</v>
      </c>
      <c r="N73">
        <v>2204</v>
      </c>
      <c r="P73" s="24"/>
      <c r="Q73">
        <v>29</v>
      </c>
      <c r="R73">
        <v>29</v>
      </c>
      <c r="S73">
        <v>29</v>
      </c>
      <c r="T73">
        <v>2015285660</v>
      </c>
      <c r="U73">
        <v>1981</v>
      </c>
      <c r="W73" s="24"/>
      <c r="X73">
        <v>71</v>
      </c>
      <c r="Y73">
        <v>71</v>
      </c>
      <c r="Z73">
        <v>71</v>
      </c>
      <c r="AA73">
        <v>408860482</v>
      </c>
      <c r="AB73">
        <v>1517</v>
      </c>
      <c r="AD73" s="24"/>
      <c r="AE73">
        <v>564</v>
      </c>
      <c r="AF73">
        <v>571</v>
      </c>
      <c r="AG73">
        <v>569</v>
      </c>
      <c r="AH73">
        <v>138892851</v>
      </c>
      <c r="AI73">
        <v>1693</v>
      </c>
      <c r="AK73" s="24"/>
      <c r="AL73">
        <v>1010</v>
      </c>
      <c r="AM73">
        <v>1032</v>
      </c>
      <c r="AN73">
        <v>1027</v>
      </c>
      <c r="AO73">
        <v>46326078</v>
      </c>
      <c r="AP73">
        <v>1318</v>
      </c>
      <c r="AR73" s="24"/>
      <c r="AS73">
        <v>2978</v>
      </c>
      <c r="AT73">
        <v>3041</v>
      </c>
      <c r="AU73">
        <v>3041</v>
      </c>
      <c r="AV73">
        <v>10592942</v>
      </c>
      <c r="AW73">
        <v>1213</v>
      </c>
      <c r="AY73" s="24"/>
      <c r="AZ73">
        <v>323049999</v>
      </c>
      <c r="BA73">
        <v>328199485</v>
      </c>
      <c r="BB73">
        <v>324999996</v>
      </c>
      <c r="BC73">
        <v>1895</v>
      </c>
      <c r="BD73">
        <v>1304</v>
      </c>
      <c r="BF73" s="24"/>
      <c r="BG73">
        <v>24909</v>
      </c>
      <c r="BH73">
        <v>24959</v>
      </c>
      <c r="BI73">
        <v>24950</v>
      </c>
      <c r="BJ73">
        <v>2111003</v>
      </c>
      <c r="BK73">
        <v>183</v>
      </c>
      <c r="BM73" s="24"/>
      <c r="BN73">
        <v>6917068</v>
      </c>
      <c r="BO73">
        <v>6917114</v>
      </c>
      <c r="BP73">
        <v>6917089</v>
      </c>
      <c r="BQ73">
        <v>9557</v>
      </c>
      <c r="BR73">
        <v>315</v>
      </c>
      <c r="BT73" s="24"/>
      <c r="BU73">
        <v>1701</v>
      </c>
      <c r="BV73">
        <v>1749</v>
      </c>
      <c r="BW73">
        <v>1742</v>
      </c>
      <c r="BX73">
        <v>29333121</v>
      </c>
      <c r="BY73">
        <v>288</v>
      </c>
      <c r="CA73" s="24"/>
      <c r="CB73">
        <v>300</v>
      </c>
      <c r="CC73">
        <v>312</v>
      </c>
      <c r="CD73">
        <v>311</v>
      </c>
      <c r="CE73">
        <v>63411033</v>
      </c>
      <c r="CF73">
        <v>263</v>
      </c>
      <c r="CH73" s="24"/>
      <c r="CI73">
        <v>27400</v>
      </c>
      <c r="CJ73">
        <v>27604</v>
      </c>
      <c r="CK73">
        <v>27602</v>
      </c>
      <c r="CL73">
        <v>1338393</v>
      </c>
      <c r="CM73">
        <v>164</v>
      </c>
      <c r="CO73" s="24"/>
      <c r="CP73">
        <v>7660</v>
      </c>
      <c r="CQ73">
        <v>7999</v>
      </c>
      <c r="CR73">
        <v>7950</v>
      </c>
      <c r="CS73">
        <v>1357714</v>
      </c>
      <c r="CT73">
        <v>399</v>
      </c>
      <c r="CV73" s="24"/>
      <c r="CW73">
        <v>1394156</v>
      </c>
      <c r="CX73">
        <v>1411997</v>
      </c>
      <c r="CY73">
        <v>1411996</v>
      </c>
      <c r="CZ73">
        <v>9303</v>
      </c>
      <c r="DA73">
        <v>42</v>
      </c>
      <c r="DC73" s="24"/>
      <c r="DD73">
        <v>310</v>
      </c>
      <c r="DE73">
        <v>334</v>
      </c>
      <c r="DF73">
        <v>330</v>
      </c>
      <c r="DG73">
        <v>45123371</v>
      </c>
      <c r="DH73">
        <v>176</v>
      </c>
      <c r="DJ73" s="24"/>
      <c r="DK73">
        <v>34800203</v>
      </c>
      <c r="DL73">
        <v>36679999</v>
      </c>
      <c r="DM73">
        <v>34801389</v>
      </c>
      <c r="DN73">
        <v>323</v>
      </c>
      <c r="DO73">
        <v>97</v>
      </c>
      <c r="DQ73" s="24"/>
      <c r="DR73">
        <v>1050007</v>
      </c>
      <c r="DS73">
        <v>1165989</v>
      </c>
      <c r="DT73">
        <v>1149998</v>
      </c>
      <c r="DU73">
        <v>6713</v>
      </c>
      <c r="DV73">
        <v>256</v>
      </c>
      <c r="DX73" s="24"/>
      <c r="DY73">
        <v>19550017</v>
      </c>
      <c r="DZ73">
        <v>21999996</v>
      </c>
      <c r="EA73">
        <v>20999996</v>
      </c>
      <c r="EB73">
        <v>445</v>
      </c>
      <c r="EC73">
        <v>138</v>
      </c>
      <c r="EE73" s="24"/>
      <c r="EF73">
        <v>170</v>
      </c>
      <c r="EG73">
        <v>177</v>
      </c>
      <c r="EH73">
        <v>174</v>
      </c>
      <c r="EI73">
        <v>93018928</v>
      </c>
      <c r="EJ73">
        <v>212</v>
      </c>
      <c r="EL73" s="24"/>
      <c r="EM73">
        <v>64070</v>
      </c>
      <c r="EN73">
        <v>64112</v>
      </c>
      <c r="EO73">
        <v>64111</v>
      </c>
      <c r="EP73">
        <v>79952</v>
      </c>
      <c r="EQ73">
        <v>689</v>
      </c>
      <c r="ES73" s="24"/>
      <c r="ET73">
        <v>349</v>
      </c>
      <c r="EU73">
        <v>359</v>
      </c>
      <c r="EV73">
        <v>356</v>
      </c>
      <c r="EW73">
        <v>35958389</v>
      </c>
      <c r="EX73">
        <v>607</v>
      </c>
      <c r="EZ73" s="24"/>
      <c r="FA73">
        <v>3988997</v>
      </c>
      <c r="FB73">
        <v>4280000</v>
      </c>
      <c r="FC73">
        <v>4279999</v>
      </c>
      <c r="FD73">
        <v>1018</v>
      </c>
      <c r="FE73">
        <v>26</v>
      </c>
      <c r="FG73" s="24"/>
      <c r="FH73">
        <v>7268</v>
      </c>
      <c r="FI73">
        <v>7698</v>
      </c>
      <c r="FJ73">
        <v>7685</v>
      </c>
      <c r="FK73">
        <v>1937483</v>
      </c>
      <c r="FL73">
        <v>546</v>
      </c>
      <c r="FN73" s="24"/>
      <c r="FO73">
        <v>19924</v>
      </c>
      <c r="FP73">
        <v>19924</v>
      </c>
      <c r="FQ73">
        <v>19924</v>
      </c>
      <c r="FR73">
        <v>752042</v>
      </c>
      <c r="FS73">
        <v>93</v>
      </c>
      <c r="FU73" s="24"/>
      <c r="FV73">
        <v>28644</v>
      </c>
      <c r="FW73">
        <v>29002</v>
      </c>
      <c r="FX73">
        <v>28707</v>
      </c>
      <c r="FY73">
        <v>248278</v>
      </c>
      <c r="FZ73">
        <v>1245</v>
      </c>
      <c r="GB73" s="24"/>
      <c r="GC73">
        <v>105002201</v>
      </c>
      <c r="GD73">
        <v>108002201</v>
      </c>
      <c r="GE73">
        <v>107599898</v>
      </c>
      <c r="GF73">
        <v>130</v>
      </c>
      <c r="GG73">
        <v>95</v>
      </c>
      <c r="GI73" s="24"/>
      <c r="GJ73">
        <v>23308073</v>
      </c>
      <c r="GK73">
        <v>24499992</v>
      </c>
      <c r="GL73">
        <v>23899999</v>
      </c>
      <c r="GM73">
        <v>360</v>
      </c>
      <c r="GN73">
        <v>80</v>
      </c>
      <c r="GP73" s="24"/>
      <c r="GQ73">
        <v>110</v>
      </c>
      <c r="GR73">
        <v>114</v>
      </c>
      <c r="GS73">
        <v>112</v>
      </c>
      <c r="GT73">
        <v>144132369</v>
      </c>
      <c r="GU73">
        <v>161</v>
      </c>
      <c r="GW73" s="24"/>
      <c r="GX73">
        <v>289</v>
      </c>
      <c r="GY73">
        <v>305</v>
      </c>
      <c r="GZ73">
        <v>302</v>
      </c>
      <c r="HA73">
        <v>51768713</v>
      </c>
      <c r="HB73">
        <v>207</v>
      </c>
      <c r="HD73" s="24"/>
      <c r="HE73">
        <v>5356</v>
      </c>
      <c r="HF73">
        <v>5474</v>
      </c>
      <c r="HG73">
        <v>5470</v>
      </c>
      <c r="HH73">
        <v>21058215</v>
      </c>
      <c r="HI73">
        <v>292</v>
      </c>
      <c r="HK73" s="24"/>
      <c r="HL73">
        <v>106499004</v>
      </c>
      <c r="HM73">
        <v>111398800</v>
      </c>
      <c r="HN73">
        <v>108871884</v>
      </c>
      <c r="HO73">
        <v>92</v>
      </c>
      <c r="HP73">
        <v>73</v>
      </c>
      <c r="HR73" s="24"/>
      <c r="HS73">
        <v>8831</v>
      </c>
      <c r="HT73">
        <v>9578</v>
      </c>
      <c r="HU73">
        <v>9576</v>
      </c>
      <c r="HV73">
        <v>1031340</v>
      </c>
      <c r="HW73">
        <v>196</v>
      </c>
      <c r="HY73" s="24"/>
      <c r="HZ73">
        <v>8250</v>
      </c>
      <c r="IA73">
        <v>8597</v>
      </c>
      <c r="IB73">
        <v>8550</v>
      </c>
      <c r="IC73">
        <v>2364289</v>
      </c>
      <c r="ID73">
        <v>505</v>
      </c>
      <c r="IF73" s="24"/>
      <c r="IG73">
        <v>2563</v>
      </c>
      <c r="IH73">
        <v>2765</v>
      </c>
      <c r="II73">
        <v>2755</v>
      </c>
      <c r="IJ73">
        <v>1946058</v>
      </c>
      <c r="IK73">
        <v>154</v>
      </c>
      <c r="IM73" s="24"/>
      <c r="IN73">
        <v>106518000</v>
      </c>
      <c r="IO73">
        <v>110489999</v>
      </c>
      <c r="IP73">
        <v>106702400</v>
      </c>
      <c r="IQ73">
        <v>136</v>
      </c>
      <c r="IR73">
        <v>86</v>
      </c>
      <c r="IT73" s="24"/>
      <c r="IU73">
        <v>7810</v>
      </c>
      <c r="IV73">
        <v>8062</v>
      </c>
      <c r="IW73">
        <v>7902</v>
      </c>
      <c r="IX73">
        <v>2402569</v>
      </c>
      <c r="IY73">
        <v>193</v>
      </c>
      <c r="JA73" s="24"/>
      <c r="JB73">
        <v>106600200</v>
      </c>
      <c r="JC73">
        <v>107999999</v>
      </c>
      <c r="JD73">
        <v>107700000</v>
      </c>
      <c r="JE73">
        <v>203</v>
      </c>
      <c r="JF73">
        <v>121</v>
      </c>
      <c r="JH73" s="24"/>
      <c r="JI73">
        <v>104803000</v>
      </c>
      <c r="JJ73">
        <v>110490000</v>
      </c>
      <c r="JK73">
        <v>107461396</v>
      </c>
      <c r="JL73">
        <v>51</v>
      </c>
      <c r="JM73">
        <v>43</v>
      </c>
      <c r="JO73" s="24"/>
      <c r="JP73">
        <v>77</v>
      </c>
      <c r="JQ73">
        <v>80</v>
      </c>
      <c r="JR73">
        <v>80</v>
      </c>
      <c r="JS73">
        <v>77058431</v>
      </c>
      <c r="JT73">
        <v>111</v>
      </c>
      <c r="JV73" s="24"/>
      <c r="JW73">
        <v>86</v>
      </c>
      <c r="JX73">
        <v>88</v>
      </c>
      <c r="JY73">
        <v>88</v>
      </c>
      <c r="JZ73">
        <v>137558969</v>
      </c>
      <c r="KA73">
        <v>141</v>
      </c>
      <c r="KC73" s="24"/>
      <c r="KD73">
        <v>19</v>
      </c>
      <c r="KE73">
        <v>19</v>
      </c>
      <c r="KF73">
        <v>19</v>
      </c>
      <c r="KG73">
        <v>68367866</v>
      </c>
      <c r="KH73">
        <v>284</v>
      </c>
      <c r="KJ73" s="24"/>
      <c r="KK73">
        <v>100</v>
      </c>
      <c r="KL73">
        <v>107</v>
      </c>
      <c r="KM73">
        <v>102</v>
      </c>
      <c r="KN73">
        <v>219482647</v>
      </c>
      <c r="KO73">
        <v>187</v>
      </c>
      <c r="KQ73" s="24"/>
      <c r="KR73">
        <v>93424</v>
      </c>
      <c r="KS73">
        <v>93441</v>
      </c>
      <c r="KT73">
        <v>93437</v>
      </c>
      <c r="KU73">
        <v>53178</v>
      </c>
      <c r="KV73">
        <v>608</v>
      </c>
      <c r="KX73" s="24"/>
      <c r="KY73">
        <v>521</v>
      </c>
      <c r="KZ73">
        <v>541</v>
      </c>
      <c r="LA73">
        <v>540</v>
      </c>
      <c r="LB73">
        <v>5240424</v>
      </c>
      <c r="LC73">
        <v>219</v>
      </c>
      <c r="LE73" s="24"/>
      <c r="LF73">
        <v>208529</v>
      </c>
      <c r="LG73">
        <v>208666</v>
      </c>
      <c r="LH73">
        <v>208652</v>
      </c>
      <c r="LI73">
        <v>81727</v>
      </c>
      <c r="LJ73">
        <v>869</v>
      </c>
      <c r="LL73" s="24"/>
      <c r="LM73">
        <v>85694</v>
      </c>
      <c r="LN73">
        <v>86054</v>
      </c>
      <c r="LO73">
        <v>85748</v>
      </c>
      <c r="LP73">
        <v>248934</v>
      </c>
      <c r="LQ73">
        <v>1271</v>
      </c>
      <c r="LS73" s="24"/>
      <c r="LT73">
        <v>276</v>
      </c>
      <c r="LU73">
        <v>278</v>
      </c>
      <c r="LV73">
        <v>277</v>
      </c>
      <c r="LW73">
        <v>97894980</v>
      </c>
      <c r="LX73">
        <v>334</v>
      </c>
      <c r="LZ73" s="24"/>
      <c r="MA73">
        <v>77761</v>
      </c>
      <c r="MB73">
        <v>79998</v>
      </c>
      <c r="MC73">
        <v>77834</v>
      </c>
      <c r="MD73">
        <v>826808</v>
      </c>
      <c r="ME73">
        <v>85</v>
      </c>
    </row>
    <row r="74" spans="2:343" x14ac:dyDescent="0.25">
      <c r="B74" s="24"/>
      <c r="C74">
        <v>2</v>
      </c>
      <c r="D74">
        <v>2</v>
      </c>
      <c r="E74">
        <v>2</v>
      </c>
      <c r="F74">
        <v>40178501812</v>
      </c>
      <c r="G74">
        <v>3043</v>
      </c>
      <c r="I74" s="24"/>
      <c r="J74">
        <v>4</v>
      </c>
      <c r="K74">
        <v>4</v>
      </c>
      <c r="L74">
        <v>4</v>
      </c>
      <c r="M74">
        <v>6055520800</v>
      </c>
      <c r="N74">
        <v>2147</v>
      </c>
      <c r="P74" s="24"/>
      <c r="Q74">
        <v>28</v>
      </c>
      <c r="R74">
        <v>29</v>
      </c>
      <c r="S74">
        <v>29</v>
      </c>
      <c r="T74">
        <v>2755349148</v>
      </c>
      <c r="U74">
        <v>1949</v>
      </c>
      <c r="W74" s="24"/>
      <c r="X74">
        <v>70</v>
      </c>
      <c r="Y74">
        <v>71</v>
      </c>
      <c r="Z74">
        <v>71</v>
      </c>
      <c r="AA74">
        <v>528825112</v>
      </c>
      <c r="AB74">
        <v>1543</v>
      </c>
      <c r="AD74" s="24"/>
      <c r="AE74">
        <v>543</v>
      </c>
      <c r="AF74">
        <v>561</v>
      </c>
      <c r="AG74">
        <v>544</v>
      </c>
      <c r="AH74">
        <v>185404435</v>
      </c>
      <c r="AI74">
        <v>1659</v>
      </c>
      <c r="AK74" s="24"/>
      <c r="AL74">
        <v>1005</v>
      </c>
      <c r="AM74">
        <v>1022</v>
      </c>
      <c r="AN74">
        <v>1006</v>
      </c>
      <c r="AO74">
        <v>47600863</v>
      </c>
      <c r="AP74">
        <v>1284</v>
      </c>
      <c r="AR74" s="24"/>
      <c r="AS74">
        <v>2978</v>
      </c>
      <c r="AT74">
        <v>3039</v>
      </c>
      <c r="AU74">
        <v>3039</v>
      </c>
      <c r="AV74">
        <v>13626421</v>
      </c>
      <c r="AW74">
        <v>1249</v>
      </c>
      <c r="AY74" s="24"/>
      <c r="AZ74">
        <v>319605392</v>
      </c>
      <c r="BA74">
        <v>327248700</v>
      </c>
      <c r="BB74">
        <v>322001001</v>
      </c>
      <c r="BC74">
        <v>2258</v>
      </c>
      <c r="BD74">
        <v>1442</v>
      </c>
      <c r="BF74" s="24"/>
      <c r="BG74">
        <v>25001</v>
      </c>
      <c r="BH74">
        <v>25569</v>
      </c>
      <c r="BI74">
        <v>25102</v>
      </c>
      <c r="BJ74">
        <v>4940244</v>
      </c>
      <c r="BK74">
        <v>223</v>
      </c>
      <c r="BM74" s="24"/>
      <c r="BN74">
        <v>6917116</v>
      </c>
      <c r="BO74">
        <v>6917184</v>
      </c>
      <c r="BP74">
        <v>6917128</v>
      </c>
      <c r="BQ74">
        <v>7867</v>
      </c>
      <c r="BR74">
        <v>293</v>
      </c>
      <c r="BT74" s="24"/>
      <c r="BU74">
        <v>1700</v>
      </c>
      <c r="BV74">
        <v>1794</v>
      </c>
      <c r="BW74">
        <v>1719</v>
      </c>
      <c r="BX74">
        <v>27196888</v>
      </c>
      <c r="BY74">
        <v>289</v>
      </c>
      <c r="CA74" s="24"/>
      <c r="CB74">
        <v>311</v>
      </c>
      <c r="CC74">
        <v>318</v>
      </c>
      <c r="CD74">
        <v>312</v>
      </c>
      <c r="CE74">
        <v>148912136</v>
      </c>
      <c r="CF74">
        <v>356</v>
      </c>
      <c r="CH74" s="24"/>
      <c r="CI74">
        <v>27203</v>
      </c>
      <c r="CJ74">
        <v>27600</v>
      </c>
      <c r="CK74">
        <v>27500</v>
      </c>
      <c r="CL74">
        <v>1500858</v>
      </c>
      <c r="CM74">
        <v>180</v>
      </c>
      <c r="CO74" s="24"/>
      <c r="CP74">
        <v>7651</v>
      </c>
      <c r="CQ74">
        <v>7913</v>
      </c>
      <c r="CR74">
        <v>7911</v>
      </c>
      <c r="CS74">
        <v>1098302</v>
      </c>
      <c r="CT74">
        <v>434</v>
      </c>
      <c r="CV74" s="24"/>
      <c r="CW74">
        <v>1394053</v>
      </c>
      <c r="CX74">
        <v>1394070</v>
      </c>
      <c r="CY74">
        <v>1394062</v>
      </c>
      <c r="CZ74">
        <v>7463</v>
      </c>
      <c r="DA74">
        <v>36</v>
      </c>
      <c r="DC74" s="24"/>
      <c r="DD74">
        <v>325</v>
      </c>
      <c r="DE74">
        <v>326</v>
      </c>
      <c r="DF74">
        <v>326</v>
      </c>
      <c r="DG74">
        <v>73609158</v>
      </c>
      <c r="DH74">
        <v>206</v>
      </c>
      <c r="DJ74" s="24"/>
      <c r="DK74">
        <v>36004666</v>
      </c>
      <c r="DL74">
        <v>37408998</v>
      </c>
      <c r="DM74">
        <v>36009055</v>
      </c>
      <c r="DN74">
        <v>334</v>
      </c>
      <c r="DO74">
        <v>110</v>
      </c>
      <c r="DQ74" s="24"/>
      <c r="DR74">
        <v>1100001</v>
      </c>
      <c r="DS74">
        <v>1220046</v>
      </c>
      <c r="DT74">
        <v>1220046</v>
      </c>
      <c r="DU74">
        <v>4736</v>
      </c>
      <c r="DV74">
        <v>250</v>
      </c>
      <c r="DX74" s="24"/>
      <c r="DY74">
        <v>20000006</v>
      </c>
      <c r="DZ74">
        <v>21200020</v>
      </c>
      <c r="EA74">
        <v>20060002</v>
      </c>
      <c r="EB74">
        <v>516</v>
      </c>
      <c r="EC74">
        <v>135</v>
      </c>
      <c r="EE74" s="24"/>
      <c r="EF74">
        <v>170</v>
      </c>
      <c r="EG74">
        <v>174</v>
      </c>
      <c r="EH74">
        <v>170</v>
      </c>
      <c r="EI74">
        <v>99531978</v>
      </c>
      <c r="EJ74">
        <v>217</v>
      </c>
      <c r="EL74" s="24"/>
      <c r="EM74">
        <v>61865</v>
      </c>
      <c r="EN74">
        <v>64970</v>
      </c>
      <c r="EO74">
        <v>61962</v>
      </c>
      <c r="EP74">
        <v>69401</v>
      </c>
      <c r="EQ74">
        <v>704</v>
      </c>
      <c r="ES74" s="24"/>
      <c r="ET74">
        <v>329</v>
      </c>
      <c r="EU74">
        <v>339</v>
      </c>
      <c r="EV74">
        <v>339</v>
      </c>
      <c r="EW74">
        <v>51147124</v>
      </c>
      <c r="EX74">
        <v>705</v>
      </c>
      <c r="EZ74" s="24"/>
      <c r="FA74">
        <v>3802019</v>
      </c>
      <c r="FB74">
        <v>3802101</v>
      </c>
      <c r="FC74">
        <v>3802100</v>
      </c>
      <c r="FD74">
        <v>1405</v>
      </c>
      <c r="FE74">
        <v>22</v>
      </c>
      <c r="FG74" s="24"/>
      <c r="FH74">
        <v>7367</v>
      </c>
      <c r="FI74">
        <v>7676</v>
      </c>
      <c r="FJ74">
        <v>7493</v>
      </c>
      <c r="FK74">
        <v>2255051</v>
      </c>
      <c r="FL74">
        <v>577</v>
      </c>
      <c r="FN74" s="24"/>
      <c r="FO74">
        <v>20165</v>
      </c>
      <c r="FP74">
        <v>23719</v>
      </c>
      <c r="FQ74">
        <v>22999</v>
      </c>
      <c r="FR74">
        <v>178711</v>
      </c>
      <c r="FS74">
        <v>102</v>
      </c>
      <c r="FU74" s="24"/>
      <c r="FV74">
        <v>29015</v>
      </c>
      <c r="FW74">
        <v>29158</v>
      </c>
      <c r="FX74">
        <v>29041</v>
      </c>
      <c r="FY74">
        <v>304765</v>
      </c>
      <c r="FZ74">
        <v>1347</v>
      </c>
      <c r="GB74" s="24"/>
      <c r="GC74">
        <v>104703000</v>
      </c>
      <c r="GD74">
        <v>107998599</v>
      </c>
      <c r="GE74">
        <v>105001000</v>
      </c>
      <c r="GF74">
        <v>147</v>
      </c>
      <c r="GG74">
        <v>74</v>
      </c>
      <c r="GI74" s="24"/>
      <c r="GJ74">
        <v>23608380</v>
      </c>
      <c r="GK74">
        <v>25984999</v>
      </c>
      <c r="GL74">
        <v>25300018</v>
      </c>
      <c r="GM74">
        <v>354</v>
      </c>
      <c r="GN74">
        <v>72</v>
      </c>
      <c r="GP74" s="24"/>
      <c r="GQ74">
        <v>107</v>
      </c>
      <c r="GR74">
        <v>113</v>
      </c>
      <c r="GS74">
        <v>113</v>
      </c>
      <c r="GT74">
        <v>68480097</v>
      </c>
      <c r="GU74">
        <v>127</v>
      </c>
      <c r="GW74" s="24"/>
      <c r="GX74">
        <v>303</v>
      </c>
      <c r="GY74">
        <v>309</v>
      </c>
      <c r="GZ74">
        <v>303</v>
      </c>
      <c r="HA74">
        <v>46843028</v>
      </c>
      <c r="HB74">
        <v>208</v>
      </c>
      <c r="HD74" s="24"/>
      <c r="HE74">
        <v>5340</v>
      </c>
      <c r="HF74">
        <v>5465</v>
      </c>
      <c r="HG74">
        <v>5464</v>
      </c>
      <c r="HH74">
        <v>13543708</v>
      </c>
      <c r="HI74">
        <v>312</v>
      </c>
      <c r="HK74" s="24"/>
      <c r="HL74">
        <v>104500000</v>
      </c>
      <c r="HM74">
        <v>111387000</v>
      </c>
      <c r="HN74">
        <v>107000200</v>
      </c>
      <c r="HO74">
        <v>153</v>
      </c>
      <c r="HP74">
        <v>96</v>
      </c>
      <c r="HR74" s="24"/>
      <c r="HS74">
        <v>8836</v>
      </c>
      <c r="HT74">
        <v>9577</v>
      </c>
      <c r="HU74">
        <v>9397</v>
      </c>
      <c r="HV74">
        <v>951366</v>
      </c>
      <c r="HW74">
        <v>239</v>
      </c>
      <c r="HY74" s="24"/>
      <c r="HZ74">
        <v>8166</v>
      </c>
      <c r="IA74">
        <v>8589</v>
      </c>
      <c r="IB74">
        <v>8545</v>
      </c>
      <c r="IC74">
        <v>1639768</v>
      </c>
      <c r="ID74">
        <v>543</v>
      </c>
      <c r="IF74" s="24"/>
      <c r="IG74">
        <v>2571</v>
      </c>
      <c r="IH74">
        <v>2755</v>
      </c>
      <c r="II74">
        <v>2755</v>
      </c>
      <c r="IJ74">
        <v>1194372</v>
      </c>
      <c r="IK74">
        <v>129</v>
      </c>
      <c r="IM74" s="24"/>
      <c r="IN74">
        <v>105511000</v>
      </c>
      <c r="IO74">
        <v>110000000</v>
      </c>
      <c r="IP74">
        <v>109987900</v>
      </c>
      <c r="IQ74">
        <v>196</v>
      </c>
      <c r="IR74">
        <v>84</v>
      </c>
      <c r="IT74" s="24"/>
      <c r="IU74">
        <v>7477</v>
      </c>
      <c r="IV74">
        <v>7618</v>
      </c>
      <c r="IW74">
        <v>7564</v>
      </c>
      <c r="IX74">
        <v>2427759</v>
      </c>
      <c r="IY74">
        <v>198</v>
      </c>
      <c r="JA74" s="24"/>
      <c r="JB74">
        <v>105200000</v>
      </c>
      <c r="JC74">
        <v>108000000</v>
      </c>
      <c r="JD74">
        <v>105950000</v>
      </c>
      <c r="JE74">
        <v>252</v>
      </c>
      <c r="JF74">
        <v>142</v>
      </c>
      <c r="JH74" s="24"/>
      <c r="JI74">
        <v>105500600</v>
      </c>
      <c r="JJ74">
        <v>110465000</v>
      </c>
      <c r="JK74">
        <v>108356445</v>
      </c>
      <c r="JL74">
        <v>57</v>
      </c>
      <c r="JM74">
        <v>48</v>
      </c>
      <c r="JO74" s="24"/>
      <c r="JP74">
        <v>80</v>
      </c>
      <c r="JQ74">
        <v>80</v>
      </c>
      <c r="JR74">
        <v>80</v>
      </c>
      <c r="JS74">
        <v>136411269</v>
      </c>
      <c r="JT74">
        <v>118</v>
      </c>
      <c r="JV74" s="24"/>
      <c r="JW74">
        <v>88</v>
      </c>
      <c r="JX74">
        <v>88</v>
      </c>
      <c r="JY74">
        <v>88</v>
      </c>
      <c r="JZ74">
        <v>77308985</v>
      </c>
      <c r="KA74">
        <v>128</v>
      </c>
      <c r="KC74" s="24"/>
      <c r="KD74">
        <v>18</v>
      </c>
      <c r="KE74">
        <v>19</v>
      </c>
      <c r="KF74">
        <v>19</v>
      </c>
      <c r="KG74">
        <v>49132738</v>
      </c>
      <c r="KH74">
        <v>338</v>
      </c>
      <c r="KJ74" s="24"/>
      <c r="KK74">
        <v>107</v>
      </c>
      <c r="KL74">
        <v>115</v>
      </c>
      <c r="KM74">
        <v>112</v>
      </c>
      <c r="KN74">
        <v>82559482</v>
      </c>
      <c r="KO74">
        <v>134</v>
      </c>
      <c r="KQ74" s="24"/>
      <c r="KR74">
        <v>91753</v>
      </c>
      <c r="KS74">
        <v>91782</v>
      </c>
      <c r="KT74">
        <v>91755</v>
      </c>
      <c r="KU74">
        <v>65013</v>
      </c>
      <c r="KV74">
        <v>676</v>
      </c>
      <c r="KX74" s="24"/>
      <c r="KY74">
        <v>551</v>
      </c>
      <c r="KZ74">
        <v>598</v>
      </c>
      <c r="LA74">
        <v>598</v>
      </c>
      <c r="LB74">
        <v>4268610</v>
      </c>
      <c r="LC74">
        <v>194</v>
      </c>
      <c r="LE74" s="24"/>
      <c r="LF74">
        <v>206000</v>
      </c>
      <c r="LG74">
        <v>209004</v>
      </c>
      <c r="LH74">
        <v>208751</v>
      </c>
      <c r="LI74">
        <v>104168</v>
      </c>
      <c r="LJ74">
        <v>976</v>
      </c>
      <c r="LL74" s="24"/>
      <c r="LM74">
        <v>86063</v>
      </c>
      <c r="LN74">
        <v>86241</v>
      </c>
      <c r="LO74">
        <v>86066</v>
      </c>
      <c r="LP74">
        <v>316507</v>
      </c>
      <c r="LQ74">
        <v>1401</v>
      </c>
      <c r="LS74" s="24"/>
      <c r="LT74">
        <v>278</v>
      </c>
      <c r="LU74">
        <v>299</v>
      </c>
      <c r="LV74">
        <v>290</v>
      </c>
      <c r="LW74">
        <v>180251474</v>
      </c>
      <c r="LX74">
        <v>464</v>
      </c>
      <c r="LZ74" s="24"/>
      <c r="MA74">
        <v>79000</v>
      </c>
      <c r="MB74">
        <v>79989</v>
      </c>
      <c r="MC74">
        <v>79983</v>
      </c>
      <c r="MD74">
        <v>466656</v>
      </c>
      <c r="ME74">
        <v>54</v>
      </c>
    </row>
    <row r="75" spans="2:343" x14ac:dyDescent="0.25">
      <c r="B75" s="24"/>
      <c r="C75">
        <v>2</v>
      </c>
      <c r="D75">
        <v>2</v>
      </c>
      <c r="E75">
        <v>2</v>
      </c>
      <c r="F75">
        <v>43413345103</v>
      </c>
      <c r="G75">
        <v>3734</v>
      </c>
      <c r="I75" s="24"/>
      <c r="J75">
        <v>4</v>
      </c>
      <c r="K75">
        <v>4</v>
      </c>
      <c r="L75">
        <v>4</v>
      </c>
      <c r="M75">
        <v>10297745543</v>
      </c>
      <c r="N75">
        <v>2481</v>
      </c>
      <c r="P75" s="24"/>
      <c r="Q75">
        <v>28</v>
      </c>
      <c r="R75">
        <v>29</v>
      </c>
      <c r="S75">
        <v>28</v>
      </c>
      <c r="T75">
        <v>3106679388</v>
      </c>
      <c r="U75">
        <v>2245</v>
      </c>
      <c r="W75" s="24"/>
      <c r="X75">
        <v>70</v>
      </c>
      <c r="Y75">
        <v>71</v>
      </c>
      <c r="Z75">
        <v>71</v>
      </c>
      <c r="AA75">
        <v>417185963</v>
      </c>
      <c r="AB75">
        <v>1679</v>
      </c>
      <c r="AD75" s="24"/>
      <c r="AE75">
        <v>546</v>
      </c>
      <c r="AF75">
        <v>548</v>
      </c>
      <c r="AG75">
        <v>547</v>
      </c>
      <c r="AH75">
        <v>104592579</v>
      </c>
      <c r="AI75">
        <v>1871</v>
      </c>
      <c r="AK75" s="24"/>
      <c r="AL75">
        <v>1005</v>
      </c>
      <c r="AM75">
        <v>1022</v>
      </c>
      <c r="AN75">
        <v>1019</v>
      </c>
      <c r="AO75">
        <v>49234015</v>
      </c>
      <c r="AP75">
        <v>1476</v>
      </c>
      <c r="AR75" s="24"/>
      <c r="AS75">
        <v>2980</v>
      </c>
      <c r="AT75">
        <v>3070</v>
      </c>
      <c r="AU75">
        <v>3025</v>
      </c>
      <c r="AV75">
        <v>19349388</v>
      </c>
      <c r="AW75">
        <v>1448</v>
      </c>
      <c r="AY75" s="24"/>
      <c r="AZ75">
        <v>318000000</v>
      </c>
      <c r="BA75">
        <v>324999980</v>
      </c>
      <c r="BB75">
        <v>322000000</v>
      </c>
      <c r="BC75">
        <v>2164</v>
      </c>
      <c r="BD75">
        <v>1452</v>
      </c>
      <c r="BF75" s="24"/>
      <c r="BG75">
        <v>25001</v>
      </c>
      <c r="BH75">
        <v>25205</v>
      </c>
      <c r="BI75">
        <v>25100</v>
      </c>
      <c r="BJ75">
        <v>2227340</v>
      </c>
      <c r="BK75">
        <v>193</v>
      </c>
      <c r="BM75" s="24"/>
      <c r="BN75">
        <v>6970000</v>
      </c>
      <c r="BO75">
        <v>7141002</v>
      </c>
      <c r="BP75">
        <v>7140000</v>
      </c>
      <c r="BQ75">
        <v>11561</v>
      </c>
      <c r="BR75">
        <v>405</v>
      </c>
      <c r="BT75" s="24"/>
      <c r="BU75">
        <v>1713</v>
      </c>
      <c r="BV75">
        <v>1762</v>
      </c>
      <c r="BW75">
        <v>1756</v>
      </c>
      <c r="BX75">
        <v>26029770</v>
      </c>
      <c r="BY75">
        <v>308</v>
      </c>
      <c r="CA75" s="24"/>
      <c r="CB75">
        <v>334</v>
      </c>
      <c r="CC75">
        <v>335</v>
      </c>
      <c r="CD75">
        <v>335</v>
      </c>
      <c r="CE75">
        <v>76920464</v>
      </c>
      <c r="CF75">
        <v>359</v>
      </c>
      <c r="CH75" s="24"/>
      <c r="CI75">
        <v>27201</v>
      </c>
      <c r="CJ75">
        <v>27700</v>
      </c>
      <c r="CK75">
        <v>27499</v>
      </c>
      <c r="CL75">
        <v>387275</v>
      </c>
      <c r="CM75">
        <v>149</v>
      </c>
      <c r="CO75" s="24"/>
      <c r="CP75">
        <v>7274</v>
      </c>
      <c r="CQ75">
        <v>7899</v>
      </c>
      <c r="CR75">
        <v>7849</v>
      </c>
      <c r="CS75">
        <v>1316437</v>
      </c>
      <c r="CT75">
        <v>475</v>
      </c>
      <c r="CV75" s="24"/>
      <c r="CW75">
        <v>1375291</v>
      </c>
      <c r="CX75">
        <v>1399999</v>
      </c>
      <c r="CY75">
        <v>1399998</v>
      </c>
      <c r="CZ75">
        <v>12616</v>
      </c>
      <c r="DA75">
        <v>43</v>
      </c>
      <c r="DC75" s="24"/>
      <c r="DD75">
        <v>332</v>
      </c>
      <c r="DE75">
        <v>399</v>
      </c>
      <c r="DF75">
        <v>345</v>
      </c>
      <c r="DG75">
        <v>54030250</v>
      </c>
      <c r="DH75">
        <v>218</v>
      </c>
      <c r="DJ75" s="24"/>
      <c r="DK75">
        <v>36013069</v>
      </c>
      <c r="DL75">
        <v>36150081</v>
      </c>
      <c r="DM75">
        <v>36020074</v>
      </c>
      <c r="DN75">
        <v>219</v>
      </c>
      <c r="DO75">
        <v>87</v>
      </c>
      <c r="DQ75" s="24"/>
      <c r="DR75">
        <v>1114003</v>
      </c>
      <c r="DS75">
        <v>1329997</v>
      </c>
      <c r="DT75">
        <v>1249999</v>
      </c>
      <c r="DU75">
        <v>8092</v>
      </c>
      <c r="DV75">
        <v>263</v>
      </c>
      <c r="DX75" s="24"/>
      <c r="DY75">
        <v>20302000</v>
      </c>
      <c r="DZ75">
        <v>20848997</v>
      </c>
      <c r="EA75">
        <v>20308001</v>
      </c>
      <c r="EB75">
        <v>602</v>
      </c>
      <c r="EC75">
        <v>133</v>
      </c>
      <c r="EE75" s="24"/>
      <c r="EF75">
        <v>171</v>
      </c>
      <c r="EG75">
        <v>176</v>
      </c>
      <c r="EH75">
        <v>174</v>
      </c>
      <c r="EI75">
        <v>104734844</v>
      </c>
      <c r="EJ75">
        <v>258</v>
      </c>
      <c r="EL75" s="24"/>
      <c r="EM75">
        <v>61866</v>
      </c>
      <c r="EN75">
        <v>61871</v>
      </c>
      <c r="EO75">
        <v>61866</v>
      </c>
      <c r="EP75">
        <v>80217</v>
      </c>
      <c r="EQ75">
        <v>809</v>
      </c>
      <c r="ES75" s="24"/>
      <c r="ET75">
        <v>333</v>
      </c>
      <c r="EU75">
        <v>359</v>
      </c>
      <c r="EV75">
        <v>350</v>
      </c>
      <c r="EW75">
        <v>36409649</v>
      </c>
      <c r="EX75">
        <v>755</v>
      </c>
      <c r="EZ75" s="24"/>
      <c r="FA75">
        <v>3900000</v>
      </c>
      <c r="FB75">
        <v>4264999</v>
      </c>
      <c r="FC75">
        <v>4261191</v>
      </c>
      <c r="FD75">
        <v>3130</v>
      </c>
      <c r="FE75">
        <v>41</v>
      </c>
      <c r="FG75" s="24"/>
      <c r="FH75">
        <v>7493</v>
      </c>
      <c r="FI75">
        <v>7686</v>
      </c>
      <c r="FJ75">
        <v>7640</v>
      </c>
      <c r="FK75">
        <v>2802782</v>
      </c>
      <c r="FL75">
        <v>705</v>
      </c>
      <c r="FN75" s="24"/>
      <c r="FO75">
        <v>23348</v>
      </c>
      <c r="FP75">
        <v>23580</v>
      </c>
      <c r="FQ75">
        <v>23447</v>
      </c>
      <c r="FR75">
        <v>110611</v>
      </c>
      <c r="FS75">
        <v>113</v>
      </c>
      <c r="FU75" s="24"/>
      <c r="FV75">
        <v>27360</v>
      </c>
      <c r="FW75">
        <v>27500</v>
      </c>
      <c r="FX75">
        <v>27362</v>
      </c>
      <c r="FY75">
        <v>310891</v>
      </c>
      <c r="FZ75">
        <v>1481</v>
      </c>
      <c r="GB75" s="24"/>
      <c r="GC75">
        <v>106000800</v>
      </c>
      <c r="GD75">
        <v>107996996</v>
      </c>
      <c r="GE75">
        <v>107993799</v>
      </c>
      <c r="GF75">
        <v>133</v>
      </c>
      <c r="GG75">
        <v>92</v>
      </c>
      <c r="GI75" s="24"/>
      <c r="GJ75">
        <v>23617000</v>
      </c>
      <c r="GK75">
        <v>24999999</v>
      </c>
      <c r="GL75">
        <v>24004029</v>
      </c>
      <c r="GM75">
        <v>226</v>
      </c>
      <c r="GN75">
        <v>59</v>
      </c>
      <c r="GP75" s="24"/>
      <c r="GQ75">
        <v>109</v>
      </c>
      <c r="GR75">
        <v>112</v>
      </c>
      <c r="GS75">
        <v>111</v>
      </c>
      <c r="GT75">
        <v>182641781</v>
      </c>
      <c r="GU75">
        <v>175</v>
      </c>
      <c r="GW75" s="24"/>
      <c r="GX75">
        <v>338</v>
      </c>
      <c r="GY75">
        <v>346</v>
      </c>
      <c r="GZ75">
        <v>343</v>
      </c>
      <c r="HA75">
        <v>58346161</v>
      </c>
      <c r="HB75">
        <v>272</v>
      </c>
      <c r="HD75" s="24"/>
      <c r="HE75">
        <v>5400</v>
      </c>
      <c r="HF75">
        <v>5464</v>
      </c>
      <c r="HG75">
        <v>5461</v>
      </c>
      <c r="HH75">
        <v>22105005</v>
      </c>
      <c r="HI75">
        <v>360</v>
      </c>
      <c r="HK75" s="24"/>
      <c r="HL75">
        <v>106950002</v>
      </c>
      <c r="HM75">
        <v>111379000</v>
      </c>
      <c r="HN75">
        <v>109750478</v>
      </c>
      <c r="HO75">
        <v>87</v>
      </c>
      <c r="HP75">
        <v>70</v>
      </c>
      <c r="HR75" s="24"/>
      <c r="HS75">
        <v>8888</v>
      </c>
      <c r="HT75">
        <v>9288</v>
      </c>
      <c r="HU75">
        <v>9000</v>
      </c>
      <c r="HV75">
        <v>635114</v>
      </c>
      <c r="HW75">
        <v>208</v>
      </c>
      <c r="HY75" s="24"/>
      <c r="HZ75">
        <v>8170</v>
      </c>
      <c r="IA75">
        <v>8529</v>
      </c>
      <c r="IB75">
        <v>8439</v>
      </c>
      <c r="IC75">
        <v>2261113</v>
      </c>
      <c r="ID75">
        <v>545</v>
      </c>
      <c r="IF75" s="24"/>
      <c r="IG75">
        <v>2752</v>
      </c>
      <c r="IH75">
        <v>2753</v>
      </c>
      <c r="II75">
        <v>2753</v>
      </c>
      <c r="IJ75">
        <v>2542513</v>
      </c>
      <c r="IK75">
        <v>186</v>
      </c>
      <c r="IM75" s="24"/>
      <c r="IN75">
        <v>104002003</v>
      </c>
      <c r="IO75">
        <v>109983000</v>
      </c>
      <c r="IP75">
        <v>107858753</v>
      </c>
      <c r="IQ75">
        <v>89</v>
      </c>
      <c r="IR75">
        <v>74</v>
      </c>
      <c r="IT75" s="24"/>
      <c r="IU75">
        <v>7609</v>
      </c>
      <c r="IV75">
        <v>7615</v>
      </c>
      <c r="IW75">
        <v>7615</v>
      </c>
      <c r="IX75">
        <v>2299218</v>
      </c>
      <c r="IY75">
        <v>229</v>
      </c>
      <c r="JA75" s="24"/>
      <c r="JB75">
        <v>106000000</v>
      </c>
      <c r="JC75">
        <v>107999799</v>
      </c>
      <c r="JD75">
        <v>106199800</v>
      </c>
      <c r="JE75">
        <v>210</v>
      </c>
      <c r="JF75">
        <v>115</v>
      </c>
      <c r="JH75" s="24"/>
      <c r="JI75">
        <v>107476502</v>
      </c>
      <c r="JJ75">
        <v>110453800</v>
      </c>
      <c r="JK75">
        <v>108704121</v>
      </c>
      <c r="JL75">
        <v>78</v>
      </c>
      <c r="JM75">
        <v>53</v>
      </c>
      <c r="JO75" s="24"/>
      <c r="JP75">
        <v>80</v>
      </c>
      <c r="JQ75">
        <v>83</v>
      </c>
      <c r="JR75">
        <v>82</v>
      </c>
      <c r="JS75">
        <v>121871213</v>
      </c>
      <c r="JT75">
        <v>134</v>
      </c>
      <c r="JV75" s="24"/>
      <c r="JW75">
        <v>85</v>
      </c>
      <c r="JX75">
        <v>88</v>
      </c>
      <c r="JY75">
        <v>86</v>
      </c>
      <c r="JZ75">
        <v>116422675</v>
      </c>
      <c r="KA75">
        <v>136</v>
      </c>
      <c r="KC75" s="24"/>
      <c r="KD75">
        <v>18</v>
      </c>
      <c r="KE75">
        <v>19</v>
      </c>
      <c r="KF75">
        <v>19</v>
      </c>
      <c r="KG75">
        <v>55537204</v>
      </c>
      <c r="KH75">
        <v>434</v>
      </c>
      <c r="KJ75" s="24"/>
      <c r="KK75">
        <v>100</v>
      </c>
      <c r="KL75">
        <v>109</v>
      </c>
      <c r="KM75">
        <v>102</v>
      </c>
      <c r="KN75">
        <v>127472337</v>
      </c>
      <c r="KO75">
        <v>219</v>
      </c>
      <c r="KQ75" s="24"/>
      <c r="KR75">
        <v>91505</v>
      </c>
      <c r="KS75">
        <v>92050</v>
      </c>
      <c r="KT75">
        <v>91753</v>
      </c>
      <c r="KU75">
        <v>60038</v>
      </c>
      <c r="KV75">
        <v>711</v>
      </c>
      <c r="KX75" s="24"/>
      <c r="KY75">
        <v>565</v>
      </c>
      <c r="KZ75">
        <v>598</v>
      </c>
      <c r="LA75">
        <v>596</v>
      </c>
      <c r="LB75">
        <v>9373796</v>
      </c>
      <c r="LC75">
        <v>263</v>
      </c>
      <c r="LE75" s="24"/>
      <c r="LF75">
        <v>204082</v>
      </c>
      <c r="LG75">
        <v>205000</v>
      </c>
      <c r="LH75">
        <v>204885</v>
      </c>
      <c r="LI75">
        <v>109378</v>
      </c>
      <c r="LJ75">
        <v>995</v>
      </c>
      <c r="LL75" s="24"/>
      <c r="LM75">
        <v>80500</v>
      </c>
      <c r="LN75">
        <v>83000</v>
      </c>
      <c r="LO75">
        <v>82338</v>
      </c>
      <c r="LP75">
        <v>309436</v>
      </c>
      <c r="LQ75">
        <v>1511</v>
      </c>
      <c r="LS75" s="24"/>
      <c r="LT75">
        <v>308</v>
      </c>
      <c r="LU75">
        <v>340</v>
      </c>
      <c r="LV75">
        <v>326</v>
      </c>
      <c r="LW75">
        <v>131725566</v>
      </c>
      <c r="LX75">
        <v>513</v>
      </c>
      <c r="LZ75" s="24"/>
      <c r="MA75">
        <v>78329</v>
      </c>
      <c r="MB75">
        <v>79989</v>
      </c>
      <c r="MC75">
        <v>79881</v>
      </c>
      <c r="MD75">
        <v>990321</v>
      </c>
      <c r="ME75">
        <v>113</v>
      </c>
    </row>
    <row r="76" spans="2:343" x14ac:dyDescent="0.25">
      <c r="B76" s="24"/>
      <c r="C76">
        <v>2</v>
      </c>
      <c r="D76">
        <v>3</v>
      </c>
      <c r="E76">
        <v>2</v>
      </c>
      <c r="F76">
        <v>33999670974</v>
      </c>
      <c r="G76">
        <v>4161</v>
      </c>
      <c r="I76" s="24"/>
      <c r="J76">
        <v>4</v>
      </c>
      <c r="K76">
        <v>4</v>
      </c>
      <c r="L76">
        <v>4</v>
      </c>
      <c r="M76">
        <v>7505585758</v>
      </c>
      <c r="N76">
        <v>2886</v>
      </c>
      <c r="P76" s="24"/>
      <c r="Q76">
        <v>28</v>
      </c>
      <c r="R76">
        <v>28</v>
      </c>
      <c r="S76">
        <v>28</v>
      </c>
      <c r="T76">
        <v>2255226963</v>
      </c>
      <c r="U76">
        <v>2443</v>
      </c>
      <c r="W76" s="24"/>
      <c r="X76">
        <v>69</v>
      </c>
      <c r="Y76">
        <v>71</v>
      </c>
      <c r="Z76">
        <v>70</v>
      </c>
      <c r="AA76">
        <v>534101777</v>
      </c>
      <c r="AB76">
        <v>2034</v>
      </c>
      <c r="AD76" s="24"/>
      <c r="AE76">
        <v>540</v>
      </c>
      <c r="AF76">
        <v>546</v>
      </c>
      <c r="AG76">
        <v>546</v>
      </c>
      <c r="AH76">
        <v>134196061</v>
      </c>
      <c r="AI76">
        <v>2064</v>
      </c>
      <c r="AK76" s="24"/>
      <c r="AL76">
        <v>995</v>
      </c>
      <c r="AM76">
        <v>1027</v>
      </c>
      <c r="AN76">
        <v>1015</v>
      </c>
      <c r="AO76">
        <v>53614920</v>
      </c>
      <c r="AP76">
        <v>1754</v>
      </c>
      <c r="AR76" s="24"/>
      <c r="AS76">
        <v>2981</v>
      </c>
      <c r="AT76">
        <v>3064</v>
      </c>
      <c r="AU76">
        <v>3059</v>
      </c>
      <c r="AV76">
        <v>18598255</v>
      </c>
      <c r="AW76">
        <v>1651</v>
      </c>
      <c r="AY76" s="24"/>
      <c r="AZ76">
        <v>317006202</v>
      </c>
      <c r="BA76">
        <v>323734998</v>
      </c>
      <c r="BB76">
        <v>321999825</v>
      </c>
      <c r="BC76">
        <v>1996</v>
      </c>
      <c r="BD76">
        <v>1358</v>
      </c>
      <c r="BF76" s="24"/>
      <c r="BG76">
        <v>25400</v>
      </c>
      <c r="BH76">
        <v>25859</v>
      </c>
      <c r="BI76">
        <v>25500</v>
      </c>
      <c r="BJ76">
        <v>3664120</v>
      </c>
      <c r="BK76">
        <v>232</v>
      </c>
      <c r="BM76" s="24"/>
      <c r="BN76">
        <v>6971001</v>
      </c>
      <c r="BO76">
        <v>6971003</v>
      </c>
      <c r="BP76">
        <v>6971001</v>
      </c>
      <c r="BQ76">
        <v>12437</v>
      </c>
      <c r="BR76">
        <v>407</v>
      </c>
      <c r="BT76" s="24"/>
      <c r="BU76">
        <v>1707</v>
      </c>
      <c r="BV76">
        <v>1755</v>
      </c>
      <c r="BW76">
        <v>1754</v>
      </c>
      <c r="BX76">
        <v>30323092</v>
      </c>
      <c r="BY76">
        <v>285</v>
      </c>
      <c r="CA76" s="24"/>
      <c r="CB76">
        <v>330</v>
      </c>
      <c r="CC76">
        <v>345</v>
      </c>
      <c r="CD76">
        <v>339</v>
      </c>
      <c r="CE76">
        <v>102855619</v>
      </c>
      <c r="CF76">
        <v>474</v>
      </c>
      <c r="CH76" s="24"/>
      <c r="CI76">
        <v>27000</v>
      </c>
      <c r="CJ76">
        <v>27062</v>
      </c>
      <c r="CK76">
        <v>27062</v>
      </c>
      <c r="CL76">
        <v>1348941</v>
      </c>
      <c r="CM76">
        <v>174</v>
      </c>
      <c r="CO76" s="24"/>
      <c r="CP76">
        <v>7899</v>
      </c>
      <c r="CQ76">
        <v>7915</v>
      </c>
      <c r="CR76">
        <v>7913</v>
      </c>
      <c r="CS76">
        <v>1344261</v>
      </c>
      <c r="CT76">
        <v>504</v>
      </c>
      <c r="CV76" s="24"/>
      <c r="CW76">
        <v>1350000</v>
      </c>
      <c r="CX76">
        <v>1380000</v>
      </c>
      <c r="CY76">
        <v>1350000</v>
      </c>
      <c r="CZ76">
        <v>11169</v>
      </c>
      <c r="DA76">
        <v>46</v>
      </c>
      <c r="DC76" s="24"/>
      <c r="DD76">
        <v>323</v>
      </c>
      <c r="DE76">
        <v>398</v>
      </c>
      <c r="DF76">
        <v>354</v>
      </c>
      <c r="DG76">
        <v>56928121</v>
      </c>
      <c r="DH76">
        <v>242</v>
      </c>
      <c r="DJ76" s="24"/>
      <c r="DK76">
        <v>36150269</v>
      </c>
      <c r="DL76">
        <v>36150402</v>
      </c>
      <c r="DM76">
        <v>36150399</v>
      </c>
      <c r="DN76">
        <v>380</v>
      </c>
      <c r="DO76">
        <v>123</v>
      </c>
      <c r="DQ76" s="24"/>
      <c r="DR76">
        <v>1300060</v>
      </c>
      <c r="DS76">
        <v>1449999</v>
      </c>
      <c r="DT76">
        <v>1449999</v>
      </c>
      <c r="DU76">
        <v>6090</v>
      </c>
      <c r="DV76">
        <v>253</v>
      </c>
      <c r="DX76" s="24"/>
      <c r="DY76">
        <v>19552045</v>
      </c>
      <c r="DZ76">
        <v>20798995</v>
      </c>
      <c r="EA76">
        <v>19560002</v>
      </c>
      <c r="EB76">
        <v>672</v>
      </c>
      <c r="EC76">
        <v>147</v>
      </c>
      <c r="EE76" s="24"/>
      <c r="EF76">
        <v>170</v>
      </c>
      <c r="EG76">
        <v>175</v>
      </c>
      <c r="EH76">
        <v>174</v>
      </c>
      <c r="EI76">
        <v>131166549</v>
      </c>
      <c r="EJ76">
        <v>276</v>
      </c>
      <c r="EL76" s="24"/>
      <c r="EM76">
        <v>58000</v>
      </c>
      <c r="EN76">
        <v>64999</v>
      </c>
      <c r="EO76">
        <v>61827</v>
      </c>
      <c r="EP76">
        <v>108162</v>
      </c>
      <c r="EQ76">
        <v>850</v>
      </c>
      <c r="ES76" s="24"/>
      <c r="ET76">
        <v>354</v>
      </c>
      <c r="EU76">
        <v>359</v>
      </c>
      <c r="EV76">
        <v>355</v>
      </c>
      <c r="EW76">
        <v>47652651</v>
      </c>
      <c r="EX76">
        <v>851</v>
      </c>
      <c r="EZ76" s="24"/>
      <c r="FA76">
        <v>3770272</v>
      </c>
      <c r="FB76">
        <v>4137799</v>
      </c>
      <c r="FC76">
        <v>3900000</v>
      </c>
      <c r="FD76">
        <v>1414</v>
      </c>
      <c r="FE76">
        <v>23</v>
      </c>
      <c r="FG76" s="24"/>
      <c r="FH76">
        <v>7700</v>
      </c>
      <c r="FI76">
        <v>7988</v>
      </c>
      <c r="FJ76">
        <v>7985</v>
      </c>
      <c r="FK76">
        <v>2644557</v>
      </c>
      <c r="FL76">
        <v>735</v>
      </c>
      <c r="FN76" s="24"/>
      <c r="FO76">
        <v>20561</v>
      </c>
      <c r="FP76">
        <v>22617</v>
      </c>
      <c r="FQ76">
        <v>21000</v>
      </c>
      <c r="FR76">
        <v>381933</v>
      </c>
      <c r="FS76">
        <v>128</v>
      </c>
      <c r="FU76" s="24"/>
      <c r="FV76">
        <v>27502</v>
      </c>
      <c r="FW76">
        <v>28348</v>
      </c>
      <c r="FX76">
        <v>27600</v>
      </c>
      <c r="FY76">
        <v>326701</v>
      </c>
      <c r="FZ76">
        <v>1671</v>
      </c>
      <c r="GB76" s="24"/>
      <c r="GC76">
        <v>107002000</v>
      </c>
      <c r="GD76">
        <v>108475999</v>
      </c>
      <c r="GE76">
        <v>107996199</v>
      </c>
      <c r="GF76">
        <v>101</v>
      </c>
      <c r="GG76">
        <v>84</v>
      </c>
      <c r="GI76" s="24"/>
      <c r="GJ76">
        <v>24005202</v>
      </c>
      <c r="GK76">
        <v>24500012</v>
      </c>
      <c r="GL76">
        <v>24500000</v>
      </c>
      <c r="GM76">
        <v>415</v>
      </c>
      <c r="GN76">
        <v>67</v>
      </c>
      <c r="GP76" s="24"/>
      <c r="GQ76">
        <v>110</v>
      </c>
      <c r="GR76">
        <v>112</v>
      </c>
      <c r="GS76">
        <v>111</v>
      </c>
      <c r="GT76">
        <v>201524344</v>
      </c>
      <c r="GU76">
        <v>186</v>
      </c>
      <c r="GW76" s="24"/>
      <c r="GX76">
        <v>341</v>
      </c>
      <c r="GY76">
        <v>347</v>
      </c>
      <c r="GZ76">
        <v>343</v>
      </c>
      <c r="HA76">
        <v>81103500</v>
      </c>
      <c r="HB76">
        <v>315</v>
      </c>
      <c r="HD76" s="24"/>
      <c r="HE76">
        <v>5325</v>
      </c>
      <c r="HF76">
        <v>5432</v>
      </c>
      <c r="HG76">
        <v>5432</v>
      </c>
      <c r="HH76">
        <v>19501298</v>
      </c>
      <c r="HI76">
        <v>393</v>
      </c>
      <c r="HK76" s="24"/>
      <c r="HL76">
        <v>106977600</v>
      </c>
      <c r="HM76">
        <v>111374396</v>
      </c>
      <c r="HN76">
        <v>109346494</v>
      </c>
      <c r="HO76">
        <v>89</v>
      </c>
      <c r="HP76">
        <v>79</v>
      </c>
      <c r="HR76" s="24"/>
      <c r="HS76">
        <v>8888</v>
      </c>
      <c r="HT76">
        <v>9741</v>
      </c>
      <c r="HU76">
        <v>9394</v>
      </c>
      <c r="HV76">
        <v>1310888</v>
      </c>
      <c r="HW76">
        <v>269</v>
      </c>
      <c r="HY76" s="24"/>
      <c r="HZ76">
        <v>8168</v>
      </c>
      <c r="IA76">
        <v>8487</v>
      </c>
      <c r="IB76">
        <v>8400</v>
      </c>
      <c r="IC76">
        <v>2630894</v>
      </c>
      <c r="ID76">
        <v>642</v>
      </c>
      <c r="IF76" s="24"/>
      <c r="IG76">
        <v>2739</v>
      </c>
      <c r="IH76">
        <v>2749</v>
      </c>
      <c r="II76">
        <v>2740</v>
      </c>
      <c r="IJ76">
        <v>1776903</v>
      </c>
      <c r="IK76">
        <v>160</v>
      </c>
      <c r="IM76" s="24"/>
      <c r="IN76">
        <v>104100003</v>
      </c>
      <c r="IO76">
        <v>109982399</v>
      </c>
      <c r="IP76">
        <v>108392833</v>
      </c>
      <c r="IQ76">
        <v>67</v>
      </c>
      <c r="IR76">
        <v>63</v>
      </c>
      <c r="IT76" s="24"/>
      <c r="IU76">
        <v>7600</v>
      </c>
      <c r="IV76">
        <v>7750</v>
      </c>
      <c r="IW76">
        <v>7608</v>
      </c>
      <c r="IX76">
        <v>2179192</v>
      </c>
      <c r="IY76">
        <v>224</v>
      </c>
      <c r="JA76" s="24"/>
      <c r="JB76">
        <v>107200200</v>
      </c>
      <c r="JC76">
        <v>108999987</v>
      </c>
      <c r="JD76">
        <v>108252059</v>
      </c>
      <c r="JE76">
        <v>99</v>
      </c>
      <c r="JF76">
        <v>80</v>
      </c>
      <c r="JH76" s="24"/>
      <c r="JI76">
        <v>106101500</v>
      </c>
      <c r="JJ76">
        <v>110452689</v>
      </c>
      <c r="JK76">
        <v>108651102</v>
      </c>
      <c r="JL76">
        <v>68</v>
      </c>
      <c r="JM76">
        <v>58</v>
      </c>
      <c r="JO76" s="24"/>
      <c r="JP76">
        <v>83</v>
      </c>
      <c r="JQ76">
        <v>85</v>
      </c>
      <c r="JR76">
        <v>84</v>
      </c>
      <c r="JS76">
        <v>145704422</v>
      </c>
      <c r="JT76">
        <v>159</v>
      </c>
      <c r="JV76" s="24"/>
      <c r="JW76">
        <v>87</v>
      </c>
      <c r="JX76">
        <v>88</v>
      </c>
      <c r="JY76">
        <v>88</v>
      </c>
      <c r="JZ76">
        <v>169580273</v>
      </c>
      <c r="KA76">
        <v>168</v>
      </c>
      <c r="KC76" s="24"/>
      <c r="KD76">
        <v>19</v>
      </c>
      <c r="KE76">
        <v>19</v>
      </c>
      <c r="KF76">
        <v>19</v>
      </c>
      <c r="KG76">
        <v>76151725</v>
      </c>
      <c r="KH76">
        <v>451</v>
      </c>
      <c r="KJ76" s="24"/>
      <c r="KK76">
        <v>102</v>
      </c>
      <c r="KL76">
        <v>106</v>
      </c>
      <c r="KM76">
        <v>105</v>
      </c>
      <c r="KN76">
        <v>126649109</v>
      </c>
      <c r="KO76">
        <v>227</v>
      </c>
      <c r="KQ76" s="24"/>
      <c r="KR76">
        <v>91507</v>
      </c>
      <c r="KS76">
        <v>95997</v>
      </c>
      <c r="KT76">
        <v>92050</v>
      </c>
      <c r="KU76">
        <v>74236</v>
      </c>
      <c r="KV76">
        <v>750</v>
      </c>
      <c r="KX76" s="24"/>
      <c r="KY76">
        <v>555</v>
      </c>
      <c r="KZ76">
        <v>590</v>
      </c>
      <c r="LA76">
        <v>589</v>
      </c>
      <c r="LB76">
        <v>11793727</v>
      </c>
      <c r="LC76">
        <v>242</v>
      </c>
      <c r="LE76" s="24"/>
      <c r="LF76">
        <v>204972</v>
      </c>
      <c r="LG76">
        <v>209854</v>
      </c>
      <c r="LH76">
        <v>206010</v>
      </c>
      <c r="LI76">
        <v>108269</v>
      </c>
      <c r="LJ76">
        <v>1102</v>
      </c>
      <c r="LL76" s="24"/>
      <c r="LM76">
        <v>82030</v>
      </c>
      <c r="LN76">
        <v>87776</v>
      </c>
      <c r="LO76">
        <v>85200</v>
      </c>
      <c r="LP76">
        <v>350495</v>
      </c>
      <c r="LQ76">
        <v>1662</v>
      </c>
      <c r="LS76" s="24"/>
      <c r="LT76">
        <v>308</v>
      </c>
      <c r="LU76">
        <v>314</v>
      </c>
      <c r="LV76">
        <v>313</v>
      </c>
      <c r="LW76">
        <v>158019141</v>
      </c>
      <c r="LX76">
        <v>496</v>
      </c>
      <c r="LZ76" s="24"/>
      <c r="MA76">
        <v>79545</v>
      </c>
      <c r="MB76">
        <v>81997</v>
      </c>
      <c r="MC76">
        <v>80500</v>
      </c>
      <c r="MD76">
        <v>969680</v>
      </c>
      <c r="ME76">
        <v>105</v>
      </c>
    </row>
    <row r="77" spans="2:343" x14ac:dyDescent="0.25">
      <c r="B77" s="24"/>
      <c r="C77">
        <v>2</v>
      </c>
      <c r="D77">
        <v>3</v>
      </c>
      <c r="E77">
        <v>3</v>
      </c>
      <c r="F77">
        <v>45463158938</v>
      </c>
      <c r="G77">
        <v>3085</v>
      </c>
      <c r="I77" s="24"/>
      <c r="J77">
        <v>4</v>
      </c>
      <c r="K77">
        <v>4</v>
      </c>
      <c r="L77">
        <v>4</v>
      </c>
      <c r="M77">
        <v>9230712194</v>
      </c>
      <c r="N77">
        <v>2010</v>
      </c>
      <c r="P77" s="24"/>
      <c r="Q77">
        <v>28</v>
      </c>
      <c r="R77">
        <v>28</v>
      </c>
      <c r="S77">
        <v>28</v>
      </c>
      <c r="T77">
        <v>1755328050</v>
      </c>
      <c r="U77">
        <v>1747</v>
      </c>
      <c r="W77" s="24"/>
      <c r="X77">
        <v>69</v>
      </c>
      <c r="Y77">
        <v>70</v>
      </c>
      <c r="Z77">
        <v>70</v>
      </c>
      <c r="AA77">
        <v>283132222</v>
      </c>
      <c r="AB77">
        <v>1381</v>
      </c>
      <c r="AD77" s="24"/>
      <c r="AE77">
        <v>535</v>
      </c>
      <c r="AF77">
        <v>550</v>
      </c>
      <c r="AG77">
        <v>547</v>
      </c>
      <c r="AH77">
        <v>68234924</v>
      </c>
      <c r="AI77">
        <v>1525</v>
      </c>
      <c r="AK77" s="24"/>
      <c r="AL77">
        <v>1000</v>
      </c>
      <c r="AM77">
        <v>1031</v>
      </c>
      <c r="AN77">
        <v>1012</v>
      </c>
      <c r="AO77">
        <v>28627156</v>
      </c>
      <c r="AP77">
        <v>1279</v>
      </c>
      <c r="AR77" s="24"/>
      <c r="AS77">
        <v>2983</v>
      </c>
      <c r="AT77">
        <v>3070</v>
      </c>
      <c r="AU77">
        <v>3055</v>
      </c>
      <c r="AV77">
        <v>9786208</v>
      </c>
      <c r="AW77">
        <v>1195</v>
      </c>
      <c r="AY77" s="24"/>
      <c r="AZ77">
        <v>315304102</v>
      </c>
      <c r="BA77">
        <v>322999993</v>
      </c>
      <c r="BB77">
        <v>318999994</v>
      </c>
      <c r="BC77">
        <v>2001</v>
      </c>
      <c r="BD77">
        <v>1392</v>
      </c>
      <c r="BF77" s="24"/>
      <c r="BG77">
        <v>25401</v>
      </c>
      <c r="BH77">
        <v>25500</v>
      </c>
      <c r="BI77">
        <v>25401</v>
      </c>
      <c r="BJ77">
        <v>3116527</v>
      </c>
      <c r="BK77">
        <v>182</v>
      </c>
      <c r="BM77" s="24"/>
      <c r="BN77">
        <v>6360108</v>
      </c>
      <c r="BO77">
        <v>6889999</v>
      </c>
      <c r="BP77">
        <v>6795000</v>
      </c>
      <c r="BQ77">
        <v>6774</v>
      </c>
      <c r="BR77">
        <v>314</v>
      </c>
      <c r="BT77" s="24"/>
      <c r="BU77">
        <v>1706</v>
      </c>
      <c r="BV77">
        <v>1753</v>
      </c>
      <c r="BW77">
        <v>1753</v>
      </c>
      <c r="BX77">
        <v>30129993</v>
      </c>
      <c r="BY77">
        <v>256</v>
      </c>
      <c r="CA77" s="24"/>
      <c r="CB77">
        <v>341</v>
      </c>
      <c r="CC77">
        <v>345</v>
      </c>
      <c r="CD77">
        <v>344</v>
      </c>
      <c r="CE77">
        <v>54458500</v>
      </c>
      <c r="CF77">
        <v>276</v>
      </c>
      <c r="CH77" s="24"/>
      <c r="CI77">
        <v>26817</v>
      </c>
      <c r="CJ77">
        <v>27000</v>
      </c>
      <c r="CK77">
        <v>26818</v>
      </c>
      <c r="CL77">
        <v>1646076</v>
      </c>
      <c r="CM77">
        <v>164</v>
      </c>
      <c r="CO77" s="24"/>
      <c r="CP77">
        <v>7500</v>
      </c>
      <c r="CQ77">
        <v>7947</v>
      </c>
      <c r="CR77">
        <v>7799</v>
      </c>
      <c r="CS77">
        <v>1303724</v>
      </c>
      <c r="CT77">
        <v>479</v>
      </c>
      <c r="CV77" s="24"/>
      <c r="CW77">
        <v>1398992</v>
      </c>
      <c r="CX77">
        <v>1399993</v>
      </c>
      <c r="CY77">
        <v>1399993</v>
      </c>
      <c r="CZ77">
        <v>8253</v>
      </c>
      <c r="DA77">
        <v>58</v>
      </c>
      <c r="DC77" s="24"/>
      <c r="DD77">
        <v>323</v>
      </c>
      <c r="DE77">
        <v>352</v>
      </c>
      <c r="DF77">
        <v>325</v>
      </c>
      <c r="DG77">
        <v>62175211</v>
      </c>
      <c r="DH77">
        <v>235</v>
      </c>
      <c r="DJ77" s="24"/>
      <c r="DK77">
        <v>36150889</v>
      </c>
      <c r="DL77">
        <v>37000000</v>
      </c>
      <c r="DM77">
        <v>36151801</v>
      </c>
      <c r="DN77">
        <v>330</v>
      </c>
      <c r="DO77">
        <v>114</v>
      </c>
      <c r="DQ77" s="24"/>
      <c r="DR77">
        <v>1400401</v>
      </c>
      <c r="DS77">
        <v>1988997</v>
      </c>
      <c r="DT77">
        <v>1401677</v>
      </c>
      <c r="DU77">
        <v>5532</v>
      </c>
      <c r="DV77">
        <v>230</v>
      </c>
      <c r="DX77" s="24"/>
      <c r="DY77">
        <v>19552052</v>
      </c>
      <c r="DZ77">
        <v>19999999</v>
      </c>
      <c r="EA77">
        <v>19560000</v>
      </c>
      <c r="EB77">
        <v>558</v>
      </c>
      <c r="EC77">
        <v>130</v>
      </c>
      <c r="EE77" s="24"/>
      <c r="EF77">
        <v>161</v>
      </c>
      <c r="EG77">
        <v>178</v>
      </c>
      <c r="EH77">
        <v>163</v>
      </c>
      <c r="EI77">
        <v>158193026</v>
      </c>
      <c r="EJ77">
        <v>272</v>
      </c>
      <c r="EL77" s="24"/>
      <c r="EM77">
        <v>57500</v>
      </c>
      <c r="EN77">
        <v>61999</v>
      </c>
      <c r="EO77">
        <v>57502</v>
      </c>
      <c r="EP77">
        <v>64364</v>
      </c>
      <c r="EQ77">
        <v>684</v>
      </c>
      <c r="ES77" s="24"/>
      <c r="ET77">
        <v>388</v>
      </c>
      <c r="EU77">
        <v>442</v>
      </c>
      <c r="EV77">
        <v>434</v>
      </c>
      <c r="EW77">
        <v>30973970</v>
      </c>
      <c r="EX77">
        <v>623</v>
      </c>
      <c r="EZ77" s="24"/>
      <c r="FA77">
        <v>3770272</v>
      </c>
      <c r="FB77">
        <v>4099998</v>
      </c>
      <c r="FC77">
        <v>3770301</v>
      </c>
      <c r="FD77">
        <v>1004</v>
      </c>
      <c r="FE77">
        <v>25</v>
      </c>
      <c r="FG77" s="24"/>
      <c r="FH77">
        <v>7908</v>
      </c>
      <c r="FI77">
        <v>8239</v>
      </c>
      <c r="FJ77">
        <v>8148</v>
      </c>
      <c r="FK77">
        <v>2087472</v>
      </c>
      <c r="FL77">
        <v>623</v>
      </c>
      <c r="FN77" s="24"/>
      <c r="FO77">
        <v>20760</v>
      </c>
      <c r="FP77">
        <v>20870</v>
      </c>
      <c r="FQ77">
        <v>20780</v>
      </c>
      <c r="FR77">
        <v>83919</v>
      </c>
      <c r="FS77">
        <v>62</v>
      </c>
      <c r="FU77" s="24"/>
      <c r="FV77">
        <v>28102</v>
      </c>
      <c r="FW77">
        <v>28742</v>
      </c>
      <c r="FX77">
        <v>28102</v>
      </c>
      <c r="FY77">
        <v>266063</v>
      </c>
      <c r="FZ77">
        <v>1272</v>
      </c>
      <c r="GB77" s="24"/>
      <c r="GC77">
        <v>107001003</v>
      </c>
      <c r="GD77">
        <v>109499800</v>
      </c>
      <c r="GE77">
        <v>108661476</v>
      </c>
      <c r="GF77">
        <v>58</v>
      </c>
      <c r="GG77">
        <v>47</v>
      </c>
      <c r="GI77" s="24"/>
      <c r="GJ77">
        <v>25000029</v>
      </c>
      <c r="GK77">
        <v>25699897</v>
      </c>
      <c r="GL77">
        <v>25000034</v>
      </c>
      <c r="GM77">
        <v>432</v>
      </c>
      <c r="GN77">
        <v>78</v>
      </c>
      <c r="GP77" s="24"/>
      <c r="GQ77">
        <v>112</v>
      </c>
      <c r="GR77">
        <v>112</v>
      </c>
      <c r="GS77">
        <v>112</v>
      </c>
      <c r="GT77">
        <v>169636069</v>
      </c>
      <c r="GU77">
        <v>148</v>
      </c>
      <c r="GW77" s="24"/>
      <c r="GX77">
        <v>362</v>
      </c>
      <c r="GY77">
        <v>394</v>
      </c>
      <c r="GZ77">
        <v>388</v>
      </c>
      <c r="HA77">
        <v>45474094</v>
      </c>
      <c r="HB77">
        <v>247</v>
      </c>
      <c r="HD77" s="24"/>
      <c r="HE77">
        <v>5312</v>
      </c>
      <c r="HF77">
        <v>5442</v>
      </c>
      <c r="HG77">
        <v>5432</v>
      </c>
      <c r="HH77">
        <v>17437540</v>
      </c>
      <c r="HI77">
        <v>275</v>
      </c>
      <c r="HK77" s="24"/>
      <c r="HL77">
        <v>106986600</v>
      </c>
      <c r="HM77">
        <v>111371000</v>
      </c>
      <c r="HN77">
        <v>110300199</v>
      </c>
      <c r="HO77">
        <v>53</v>
      </c>
      <c r="HP77">
        <v>43</v>
      </c>
      <c r="HR77" s="24"/>
      <c r="HS77">
        <v>9495</v>
      </c>
      <c r="HT77">
        <v>9498</v>
      </c>
      <c r="HU77">
        <v>9498</v>
      </c>
      <c r="HV77">
        <v>852938</v>
      </c>
      <c r="HW77">
        <v>155</v>
      </c>
      <c r="HY77" s="24"/>
      <c r="HZ77">
        <v>8199</v>
      </c>
      <c r="IA77">
        <v>8537</v>
      </c>
      <c r="IB77">
        <v>8490</v>
      </c>
      <c r="IC77">
        <v>2222826</v>
      </c>
      <c r="ID77">
        <v>624</v>
      </c>
      <c r="IF77" s="24"/>
      <c r="IG77">
        <v>2738</v>
      </c>
      <c r="IH77">
        <v>2738</v>
      </c>
      <c r="II77">
        <v>2738</v>
      </c>
      <c r="IJ77">
        <v>1763370</v>
      </c>
      <c r="IK77">
        <v>135</v>
      </c>
      <c r="IM77" s="24"/>
      <c r="IN77">
        <v>109493000</v>
      </c>
      <c r="IO77">
        <v>113264998</v>
      </c>
      <c r="IP77">
        <v>110828555</v>
      </c>
      <c r="IQ77">
        <v>68</v>
      </c>
      <c r="IR77">
        <v>55</v>
      </c>
      <c r="IT77" s="24"/>
      <c r="IU77">
        <v>7749</v>
      </c>
      <c r="IV77">
        <v>7798</v>
      </c>
      <c r="IW77">
        <v>7797</v>
      </c>
      <c r="IX77">
        <v>1510830</v>
      </c>
      <c r="IY77">
        <v>147</v>
      </c>
      <c r="JA77" s="24"/>
      <c r="JB77">
        <v>108399599</v>
      </c>
      <c r="JC77">
        <v>117000000</v>
      </c>
      <c r="JD77">
        <v>112500000</v>
      </c>
      <c r="JE77">
        <v>146</v>
      </c>
      <c r="JF77">
        <v>94</v>
      </c>
      <c r="JH77" s="24"/>
      <c r="JI77">
        <v>103702003</v>
      </c>
      <c r="JJ77">
        <v>109506800</v>
      </c>
      <c r="JK77">
        <v>106541646</v>
      </c>
      <c r="JL77">
        <v>22</v>
      </c>
      <c r="JM77">
        <v>22</v>
      </c>
      <c r="JO77" s="24"/>
      <c r="JP77">
        <v>82</v>
      </c>
      <c r="JQ77">
        <v>85</v>
      </c>
      <c r="JR77">
        <v>82</v>
      </c>
      <c r="JS77">
        <v>161583415</v>
      </c>
      <c r="JT77">
        <v>100</v>
      </c>
      <c r="JV77" s="24"/>
      <c r="JW77">
        <v>84</v>
      </c>
      <c r="JX77">
        <v>88</v>
      </c>
      <c r="JY77">
        <v>85</v>
      </c>
      <c r="JZ77">
        <v>187561075</v>
      </c>
      <c r="KA77">
        <v>138</v>
      </c>
      <c r="KC77" s="24"/>
      <c r="KD77">
        <v>19</v>
      </c>
      <c r="KE77">
        <v>20</v>
      </c>
      <c r="KF77">
        <v>19</v>
      </c>
      <c r="KG77">
        <v>41004043</v>
      </c>
      <c r="KH77">
        <v>291</v>
      </c>
      <c r="KJ77" s="24"/>
      <c r="KK77">
        <v>100</v>
      </c>
      <c r="KL77">
        <v>103</v>
      </c>
      <c r="KM77">
        <v>101</v>
      </c>
      <c r="KN77">
        <v>237031266</v>
      </c>
      <c r="KO77">
        <v>179</v>
      </c>
      <c r="KQ77" s="24"/>
      <c r="KR77">
        <v>93000</v>
      </c>
      <c r="KS77">
        <v>95700</v>
      </c>
      <c r="KT77">
        <v>93007</v>
      </c>
      <c r="KU77">
        <v>69449</v>
      </c>
      <c r="KV77">
        <v>649</v>
      </c>
      <c r="KX77" s="24"/>
      <c r="KY77">
        <v>574</v>
      </c>
      <c r="KZ77">
        <v>574</v>
      </c>
      <c r="LA77">
        <v>574</v>
      </c>
      <c r="LB77">
        <v>4516492</v>
      </c>
      <c r="LC77">
        <v>161</v>
      </c>
      <c r="LE77" s="24"/>
      <c r="LF77">
        <v>207238</v>
      </c>
      <c r="LG77">
        <v>211899</v>
      </c>
      <c r="LH77">
        <v>210010</v>
      </c>
      <c r="LI77">
        <v>107780</v>
      </c>
      <c r="LJ77">
        <v>948</v>
      </c>
      <c r="LL77" s="24"/>
      <c r="LM77">
        <v>85506</v>
      </c>
      <c r="LN77">
        <v>86000</v>
      </c>
      <c r="LO77">
        <v>85511</v>
      </c>
      <c r="LP77">
        <v>319373</v>
      </c>
      <c r="LQ77">
        <v>1327</v>
      </c>
      <c r="LS77" s="24"/>
      <c r="LT77">
        <v>317</v>
      </c>
      <c r="LU77">
        <v>318</v>
      </c>
      <c r="LV77">
        <v>318</v>
      </c>
      <c r="LW77">
        <v>85998030</v>
      </c>
      <c r="LX77">
        <v>313</v>
      </c>
      <c r="LZ77" s="24"/>
      <c r="MA77">
        <v>79050</v>
      </c>
      <c r="MB77">
        <v>81977</v>
      </c>
      <c r="MC77">
        <v>81974</v>
      </c>
      <c r="MD77">
        <v>859007</v>
      </c>
      <c r="ME77">
        <v>119</v>
      </c>
    </row>
    <row r="78" spans="2:343" x14ac:dyDescent="0.25">
      <c r="B78" s="24"/>
      <c r="C78">
        <v>3</v>
      </c>
      <c r="D78">
        <v>3</v>
      </c>
      <c r="E78">
        <v>3</v>
      </c>
      <c r="F78">
        <v>46679989000</v>
      </c>
      <c r="G78">
        <v>3291</v>
      </c>
      <c r="I78" s="24"/>
      <c r="J78">
        <v>4</v>
      </c>
      <c r="K78">
        <v>5</v>
      </c>
      <c r="L78">
        <v>4</v>
      </c>
      <c r="M78">
        <v>10394276585</v>
      </c>
      <c r="N78">
        <v>2306</v>
      </c>
      <c r="P78" s="24"/>
      <c r="Q78">
        <v>29</v>
      </c>
      <c r="R78">
        <v>29</v>
      </c>
      <c r="S78">
        <v>29</v>
      </c>
      <c r="T78">
        <v>2901017298</v>
      </c>
      <c r="U78">
        <v>1952</v>
      </c>
      <c r="W78" s="24"/>
      <c r="X78">
        <v>70</v>
      </c>
      <c r="Y78">
        <v>71</v>
      </c>
      <c r="Z78">
        <v>70</v>
      </c>
      <c r="AA78">
        <v>514560457</v>
      </c>
      <c r="AB78">
        <v>1527</v>
      </c>
      <c r="AD78" s="24"/>
      <c r="AE78">
        <v>539</v>
      </c>
      <c r="AF78">
        <v>552</v>
      </c>
      <c r="AG78">
        <v>552</v>
      </c>
      <c r="AH78">
        <v>165285520</v>
      </c>
      <c r="AI78">
        <v>1553</v>
      </c>
      <c r="AK78" s="24"/>
      <c r="AL78">
        <v>1013</v>
      </c>
      <c r="AM78">
        <v>1053</v>
      </c>
      <c r="AN78">
        <v>1042</v>
      </c>
      <c r="AO78">
        <v>47414028</v>
      </c>
      <c r="AP78">
        <v>1265</v>
      </c>
      <c r="AR78" s="24"/>
      <c r="AS78">
        <v>3073</v>
      </c>
      <c r="AT78">
        <v>3167</v>
      </c>
      <c r="AU78">
        <v>3076</v>
      </c>
      <c r="AV78">
        <v>15626258</v>
      </c>
      <c r="AW78">
        <v>1218</v>
      </c>
      <c r="AY78" s="24"/>
      <c r="AZ78">
        <v>316000005</v>
      </c>
      <c r="BA78">
        <v>323389000</v>
      </c>
      <c r="BB78">
        <v>320699964</v>
      </c>
      <c r="BC78">
        <v>2026</v>
      </c>
      <c r="BD78">
        <v>1390</v>
      </c>
      <c r="BF78" s="24"/>
      <c r="BG78">
        <v>25921</v>
      </c>
      <c r="BH78">
        <v>27399</v>
      </c>
      <c r="BI78">
        <v>26506</v>
      </c>
      <c r="BJ78">
        <v>2748402</v>
      </c>
      <c r="BK78">
        <v>180</v>
      </c>
      <c r="BM78" s="24"/>
      <c r="BN78">
        <v>6838997</v>
      </c>
      <c r="BO78">
        <v>6902011</v>
      </c>
      <c r="BP78">
        <v>6900701</v>
      </c>
      <c r="BQ78">
        <v>8092</v>
      </c>
      <c r="BR78">
        <v>299</v>
      </c>
      <c r="BT78" s="24"/>
      <c r="BU78">
        <v>1706</v>
      </c>
      <c r="BV78">
        <v>1754</v>
      </c>
      <c r="BW78">
        <v>1753</v>
      </c>
      <c r="BX78">
        <v>20417652</v>
      </c>
      <c r="BY78">
        <v>189</v>
      </c>
      <c r="CA78" s="24"/>
      <c r="CB78">
        <v>341</v>
      </c>
      <c r="CC78">
        <v>341</v>
      </c>
      <c r="CD78">
        <v>341</v>
      </c>
      <c r="CE78">
        <v>60926544</v>
      </c>
      <c r="CF78">
        <v>226</v>
      </c>
      <c r="CH78" s="24"/>
      <c r="CI78">
        <v>27000</v>
      </c>
      <c r="CJ78">
        <v>27000</v>
      </c>
      <c r="CK78">
        <v>27000</v>
      </c>
      <c r="CL78">
        <v>1767247</v>
      </c>
      <c r="CM78">
        <v>137</v>
      </c>
      <c r="CO78" s="24"/>
      <c r="CP78">
        <v>7984</v>
      </c>
      <c r="CQ78">
        <v>8667</v>
      </c>
      <c r="CR78">
        <v>8122</v>
      </c>
      <c r="CS78">
        <v>1571395</v>
      </c>
      <c r="CT78">
        <v>424</v>
      </c>
      <c r="CV78" s="24"/>
      <c r="CW78">
        <v>1399993</v>
      </c>
      <c r="CX78">
        <v>1399993</v>
      </c>
      <c r="CY78">
        <v>1399993</v>
      </c>
      <c r="CZ78">
        <v>5677</v>
      </c>
      <c r="DA78">
        <v>34</v>
      </c>
      <c r="DC78" s="24"/>
      <c r="DD78">
        <v>346</v>
      </c>
      <c r="DE78">
        <v>346</v>
      </c>
      <c r="DF78">
        <v>346</v>
      </c>
      <c r="DG78">
        <v>50591074</v>
      </c>
      <c r="DH78">
        <v>180</v>
      </c>
      <c r="DJ78" s="24"/>
      <c r="DK78">
        <v>36154230</v>
      </c>
      <c r="DL78">
        <v>36750000</v>
      </c>
      <c r="DM78">
        <v>36154251</v>
      </c>
      <c r="DN78">
        <v>174</v>
      </c>
      <c r="DO78">
        <v>68</v>
      </c>
      <c r="DQ78" s="24"/>
      <c r="DR78">
        <v>1375021</v>
      </c>
      <c r="DS78">
        <v>1691002</v>
      </c>
      <c r="DT78">
        <v>1455000</v>
      </c>
      <c r="DU78">
        <v>9571</v>
      </c>
      <c r="DV78">
        <v>219</v>
      </c>
      <c r="DX78" s="24"/>
      <c r="DY78">
        <v>19552051</v>
      </c>
      <c r="DZ78">
        <v>19999998</v>
      </c>
      <c r="EA78">
        <v>19560000</v>
      </c>
      <c r="EB78">
        <v>470</v>
      </c>
      <c r="EC78">
        <v>103</v>
      </c>
      <c r="EE78" s="24"/>
      <c r="EF78">
        <v>170</v>
      </c>
      <c r="EG78">
        <v>184</v>
      </c>
      <c r="EH78">
        <v>183</v>
      </c>
      <c r="EI78">
        <v>63475997</v>
      </c>
      <c r="EJ78">
        <v>174</v>
      </c>
      <c r="EL78" s="24"/>
      <c r="EM78">
        <v>57509</v>
      </c>
      <c r="EN78">
        <v>59989</v>
      </c>
      <c r="EO78">
        <v>57512</v>
      </c>
      <c r="EP78">
        <v>69773</v>
      </c>
      <c r="EQ78">
        <v>674</v>
      </c>
      <c r="ES78" s="24"/>
      <c r="ET78">
        <v>404</v>
      </c>
      <c r="EU78">
        <v>444</v>
      </c>
      <c r="EV78">
        <v>439</v>
      </c>
      <c r="EW78">
        <v>46426645</v>
      </c>
      <c r="EX78">
        <v>609</v>
      </c>
      <c r="EZ78" s="24"/>
      <c r="FA78">
        <v>4097999</v>
      </c>
      <c r="FB78">
        <v>4098996</v>
      </c>
      <c r="FC78">
        <v>4097999</v>
      </c>
      <c r="FD78">
        <v>1385</v>
      </c>
      <c r="FE78">
        <v>20</v>
      </c>
      <c r="FG78" s="24"/>
      <c r="FH78">
        <v>8201</v>
      </c>
      <c r="FI78">
        <v>8589</v>
      </c>
      <c r="FJ78">
        <v>8441</v>
      </c>
      <c r="FK78">
        <v>2871750</v>
      </c>
      <c r="FL78">
        <v>495</v>
      </c>
      <c r="FN78" s="24"/>
      <c r="FO78">
        <v>20539</v>
      </c>
      <c r="FP78">
        <v>20730</v>
      </c>
      <c r="FQ78">
        <v>20603</v>
      </c>
      <c r="FR78">
        <v>83600</v>
      </c>
      <c r="FS78">
        <v>73</v>
      </c>
      <c r="FU78" s="24"/>
      <c r="FV78">
        <v>28102</v>
      </c>
      <c r="FW78">
        <v>28152</v>
      </c>
      <c r="FX78">
        <v>28125</v>
      </c>
      <c r="FY78">
        <v>474642</v>
      </c>
      <c r="FZ78">
        <v>1217</v>
      </c>
      <c r="GB78" s="24"/>
      <c r="GC78">
        <v>108550100</v>
      </c>
      <c r="GD78">
        <v>111986598</v>
      </c>
      <c r="GE78">
        <v>110043257</v>
      </c>
      <c r="GF78">
        <v>83</v>
      </c>
      <c r="GG78">
        <v>58</v>
      </c>
      <c r="GI78" s="24"/>
      <c r="GJ78">
        <v>24000153</v>
      </c>
      <c r="GK78">
        <v>24500001</v>
      </c>
      <c r="GL78">
        <v>24000160</v>
      </c>
      <c r="GM78">
        <v>321</v>
      </c>
      <c r="GN78">
        <v>55</v>
      </c>
      <c r="GP78" s="24"/>
      <c r="GQ78">
        <v>108</v>
      </c>
      <c r="GR78">
        <v>120</v>
      </c>
      <c r="GS78">
        <v>109</v>
      </c>
      <c r="GT78">
        <v>76150753</v>
      </c>
      <c r="GU78">
        <v>101</v>
      </c>
      <c r="GW78" s="24"/>
      <c r="GX78">
        <v>341</v>
      </c>
      <c r="GY78">
        <v>389</v>
      </c>
      <c r="GZ78">
        <v>372</v>
      </c>
      <c r="HA78">
        <v>80419433</v>
      </c>
      <c r="HB78">
        <v>282</v>
      </c>
      <c r="HD78" s="24"/>
      <c r="HE78">
        <v>5312</v>
      </c>
      <c r="HF78">
        <v>5442</v>
      </c>
      <c r="HG78">
        <v>5439</v>
      </c>
      <c r="HH78">
        <v>10902211</v>
      </c>
      <c r="HI78">
        <v>246</v>
      </c>
      <c r="HK78" s="24"/>
      <c r="HL78">
        <v>108800000</v>
      </c>
      <c r="HM78">
        <v>111369998</v>
      </c>
      <c r="HN78">
        <v>110070747</v>
      </c>
      <c r="HO78">
        <v>65</v>
      </c>
      <c r="HP78">
        <v>53</v>
      </c>
      <c r="HR78" s="24"/>
      <c r="HS78">
        <v>8700</v>
      </c>
      <c r="HT78">
        <v>9220</v>
      </c>
      <c r="HU78">
        <v>9000</v>
      </c>
      <c r="HV78">
        <v>643485</v>
      </c>
      <c r="HW78">
        <v>158</v>
      </c>
      <c r="HY78" s="24"/>
      <c r="HZ78">
        <v>8400</v>
      </c>
      <c r="IA78">
        <v>8900</v>
      </c>
      <c r="IB78">
        <v>8585</v>
      </c>
      <c r="IC78">
        <v>2805086</v>
      </c>
      <c r="ID78">
        <v>514</v>
      </c>
      <c r="IF78" s="24"/>
      <c r="IG78">
        <v>2735</v>
      </c>
      <c r="IH78">
        <v>2737</v>
      </c>
      <c r="II78">
        <v>2736</v>
      </c>
      <c r="IJ78">
        <v>1079506</v>
      </c>
      <c r="IK78">
        <v>99</v>
      </c>
      <c r="IM78" s="24"/>
      <c r="IN78">
        <v>111000000</v>
      </c>
      <c r="IO78">
        <v>113264999</v>
      </c>
      <c r="IP78">
        <v>112823645</v>
      </c>
      <c r="IQ78">
        <v>57</v>
      </c>
      <c r="IR78">
        <v>50</v>
      </c>
      <c r="IT78" s="24"/>
      <c r="IU78">
        <v>7893</v>
      </c>
      <c r="IV78">
        <v>7894</v>
      </c>
      <c r="IW78">
        <v>7894</v>
      </c>
      <c r="IX78">
        <v>761899</v>
      </c>
      <c r="IY78">
        <v>118</v>
      </c>
      <c r="JA78" s="24"/>
      <c r="JB78">
        <v>109200000</v>
      </c>
      <c r="JC78">
        <v>112999999</v>
      </c>
      <c r="JD78">
        <v>110388368</v>
      </c>
      <c r="JE78">
        <v>69</v>
      </c>
      <c r="JF78">
        <v>57</v>
      </c>
      <c r="JH78" s="24"/>
      <c r="JI78">
        <v>105514600</v>
      </c>
      <c r="JJ78">
        <v>110453793</v>
      </c>
      <c r="JK78">
        <v>109056815</v>
      </c>
      <c r="JL78">
        <v>28</v>
      </c>
      <c r="JM78">
        <v>25</v>
      </c>
      <c r="JO78" s="24"/>
      <c r="JP78">
        <v>80</v>
      </c>
      <c r="JQ78">
        <v>81</v>
      </c>
      <c r="JR78">
        <v>80</v>
      </c>
      <c r="JS78">
        <v>96714077</v>
      </c>
      <c r="JT78">
        <v>108</v>
      </c>
      <c r="JV78" s="24"/>
      <c r="JW78">
        <v>83</v>
      </c>
      <c r="JX78">
        <v>88</v>
      </c>
      <c r="JY78">
        <v>84</v>
      </c>
      <c r="JZ78">
        <v>156092079</v>
      </c>
      <c r="KA78">
        <v>113</v>
      </c>
      <c r="KC78" s="24"/>
      <c r="KD78">
        <v>19</v>
      </c>
      <c r="KE78">
        <v>20</v>
      </c>
      <c r="KF78">
        <v>19</v>
      </c>
      <c r="KG78">
        <v>53684447</v>
      </c>
      <c r="KH78">
        <v>271</v>
      </c>
      <c r="KJ78" s="24"/>
      <c r="KK78">
        <v>97</v>
      </c>
      <c r="KL78">
        <v>100</v>
      </c>
      <c r="KM78">
        <v>100</v>
      </c>
      <c r="KN78">
        <v>109404784</v>
      </c>
      <c r="KO78">
        <v>125</v>
      </c>
      <c r="KQ78" s="24"/>
      <c r="KR78">
        <v>92000</v>
      </c>
      <c r="KS78">
        <v>95001</v>
      </c>
      <c r="KT78">
        <v>93007</v>
      </c>
      <c r="KU78">
        <v>63167</v>
      </c>
      <c r="KV78">
        <v>576</v>
      </c>
      <c r="KX78" s="24"/>
      <c r="KY78">
        <v>574</v>
      </c>
      <c r="KZ78">
        <v>574</v>
      </c>
      <c r="LA78">
        <v>574</v>
      </c>
      <c r="LB78">
        <v>5482126</v>
      </c>
      <c r="LC78">
        <v>171</v>
      </c>
      <c r="LE78" s="24"/>
      <c r="LF78">
        <v>207244</v>
      </c>
      <c r="LG78">
        <v>212000</v>
      </c>
      <c r="LH78">
        <v>207433</v>
      </c>
      <c r="LI78">
        <v>123266</v>
      </c>
      <c r="LJ78">
        <v>872</v>
      </c>
      <c r="LL78" s="24"/>
      <c r="LM78">
        <v>85512</v>
      </c>
      <c r="LN78">
        <v>85953</v>
      </c>
      <c r="LO78">
        <v>85750</v>
      </c>
      <c r="LP78">
        <v>334081</v>
      </c>
      <c r="LQ78">
        <v>1253</v>
      </c>
      <c r="LS78" s="24"/>
      <c r="LT78">
        <v>316</v>
      </c>
      <c r="LU78">
        <v>318</v>
      </c>
      <c r="LV78">
        <v>316</v>
      </c>
      <c r="LW78">
        <v>136838658</v>
      </c>
      <c r="LX78">
        <v>286</v>
      </c>
      <c r="LZ78" s="24"/>
      <c r="MA78">
        <v>81971</v>
      </c>
      <c r="MB78">
        <v>81974</v>
      </c>
      <c r="MC78">
        <v>81972</v>
      </c>
      <c r="MD78">
        <v>456502</v>
      </c>
      <c r="ME78">
        <v>60</v>
      </c>
    </row>
    <row r="79" spans="2:343" x14ac:dyDescent="0.25">
      <c r="B79" s="24"/>
      <c r="C79">
        <v>3</v>
      </c>
      <c r="D79">
        <v>3</v>
      </c>
      <c r="E79">
        <v>3</v>
      </c>
      <c r="F79">
        <v>32074837523</v>
      </c>
      <c r="G79">
        <v>3326</v>
      </c>
      <c r="I79" s="24"/>
      <c r="J79">
        <v>4</v>
      </c>
      <c r="K79">
        <v>4</v>
      </c>
      <c r="L79">
        <v>4</v>
      </c>
      <c r="M79">
        <v>8357574787</v>
      </c>
      <c r="N79">
        <v>2289</v>
      </c>
      <c r="P79" s="24"/>
      <c r="Q79">
        <v>29</v>
      </c>
      <c r="R79">
        <v>29</v>
      </c>
      <c r="S79">
        <v>29</v>
      </c>
      <c r="T79">
        <v>1814663286</v>
      </c>
      <c r="U79">
        <v>1996</v>
      </c>
      <c r="W79" s="24"/>
      <c r="X79">
        <v>70</v>
      </c>
      <c r="Y79">
        <v>71</v>
      </c>
      <c r="Z79">
        <v>70</v>
      </c>
      <c r="AA79">
        <v>321501038</v>
      </c>
      <c r="AB79">
        <v>1425</v>
      </c>
      <c r="AD79" s="24"/>
      <c r="AE79">
        <v>540</v>
      </c>
      <c r="AF79">
        <v>552</v>
      </c>
      <c r="AG79">
        <v>552</v>
      </c>
      <c r="AH79">
        <v>122002189</v>
      </c>
      <c r="AI79">
        <v>1558</v>
      </c>
      <c r="AK79" s="24"/>
      <c r="AL79">
        <v>1014</v>
      </c>
      <c r="AM79">
        <v>1043</v>
      </c>
      <c r="AN79">
        <v>1016</v>
      </c>
      <c r="AO79">
        <v>35757051</v>
      </c>
      <c r="AP79">
        <v>1267</v>
      </c>
      <c r="AR79" s="24"/>
      <c r="AS79">
        <v>3076</v>
      </c>
      <c r="AT79">
        <v>3098</v>
      </c>
      <c r="AU79">
        <v>3079</v>
      </c>
      <c r="AV79">
        <v>12646858</v>
      </c>
      <c r="AW79">
        <v>1251</v>
      </c>
      <c r="AY79" s="24"/>
      <c r="AZ79">
        <v>317751000</v>
      </c>
      <c r="BA79">
        <v>325730000</v>
      </c>
      <c r="BB79">
        <v>324496999</v>
      </c>
      <c r="BC79">
        <v>2068</v>
      </c>
      <c r="BD79">
        <v>1410</v>
      </c>
      <c r="BF79" s="24"/>
      <c r="BG79">
        <v>25715</v>
      </c>
      <c r="BH79">
        <v>26700</v>
      </c>
      <c r="BI79">
        <v>26700</v>
      </c>
      <c r="BJ79">
        <v>2862389</v>
      </c>
      <c r="BK79">
        <v>232</v>
      </c>
      <c r="BM79" s="24"/>
      <c r="BN79">
        <v>6850010</v>
      </c>
      <c r="BO79">
        <v>7058988</v>
      </c>
      <c r="BP79">
        <v>6862005</v>
      </c>
      <c r="BQ79">
        <v>10138</v>
      </c>
      <c r="BR79">
        <v>332</v>
      </c>
      <c r="BT79" s="24"/>
      <c r="BU79">
        <v>1706</v>
      </c>
      <c r="BV79">
        <v>1751</v>
      </c>
      <c r="BW79">
        <v>1751</v>
      </c>
      <c r="BX79">
        <v>23592976</v>
      </c>
      <c r="BY79">
        <v>232</v>
      </c>
      <c r="CA79" s="24"/>
      <c r="CB79">
        <v>340</v>
      </c>
      <c r="CC79">
        <v>344</v>
      </c>
      <c r="CD79">
        <v>341</v>
      </c>
      <c r="CE79">
        <v>65850228</v>
      </c>
      <c r="CF79">
        <v>317</v>
      </c>
      <c r="CH79" s="24"/>
      <c r="CI79">
        <v>26505</v>
      </c>
      <c r="CJ79">
        <v>26505</v>
      </c>
      <c r="CK79">
        <v>26505</v>
      </c>
      <c r="CL79">
        <v>381681</v>
      </c>
      <c r="CM79">
        <v>143</v>
      </c>
      <c r="CO79" s="24"/>
      <c r="CP79">
        <v>7753</v>
      </c>
      <c r="CQ79">
        <v>8485</v>
      </c>
      <c r="CR79">
        <v>8300</v>
      </c>
      <c r="CS79">
        <v>1105419</v>
      </c>
      <c r="CT79">
        <v>423</v>
      </c>
      <c r="CV79" s="24"/>
      <c r="CW79">
        <v>1350102</v>
      </c>
      <c r="CX79">
        <v>1350112</v>
      </c>
      <c r="CY79">
        <v>1350103</v>
      </c>
      <c r="CZ79">
        <v>9541</v>
      </c>
      <c r="DA79">
        <v>55</v>
      </c>
      <c r="DC79" s="24"/>
      <c r="DD79">
        <v>345</v>
      </c>
      <c r="DE79">
        <v>347</v>
      </c>
      <c r="DF79">
        <v>346</v>
      </c>
      <c r="DG79">
        <v>45441256</v>
      </c>
      <c r="DH79">
        <v>202</v>
      </c>
      <c r="DJ79" s="24"/>
      <c r="DK79">
        <v>36155730</v>
      </c>
      <c r="DL79">
        <v>38800000</v>
      </c>
      <c r="DM79">
        <v>37100000</v>
      </c>
      <c r="DN79">
        <v>331</v>
      </c>
      <c r="DO79">
        <v>102</v>
      </c>
      <c r="DQ79" s="24"/>
      <c r="DR79">
        <v>1164138</v>
      </c>
      <c r="DS79">
        <v>1651811</v>
      </c>
      <c r="DT79">
        <v>1405000</v>
      </c>
      <c r="DU79">
        <v>7061</v>
      </c>
      <c r="DV79">
        <v>187</v>
      </c>
      <c r="DX79" s="24"/>
      <c r="DY79">
        <v>19600003</v>
      </c>
      <c r="DZ79">
        <v>19650002</v>
      </c>
      <c r="EA79">
        <v>19650001</v>
      </c>
      <c r="EB79">
        <v>469</v>
      </c>
      <c r="EC79">
        <v>145</v>
      </c>
      <c r="EE79" s="24"/>
      <c r="EF79">
        <v>170</v>
      </c>
      <c r="EG79">
        <v>174</v>
      </c>
      <c r="EH79">
        <v>174</v>
      </c>
      <c r="EI79">
        <v>73887755</v>
      </c>
      <c r="EJ79">
        <v>189</v>
      </c>
      <c r="EL79" s="24"/>
      <c r="EM79">
        <v>58514</v>
      </c>
      <c r="EN79">
        <v>59700</v>
      </c>
      <c r="EO79">
        <v>58519</v>
      </c>
      <c r="EP79">
        <v>85511</v>
      </c>
      <c r="EQ79">
        <v>690</v>
      </c>
      <c r="ES79" s="24"/>
      <c r="ET79">
        <v>450</v>
      </c>
      <c r="EU79">
        <v>450</v>
      </c>
      <c r="EV79">
        <v>450</v>
      </c>
      <c r="EW79">
        <v>98902719</v>
      </c>
      <c r="EX79">
        <v>687</v>
      </c>
      <c r="EZ79" s="24"/>
      <c r="FA79">
        <v>3801003</v>
      </c>
      <c r="FB79">
        <v>3988897</v>
      </c>
      <c r="FC79">
        <v>3979999</v>
      </c>
      <c r="FD79">
        <v>1510</v>
      </c>
      <c r="FE79">
        <v>25</v>
      </c>
      <c r="FG79" s="24"/>
      <c r="FH79">
        <v>8303</v>
      </c>
      <c r="FI79">
        <v>8683</v>
      </c>
      <c r="FJ79">
        <v>8649</v>
      </c>
      <c r="FK79">
        <v>1868401</v>
      </c>
      <c r="FL79">
        <v>569</v>
      </c>
      <c r="FN79" s="24"/>
      <c r="FO79">
        <v>19602</v>
      </c>
      <c r="FP79">
        <v>20399</v>
      </c>
      <c r="FQ79">
        <v>20399</v>
      </c>
      <c r="FR79">
        <v>122179</v>
      </c>
      <c r="FS79">
        <v>87</v>
      </c>
      <c r="FU79" s="24"/>
      <c r="FV79">
        <v>27012</v>
      </c>
      <c r="FW79">
        <v>27364</v>
      </c>
      <c r="FX79">
        <v>27015</v>
      </c>
      <c r="FY79">
        <v>249783</v>
      </c>
      <c r="FZ79">
        <v>1262</v>
      </c>
      <c r="GB79" s="24"/>
      <c r="GC79">
        <v>108004001</v>
      </c>
      <c r="GD79">
        <v>111791600</v>
      </c>
      <c r="GE79">
        <v>109851086</v>
      </c>
      <c r="GF79">
        <v>53</v>
      </c>
      <c r="GG79">
        <v>44</v>
      </c>
      <c r="GI79" s="24"/>
      <c r="GJ79">
        <v>24500000</v>
      </c>
      <c r="GK79">
        <v>25599999</v>
      </c>
      <c r="GL79">
        <v>24500022</v>
      </c>
      <c r="GM79">
        <v>388</v>
      </c>
      <c r="GN79">
        <v>63</v>
      </c>
      <c r="GP79" s="24"/>
      <c r="GQ79">
        <v>106</v>
      </c>
      <c r="GR79">
        <v>111</v>
      </c>
      <c r="GS79">
        <v>108</v>
      </c>
      <c r="GT79">
        <v>138181216</v>
      </c>
      <c r="GU79">
        <v>139</v>
      </c>
      <c r="GW79" s="24"/>
      <c r="GX79">
        <v>368</v>
      </c>
      <c r="GY79">
        <v>389</v>
      </c>
      <c r="GZ79">
        <v>379</v>
      </c>
      <c r="HA79">
        <v>58944890</v>
      </c>
      <c r="HB79">
        <v>287</v>
      </c>
      <c r="HD79" s="24"/>
      <c r="HE79">
        <v>5340</v>
      </c>
      <c r="HF79">
        <v>5439</v>
      </c>
      <c r="HG79">
        <v>5439</v>
      </c>
      <c r="HH79">
        <v>16160466</v>
      </c>
      <c r="HI79">
        <v>272</v>
      </c>
      <c r="HK79" s="24"/>
      <c r="HL79">
        <v>109201400</v>
      </c>
      <c r="HM79">
        <v>111380000</v>
      </c>
      <c r="HN79">
        <v>110097871</v>
      </c>
      <c r="HO79">
        <v>67</v>
      </c>
      <c r="HP79">
        <v>50</v>
      </c>
      <c r="HR79" s="24"/>
      <c r="HS79">
        <v>8849</v>
      </c>
      <c r="HT79">
        <v>8998</v>
      </c>
      <c r="HU79">
        <v>8998</v>
      </c>
      <c r="HV79">
        <v>786884</v>
      </c>
      <c r="HW79">
        <v>198</v>
      </c>
      <c r="HY79" s="24"/>
      <c r="HZ79">
        <v>8300</v>
      </c>
      <c r="IA79">
        <v>8740</v>
      </c>
      <c r="IB79">
        <v>8599</v>
      </c>
      <c r="IC79">
        <v>2041437</v>
      </c>
      <c r="ID79">
        <v>493</v>
      </c>
      <c r="IF79" s="24"/>
      <c r="IG79">
        <v>2660</v>
      </c>
      <c r="IH79">
        <v>2729</v>
      </c>
      <c r="II79">
        <v>2724</v>
      </c>
      <c r="IJ79">
        <v>1270034</v>
      </c>
      <c r="IK79">
        <v>142</v>
      </c>
      <c r="IM79" s="24"/>
      <c r="IN79">
        <v>112000001</v>
      </c>
      <c r="IO79">
        <v>115000000</v>
      </c>
      <c r="IP79">
        <v>112219942</v>
      </c>
      <c r="IQ79">
        <v>66</v>
      </c>
      <c r="IR79">
        <v>46</v>
      </c>
      <c r="IT79" s="24"/>
      <c r="IU79">
        <v>7877</v>
      </c>
      <c r="IV79">
        <v>7878</v>
      </c>
      <c r="IW79">
        <v>7878</v>
      </c>
      <c r="IX79">
        <v>1053891</v>
      </c>
      <c r="IY79">
        <v>155</v>
      </c>
      <c r="JA79" s="24"/>
      <c r="JB79">
        <v>106303001</v>
      </c>
      <c r="JC79">
        <v>109398498</v>
      </c>
      <c r="JD79">
        <v>108402650</v>
      </c>
      <c r="JE79">
        <v>59</v>
      </c>
      <c r="JF79">
        <v>47</v>
      </c>
      <c r="JH79" s="24"/>
      <c r="JI79">
        <v>108201400</v>
      </c>
      <c r="JJ79">
        <v>110452799</v>
      </c>
      <c r="JK79">
        <v>108940595</v>
      </c>
      <c r="JL79">
        <v>49</v>
      </c>
      <c r="JM79">
        <v>31</v>
      </c>
      <c r="JO79" s="24"/>
      <c r="JP79">
        <v>80</v>
      </c>
      <c r="JQ79">
        <v>80</v>
      </c>
      <c r="JR79">
        <v>80</v>
      </c>
      <c r="JS79">
        <v>152800297</v>
      </c>
      <c r="JT79">
        <v>115</v>
      </c>
      <c r="JV79" s="24"/>
      <c r="JW79">
        <v>81</v>
      </c>
      <c r="JX79">
        <v>87</v>
      </c>
      <c r="JY79">
        <v>85</v>
      </c>
      <c r="JZ79">
        <v>104133668</v>
      </c>
      <c r="KA79">
        <v>123</v>
      </c>
      <c r="KC79" s="24"/>
      <c r="KD79">
        <v>19</v>
      </c>
      <c r="KE79">
        <v>20</v>
      </c>
      <c r="KF79">
        <v>19</v>
      </c>
      <c r="KG79">
        <v>46821138</v>
      </c>
      <c r="KH79">
        <v>278</v>
      </c>
      <c r="KJ79" s="24"/>
      <c r="KK79">
        <v>96</v>
      </c>
      <c r="KL79">
        <v>100</v>
      </c>
      <c r="KM79">
        <v>96</v>
      </c>
      <c r="KN79">
        <v>91903894</v>
      </c>
      <c r="KO79">
        <v>172</v>
      </c>
      <c r="KQ79" s="24"/>
      <c r="KR79">
        <v>91574</v>
      </c>
      <c r="KS79">
        <v>95887</v>
      </c>
      <c r="KT79">
        <v>91800</v>
      </c>
      <c r="KU79">
        <v>62657</v>
      </c>
      <c r="KV79">
        <v>643</v>
      </c>
      <c r="KX79" s="24"/>
      <c r="KY79">
        <v>559</v>
      </c>
      <c r="KZ79">
        <v>574</v>
      </c>
      <c r="LA79">
        <v>574</v>
      </c>
      <c r="LB79">
        <v>8543358</v>
      </c>
      <c r="LC79">
        <v>205</v>
      </c>
      <c r="LE79" s="24"/>
      <c r="LF79">
        <v>207436</v>
      </c>
      <c r="LG79">
        <v>210944</v>
      </c>
      <c r="LH79">
        <v>208005</v>
      </c>
      <c r="LI79">
        <v>80676</v>
      </c>
      <c r="LJ79">
        <v>891</v>
      </c>
      <c r="LL79" s="24"/>
      <c r="LM79">
        <v>85509</v>
      </c>
      <c r="LN79">
        <v>85512</v>
      </c>
      <c r="LO79">
        <v>85510</v>
      </c>
      <c r="LP79">
        <v>292717</v>
      </c>
      <c r="LQ79">
        <v>1332</v>
      </c>
      <c r="LS79" s="24"/>
      <c r="LT79">
        <v>321</v>
      </c>
      <c r="LU79">
        <v>324</v>
      </c>
      <c r="LV79">
        <v>323</v>
      </c>
      <c r="LW79">
        <v>111127292</v>
      </c>
      <c r="LX79">
        <v>396</v>
      </c>
      <c r="LZ79" s="24"/>
      <c r="MA79">
        <v>79755</v>
      </c>
      <c r="MB79">
        <v>81968</v>
      </c>
      <c r="MC79">
        <v>80500</v>
      </c>
      <c r="MD79">
        <v>582612</v>
      </c>
      <c r="ME79">
        <v>57</v>
      </c>
    </row>
    <row r="80" spans="2:343" x14ac:dyDescent="0.25">
      <c r="B80" s="24"/>
      <c r="C80">
        <v>3</v>
      </c>
      <c r="D80">
        <v>3</v>
      </c>
      <c r="E80">
        <v>3</v>
      </c>
      <c r="F80">
        <v>26116314577</v>
      </c>
      <c r="G80">
        <v>3177</v>
      </c>
      <c r="I80" s="24"/>
      <c r="J80">
        <v>4</v>
      </c>
      <c r="K80">
        <v>4</v>
      </c>
      <c r="L80">
        <v>4</v>
      </c>
      <c r="M80">
        <v>4326924936</v>
      </c>
      <c r="N80">
        <v>2298</v>
      </c>
      <c r="P80" s="24"/>
      <c r="Q80">
        <v>29</v>
      </c>
      <c r="R80">
        <v>29</v>
      </c>
      <c r="S80">
        <v>29</v>
      </c>
      <c r="T80">
        <v>1701586399</v>
      </c>
      <c r="U80">
        <v>2109</v>
      </c>
      <c r="W80" s="24"/>
      <c r="X80">
        <v>70</v>
      </c>
      <c r="Y80">
        <v>71</v>
      </c>
      <c r="Z80">
        <v>71</v>
      </c>
      <c r="AA80">
        <v>328328576</v>
      </c>
      <c r="AB80">
        <v>1558</v>
      </c>
      <c r="AD80" s="24"/>
      <c r="AE80">
        <v>548</v>
      </c>
      <c r="AF80">
        <v>553</v>
      </c>
      <c r="AG80">
        <v>552</v>
      </c>
      <c r="AH80">
        <v>123445103</v>
      </c>
      <c r="AI80">
        <v>1603</v>
      </c>
      <c r="AK80" s="24"/>
      <c r="AL80">
        <v>1015</v>
      </c>
      <c r="AM80">
        <v>1042</v>
      </c>
      <c r="AN80">
        <v>1016</v>
      </c>
      <c r="AO80">
        <v>42148080</v>
      </c>
      <c r="AP80">
        <v>1323</v>
      </c>
      <c r="AR80" s="24"/>
      <c r="AS80">
        <v>2991</v>
      </c>
      <c r="AT80">
        <v>3084</v>
      </c>
      <c r="AU80">
        <v>3006</v>
      </c>
      <c r="AV80">
        <v>17119534</v>
      </c>
      <c r="AW80">
        <v>1313</v>
      </c>
      <c r="AY80" s="24"/>
      <c r="AZ80">
        <v>322250009</v>
      </c>
      <c r="BA80">
        <v>327999999</v>
      </c>
      <c r="BB80">
        <v>325000000</v>
      </c>
      <c r="BC80">
        <v>1970</v>
      </c>
      <c r="BD80">
        <v>1321</v>
      </c>
      <c r="BF80" s="24"/>
      <c r="BG80">
        <v>25321</v>
      </c>
      <c r="BH80">
        <v>26000</v>
      </c>
      <c r="BI80">
        <v>25556</v>
      </c>
      <c r="BJ80">
        <v>1417959</v>
      </c>
      <c r="BK80">
        <v>197</v>
      </c>
      <c r="BM80" s="24"/>
      <c r="BN80">
        <v>6862010</v>
      </c>
      <c r="BO80">
        <v>6863515</v>
      </c>
      <c r="BP80">
        <v>6862693</v>
      </c>
      <c r="BQ80">
        <v>8007</v>
      </c>
      <c r="BR80">
        <v>301</v>
      </c>
      <c r="BT80" s="24"/>
      <c r="BU80">
        <v>1750</v>
      </c>
      <c r="BV80">
        <v>1764</v>
      </c>
      <c r="BW80">
        <v>1752</v>
      </c>
      <c r="BX80">
        <v>27961095</v>
      </c>
      <c r="BY80">
        <v>269</v>
      </c>
      <c r="CA80" s="24"/>
      <c r="CB80">
        <v>340</v>
      </c>
      <c r="CC80">
        <v>344</v>
      </c>
      <c r="CD80">
        <v>344</v>
      </c>
      <c r="CE80">
        <v>62837839</v>
      </c>
      <c r="CF80">
        <v>325</v>
      </c>
      <c r="CH80" s="24"/>
      <c r="CI80">
        <v>26506</v>
      </c>
      <c r="CJ80">
        <v>27000</v>
      </c>
      <c r="CK80">
        <v>26800</v>
      </c>
      <c r="CL80">
        <v>521829</v>
      </c>
      <c r="CM80">
        <v>160</v>
      </c>
      <c r="CO80" s="24"/>
      <c r="CP80">
        <v>7760</v>
      </c>
      <c r="CQ80">
        <v>8099</v>
      </c>
      <c r="CR80">
        <v>7996</v>
      </c>
      <c r="CS80">
        <v>1118647</v>
      </c>
      <c r="CT80">
        <v>415</v>
      </c>
      <c r="CV80" s="24"/>
      <c r="CW80">
        <v>1370001</v>
      </c>
      <c r="CX80">
        <v>1398775</v>
      </c>
      <c r="CY80">
        <v>1398769</v>
      </c>
      <c r="CZ80">
        <v>7025</v>
      </c>
      <c r="DA80">
        <v>54</v>
      </c>
      <c r="DC80" s="24"/>
      <c r="DD80">
        <v>352</v>
      </c>
      <c r="DE80">
        <v>353</v>
      </c>
      <c r="DF80">
        <v>353</v>
      </c>
      <c r="DG80">
        <v>44429757</v>
      </c>
      <c r="DH80">
        <v>175</v>
      </c>
      <c r="DJ80" s="24"/>
      <c r="DK80">
        <v>36161988</v>
      </c>
      <c r="DL80">
        <v>36862369</v>
      </c>
      <c r="DM80">
        <v>36163031</v>
      </c>
      <c r="DN80">
        <v>387</v>
      </c>
      <c r="DO80">
        <v>81</v>
      </c>
      <c r="DQ80" s="24"/>
      <c r="DR80">
        <v>1200000</v>
      </c>
      <c r="DS80">
        <v>1300003</v>
      </c>
      <c r="DT80">
        <v>1299899</v>
      </c>
      <c r="DU80">
        <v>6627</v>
      </c>
      <c r="DV80">
        <v>214</v>
      </c>
      <c r="DX80" s="24"/>
      <c r="DY80">
        <v>19150001</v>
      </c>
      <c r="DZ80">
        <v>19800000</v>
      </c>
      <c r="EA80">
        <v>19797998</v>
      </c>
      <c r="EB80">
        <v>589</v>
      </c>
      <c r="EC80">
        <v>153</v>
      </c>
      <c r="EE80" s="24"/>
      <c r="EF80">
        <v>168</v>
      </c>
      <c r="EG80">
        <v>174</v>
      </c>
      <c r="EH80">
        <v>170</v>
      </c>
      <c r="EI80">
        <v>107258929</v>
      </c>
      <c r="EJ80">
        <v>237</v>
      </c>
      <c r="EL80" s="24"/>
      <c r="EM80">
        <v>57757</v>
      </c>
      <c r="EN80">
        <v>62990</v>
      </c>
      <c r="EO80">
        <v>61749</v>
      </c>
      <c r="EP80">
        <v>82100</v>
      </c>
      <c r="EQ80">
        <v>723</v>
      </c>
      <c r="ES80" s="24"/>
      <c r="ET80">
        <v>415</v>
      </c>
      <c r="EU80">
        <v>483</v>
      </c>
      <c r="EV80">
        <v>457</v>
      </c>
      <c r="EW80">
        <v>46183548</v>
      </c>
      <c r="EX80">
        <v>727</v>
      </c>
      <c r="EZ80" s="24"/>
      <c r="FA80">
        <v>3801003</v>
      </c>
      <c r="FB80">
        <v>3945002</v>
      </c>
      <c r="FC80">
        <v>3905003</v>
      </c>
      <c r="FD80">
        <v>975</v>
      </c>
      <c r="FE80">
        <v>23</v>
      </c>
      <c r="FG80" s="24"/>
      <c r="FH80">
        <v>8512</v>
      </c>
      <c r="FI80">
        <v>8900</v>
      </c>
      <c r="FJ80">
        <v>8690</v>
      </c>
      <c r="FK80">
        <v>2365627</v>
      </c>
      <c r="FL80">
        <v>580</v>
      </c>
      <c r="FN80" s="24"/>
      <c r="FO80">
        <v>20379</v>
      </c>
      <c r="FP80">
        <v>20379</v>
      </c>
      <c r="FQ80">
        <v>20379</v>
      </c>
      <c r="FR80">
        <v>133996</v>
      </c>
      <c r="FS80">
        <v>100</v>
      </c>
      <c r="FU80" s="24"/>
      <c r="FV80">
        <v>27287</v>
      </c>
      <c r="FW80">
        <v>29000</v>
      </c>
      <c r="FX80">
        <v>28074</v>
      </c>
      <c r="FY80">
        <v>322776</v>
      </c>
      <c r="FZ80">
        <v>1338</v>
      </c>
      <c r="GB80" s="24"/>
      <c r="GC80">
        <v>104510000</v>
      </c>
      <c r="GD80">
        <v>108100001</v>
      </c>
      <c r="GE80">
        <v>107461246</v>
      </c>
      <c r="GF80">
        <v>83</v>
      </c>
      <c r="GG80">
        <v>65</v>
      </c>
      <c r="GI80" s="24"/>
      <c r="GJ80">
        <v>24800101</v>
      </c>
      <c r="GK80">
        <v>25499999</v>
      </c>
      <c r="GL80">
        <v>24800125</v>
      </c>
      <c r="GM80">
        <v>332</v>
      </c>
      <c r="GN80">
        <v>55</v>
      </c>
      <c r="GP80" s="24"/>
      <c r="GQ80">
        <v>106</v>
      </c>
      <c r="GR80">
        <v>110</v>
      </c>
      <c r="GS80">
        <v>110</v>
      </c>
      <c r="GT80">
        <v>112338244</v>
      </c>
      <c r="GU80">
        <v>138</v>
      </c>
      <c r="GW80" s="24"/>
      <c r="GX80">
        <v>374</v>
      </c>
      <c r="GY80">
        <v>394</v>
      </c>
      <c r="GZ80">
        <v>390</v>
      </c>
      <c r="HA80">
        <v>49516553</v>
      </c>
      <c r="HB80">
        <v>236</v>
      </c>
      <c r="HD80" s="24"/>
      <c r="HE80">
        <v>5311</v>
      </c>
      <c r="HF80">
        <v>5435</v>
      </c>
      <c r="HG80">
        <v>5434</v>
      </c>
      <c r="HH80">
        <v>19225256</v>
      </c>
      <c r="HI80">
        <v>290</v>
      </c>
      <c r="HK80" s="24"/>
      <c r="HL80">
        <v>106951000</v>
      </c>
      <c r="HM80">
        <v>109301499</v>
      </c>
      <c r="HN80">
        <v>107497853</v>
      </c>
      <c r="HO80">
        <v>97</v>
      </c>
      <c r="HP80">
        <v>65</v>
      </c>
      <c r="HR80" s="24"/>
      <c r="HS80">
        <v>8101</v>
      </c>
      <c r="HT80">
        <v>8409</v>
      </c>
      <c r="HU80">
        <v>8202</v>
      </c>
      <c r="HV80">
        <v>456911</v>
      </c>
      <c r="HW80">
        <v>174</v>
      </c>
      <c r="HY80" s="24"/>
      <c r="HZ80">
        <v>8273</v>
      </c>
      <c r="IA80">
        <v>8714</v>
      </c>
      <c r="IB80">
        <v>8637</v>
      </c>
      <c r="IC80">
        <v>2226367</v>
      </c>
      <c r="ID80">
        <v>569</v>
      </c>
      <c r="IF80" s="24"/>
      <c r="IG80">
        <v>2723</v>
      </c>
      <c r="IH80">
        <v>2723</v>
      </c>
      <c r="II80">
        <v>2723</v>
      </c>
      <c r="IJ80">
        <v>1575538</v>
      </c>
      <c r="IK80">
        <v>158</v>
      </c>
      <c r="IM80" s="24"/>
      <c r="IN80">
        <v>104103000</v>
      </c>
      <c r="IO80">
        <v>108002000</v>
      </c>
      <c r="IP80">
        <v>107303003</v>
      </c>
      <c r="IQ80">
        <v>168</v>
      </c>
      <c r="IR80">
        <v>76</v>
      </c>
      <c r="IT80" s="24"/>
      <c r="IU80">
        <v>7780</v>
      </c>
      <c r="IV80">
        <v>7877</v>
      </c>
      <c r="IW80">
        <v>7875</v>
      </c>
      <c r="IX80">
        <v>1371621</v>
      </c>
      <c r="IY80">
        <v>206</v>
      </c>
      <c r="JA80" s="24"/>
      <c r="JB80">
        <v>105600000</v>
      </c>
      <c r="JC80">
        <v>109199200</v>
      </c>
      <c r="JD80">
        <v>106800000</v>
      </c>
      <c r="JE80">
        <v>184</v>
      </c>
      <c r="JF80">
        <v>116</v>
      </c>
      <c r="JH80" s="24"/>
      <c r="JI80">
        <v>105604003</v>
      </c>
      <c r="JJ80">
        <v>105606000</v>
      </c>
      <c r="JK80">
        <v>105604004</v>
      </c>
      <c r="JL80">
        <v>125</v>
      </c>
      <c r="JM80">
        <v>61</v>
      </c>
      <c r="JO80" s="24"/>
      <c r="JP80">
        <v>77</v>
      </c>
      <c r="JQ80">
        <v>80</v>
      </c>
      <c r="JR80">
        <v>80</v>
      </c>
      <c r="JS80">
        <v>92287796</v>
      </c>
      <c r="JT80">
        <v>100</v>
      </c>
      <c r="JV80" s="24"/>
      <c r="JW80">
        <v>81</v>
      </c>
      <c r="JX80">
        <v>84</v>
      </c>
      <c r="JY80">
        <v>81</v>
      </c>
      <c r="JZ80">
        <v>184864924</v>
      </c>
      <c r="KA80">
        <v>127</v>
      </c>
      <c r="KC80" s="24"/>
      <c r="KD80">
        <v>19</v>
      </c>
      <c r="KE80">
        <v>19</v>
      </c>
      <c r="KF80">
        <v>19</v>
      </c>
      <c r="KG80">
        <v>48120815</v>
      </c>
      <c r="KH80">
        <v>281</v>
      </c>
      <c r="KJ80" s="24"/>
      <c r="KK80">
        <v>97</v>
      </c>
      <c r="KL80">
        <v>100</v>
      </c>
      <c r="KM80">
        <v>98</v>
      </c>
      <c r="KN80">
        <v>129513946</v>
      </c>
      <c r="KO80">
        <v>159</v>
      </c>
      <c r="KQ80" s="24"/>
      <c r="KR80">
        <v>91773</v>
      </c>
      <c r="KS80">
        <v>95567</v>
      </c>
      <c r="KT80">
        <v>91796</v>
      </c>
      <c r="KU80">
        <v>60250</v>
      </c>
      <c r="KV80">
        <v>658</v>
      </c>
      <c r="KX80" s="24"/>
      <c r="KY80">
        <v>597</v>
      </c>
      <c r="KZ80">
        <v>622</v>
      </c>
      <c r="LA80">
        <v>610</v>
      </c>
      <c r="LB80">
        <v>5031460</v>
      </c>
      <c r="LC80">
        <v>218</v>
      </c>
      <c r="LE80" s="24"/>
      <c r="LF80">
        <v>208303</v>
      </c>
      <c r="LG80">
        <v>212200</v>
      </c>
      <c r="LH80">
        <v>208792</v>
      </c>
      <c r="LI80">
        <v>87857</v>
      </c>
      <c r="LJ80">
        <v>917</v>
      </c>
      <c r="LL80" s="24"/>
      <c r="LM80">
        <v>85600</v>
      </c>
      <c r="LN80">
        <v>88881</v>
      </c>
      <c r="LO80">
        <v>85701</v>
      </c>
      <c r="LP80">
        <v>320901</v>
      </c>
      <c r="LQ80">
        <v>1375</v>
      </c>
      <c r="LS80" s="24"/>
      <c r="LT80">
        <v>322</v>
      </c>
      <c r="LU80">
        <v>326</v>
      </c>
      <c r="LV80">
        <v>325</v>
      </c>
      <c r="LW80">
        <v>83789612</v>
      </c>
      <c r="LX80">
        <v>328</v>
      </c>
      <c r="LZ80" s="24"/>
      <c r="MA80">
        <v>80000</v>
      </c>
      <c r="MB80">
        <v>81955</v>
      </c>
      <c r="MC80">
        <v>81945</v>
      </c>
      <c r="MD80">
        <v>620092</v>
      </c>
      <c r="ME80">
        <v>55</v>
      </c>
    </row>
    <row r="81" spans="2:343" x14ac:dyDescent="0.25">
      <c r="B81" s="24"/>
      <c r="C81">
        <v>3</v>
      </c>
      <c r="D81">
        <v>3</v>
      </c>
      <c r="E81">
        <v>3</v>
      </c>
      <c r="F81">
        <v>31873165199</v>
      </c>
      <c r="G81">
        <v>3453</v>
      </c>
      <c r="I81" s="24"/>
      <c r="J81">
        <v>5</v>
      </c>
      <c r="K81">
        <v>5</v>
      </c>
      <c r="L81">
        <v>5</v>
      </c>
      <c r="M81">
        <v>8718558294</v>
      </c>
      <c r="N81">
        <v>2248</v>
      </c>
      <c r="P81" s="24"/>
      <c r="Q81">
        <v>28</v>
      </c>
      <c r="R81">
        <v>29</v>
      </c>
      <c r="S81">
        <v>29</v>
      </c>
      <c r="T81">
        <v>2170598403</v>
      </c>
      <c r="U81">
        <v>1997</v>
      </c>
      <c r="W81" s="24"/>
      <c r="X81">
        <v>70</v>
      </c>
      <c r="Y81">
        <v>71</v>
      </c>
      <c r="Z81">
        <v>71</v>
      </c>
      <c r="AA81">
        <v>377046833</v>
      </c>
      <c r="AB81">
        <v>1547</v>
      </c>
      <c r="AD81" s="24"/>
      <c r="AE81">
        <v>538</v>
      </c>
      <c r="AF81">
        <v>560</v>
      </c>
      <c r="AG81">
        <v>545</v>
      </c>
      <c r="AH81">
        <v>235498634</v>
      </c>
      <c r="AI81">
        <v>1761</v>
      </c>
      <c r="AK81" s="24"/>
      <c r="AL81">
        <v>1015</v>
      </c>
      <c r="AM81">
        <v>1048</v>
      </c>
      <c r="AN81">
        <v>1020</v>
      </c>
      <c r="AO81">
        <v>68830164</v>
      </c>
      <c r="AP81">
        <v>1297</v>
      </c>
      <c r="AR81" s="24"/>
      <c r="AS81">
        <v>2965</v>
      </c>
      <c r="AT81">
        <v>3063</v>
      </c>
      <c r="AU81">
        <v>2992</v>
      </c>
      <c r="AV81">
        <v>21081748</v>
      </c>
      <c r="AW81">
        <v>1352</v>
      </c>
      <c r="AY81" s="24"/>
      <c r="AZ81">
        <v>319307130</v>
      </c>
      <c r="BA81">
        <v>324500000</v>
      </c>
      <c r="BB81">
        <v>323095002</v>
      </c>
      <c r="BC81">
        <v>2052</v>
      </c>
      <c r="BD81">
        <v>1367</v>
      </c>
      <c r="BF81" s="24"/>
      <c r="BG81">
        <v>26500</v>
      </c>
      <c r="BH81">
        <v>26599</v>
      </c>
      <c r="BI81">
        <v>26599</v>
      </c>
      <c r="BJ81">
        <v>1096837</v>
      </c>
      <c r="BK81">
        <v>199</v>
      </c>
      <c r="BM81" s="24"/>
      <c r="BN81">
        <v>6863541</v>
      </c>
      <c r="BO81">
        <v>6950001</v>
      </c>
      <c r="BP81">
        <v>6863568</v>
      </c>
      <c r="BQ81">
        <v>9818</v>
      </c>
      <c r="BR81">
        <v>315</v>
      </c>
      <c r="BT81" s="24"/>
      <c r="BU81">
        <v>1754</v>
      </c>
      <c r="BV81">
        <v>1839</v>
      </c>
      <c r="BW81">
        <v>1834</v>
      </c>
      <c r="BX81">
        <v>18318777</v>
      </c>
      <c r="BY81">
        <v>200</v>
      </c>
      <c r="CA81" s="24"/>
      <c r="CB81">
        <v>344</v>
      </c>
      <c r="CC81">
        <v>344</v>
      </c>
      <c r="CD81">
        <v>344</v>
      </c>
      <c r="CE81">
        <v>44122161</v>
      </c>
      <c r="CF81">
        <v>237</v>
      </c>
      <c r="CH81" s="24"/>
      <c r="CI81">
        <v>26600</v>
      </c>
      <c r="CJ81">
        <v>26600</v>
      </c>
      <c r="CK81">
        <v>26600</v>
      </c>
      <c r="CL81">
        <v>766457</v>
      </c>
      <c r="CM81">
        <v>155</v>
      </c>
      <c r="CO81" s="24"/>
      <c r="CP81">
        <v>7757</v>
      </c>
      <c r="CQ81">
        <v>7990</v>
      </c>
      <c r="CR81">
        <v>7888</v>
      </c>
      <c r="CS81">
        <v>1501211</v>
      </c>
      <c r="CT81">
        <v>426</v>
      </c>
      <c r="CV81" s="24"/>
      <c r="CW81">
        <v>1380033</v>
      </c>
      <c r="CX81">
        <v>1398673</v>
      </c>
      <c r="CY81">
        <v>1397673</v>
      </c>
      <c r="CZ81">
        <v>5599</v>
      </c>
      <c r="DA81">
        <v>28</v>
      </c>
      <c r="DC81" s="24"/>
      <c r="DD81">
        <v>353</v>
      </c>
      <c r="DE81">
        <v>429</v>
      </c>
      <c r="DF81">
        <v>396</v>
      </c>
      <c r="DG81">
        <v>41091219</v>
      </c>
      <c r="DH81">
        <v>203</v>
      </c>
      <c r="DJ81" s="24"/>
      <c r="DK81">
        <v>37663162</v>
      </c>
      <c r="DL81">
        <v>39399999</v>
      </c>
      <c r="DM81">
        <v>37694262</v>
      </c>
      <c r="DN81">
        <v>405</v>
      </c>
      <c r="DO81">
        <v>111</v>
      </c>
      <c r="DQ81" s="24"/>
      <c r="DR81">
        <v>1170006</v>
      </c>
      <c r="DS81">
        <v>1299899</v>
      </c>
      <c r="DT81">
        <v>1223998</v>
      </c>
      <c r="DU81">
        <v>4621</v>
      </c>
      <c r="DV81">
        <v>214</v>
      </c>
      <c r="DX81" s="24"/>
      <c r="DY81">
        <v>19180002</v>
      </c>
      <c r="DZ81">
        <v>20348994</v>
      </c>
      <c r="EA81">
        <v>19190011</v>
      </c>
      <c r="EB81">
        <v>339</v>
      </c>
      <c r="EC81">
        <v>116</v>
      </c>
      <c r="EE81" s="24"/>
      <c r="EF81">
        <v>168</v>
      </c>
      <c r="EG81">
        <v>173</v>
      </c>
      <c r="EH81">
        <v>173</v>
      </c>
      <c r="EI81">
        <v>91633314</v>
      </c>
      <c r="EJ81">
        <v>193</v>
      </c>
      <c r="EL81" s="24"/>
      <c r="EM81">
        <v>62015</v>
      </c>
      <c r="EN81">
        <v>62017</v>
      </c>
      <c r="EO81">
        <v>62017</v>
      </c>
      <c r="EP81">
        <v>155092</v>
      </c>
      <c r="EQ81">
        <v>667</v>
      </c>
      <c r="ES81" s="24"/>
      <c r="ET81">
        <v>404</v>
      </c>
      <c r="EU81">
        <v>436</v>
      </c>
      <c r="EV81">
        <v>434</v>
      </c>
      <c r="EW81">
        <v>44219706</v>
      </c>
      <c r="EX81">
        <v>730</v>
      </c>
      <c r="EZ81" s="24"/>
      <c r="FA81">
        <v>3802503</v>
      </c>
      <c r="FB81">
        <v>3802503</v>
      </c>
      <c r="FC81">
        <v>3802503</v>
      </c>
      <c r="FD81">
        <v>1046</v>
      </c>
      <c r="FE81">
        <v>13</v>
      </c>
      <c r="FG81" s="24"/>
      <c r="FH81">
        <v>8535</v>
      </c>
      <c r="FI81">
        <v>8889</v>
      </c>
      <c r="FJ81">
        <v>8880</v>
      </c>
      <c r="FK81">
        <v>2294801</v>
      </c>
      <c r="FL81">
        <v>591</v>
      </c>
      <c r="FN81" s="24"/>
      <c r="FO81">
        <v>20300</v>
      </c>
      <c r="FP81">
        <v>20359</v>
      </c>
      <c r="FQ81">
        <v>20300</v>
      </c>
      <c r="FR81">
        <v>303832</v>
      </c>
      <c r="FS81">
        <v>102</v>
      </c>
      <c r="FU81" s="24"/>
      <c r="FV81">
        <v>28520</v>
      </c>
      <c r="FW81">
        <v>28530</v>
      </c>
      <c r="FX81">
        <v>28529</v>
      </c>
      <c r="FY81">
        <v>257841</v>
      </c>
      <c r="FZ81">
        <v>1234</v>
      </c>
      <c r="GB81" s="24"/>
      <c r="GC81">
        <v>104410001</v>
      </c>
      <c r="GD81">
        <v>106995800</v>
      </c>
      <c r="GE81">
        <v>104500000</v>
      </c>
      <c r="GF81">
        <v>145</v>
      </c>
      <c r="GG81">
        <v>84</v>
      </c>
      <c r="GI81" s="24"/>
      <c r="GJ81">
        <v>25000000</v>
      </c>
      <c r="GK81">
        <v>25700000</v>
      </c>
      <c r="GL81">
        <v>25201015</v>
      </c>
      <c r="GM81">
        <v>180</v>
      </c>
      <c r="GN81">
        <v>52</v>
      </c>
      <c r="GP81" s="24"/>
      <c r="GQ81">
        <v>106</v>
      </c>
      <c r="GR81">
        <v>108</v>
      </c>
      <c r="GS81">
        <v>106</v>
      </c>
      <c r="GT81">
        <v>118064031</v>
      </c>
      <c r="GU81">
        <v>135</v>
      </c>
      <c r="GW81" s="24"/>
      <c r="GX81">
        <v>362</v>
      </c>
      <c r="GY81">
        <v>385</v>
      </c>
      <c r="GZ81">
        <v>366</v>
      </c>
      <c r="HA81">
        <v>57448672</v>
      </c>
      <c r="HB81">
        <v>266</v>
      </c>
      <c r="HD81" s="24"/>
      <c r="HE81">
        <v>5311</v>
      </c>
      <c r="HF81">
        <v>5430</v>
      </c>
      <c r="HG81">
        <v>5429</v>
      </c>
      <c r="HH81">
        <v>18137239</v>
      </c>
      <c r="HI81">
        <v>298</v>
      </c>
      <c r="HK81" s="24"/>
      <c r="HL81">
        <v>104106000</v>
      </c>
      <c r="HM81">
        <v>107997800</v>
      </c>
      <c r="HN81">
        <v>105100000</v>
      </c>
      <c r="HO81">
        <v>135</v>
      </c>
      <c r="HP81">
        <v>91</v>
      </c>
      <c r="HR81" s="24"/>
      <c r="HS81">
        <v>8300</v>
      </c>
      <c r="HT81">
        <v>9498</v>
      </c>
      <c r="HU81">
        <v>9399</v>
      </c>
      <c r="HV81">
        <v>530080</v>
      </c>
      <c r="HW81">
        <v>186</v>
      </c>
      <c r="HY81" s="24"/>
      <c r="HZ81">
        <v>8291</v>
      </c>
      <c r="IA81">
        <v>8597</v>
      </c>
      <c r="IB81">
        <v>8528</v>
      </c>
      <c r="IC81">
        <v>2642691</v>
      </c>
      <c r="ID81">
        <v>577</v>
      </c>
      <c r="IF81" s="24"/>
      <c r="IG81">
        <v>2681</v>
      </c>
      <c r="IH81">
        <v>2723</v>
      </c>
      <c r="II81">
        <v>2723</v>
      </c>
      <c r="IJ81">
        <v>1842927</v>
      </c>
      <c r="IK81">
        <v>153</v>
      </c>
      <c r="IM81" s="24"/>
      <c r="IN81">
        <v>104100000</v>
      </c>
      <c r="IO81">
        <v>106399999</v>
      </c>
      <c r="IP81">
        <v>105967922</v>
      </c>
      <c r="IQ81">
        <v>86</v>
      </c>
      <c r="IR81">
        <v>65</v>
      </c>
      <c r="IT81" s="24"/>
      <c r="IU81">
        <v>7877</v>
      </c>
      <c r="IV81">
        <v>7877</v>
      </c>
      <c r="IW81">
        <v>7877</v>
      </c>
      <c r="IX81">
        <v>1946062</v>
      </c>
      <c r="IY81">
        <v>172</v>
      </c>
      <c r="JA81" s="24"/>
      <c r="JB81">
        <v>105000000</v>
      </c>
      <c r="JC81">
        <v>108100000</v>
      </c>
      <c r="JD81">
        <v>105998800</v>
      </c>
      <c r="JE81">
        <v>153</v>
      </c>
      <c r="JF81">
        <v>98</v>
      </c>
      <c r="JH81" s="24"/>
      <c r="JI81">
        <v>105000000</v>
      </c>
      <c r="JJ81">
        <v>107498400</v>
      </c>
      <c r="JK81">
        <v>106303100</v>
      </c>
      <c r="JL81">
        <v>54</v>
      </c>
      <c r="JM81">
        <v>42</v>
      </c>
      <c r="JO81" s="24"/>
      <c r="JP81">
        <v>77</v>
      </c>
      <c r="JQ81">
        <v>79</v>
      </c>
      <c r="JR81">
        <v>79</v>
      </c>
      <c r="JS81">
        <v>81687211</v>
      </c>
      <c r="JT81">
        <v>110</v>
      </c>
      <c r="JV81" s="24"/>
      <c r="JW81">
        <v>82</v>
      </c>
      <c r="JX81">
        <v>82</v>
      </c>
      <c r="JY81">
        <v>82</v>
      </c>
      <c r="JZ81">
        <v>122805131</v>
      </c>
      <c r="KA81">
        <v>112</v>
      </c>
      <c r="KC81" s="24"/>
      <c r="KD81">
        <v>19</v>
      </c>
      <c r="KE81">
        <v>20</v>
      </c>
      <c r="KF81">
        <v>20</v>
      </c>
      <c r="KG81">
        <v>53630401</v>
      </c>
      <c r="KH81">
        <v>337</v>
      </c>
      <c r="KJ81" s="24"/>
      <c r="KK81">
        <v>97</v>
      </c>
      <c r="KL81">
        <v>99</v>
      </c>
      <c r="KM81">
        <v>99</v>
      </c>
      <c r="KN81">
        <v>132954535</v>
      </c>
      <c r="KO81">
        <v>156</v>
      </c>
      <c r="KQ81" s="24"/>
      <c r="KR81">
        <v>92005</v>
      </c>
      <c r="KS81">
        <v>92007</v>
      </c>
      <c r="KT81">
        <v>92005</v>
      </c>
      <c r="KU81">
        <v>38095</v>
      </c>
      <c r="KV81">
        <v>561</v>
      </c>
      <c r="KX81" s="24"/>
      <c r="KY81">
        <v>621</v>
      </c>
      <c r="KZ81">
        <v>622</v>
      </c>
      <c r="LA81">
        <v>621</v>
      </c>
      <c r="LB81">
        <v>5578589</v>
      </c>
      <c r="LC81">
        <v>183</v>
      </c>
      <c r="LE81" s="24"/>
      <c r="LF81">
        <v>210069</v>
      </c>
      <c r="LG81">
        <v>216499</v>
      </c>
      <c r="LH81">
        <v>210105</v>
      </c>
      <c r="LI81">
        <v>111721</v>
      </c>
      <c r="LJ81">
        <v>908</v>
      </c>
      <c r="LL81" s="24"/>
      <c r="LM81">
        <v>87000</v>
      </c>
      <c r="LN81">
        <v>87035</v>
      </c>
      <c r="LO81">
        <v>87008</v>
      </c>
      <c r="LP81">
        <v>277311</v>
      </c>
      <c r="LQ81">
        <v>1290</v>
      </c>
      <c r="LS81" s="24"/>
      <c r="LT81">
        <v>323</v>
      </c>
      <c r="LU81">
        <v>325</v>
      </c>
      <c r="LV81">
        <v>325</v>
      </c>
      <c r="LW81">
        <v>99339070</v>
      </c>
      <c r="LX81">
        <v>368</v>
      </c>
      <c r="LZ81" s="24"/>
      <c r="MA81">
        <v>81956</v>
      </c>
      <c r="MB81">
        <v>81967</v>
      </c>
      <c r="MC81">
        <v>81967</v>
      </c>
      <c r="MD81">
        <v>613397</v>
      </c>
      <c r="ME81">
        <v>65</v>
      </c>
    </row>
    <row r="82" spans="2:343" x14ac:dyDescent="0.25">
      <c r="B82" s="24"/>
      <c r="C82">
        <v>3</v>
      </c>
      <c r="D82">
        <v>3</v>
      </c>
      <c r="E82">
        <v>3</v>
      </c>
      <c r="F82">
        <v>33029715814</v>
      </c>
      <c r="G82">
        <v>3644</v>
      </c>
      <c r="I82" s="24"/>
      <c r="J82">
        <v>5</v>
      </c>
      <c r="K82">
        <v>5</v>
      </c>
      <c r="L82">
        <v>5</v>
      </c>
      <c r="M82">
        <v>6189988318</v>
      </c>
      <c r="N82">
        <v>2575</v>
      </c>
      <c r="P82" s="24"/>
      <c r="Q82">
        <v>28</v>
      </c>
      <c r="R82">
        <v>29</v>
      </c>
      <c r="S82">
        <v>29</v>
      </c>
      <c r="T82">
        <v>1971360661</v>
      </c>
      <c r="U82">
        <v>2224</v>
      </c>
      <c r="W82" s="24"/>
      <c r="X82">
        <v>70</v>
      </c>
      <c r="Y82">
        <v>72</v>
      </c>
      <c r="Z82">
        <v>71</v>
      </c>
      <c r="AA82">
        <v>353095634</v>
      </c>
      <c r="AB82">
        <v>1769</v>
      </c>
      <c r="AD82" s="24"/>
      <c r="AE82">
        <v>530</v>
      </c>
      <c r="AF82">
        <v>547</v>
      </c>
      <c r="AG82">
        <v>535</v>
      </c>
      <c r="AH82">
        <v>159337366</v>
      </c>
      <c r="AI82">
        <v>1895</v>
      </c>
      <c r="AK82" s="24"/>
      <c r="AL82">
        <v>1014</v>
      </c>
      <c r="AM82">
        <v>1045</v>
      </c>
      <c r="AN82">
        <v>1021</v>
      </c>
      <c r="AO82">
        <v>52193279</v>
      </c>
      <c r="AP82">
        <v>1442</v>
      </c>
      <c r="AR82" s="24"/>
      <c r="AS82">
        <v>2901</v>
      </c>
      <c r="AT82">
        <v>3023</v>
      </c>
      <c r="AU82">
        <v>2992</v>
      </c>
      <c r="AV82">
        <v>16171257</v>
      </c>
      <c r="AW82">
        <v>1394</v>
      </c>
      <c r="AY82" s="24"/>
      <c r="AZ82">
        <v>316000001</v>
      </c>
      <c r="BA82">
        <v>322136989</v>
      </c>
      <c r="BB82">
        <v>318250000</v>
      </c>
      <c r="BC82">
        <v>2365</v>
      </c>
      <c r="BD82">
        <v>1534</v>
      </c>
      <c r="BF82" s="24"/>
      <c r="BG82">
        <v>26602</v>
      </c>
      <c r="BH82">
        <v>26711</v>
      </c>
      <c r="BI82">
        <v>26660</v>
      </c>
      <c r="BJ82">
        <v>1680635</v>
      </c>
      <c r="BK82">
        <v>246</v>
      </c>
      <c r="BM82" s="24"/>
      <c r="BN82">
        <v>6864190</v>
      </c>
      <c r="BO82">
        <v>6865081</v>
      </c>
      <c r="BP82">
        <v>6864560</v>
      </c>
      <c r="BQ82">
        <v>10458</v>
      </c>
      <c r="BR82">
        <v>315</v>
      </c>
      <c r="BT82" s="24"/>
      <c r="BU82">
        <v>1703</v>
      </c>
      <c r="BV82">
        <v>1793</v>
      </c>
      <c r="BW82">
        <v>1785</v>
      </c>
      <c r="BX82">
        <v>31536100</v>
      </c>
      <c r="BY82">
        <v>286</v>
      </c>
      <c r="CA82" s="24"/>
      <c r="CB82">
        <v>345</v>
      </c>
      <c r="CC82">
        <v>400</v>
      </c>
      <c r="CD82">
        <v>365</v>
      </c>
      <c r="CE82">
        <v>99425972</v>
      </c>
      <c r="CF82">
        <v>343</v>
      </c>
      <c r="CH82" s="24"/>
      <c r="CI82">
        <v>26502</v>
      </c>
      <c r="CJ82">
        <v>26506</v>
      </c>
      <c r="CK82">
        <v>26502</v>
      </c>
      <c r="CL82">
        <v>1094720</v>
      </c>
      <c r="CM82">
        <v>197</v>
      </c>
      <c r="CO82" s="24"/>
      <c r="CP82">
        <v>7758</v>
      </c>
      <c r="CQ82">
        <v>7990</v>
      </c>
      <c r="CR82">
        <v>7989</v>
      </c>
      <c r="CS82">
        <v>1183644</v>
      </c>
      <c r="CT82">
        <v>478</v>
      </c>
      <c r="CV82" s="24"/>
      <c r="CW82">
        <v>1397673</v>
      </c>
      <c r="CX82">
        <v>1398768</v>
      </c>
      <c r="CY82">
        <v>1398768</v>
      </c>
      <c r="CZ82">
        <v>14886</v>
      </c>
      <c r="DA82">
        <v>66</v>
      </c>
      <c r="DC82" s="24"/>
      <c r="DD82">
        <v>356</v>
      </c>
      <c r="DE82">
        <v>427</v>
      </c>
      <c r="DF82">
        <v>424</v>
      </c>
      <c r="DG82">
        <v>47493483</v>
      </c>
      <c r="DH82">
        <v>174</v>
      </c>
      <c r="DJ82" s="24"/>
      <c r="DK82">
        <v>37696004</v>
      </c>
      <c r="DL82">
        <v>38995125</v>
      </c>
      <c r="DM82">
        <v>38995089</v>
      </c>
      <c r="DN82">
        <v>410</v>
      </c>
      <c r="DO82">
        <v>94</v>
      </c>
      <c r="DQ82" s="24"/>
      <c r="DR82">
        <v>1210002</v>
      </c>
      <c r="DS82">
        <v>1349999</v>
      </c>
      <c r="DT82">
        <v>1311284</v>
      </c>
      <c r="DU82">
        <v>6056</v>
      </c>
      <c r="DV82">
        <v>268</v>
      </c>
      <c r="DX82" s="24"/>
      <c r="DY82">
        <v>19250000</v>
      </c>
      <c r="DZ82">
        <v>19999999</v>
      </c>
      <c r="EA82">
        <v>19300000</v>
      </c>
      <c r="EB82">
        <v>542</v>
      </c>
      <c r="EC82">
        <v>141</v>
      </c>
      <c r="EE82" s="24"/>
      <c r="EF82">
        <v>168</v>
      </c>
      <c r="EG82">
        <v>173</v>
      </c>
      <c r="EH82">
        <v>173</v>
      </c>
      <c r="EI82">
        <v>149415683</v>
      </c>
      <c r="EJ82">
        <v>239</v>
      </c>
      <c r="EL82" s="24"/>
      <c r="EM82">
        <v>60506</v>
      </c>
      <c r="EN82">
        <v>61999</v>
      </c>
      <c r="EO82">
        <v>60602</v>
      </c>
      <c r="EP82">
        <v>71642</v>
      </c>
      <c r="EQ82">
        <v>783</v>
      </c>
      <c r="ES82" s="24"/>
      <c r="ET82">
        <v>411</v>
      </c>
      <c r="EU82">
        <v>435</v>
      </c>
      <c r="EV82">
        <v>427</v>
      </c>
      <c r="EW82">
        <v>45172658</v>
      </c>
      <c r="EX82">
        <v>736</v>
      </c>
      <c r="EZ82" s="24"/>
      <c r="FA82">
        <v>3939600</v>
      </c>
      <c r="FB82">
        <v>3939694</v>
      </c>
      <c r="FC82">
        <v>3939694</v>
      </c>
      <c r="FD82">
        <v>1758</v>
      </c>
      <c r="FE82">
        <v>19</v>
      </c>
      <c r="FG82" s="24"/>
      <c r="FH82">
        <v>8537</v>
      </c>
      <c r="FI82">
        <v>8899</v>
      </c>
      <c r="FJ82">
        <v>8540</v>
      </c>
      <c r="FK82">
        <v>2821540</v>
      </c>
      <c r="FL82">
        <v>608</v>
      </c>
      <c r="FN82" s="24"/>
      <c r="FO82">
        <v>20001</v>
      </c>
      <c r="FP82">
        <v>22990</v>
      </c>
      <c r="FQ82">
        <v>21359</v>
      </c>
      <c r="FR82">
        <v>379502</v>
      </c>
      <c r="FS82">
        <v>102</v>
      </c>
      <c r="FU82" s="24"/>
      <c r="FV82">
        <v>28503</v>
      </c>
      <c r="FW82">
        <v>28550</v>
      </c>
      <c r="FX82">
        <v>28504</v>
      </c>
      <c r="FY82">
        <v>374795</v>
      </c>
      <c r="FZ82">
        <v>1483</v>
      </c>
      <c r="GB82" s="24"/>
      <c r="GC82">
        <v>100704100</v>
      </c>
      <c r="GD82">
        <v>106999999</v>
      </c>
      <c r="GE82">
        <v>104872312</v>
      </c>
      <c r="GF82">
        <v>53</v>
      </c>
      <c r="GG82">
        <v>49</v>
      </c>
      <c r="GI82" s="24"/>
      <c r="GJ82">
        <v>25651005</v>
      </c>
      <c r="GK82">
        <v>25967056</v>
      </c>
      <c r="GL82">
        <v>25666164</v>
      </c>
      <c r="GM82">
        <v>492</v>
      </c>
      <c r="GN82">
        <v>69</v>
      </c>
      <c r="GP82" s="24"/>
      <c r="GQ82">
        <v>102</v>
      </c>
      <c r="GR82">
        <v>105</v>
      </c>
      <c r="GS82">
        <v>103</v>
      </c>
      <c r="GT82">
        <v>170034014</v>
      </c>
      <c r="GU82">
        <v>167</v>
      </c>
      <c r="GW82" s="24"/>
      <c r="GX82">
        <v>354</v>
      </c>
      <c r="GY82">
        <v>361</v>
      </c>
      <c r="GZ82">
        <v>356</v>
      </c>
      <c r="HA82">
        <v>50531197</v>
      </c>
      <c r="HB82">
        <v>247</v>
      </c>
      <c r="HD82" s="24"/>
      <c r="HE82">
        <v>5425</v>
      </c>
      <c r="HF82">
        <v>5428</v>
      </c>
      <c r="HG82">
        <v>5428</v>
      </c>
      <c r="HH82">
        <v>22371627</v>
      </c>
      <c r="HI82">
        <v>335</v>
      </c>
      <c r="HK82" s="24"/>
      <c r="HL82">
        <v>102103300</v>
      </c>
      <c r="HM82">
        <v>105749999</v>
      </c>
      <c r="HN82">
        <v>105181325</v>
      </c>
      <c r="HO82">
        <v>68</v>
      </c>
      <c r="HP82">
        <v>58</v>
      </c>
      <c r="HR82" s="24"/>
      <c r="HS82">
        <v>8600</v>
      </c>
      <c r="HT82">
        <v>9463</v>
      </c>
      <c r="HU82">
        <v>9291</v>
      </c>
      <c r="HV82">
        <v>1009845</v>
      </c>
      <c r="HW82">
        <v>242</v>
      </c>
      <c r="HY82" s="24"/>
      <c r="HZ82">
        <v>8287</v>
      </c>
      <c r="IA82">
        <v>8729</v>
      </c>
      <c r="IB82">
        <v>8630</v>
      </c>
      <c r="IC82">
        <v>2322785</v>
      </c>
      <c r="ID82">
        <v>618</v>
      </c>
      <c r="IF82" s="24"/>
      <c r="IG82">
        <v>2738</v>
      </c>
      <c r="IH82">
        <v>2765</v>
      </c>
      <c r="II82">
        <v>2764</v>
      </c>
      <c r="IJ82">
        <v>2237017</v>
      </c>
      <c r="IK82">
        <v>160</v>
      </c>
      <c r="IM82" s="24"/>
      <c r="IN82">
        <v>103505000</v>
      </c>
      <c r="IO82">
        <v>108493390</v>
      </c>
      <c r="IP82">
        <v>103505200</v>
      </c>
      <c r="IQ82">
        <v>126</v>
      </c>
      <c r="IR82">
        <v>78</v>
      </c>
      <c r="IT82" s="24"/>
      <c r="IU82">
        <v>7675</v>
      </c>
      <c r="IV82">
        <v>7999</v>
      </c>
      <c r="IW82">
        <v>7890</v>
      </c>
      <c r="IX82">
        <v>2788149</v>
      </c>
      <c r="IY82">
        <v>196</v>
      </c>
      <c r="JA82" s="24"/>
      <c r="JB82">
        <v>102100000</v>
      </c>
      <c r="JC82">
        <v>106999999</v>
      </c>
      <c r="JD82">
        <v>105000000</v>
      </c>
      <c r="JE82">
        <v>119</v>
      </c>
      <c r="JF82">
        <v>86</v>
      </c>
      <c r="JH82" s="24"/>
      <c r="JI82">
        <v>102202001</v>
      </c>
      <c r="JJ82">
        <v>107492000</v>
      </c>
      <c r="JK82">
        <v>106524880</v>
      </c>
      <c r="JL82">
        <v>28</v>
      </c>
      <c r="JM82">
        <v>27</v>
      </c>
      <c r="JO82" s="24"/>
      <c r="JP82">
        <v>76</v>
      </c>
      <c r="JQ82">
        <v>79</v>
      </c>
      <c r="JR82">
        <v>78</v>
      </c>
      <c r="JS82">
        <v>109517830</v>
      </c>
      <c r="JT82">
        <v>118</v>
      </c>
      <c r="JV82" s="24"/>
      <c r="JW82">
        <v>80</v>
      </c>
      <c r="JX82">
        <v>81</v>
      </c>
      <c r="JY82">
        <v>80</v>
      </c>
      <c r="JZ82">
        <v>215775474</v>
      </c>
      <c r="KA82">
        <v>136</v>
      </c>
      <c r="KC82" s="24"/>
      <c r="KD82">
        <v>19</v>
      </c>
      <c r="KE82">
        <v>20</v>
      </c>
      <c r="KF82">
        <v>20</v>
      </c>
      <c r="KG82">
        <v>57128699</v>
      </c>
      <c r="KH82">
        <v>326</v>
      </c>
      <c r="KJ82" s="24"/>
      <c r="KK82">
        <v>97</v>
      </c>
      <c r="KL82">
        <v>99</v>
      </c>
      <c r="KM82">
        <v>99</v>
      </c>
      <c r="KN82">
        <v>261591574</v>
      </c>
      <c r="KO82">
        <v>179</v>
      </c>
      <c r="KQ82" s="24"/>
      <c r="KR82">
        <v>92001</v>
      </c>
      <c r="KS82">
        <v>94479</v>
      </c>
      <c r="KT82">
        <v>92006</v>
      </c>
      <c r="KU82">
        <v>60600</v>
      </c>
      <c r="KV82">
        <v>750</v>
      </c>
      <c r="KX82" s="24"/>
      <c r="KY82">
        <v>615</v>
      </c>
      <c r="KZ82">
        <v>621</v>
      </c>
      <c r="LA82">
        <v>621</v>
      </c>
      <c r="LB82">
        <v>7540581</v>
      </c>
      <c r="LC82">
        <v>219</v>
      </c>
      <c r="LE82" s="24"/>
      <c r="LF82">
        <v>211710</v>
      </c>
      <c r="LG82">
        <v>216137</v>
      </c>
      <c r="LH82">
        <v>215518</v>
      </c>
      <c r="LI82">
        <v>109463</v>
      </c>
      <c r="LJ82">
        <v>1053</v>
      </c>
      <c r="LL82" s="24"/>
      <c r="LM82">
        <v>87011</v>
      </c>
      <c r="LN82">
        <v>87401</v>
      </c>
      <c r="LO82">
        <v>87016</v>
      </c>
      <c r="LP82">
        <v>280299</v>
      </c>
      <c r="LQ82">
        <v>1489</v>
      </c>
      <c r="LS82" s="24"/>
      <c r="LT82">
        <v>318</v>
      </c>
      <c r="LU82">
        <v>328</v>
      </c>
      <c r="LV82">
        <v>325</v>
      </c>
      <c r="LW82">
        <v>101326562</v>
      </c>
      <c r="LX82">
        <v>338</v>
      </c>
      <c r="LZ82" s="24"/>
      <c r="MA82">
        <v>80703</v>
      </c>
      <c r="MB82">
        <v>82999</v>
      </c>
      <c r="MC82">
        <v>81499</v>
      </c>
      <c r="MD82">
        <v>1015962</v>
      </c>
      <c r="ME82">
        <v>86</v>
      </c>
    </row>
    <row r="83" spans="2:343" x14ac:dyDescent="0.25">
      <c r="B83" s="24"/>
      <c r="C83">
        <v>3</v>
      </c>
      <c r="D83">
        <v>3</v>
      </c>
      <c r="E83">
        <v>3</v>
      </c>
      <c r="F83">
        <v>27207087365</v>
      </c>
      <c r="G83">
        <v>3946</v>
      </c>
      <c r="I83" s="24"/>
      <c r="J83">
        <v>5</v>
      </c>
      <c r="K83">
        <v>5</v>
      </c>
      <c r="L83">
        <v>5</v>
      </c>
      <c r="M83">
        <v>4974248033</v>
      </c>
      <c r="N83">
        <v>2812</v>
      </c>
      <c r="P83" s="24"/>
      <c r="Q83">
        <v>29</v>
      </c>
      <c r="R83">
        <v>29</v>
      </c>
      <c r="S83">
        <v>29</v>
      </c>
      <c r="T83">
        <v>1876469137</v>
      </c>
      <c r="U83">
        <v>2500</v>
      </c>
      <c r="W83" s="24"/>
      <c r="X83">
        <v>70</v>
      </c>
      <c r="Y83">
        <v>71</v>
      </c>
      <c r="Z83">
        <v>71</v>
      </c>
      <c r="AA83">
        <v>347680073</v>
      </c>
      <c r="AB83">
        <v>2011</v>
      </c>
      <c r="AD83" s="24"/>
      <c r="AE83">
        <v>547</v>
      </c>
      <c r="AF83">
        <v>550</v>
      </c>
      <c r="AG83">
        <v>548</v>
      </c>
      <c r="AH83">
        <v>124009177</v>
      </c>
      <c r="AI83">
        <v>2092</v>
      </c>
      <c r="AK83" s="24"/>
      <c r="AL83">
        <v>1015</v>
      </c>
      <c r="AM83">
        <v>1030</v>
      </c>
      <c r="AN83">
        <v>1015</v>
      </c>
      <c r="AO83">
        <v>34434803</v>
      </c>
      <c r="AP83">
        <v>1677</v>
      </c>
      <c r="AR83" s="24"/>
      <c r="AS83">
        <v>2967</v>
      </c>
      <c r="AT83">
        <v>3015</v>
      </c>
      <c r="AU83">
        <v>3011</v>
      </c>
      <c r="AV83">
        <v>14557487</v>
      </c>
      <c r="AW83">
        <v>1538</v>
      </c>
      <c r="AY83" s="24"/>
      <c r="AZ83">
        <v>317000509</v>
      </c>
      <c r="BA83">
        <v>324454999</v>
      </c>
      <c r="BB83">
        <v>320999999</v>
      </c>
      <c r="BC83">
        <v>2401</v>
      </c>
      <c r="BD83">
        <v>1615</v>
      </c>
      <c r="BF83" s="24"/>
      <c r="BG83">
        <v>26801</v>
      </c>
      <c r="BH83">
        <v>27001</v>
      </c>
      <c r="BI83">
        <v>27000</v>
      </c>
      <c r="BJ83">
        <v>2473343</v>
      </c>
      <c r="BK83">
        <v>240</v>
      </c>
      <c r="BM83" s="24"/>
      <c r="BN83">
        <v>6865081</v>
      </c>
      <c r="BO83">
        <v>7000000</v>
      </c>
      <c r="BP83">
        <v>6901003</v>
      </c>
      <c r="BQ83">
        <v>13181</v>
      </c>
      <c r="BR83">
        <v>408</v>
      </c>
      <c r="BT83" s="24"/>
      <c r="BU83">
        <v>1750</v>
      </c>
      <c r="BV83">
        <v>1777</v>
      </c>
      <c r="BW83">
        <v>1777</v>
      </c>
      <c r="BX83">
        <v>20810076</v>
      </c>
      <c r="BY83">
        <v>215</v>
      </c>
      <c r="CA83" s="24"/>
      <c r="CB83">
        <v>333</v>
      </c>
      <c r="CC83">
        <v>373</v>
      </c>
      <c r="CD83">
        <v>351</v>
      </c>
      <c r="CE83">
        <v>171802732</v>
      </c>
      <c r="CF83">
        <v>518</v>
      </c>
      <c r="CH83" s="24"/>
      <c r="CI83">
        <v>26502</v>
      </c>
      <c r="CJ83">
        <v>27000</v>
      </c>
      <c r="CK83">
        <v>26502</v>
      </c>
      <c r="CL83">
        <v>1152946</v>
      </c>
      <c r="CM83">
        <v>191</v>
      </c>
      <c r="CO83" s="24"/>
      <c r="CP83">
        <v>8301</v>
      </c>
      <c r="CQ83">
        <v>8500</v>
      </c>
      <c r="CR83">
        <v>8345</v>
      </c>
      <c r="CS83">
        <v>1197335</v>
      </c>
      <c r="CT83">
        <v>466</v>
      </c>
      <c r="CV83" s="24"/>
      <c r="CW83">
        <v>1351403</v>
      </c>
      <c r="CX83">
        <v>1429999</v>
      </c>
      <c r="CY83">
        <v>1360000</v>
      </c>
      <c r="CZ83">
        <v>9033</v>
      </c>
      <c r="DA83">
        <v>50</v>
      </c>
      <c r="DC83" s="24"/>
      <c r="DD83">
        <v>409</v>
      </c>
      <c r="DE83">
        <v>413</v>
      </c>
      <c r="DF83">
        <v>411</v>
      </c>
      <c r="DG83">
        <v>33385090</v>
      </c>
      <c r="DH83">
        <v>271</v>
      </c>
      <c r="DJ83" s="24"/>
      <c r="DK83">
        <v>36163217</v>
      </c>
      <c r="DL83">
        <v>37695999</v>
      </c>
      <c r="DM83">
        <v>36163506</v>
      </c>
      <c r="DN83">
        <v>403</v>
      </c>
      <c r="DO83">
        <v>104</v>
      </c>
      <c r="DQ83" s="24"/>
      <c r="DR83">
        <v>1313003</v>
      </c>
      <c r="DS83">
        <v>1403795</v>
      </c>
      <c r="DT83">
        <v>1337177</v>
      </c>
      <c r="DU83">
        <v>6087</v>
      </c>
      <c r="DV83">
        <v>271</v>
      </c>
      <c r="DX83" s="24"/>
      <c r="DY83">
        <v>17650020</v>
      </c>
      <c r="DZ83">
        <v>19999999</v>
      </c>
      <c r="EA83">
        <v>19250003</v>
      </c>
      <c r="EB83">
        <v>655</v>
      </c>
      <c r="EC83">
        <v>152</v>
      </c>
      <c r="EE83" s="24"/>
      <c r="EF83">
        <v>168</v>
      </c>
      <c r="EG83">
        <v>173</v>
      </c>
      <c r="EH83">
        <v>172</v>
      </c>
      <c r="EI83">
        <v>75876361</v>
      </c>
      <c r="EJ83">
        <v>186</v>
      </c>
      <c r="EL83" s="24"/>
      <c r="EM83">
        <v>56055</v>
      </c>
      <c r="EN83">
        <v>60000</v>
      </c>
      <c r="EO83">
        <v>58000</v>
      </c>
      <c r="EP83">
        <v>115666</v>
      </c>
      <c r="EQ83">
        <v>904</v>
      </c>
      <c r="ES83" s="24"/>
      <c r="ET83">
        <v>443</v>
      </c>
      <c r="EU83">
        <v>473</v>
      </c>
      <c r="EV83">
        <v>443</v>
      </c>
      <c r="EW83">
        <v>54341650</v>
      </c>
      <c r="EX83">
        <v>860</v>
      </c>
      <c r="EZ83" s="24"/>
      <c r="FA83">
        <v>3802897</v>
      </c>
      <c r="FB83">
        <v>3899999</v>
      </c>
      <c r="FC83">
        <v>3803479</v>
      </c>
      <c r="FD83">
        <v>1854</v>
      </c>
      <c r="FE83">
        <v>29</v>
      </c>
      <c r="FG83" s="24"/>
      <c r="FH83">
        <v>8541</v>
      </c>
      <c r="FI83">
        <v>8886</v>
      </c>
      <c r="FJ83">
        <v>8556</v>
      </c>
      <c r="FK83">
        <v>1984669</v>
      </c>
      <c r="FL83">
        <v>564</v>
      </c>
      <c r="FN83" s="24"/>
      <c r="FO83">
        <v>22986</v>
      </c>
      <c r="FP83">
        <v>22990</v>
      </c>
      <c r="FQ83">
        <v>22987</v>
      </c>
      <c r="FR83">
        <v>110746</v>
      </c>
      <c r="FS83">
        <v>83</v>
      </c>
      <c r="FU83" s="24"/>
      <c r="FV83">
        <v>27403</v>
      </c>
      <c r="FW83">
        <v>28508</v>
      </c>
      <c r="FX83">
        <v>28505</v>
      </c>
      <c r="FY83">
        <v>380250</v>
      </c>
      <c r="FZ83">
        <v>1688</v>
      </c>
      <c r="GB83" s="24"/>
      <c r="GC83">
        <v>103999000</v>
      </c>
      <c r="GD83">
        <v>105500000</v>
      </c>
      <c r="GE83">
        <v>104302364</v>
      </c>
      <c r="GF83">
        <v>88</v>
      </c>
      <c r="GG83">
        <v>68</v>
      </c>
      <c r="GI83" s="24"/>
      <c r="GJ83">
        <v>25600001</v>
      </c>
      <c r="GK83">
        <v>26490982</v>
      </c>
      <c r="GL83">
        <v>25776999</v>
      </c>
      <c r="GM83">
        <v>425</v>
      </c>
      <c r="GN83">
        <v>74</v>
      </c>
      <c r="GP83" s="24"/>
      <c r="GQ83">
        <v>103</v>
      </c>
      <c r="GR83">
        <v>103</v>
      </c>
      <c r="GS83">
        <v>103</v>
      </c>
      <c r="GT83">
        <v>74149722</v>
      </c>
      <c r="GU83">
        <v>144</v>
      </c>
      <c r="GW83" s="24"/>
      <c r="GX83">
        <v>345</v>
      </c>
      <c r="GY83">
        <v>353</v>
      </c>
      <c r="GZ83">
        <v>349</v>
      </c>
      <c r="HA83">
        <v>103845230</v>
      </c>
      <c r="HB83">
        <v>276</v>
      </c>
      <c r="HD83" s="24"/>
      <c r="HE83">
        <v>5380</v>
      </c>
      <c r="HF83">
        <v>5423</v>
      </c>
      <c r="HG83">
        <v>5423</v>
      </c>
      <c r="HH83">
        <v>17621759</v>
      </c>
      <c r="HI83">
        <v>316</v>
      </c>
      <c r="HK83" s="24"/>
      <c r="HL83">
        <v>105000200</v>
      </c>
      <c r="HM83">
        <v>106998000</v>
      </c>
      <c r="HN83">
        <v>106117169</v>
      </c>
      <c r="HO83">
        <v>92</v>
      </c>
      <c r="HP83">
        <v>63</v>
      </c>
      <c r="HR83" s="24"/>
      <c r="HS83">
        <v>8636</v>
      </c>
      <c r="HT83">
        <v>8999</v>
      </c>
      <c r="HU83">
        <v>8670</v>
      </c>
      <c r="HV83">
        <v>826212</v>
      </c>
      <c r="HW83">
        <v>166</v>
      </c>
      <c r="HY83" s="24"/>
      <c r="HZ83">
        <v>8297</v>
      </c>
      <c r="IA83">
        <v>8597</v>
      </c>
      <c r="IB83">
        <v>8549</v>
      </c>
      <c r="IC83">
        <v>2027728</v>
      </c>
      <c r="ID83">
        <v>525</v>
      </c>
      <c r="IF83" s="24"/>
      <c r="IG83">
        <v>2767</v>
      </c>
      <c r="IH83">
        <v>2806</v>
      </c>
      <c r="II83">
        <v>2789</v>
      </c>
      <c r="IJ83">
        <v>1836297</v>
      </c>
      <c r="IK83">
        <v>145</v>
      </c>
      <c r="IM83" s="24"/>
      <c r="IN83">
        <v>102010001</v>
      </c>
      <c r="IO83">
        <v>105200000</v>
      </c>
      <c r="IP83">
        <v>103999000</v>
      </c>
      <c r="IQ83">
        <v>111</v>
      </c>
      <c r="IR83">
        <v>88</v>
      </c>
      <c r="IT83" s="24"/>
      <c r="IU83">
        <v>8240</v>
      </c>
      <c r="IV83">
        <v>8493</v>
      </c>
      <c r="IW83">
        <v>8348</v>
      </c>
      <c r="IX83">
        <v>2441264</v>
      </c>
      <c r="IY83">
        <v>190</v>
      </c>
      <c r="JA83" s="24"/>
      <c r="JB83">
        <v>102000000</v>
      </c>
      <c r="JC83">
        <v>103999999</v>
      </c>
      <c r="JD83">
        <v>103000000</v>
      </c>
      <c r="JE83">
        <v>190</v>
      </c>
      <c r="JF83">
        <v>130</v>
      </c>
      <c r="JH83" s="24"/>
      <c r="JI83">
        <v>104750700</v>
      </c>
      <c r="JJ83">
        <v>106996999</v>
      </c>
      <c r="JK83">
        <v>105868492</v>
      </c>
      <c r="JL83">
        <v>36</v>
      </c>
      <c r="JM83">
        <v>32</v>
      </c>
      <c r="JO83" s="24"/>
      <c r="JP83">
        <v>75</v>
      </c>
      <c r="JQ83">
        <v>76</v>
      </c>
      <c r="JR83">
        <v>76</v>
      </c>
      <c r="JS83">
        <v>133378000</v>
      </c>
      <c r="JT83">
        <v>100</v>
      </c>
      <c r="JV83" s="24"/>
      <c r="JW83">
        <v>80</v>
      </c>
      <c r="JX83">
        <v>81</v>
      </c>
      <c r="JY83">
        <v>81</v>
      </c>
      <c r="JZ83">
        <v>135788710</v>
      </c>
      <c r="KA83">
        <v>120</v>
      </c>
      <c r="KC83" s="24"/>
      <c r="KD83">
        <v>19</v>
      </c>
      <c r="KE83">
        <v>20</v>
      </c>
      <c r="KF83">
        <v>19</v>
      </c>
      <c r="KG83">
        <v>85080880</v>
      </c>
      <c r="KH83">
        <v>339</v>
      </c>
      <c r="KJ83" s="24"/>
      <c r="KK83">
        <v>97</v>
      </c>
      <c r="KL83">
        <v>99</v>
      </c>
      <c r="KM83">
        <v>97</v>
      </c>
      <c r="KN83">
        <v>142117663</v>
      </c>
      <c r="KO83">
        <v>137</v>
      </c>
      <c r="KQ83" s="24"/>
      <c r="KR83">
        <v>92004</v>
      </c>
      <c r="KS83">
        <v>96502</v>
      </c>
      <c r="KT83">
        <v>92362</v>
      </c>
      <c r="KU83">
        <v>80090</v>
      </c>
      <c r="KV83">
        <v>835</v>
      </c>
      <c r="KX83" s="24"/>
      <c r="KY83">
        <v>621</v>
      </c>
      <c r="KZ83">
        <v>649</v>
      </c>
      <c r="LA83">
        <v>621</v>
      </c>
      <c r="LB83">
        <v>5318470</v>
      </c>
      <c r="LC83">
        <v>212</v>
      </c>
      <c r="LE83" s="24"/>
      <c r="LF83">
        <v>216256</v>
      </c>
      <c r="LG83">
        <v>220000</v>
      </c>
      <c r="LH83">
        <v>216257</v>
      </c>
      <c r="LI83">
        <v>149605</v>
      </c>
      <c r="LJ83">
        <v>1221</v>
      </c>
      <c r="LL83" s="24"/>
      <c r="LM83">
        <v>87019</v>
      </c>
      <c r="LN83">
        <v>87021</v>
      </c>
      <c r="LO83">
        <v>87020</v>
      </c>
      <c r="LP83">
        <v>440499</v>
      </c>
      <c r="LQ83">
        <v>1731</v>
      </c>
      <c r="LS83" s="24"/>
      <c r="LT83">
        <v>330</v>
      </c>
      <c r="LU83">
        <v>353</v>
      </c>
      <c r="LV83">
        <v>348</v>
      </c>
      <c r="LW83">
        <v>96169838</v>
      </c>
      <c r="LX83">
        <v>375</v>
      </c>
      <c r="LZ83" s="24"/>
      <c r="MA83">
        <v>83414</v>
      </c>
      <c r="MB83">
        <v>84051</v>
      </c>
      <c r="MC83">
        <v>83425</v>
      </c>
      <c r="MD83">
        <v>821672</v>
      </c>
      <c r="ME83">
        <v>91</v>
      </c>
    </row>
    <row r="84" spans="2:343" x14ac:dyDescent="0.25">
      <c r="B84" s="24"/>
      <c r="C84">
        <v>3</v>
      </c>
      <c r="D84">
        <v>3</v>
      </c>
      <c r="E84">
        <v>3</v>
      </c>
      <c r="F84">
        <v>35876656918</v>
      </c>
      <c r="G84">
        <v>3364</v>
      </c>
      <c r="I84" s="24"/>
      <c r="J84">
        <v>5</v>
      </c>
      <c r="K84">
        <v>5</v>
      </c>
      <c r="L84">
        <v>5</v>
      </c>
      <c r="M84">
        <v>6107552856</v>
      </c>
      <c r="N84">
        <v>2288</v>
      </c>
      <c r="P84" s="24"/>
      <c r="Q84">
        <v>28</v>
      </c>
      <c r="R84">
        <v>29</v>
      </c>
      <c r="S84">
        <v>29</v>
      </c>
      <c r="T84">
        <v>2475609818</v>
      </c>
      <c r="U84">
        <v>2024</v>
      </c>
      <c r="W84" s="24"/>
      <c r="X84">
        <v>70</v>
      </c>
      <c r="Y84">
        <v>71</v>
      </c>
      <c r="Z84">
        <v>71</v>
      </c>
      <c r="AA84">
        <v>389152762</v>
      </c>
      <c r="AB84">
        <v>1642</v>
      </c>
      <c r="AD84" s="24"/>
      <c r="AE84">
        <v>539</v>
      </c>
      <c r="AF84">
        <v>556</v>
      </c>
      <c r="AG84">
        <v>553</v>
      </c>
      <c r="AH84">
        <v>93648070</v>
      </c>
      <c r="AI84">
        <v>1684</v>
      </c>
      <c r="AK84" s="24"/>
      <c r="AL84">
        <v>1012</v>
      </c>
      <c r="AM84">
        <v>1035</v>
      </c>
      <c r="AN84">
        <v>1029</v>
      </c>
      <c r="AO84">
        <v>39938954</v>
      </c>
      <c r="AP84">
        <v>1420</v>
      </c>
      <c r="AR84" s="24"/>
      <c r="AS84">
        <v>2915</v>
      </c>
      <c r="AT84">
        <v>3022</v>
      </c>
      <c r="AU84">
        <v>3018</v>
      </c>
      <c r="AV84">
        <v>12680918</v>
      </c>
      <c r="AW84">
        <v>1338</v>
      </c>
      <c r="AY84" s="24"/>
      <c r="AZ84">
        <v>322270001</v>
      </c>
      <c r="BA84">
        <v>327747647</v>
      </c>
      <c r="BB84">
        <v>323500000</v>
      </c>
      <c r="BC84">
        <v>2159</v>
      </c>
      <c r="BD84">
        <v>1468</v>
      </c>
      <c r="BF84" s="24"/>
      <c r="BG84">
        <v>25629</v>
      </c>
      <c r="BH84">
        <v>26104</v>
      </c>
      <c r="BI84">
        <v>26100</v>
      </c>
      <c r="BJ84">
        <v>2527879</v>
      </c>
      <c r="BK84">
        <v>229</v>
      </c>
      <c r="BM84" s="24"/>
      <c r="BN84">
        <v>6901068</v>
      </c>
      <c r="BO84">
        <v>6905010</v>
      </c>
      <c r="BP84">
        <v>6901218</v>
      </c>
      <c r="BQ84">
        <v>10239</v>
      </c>
      <c r="BR84">
        <v>312</v>
      </c>
      <c r="BT84" s="24"/>
      <c r="BU84">
        <v>1779</v>
      </c>
      <c r="BV84">
        <v>1998</v>
      </c>
      <c r="BW84">
        <v>1797</v>
      </c>
      <c r="BX84">
        <v>28196466</v>
      </c>
      <c r="BY84">
        <v>227</v>
      </c>
      <c r="CA84" s="24"/>
      <c r="CB84">
        <v>350</v>
      </c>
      <c r="CC84">
        <v>355</v>
      </c>
      <c r="CD84">
        <v>354</v>
      </c>
      <c r="CE84">
        <v>105851805</v>
      </c>
      <c r="CF84">
        <v>305</v>
      </c>
      <c r="CH84" s="24"/>
      <c r="CI84">
        <v>26503</v>
      </c>
      <c r="CJ84">
        <v>26503</v>
      </c>
      <c r="CK84">
        <v>26503</v>
      </c>
      <c r="CL84">
        <v>1045947</v>
      </c>
      <c r="CM84">
        <v>175</v>
      </c>
      <c r="CO84" s="24"/>
      <c r="CP84">
        <v>8307</v>
      </c>
      <c r="CQ84">
        <v>8925</v>
      </c>
      <c r="CR84">
        <v>8700</v>
      </c>
      <c r="CS84">
        <v>1043240</v>
      </c>
      <c r="CT84">
        <v>387</v>
      </c>
      <c r="CV84" s="24"/>
      <c r="CW84">
        <v>1351426</v>
      </c>
      <c r="CX84">
        <v>1351440</v>
      </c>
      <c r="CY84">
        <v>1351426</v>
      </c>
      <c r="CZ84">
        <v>10769</v>
      </c>
      <c r="DA84">
        <v>44</v>
      </c>
      <c r="DC84" s="24"/>
      <c r="DD84">
        <v>371</v>
      </c>
      <c r="DE84">
        <v>406</v>
      </c>
      <c r="DF84">
        <v>374</v>
      </c>
      <c r="DG84">
        <v>35911473</v>
      </c>
      <c r="DH84">
        <v>137</v>
      </c>
      <c r="DJ84" s="24"/>
      <c r="DK84">
        <v>36863910</v>
      </c>
      <c r="DL84">
        <v>37499997</v>
      </c>
      <c r="DM84">
        <v>36863920</v>
      </c>
      <c r="DN84">
        <v>431</v>
      </c>
      <c r="DO84">
        <v>96</v>
      </c>
      <c r="DQ84" s="24"/>
      <c r="DR84">
        <v>1361278</v>
      </c>
      <c r="DS84">
        <v>1652997</v>
      </c>
      <c r="DT84">
        <v>1411996</v>
      </c>
      <c r="DU84">
        <v>9899</v>
      </c>
      <c r="DV84">
        <v>308</v>
      </c>
      <c r="DX84" s="24"/>
      <c r="DY84">
        <v>17900012</v>
      </c>
      <c r="DZ84">
        <v>19489999</v>
      </c>
      <c r="EA84">
        <v>17900060</v>
      </c>
      <c r="EB84">
        <v>560</v>
      </c>
      <c r="EC84">
        <v>132</v>
      </c>
      <c r="EE84" s="24"/>
      <c r="EF84">
        <v>167</v>
      </c>
      <c r="EG84">
        <v>171</v>
      </c>
      <c r="EH84">
        <v>170</v>
      </c>
      <c r="EI84">
        <v>115723102</v>
      </c>
      <c r="EJ84">
        <v>184</v>
      </c>
      <c r="EL84" s="24"/>
      <c r="EM84">
        <v>60989</v>
      </c>
      <c r="EN84">
        <v>61004</v>
      </c>
      <c r="EO84">
        <v>60999</v>
      </c>
      <c r="EP84">
        <v>78085</v>
      </c>
      <c r="EQ84">
        <v>716</v>
      </c>
      <c r="ES84" s="24"/>
      <c r="ET84">
        <v>446</v>
      </c>
      <c r="EU84">
        <v>470</v>
      </c>
      <c r="EV84">
        <v>468</v>
      </c>
      <c r="EW84">
        <v>37188822</v>
      </c>
      <c r="EX84">
        <v>612</v>
      </c>
      <c r="EZ84" s="24"/>
      <c r="FA84">
        <v>3600000</v>
      </c>
      <c r="FB84">
        <v>3900000</v>
      </c>
      <c r="FC84">
        <v>3600000</v>
      </c>
      <c r="FD84">
        <v>782</v>
      </c>
      <c r="FE84">
        <v>15</v>
      </c>
      <c r="FG84" s="24"/>
      <c r="FH84">
        <v>8232</v>
      </c>
      <c r="FI84">
        <v>8618</v>
      </c>
      <c r="FJ84">
        <v>8533</v>
      </c>
      <c r="FK84">
        <v>1997477</v>
      </c>
      <c r="FL84">
        <v>435</v>
      </c>
      <c r="FN84" s="24"/>
      <c r="FO84">
        <v>22985</v>
      </c>
      <c r="FP84">
        <v>23359</v>
      </c>
      <c r="FQ84">
        <v>22986</v>
      </c>
      <c r="FR84">
        <v>337284</v>
      </c>
      <c r="FS84">
        <v>91</v>
      </c>
      <c r="FU84" s="24"/>
      <c r="FV84">
        <v>27201</v>
      </c>
      <c r="FW84">
        <v>27402</v>
      </c>
      <c r="FX84">
        <v>27400</v>
      </c>
      <c r="FY84">
        <v>276809</v>
      </c>
      <c r="FZ84">
        <v>1392</v>
      </c>
      <c r="GB84" s="24"/>
      <c r="GC84">
        <v>102001102</v>
      </c>
      <c r="GD84">
        <v>107089998</v>
      </c>
      <c r="GE84">
        <v>104974945</v>
      </c>
      <c r="GF84">
        <v>98</v>
      </c>
      <c r="GG84">
        <v>81</v>
      </c>
      <c r="GI84" s="24"/>
      <c r="GJ84">
        <v>25200000</v>
      </c>
      <c r="GK84">
        <v>25896949</v>
      </c>
      <c r="GL84">
        <v>25201001</v>
      </c>
      <c r="GM84">
        <v>367</v>
      </c>
      <c r="GN84">
        <v>73</v>
      </c>
      <c r="GP84" s="24"/>
      <c r="GQ84">
        <v>99</v>
      </c>
      <c r="GR84">
        <v>103</v>
      </c>
      <c r="GS84">
        <v>102</v>
      </c>
      <c r="GT84">
        <v>110219863</v>
      </c>
      <c r="GU84">
        <v>137</v>
      </c>
      <c r="GW84" s="24"/>
      <c r="GX84">
        <v>360</v>
      </c>
      <c r="GY84">
        <v>362</v>
      </c>
      <c r="GZ84">
        <v>361</v>
      </c>
      <c r="HA84">
        <v>54280282</v>
      </c>
      <c r="HB84">
        <v>239</v>
      </c>
      <c r="HD84" s="24"/>
      <c r="HE84">
        <v>5423</v>
      </c>
      <c r="HF84">
        <v>5424</v>
      </c>
      <c r="HG84">
        <v>5423</v>
      </c>
      <c r="HH84">
        <v>33297228</v>
      </c>
      <c r="HI84">
        <v>319</v>
      </c>
      <c r="HK84" s="24"/>
      <c r="HL84">
        <v>104000000</v>
      </c>
      <c r="HM84">
        <v>107980197</v>
      </c>
      <c r="HN84">
        <v>105966468</v>
      </c>
      <c r="HO84">
        <v>92</v>
      </c>
      <c r="HP84">
        <v>75</v>
      </c>
      <c r="HR84" s="24"/>
      <c r="HS84">
        <v>8499</v>
      </c>
      <c r="HT84">
        <v>8500</v>
      </c>
      <c r="HU84">
        <v>8500</v>
      </c>
      <c r="HV84">
        <v>908302</v>
      </c>
      <c r="HW84">
        <v>176</v>
      </c>
      <c r="HY84" s="24"/>
      <c r="HZ84">
        <v>8298</v>
      </c>
      <c r="IA84">
        <v>8547</v>
      </c>
      <c r="IB84">
        <v>8543</v>
      </c>
      <c r="IC84">
        <v>1742572</v>
      </c>
      <c r="ID84">
        <v>427</v>
      </c>
      <c r="IF84" s="24"/>
      <c r="IG84">
        <v>2750</v>
      </c>
      <c r="IH84">
        <v>2806</v>
      </c>
      <c r="II84">
        <v>2805</v>
      </c>
      <c r="IJ84">
        <v>2575174</v>
      </c>
      <c r="IK84">
        <v>153</v>
      </c>
      <c r="IM84" s="24"/>
      <c r="IN84">
        <v>102001000</v>
      </c>
      <c r="IO84">
        <v>104498800</v>
      </c>
      <c r="IP84">
        <v>103734488</v>
      </c>
      <c r="IQ84">
        <v>84</v>
      </c>
      <c r="IR84">
        <v>69</v>
      </c>
      <c r="IT84" s="24"/>
      <c r="IU84">
        <v>8205</v>
      </c>
      <c r="IV84">
        <v>8492</v>
      </c>
      <c r="IW84">
        <v>8490</v>
      </c>
      <c r="IX84">
        <v>1670720</v>
      </c>
      <c r="IY84">
        <v>170</v>
      </c>
      <c r="JA84" s="24"/>
      <c r="JB84">
        <v>103000000</v>
      </c>
      <c r="JC84">
        <v>105499999</v>
      </c>
      <c r="JD84">
        <v>104399999</v>
      </c>
      <c r="JE84">
        <v>179</v>
      </c>
      <c r="JF84">
        <v>119</v>
      </c>
      <c r="JH84" s="24"/>
      <c r="JI84">
        <v>105000200</v>
      </c>
      <c r="JJ84">
        <v>105992599</v>
      </c>
      <c r="JK84">
        <v>105508872</v>
      </c>
      <c r="JL84">
        <v>48</v>
      </c>
      <c r="JM84">
        <v>38</v>
      </c>
      <c r="JO84" s="24"/>
      <c r="JP84">
        <v>75</v>
      </c>
      <c r="JQ84">
        <v>75</v>
      </c>
      <c r="JR84">
        <v>75</v>
      </c>
      <c r="JS84">
        <v>141934755</v>
      </c>
      <c r="JT84">
        <v>105</v>
      </c>
      <c r="JV84" s="24"/>
      <c r="JW84">
        <v>75</v>
      </c>
      <c r="JX84">
        <v>79</v>
      </c>
      <c r="JY84">
        <v>77</v>
      </c>
      <c r="JZ84">
        <v>124608883</v>
      </c>
      <c r="KA84">
        <v>121</v>
      </c>
      <c r="KC84" s="24"/>
      <c r="KD84">
        <v>18</v>
      </c>
      <c r="KE84">
        <v>20</v>
      </c>
      <c r="KF84">
        <v>19</v>
      </c>
      <c r="KG84">
        <v>54303527</v>
      </c>
      <c r="KH84">
        <v>285</v>
      </c>
      <c r="KJ84" s="24"/>
      <c r="KK84">
        <v>95</v>
      </c>
      <c r="KL84">
        <v>100</v>
      </c>
      <c r="KM84">
        <v>99</v>
      </c>
      <c r="KN84">
        <v>155077078</v>
      </c>
      <c r="KO84">
        <v>158</v>
      </c>
      <c r="KQ84" s="24"/>
      <c r="KR84">
        <v>92251</v>
      </c>
      <c r="KS84">
        <v>92252</v>
      </c>
      <c r="KT84">
        <v>92251</v>
      </c>
      <c r="KU84">
        <v>61619</v>
      </c>
      <c r="KV84">
        <v>642</v>
      </c>
      <c r="KX84" s="24"/>
      <c r="KY84">
        <v>649</v>
      </c>
      <c r="KZ84">
        <v>649</v>
      </c>
      <c r="LA84">
        <v>649</v>
      </c>
      <c r="LB84">
        <v>4810821</v>
      </c>
      <c r="LC84">
        <v>180</v>
      </c>
      <c r="LE84" s="24"/>
      <c r="LF84">
        <v>224434</v>
      </c>
      <c r="LG84">
        <v>226500</v>
      </c>
      <c r="LH84">
        <v>224500</v>
      </c>
      <c r="LI84">
        <v>112949</v>
      </c>
      <c r="LJ84">
        <v>978</v>
      </c>
      <c r="LL84" s="24"/>
      <c r="LM84">
        <v>87012</v>
      </c>
      <c r="LN84">
        <v>87016</v>
      </c>
      <c r="LO84">
        <v>87016</v>
      </c>
      <c r="LP84">
        <v>259318</v>
      </c>
      <c r="LQ84">
        <v>1379</v>
      </c>
      <c r="LS84" s="24"/>
      <c r="LT84">
        <v>331</v>
      </c>
      <c r="LU84">
        <v>341</v>
      </c>
      <c r="LV84">
        <v>339</v>
      </c>
      <c r="LW84">
        <v>83331553</v>
      </c>
      <c r="LX84">
        <v>340</v>
      </c>
      <c r="LZ84" s="24"/>
      <c r="MA84">
        <v>85000</v>
      </c>
      <c r="MB84">
        <v>85000</v>
      </c>
      <c r="MC84">
        <v>85000</v>
      </c>
      <c r="MD84">
        <v>2044911</v>
      </c>
      <c r="ME84">
        <v>97</v>
      </c>
    </row>
    <row r="85" spans="2:343" x14ac:dyDescent="0.25">
      <c r="B85" s="24"/>
      <c r="C85">
        <v>3</v>
      </c>
      <c r="D85">
        <v>3</v>
      </c>
      <c r="E85">
        <v>3</v>
      </c>
      <c r="F85">
        <v>28625437236</v>
      </c>
      <c r="G85">
        <v>3102</v>
      </c>
      <c r="I85" s="24"/>
      <c r="J85">
        <v>5</v>
      </c>
      <c r="K85">
        <v>5</v>
      </c>
      <c r="L85">
        <v>5</v>
      </c>
      <c r="M85">
        <v>3888407398</v>
      </c>
      <c r="N85">
        <v>2114</v>
      </c>
      <c r="P85" s="24"/>
      <c r="Q85">
        <v>28</v>
      </c>
      <c r="R85">
        <v>29</v>
      </c>
      <c r="S85">
        <v>28</v>
      </c>
      <c r="T85">
        <v>1363303170</v>
      </c>
      <c r="U85">
        <v>1943</v>
      </c>
      <c r="W85" s="24"/>
      <c r="X85">
        <v>69</v>
      </c>
      <c r="Y85">
        <v>70</v>
      </c>
      <c r="Z85">
        <v>70</v>
      </c>
      <c r="AA85">
        <v>245384764</v>
      </c>
      <c r="AB85">
        <v>1533</v>
      </c>
      <c r="AD85" s="24"/>
      <c r="AE85">
        <v>531</v>
      </c>
      <c r="AF85">
        <v>548</v>
      </c>
      <c r="AG85">
        <v>547</v>
      </c>
      <c r="AH85">
        <v>70479492</v>
      </c>
      <c r="AI85">
        <v>1622</v>
      </c>
      <c r="AK85" s="24"/>
      <c r="AL85">
        <v>999</v>
      </c>
      <c r="AM85">
        <v>1029</v>
      </c>
      <c r="AN85">
        <v>1029</v>
      </c>
      <c r="AO85">
        <v>31765056</v>
      </c>
      <c r="AP85">
        <v>1314</v>
      </c>
      <c r="AR85" s="24"/>
      <c r="AS85">
        <v>2924</v>
      </c>
      <c r="AT85">
        <v>3010</v>
      </c>
      <c r="AU85">
        <v>2926</v>
      </c>
      <c r="AV85">
        <v>12818796</v>
      </c>
      <c r="AW85">
        <v>1304</v>
      </c>
      <c r="AY85" s="24"/>
      <c r="AZ85">
        <v>325111565</v>
      </c>
      <c r="BA85">
        <v>335000000</v>
      </c>
      <c r="BB85">
        <v>327999721</v>
      </c>
      <c r="BC85">
        <v>1830</v>
      </c>
      <c r="BD85">
        <v>1368</v>
      </c>
      <c r="BF85" s="24"/>
      <c r="BG85">
        <v>25608</v>
      </c>
      <c r="BH85">
        <v>25714</v>
      </c>
      <c r="BI85">
        <v>25708</v>
      </c>
      <c r="BJ85">
        <v>2319646</v>
      </c>
      <c r="BK85">
        <v>212</v>
      </c>
      <c r="BM85" s="24"/>
      <c r="BN85">
        <v>6905826</v>
      </c>
      <c r="BO85">
        <v>6913000</v>
      </c>
      <c r="BP85">
        <v>6906001</v>
      </c>
      <c r="BQ85">
        <v>11251</v>
      </c>
      <c r="BR85">
        <v>367</v>
      </c>
      <c r="BT85" s="24"/>
      <c r="BU85">
        <v>1921</v>
      </c>
      <c r="BV85">
        <v>2092</v>
      </c>
      <c r="BW85">
        <v>2085</v>
      </c>
      <c r="BX85">
        <v>19457292</v>
      </c>
      <c r="BY85">
        <v>218</v>
      </c>
      <c r="CA85" s="24"/>
      <c r="CB85">
        <v>351</v>
      </c>
      <c r="CC85">
        <v>371</v>
      </c>
      <c r="CD85">
        <v>371</v>
      </c>
      <c r="CE85">
        <v>64026877</v>
      </c>
      <c r="CF85">
        <v>233</v>
      </c>
      <c r="CH85" s="24"/>
      <c r="CI85">
        <v>26502</v>
      </c>
      <c r="CJ85">
        <v>26505</v>
      </c>
      <c r="CK85">
        <v>26505</v>
      </c>
      <c r="CL85">
        <v>1085343</v>
      </c>
      <c r="CM85">
        <v>169</v>
      </c>
      <c r="CO85" s="24"/>
      <c r="CP85">
        <v>8309</v>
      </c>
      <c r="CQ85">
        <v>8862</v>
      </c>
      <c r="CR85">
        <v>8845</v>
      </c>
      <c r="CS85">
        <v>1047783</v>
      </c>
      <c r="CT85">
        <v>360</v>
      </c>
      <c r="CV85" s="24"/>
      <c r="CW85">
        <v>1399996</v>
      </c>
      <c r="CX85">
        <v>1399996</v>
      </c>
      <c r="CY85">
        <v>1399996</v>
      </c>
      <c r="CZ85">
        <v>10938</v>
      </c>
      <c r="DA85">
        <v>50</v>
      </c>
      <c r="DC85" s="24"/>
      <c r="DD85">
        <v>390</v>
      </c>
      <c r="DE85">
        <v>403</v>
      </c>
      <c r="DF85">
        <v>403</v>
      </c>
      <c r="DG85">
        <v>22835372</v>
      </c>
      <c r="DH85">
        <v>152</v>
      </c>
      <c r="DJ85" s="24"/>
      <c r="DK85">
        <v>36863962</v>
      </c>
      <c r="DL85">
        <v>36863989</v>
      </c>
      <c r="DM85">
        <v>36863980</v>
      </c>
      <c r="DN85">
        <v>586</v>
      </c>
      <c r="DO85">
        <v>112</v>
      </c>
      <c r="DQ85" s="24"/>
      <c r="DR85">
        <v>1600002</v>
      </c>
      <c r="DS85">
        <v>1699999</v>
      </c>
      <c r="DT85">
        <v>1600003</v>
      </c>
      <c r="DU85">
        <v>2876</v>
      </c>
      <c r="DV85">
        <v>163</v>
      </c>
      <c r="DX85" s="24"/>
      <c r="DY85">
        <v>18150001</v>
      </c>
      <c r="DZ85">
        <v>19349999</v>
      </c>
      <c r="EA85">
        <v>18151007</v>
      </c>
      <c r="EB85">
        <v>678</v>
      </c>
      <c r="EC85">
        <v>122</v>
      </c>
      <c r="EE85" s="24"/>
      <c r="EF85">
        <v>168</v>
      </c>
      <c r="EG85">
        <v>185</v>
      </c>
      <c r="EH85">
        <v>175</v>
      </c>
      <c r="EI85">
        <v>182885281</v>
      </c>
      <c r="EJ85">
        <v>206</v>
      </c>
      <c r="EL85" s="24"/>
      <c r="EM85">
        <v>56038</v>
      </c>
      <c r="EN85">
        <v>62006</v>
      </c>
      <c r="EO85">
        <v>62005</v>
      </c>
      <c r="EP85">
        <v>59691</v>
      </c>
      <c r="EQ85">
        <v>703</v>
      </c>
      <c r="ES85" s="24"/>
      <c r="ET85">
        <v>426</v>
      </c>
      <c r="EU85">
        <v>459</v>
      </c>
      <c r="EV85">
        <v>455</v>
      </c>
      <c r="EW85">
        <v>34021752</v>
      </c>
      <c r="EX85">
        <v>590</v>
      </c>
      <c r="EZ85" s="24"/>
      <c r="FA85">
        <v>3853990</v>
      </c>
      <c r="FB85">
        <v>3854999</v>
      </c>
      <c r="FC85">
        <v>3853993</v>
      </c>
      <c r="FD85">
        <v>1839</v>
      </c>
      <c r="FE85">
        <v>29</v>
      </c>
      <c r="FG85" s="24"/>
      <c r="FH85">
        <v>8256</v>
      </c>
      <c r="FI85">
        <v>8599</v>
      </c>
      <c r="FJ85">
        <v>8500</v>
      </c>
      <c r="FK85">
        <v>2363331</v>
      </c>
      <c r="FL85">
        <v>430</v>
      </c>
      <c r="FN85" s="24"/>
      <c r="FO85">
        <v>21503</v>
      </c>
      <c r="FP85">
        <v>25988</v>
      </c>
      <c r="FQ85">
        <v>25984</v>
      </c>
      <c r="FR85">
        <v>129399</v>
      </c>
      <c r="FS85">
        <v>75</v>
      </c>
      <c r="FU85" s="24"/>
      <c r="FV85">
        <v>26502</v>
      </c>
      <c r="FW85">
        <v>26556</v>
      </c>
      <c r="FX85">
        <v>26504</v>
      </c>
      <c r="FY85">
        <v>265670</v>
      </c>
      <c r="FZ85">
        <v>1314</v>
      </c>
      <c r="GB85" s="24"/>
      <c r="GC85">
        <v>103250000</v>
      </c>
      <c r="GD85">
        <v>107089000</v>
      </c>
      <c r="GE85">
        <v>106500000</v>
      </c>
      <c r="GF85">
        <v>115</v>
      </c>
      <c r="GG85">
        <v>64</v>
      </c>
      <c r="GI85" s="24"/>
      <c r="GJ85">
        <v>25000315</v>
      </c>
      <c r="GK85">
        <v>26488997</v>
      </c>
      <c r="GL85">
        <v>25000385</v>
      </c>
      <c r="GM85">
        <v>152</v>
      </c>
      <c r="GN85">
        <v>31</v>
      </c>
      <c r="GP85" s="24"/>
      <c r="GQ85">
        <v>98</v>
      </c>
      <c r="GR85">
        <v>101</v>
      </c>
      <c r="GS85">
        <v>99</v>
      </c>
      <c r="GT85">
        <v>169714165</v>
      </c>
      <c r="GU85">
        <v>152</v>
      </c>
      <c r="GW85" s="24"/>
      <c r="GX85">
        <v>361</v>
      </c>
      <c r="GY85">
        <v>361</v>
      </c>
      <c r="GZ85">
        <v>361</v>
      </c>
      <c r="HA85">
        <v>35588352</v>
      </c>
      <c r="HB85">
        <v>190</v>
      </c>
      <c r="HD85" s="24"/>
      <c r="HE85">
        <v>5506</v>
      </c>
      <c r="HF85">
        <v>5649</v>
      </c>
      <c r="HG85">
        <v>5639</v>
      </c>
      <c r="HH85">
        <v>17978786</v>
      </c>
      <c r="HI85">
        <v>258</v>
      </c>
      <c r="HK85" s="24"/>
      <c r="HL85">
        <v>105000000</v>
      </c>
      <c r="HM85">
        <v>107799997</v>
      </c>
      <c r="HN85">
        <v>106515994</v>
      </c>
      <c r="HO85">
        <v>70</v>
      </c>
      <c r="HP85">
        <v>59</v>
      </c>
      <c r="HR85" s="24"/>
      <c r="HS85">
        <v>7714</v>
      </c>
      <c r="HT85">
        <v>8500</v>
      </c>
      <c r="HU85">
        <v>8399</v>
      </c>
      <c r="HV85">
        <v>867746</v>
      </c>
      <c r="HW85">
        <v>139</v>
      </c>
      <c r="HY85" s="24"/>
      <c r="HZ85">
        <v>8301</v>
      </c>
      <c r="IA85">
        <v>8746</v>
      </c>
      <c r="IB85">
        <v>8600</v>
      </c>
      <c r="IC85">
        <v>1773476</v>
      </c>
      <c r="ID85">
        <v>470</v>
      </c>
      <c r="IF85" s="24"/>
      <c r="IG85">
        <v>2702</v>
      </c>
      <c r="IH85">
        <v>2805</v>
      </c>
      <c r="II85">
        <v>2805</v>
      </c>
      <c r="IJ85">
        <v>1144463</v>
      </c>
      <c r="IK85">
        <v>101</v>
      </c>
      <c r="IM85" s="24"/>
      <c r="IN85">
        <v>102500000</v>
      </c>
      <c r="IO85">
        <v>106497799</v>
      </c>
      <c r="IP85">
        <v>105112922</v>
      </c>
      <c r="IQ85">
        <v>67</v>
      </c>
      <c r="IR85">
        <v>51</v>
      </c>
      <c r="IT85" s="24"/>
      <c r="IU85">
        <v>8156</v>
      </c>
      <c r="IV85">
        <v>8398</v>
      </c>
      <c r="IW85">
        <v>8398</v>
      </c>
      <c r="IX85">
        <v>1367427</v>
      </c>
      <c r="IY85">
        <v>144</v>
      </c>
      <c r="JA85" s="24"/>
      <c r="JB85">
        <v>104500200</v>
      </c>
      <c r="JC85">
        <v>107399999</v>
      </c>
      <c r="JD85">
        <v>106650000</v>
      </c>
      <c r="JE85">
        <v>134</v>
      </c>
      <c r="JF85">
        <v>75</v>
      </c>
      <c r="JH85" s="24"/>
      <c r="JI85">
        <v>104607000</v>
      </c>
      <c r="JJ85">
        <v>107199900</v>
      </c>
      <c r="JK85">
        <v>104880132</v>
      </c>
      <c r="JL85">
        <v>71</v>
      </c>
      <c r="JM85">
        <v>35</v>
      </c>
      <c r="JO85" s="24"/>
      <c r="JP85">
        <v>72</v>
      </c>
      <c r="JQ85">
        <v>78</v>
      </c>
      <c r="JR85">
        <v>75</v>
      </c>
      <c r="JS85">
        <v>147016791</v>
      </c>
      <c r="JT85">
        <v>115</v>
      </c>
      <c r="JV85" s="24"/>
      <c r="JW85">
        <v>75</v>
      </c>
      <c r="JX85">
        <v>79</v>
      </c>
      <c r="JY85">
        <v>79</v>
      </c>
      <c r="JZ85">
        <v>185229131</v>
      </c>
      <c r="KA85">
        <v>117</v>
      </c>
      <c r="KC85" s="24"/>
      <c r="KD85">
        <v>20</v>
      </c>
      <c r="KE85">
        <v>20</v>
      </c>
      <c r="KF85">
        <v>20</v>
      </c>
      <c r="KG85">
        <v>59597932</v>
      </c>
      <c r="KH85">
        <v>271</v>
      </c>
      <c r="KJ85" s="24"/>
      <c r="KK85">
        <v>92</v>
      </c>
      <c r="KL85">
        <v>94</v>
      </c>
      <c r="KM85">
        <v>92</v>
      </c>
      <c r="KN85">
        <v>132387085</v>
      </c>
      <c r="KO85">
        <v>125</v>
      </c>
      <c r="KQ85" s="24"/>
      <c r="KR85">
        <v>91791</v>
      </c>
      <c r="KS85">
        <v>92251</v>
      </c>
      <c r="KT85">
        <v>92250</v>
      </c>
      <c r="KU85">
        <v>78860</v>
      </c>
      <c r="KV85">
        <v>651</v>
      </c>
      <c r="KX85" s="24"/>
      <c r="KY85">
        <v>648</v>
      </c>
      <c r="KZ85">
        <v>648</v>
      </c>
      <c r="LA85">
        <v>648</v>
      </c>
      <c r="LB85">
        <v>3372385</v>
      </c>
      <c r="LC85">
        <v>151</v>
      </c>
      <c r="LE85" s="24"/>
      <c r="LF85">
        <v>225418</v>
      </c>
      <c r="LG85">
        <v>225504</v>
      </c>
      <c r="LH85">
        <v>225422</v>
      </c>
      <c r="LI85">
        <v>102051</v>
      </c>
      <c r="LJ85">
        <v>982</v>
      </c>
      <c r="LL85" s="24"/>
      <c r="LM85">
        <v>85650</v>
      </c>
      <c r="LN85">
        <v>87016</v>
      </c>
      <c r="LO85">
        <v>87011</v>
      </c>
      <c r="LP85">
        <v>314202</v>
      </c>
      <c r="LQ85">
        <v>1388</v>
      </c>
      <c r="LS85" s="24"/>
      <c r="LT85">
        <v>328</v>
      </c>
      <c r="LU85">
        <v>339</v>
      </c>
      <c r="LV85">
        <v>339</v>
      </c>
      <c r="LW85">
        <v>81737568</v>
      </c>
      <c r="LX85">
        <v>291</v>
      </c>
      <c r="LZ85" s="24"/>
      <c r="MA85">
        <v>89985</v>
      </c>
      <c r="MB85">
        <v>90000</v>
      </c>
      <c r="MC85">
        <v>90000</v>
      </c>
      <c r="MD85">
        <v>1318035</v>
      </c>
      <c r="ME85">
        <v>71</v>
      </c>
    </row>
    <row r="86" spans="2:343" x14ac:dyDescent="0.25">
      <c r="B86" s="24"/>
      <c r="C86">
        <v>3</v>
      </c>
      <c r="D86">
        <v>3</v>
      </c>
      <c r="E86">
        <v>3</v>
      </c>
      <c r="F86">
        <v>36453230892</v>
      </c>
      <c r="G86">
        <v>2755</v>
      </c>
      <c r="I86" s="24"/>
      <c r="J86">
        <v>5</v>
      </c>
      <c r="K86">
        <v>5</v>
      </c>
      <c r="L86">
        <v>5</v>
      </c>
      <c r="M86">
        <v>5290302449</v>
      </c>
      <c r="N86">
        <v>1876</v>
      </c>
      <c r="P86" s="24"/>
      <c r="Q86">
        <v>28</v>
      </c>
      <c r="R86">
        <v>29</v>
      </c>
      <c r="S86">
        <v>29</v>
      </c>
      <c r="T86">
        <v>1911776753</v>
      </c>
      <c r="U86">
        <v>1646</v>
      </c>
      <c r="W86" s="24"/>
      <c r="X86">
        <v>69</v>
      </c>
      <c r="Y86">
        <v>70</v>
      </c>
      <c r="Z86">
        <v>70</v>
      </c>
      <c r="AA86">
        <v>233431217</v>
      </c>
      <c r="AB86">
        <v>1324</v>
      </c>
      <c r="AD86" s="24"/>
      <c r="AE86">
        <v>540</v>
      </c>
      <c r="AF86">
        <v>555</v>
      </c>
      <c r="AG86">
        <v>554</v>
      </c>
      <c r="AH86">
        <v>65519758</v>
      </c>
      <c r="AI86">
        <v>1392</v>
      </c>
      <c r="AK86" s="24"/>
      <c r="AL86">
        <v>995</v>
      </c>
      <c r="AM86">
        <v>1028</v>
      </c>
      <c r="AN86">
        <v>1019</v>
      </c>
      <c r="AO86">
        <v>38282569</v>
      </c>
      <c r="AP86">
        <v>1126</v>
      </c>
      <c r="AR86" s="24"/>
      <c r="AS86">
        <v>2930</v>
      </c>
      <c r="AT86">
        <v>3018</v>
      </c>
      <c r="AU86">
        <v>3000</v>
      </c>
      <c r="AV86">
        <v>17835521</v>
      </c>
      <c r="AW86">
        <v>1123</v>
      </c>
      <c r="AY86" s="24"/>
      <c r="AZ86">
        <v>325311333</v>
      </c>
      <c r="BA86">
        <v>334239888</v>
      </c>
      <c r="BB86">
        <v>331198887</v>
      </c>
      <c r="BC86">
        <v>1878</v>
      </c>
      <c r="BD86">
        <v>1324</v>
      </c>
      <c r="BF86" s="24"/>
      <c r="BG86">
        <v>25614</v>
      </c>
      <c r="BH86">
        <v>25625</v>
      </c>
      <c r="BI86">
        <v>25624</v>
      </c>
      <c r="BJ86">
        <v>1794157</v>
      </c>
      <c r="BK86">
        <v>211</v>
      </c>
      <c r="BM86" s="24"/>
      <c r="BN86">
        <v>6915090</v>
      </c>
      <c r="BO86">
        <v>7154499</v>
      </c>
      <c r="BP86">
        <v>7000000</v>
      </c>
      <c r="BQ86">
        <v>7756</v>
      </c>
      <c r="BR86">
        <v>301</v>
      </c>
      <c r="BT86" s="24"/>
      <c r="BU86">
        <v>1902</v>
      </c>
      <c r="BV86">
        <v>1997</v>
      </c>
      <c r="BW86">
        <v>1997</v>
      </c>
      <c r="BX86">
        <v>17942928</v>
      </c>
      <c r="BY86">
        <v>216</v>
      </c>
      <c r="CA86" s="24"/>
      <c r="CB86">
        <v>348</v>
      </c>
      <c r="CC86">
        <v>360</v>
      </c>
      <c r="CD86">
        <v>360</v>
      </c>
      <c r="CE86">
        <v>51787166</v>
      </c>
      <c r="CF86">
        <v>206</v>
      </c>
      <c r="CH86" s="24"/>
      <c r="CI86">
        <v>25600</v>
      </c>
      <c r="CJ86">
        <v>26501</v>
      </c>
      <c r="CK86">
        <v>25600</v>
      </c>
      <c r="CL86">
        <v>410928</v>
      </c>
      <c r="CM86">
        <v>150</v>
      </c>
      <c r="CO86" s="24"/>
      <c r="CP86">
        <v>8320</v>
      </c>
      <c r="CQ86">
        <v>8734</v>
      </c>
      <c r="CR86">
        <v>8499</v>
      </c>
      <c r="CS86">
        <v>1020914</v>
      </c>
      <c r="CT86">
        <v>354</v>
      </c>
      <c r="CV86" s="24"/>
      <c r="CW86">
        <v>1351131</v>
      </c>
      <c r="CX86">
        <v>1428999</v>
      </c>
      <c r="CY86">
        <v>1401461</v>
      </c>
      <c r="CZ86">
        <v>8202</v>
      </c>
      <c r="DA86">
        <v>42</v>
      </c>
      <c r="DC86" s="24"/>
      <c r="DD86">
        <v>378</v>
      </c>
      <c r="DE86">
        <v>403</v>
      </c>
      <c r="DF86">
        <v>401</v>
      </c>
      <c r="DG86">
        <v>25772508</v>
      </c>
      <c r="DH86">
        <v>140</v>
      </c>
      <c r="DJ86" s="24"/>
      <c r="DK86">
        <v>36950998</v>
      </c>
      <c r="DL86">
        <v>36960205</v>
      </c>
      <c r="DM86">
        <v>36960000</v>
      </c>
      <c r="DN86">
        <v>315</v>
      </c>
      <c r="DO86">
        <v>73</v>
      </c>
      <c r="DQ86" s="24"/>
      <c r="DR86">
        <v>1322506</v>
      </c>
      <c r="DS86">
        <v>1600021</v>
      </c>
      <c r="DT86">
        <v>1500002</v>
      </c>
      <c r="DU86">
        <v>6646</v>
      </c>
      <c r="DV86">
        <v>173</v>
      </c>
      <c r="DX86" s="24"/>
      <c r="DY86">
        <v>18500103</v>
      </c>
      <c r="DZ86">
        <v>19485777</v>
      </c>
      <c r="EA86">
        <v>18501002</v>
      </c>
      <c r="EB86">
        <v>380</v>
      </c>
      <c r="EC86">
        <v>93</v>
      </c>
      <c r="EE86" s="24"/>
      <c r="EF86">
        <v>189</v>
      </c>
      <c r="EG86">
        <v>202</v>
      </c>
      <c r="EH86">
        <v>199</v>
      </c>
      <c r="EI86">
        <v>71448421</v>
      </c>
      <c r="EJ86">
        <v>163</v>
      </c>
      <c r="EL86" s="24"/>
      <c r="EM86">
        <v>56103</v>
      </c>
      <c r="EN86">
        <v>59979</v>
      </c>
      <c r="EO86">
        <v>58999</v>
      </c>
      <c r="EP86">
        <v>105009</v>
      </c>
      <c r="EQ86">
        <v>643</v>
      </c>
      <c r="ES86" s="24"/>
      <c r="ET86">
        <v>423</v>
      </c>
      <c r="EU86">
        <v>451</v>
      </c>
      <c r="EV86">
        <v>449</v>
      </c>
      <c r="EW86">
        <v>31279754</v>
      </c>
      <c r="EX86">
        <v>543</v>
      </c>
      <c r="EZ86" s="24"/>
      <c r="FA86">
        <v>3852995</v>
      </c>
      <c r="FB86">
        <v>3852995</v>
      </c>
      <c r="FC86">
        <v>3852995</v>
      </c>
      <c r="FD86">
        <v>1221</v>
      </c>
      <c r="FE86">
        <v>17</v>
      </c>
      <c r="FG86" s="24"/>
      <c r="FH86">
        <v>8260</v>
      </c>
      <c r="FI86">
        <v>8580</v>
      </c>
      <c r="FJ86">
        <v>8578</v>
      </c>
      <c r="FK86">
        <v>1155249</v>
      </c>
      <c r="FL86">
        <v>419</v>
      </c>
      <c r="FN86" s="24"/>
      <c r="FO86">
        <v>19300</v>
      </c>
      <c r="FP86">
        <v>21505</v>
      </c>
      <c r="FQ86">
        <v>21001</v>
      </c>
      <c r="FR86">
        <v>423104</v>
      </c>
      <c r="FS86">
        <v>118</v>
      </c>
      <c r="FU86" s="24"/>
      <c r="FV86">
        <v>26605</v>
      </c>
      <c r="FW86">
        <v>26652</v>
      </c>
      <c r="FX86">
        <v>26632</v>
      </c>
      <c r="FY86">
        <v>253646</v>
      </c>
      <c r="FZ86">
        <v>1188</v>
      </c>
      <c r="GB86" s="24"/>
      <c r="GC86">
        <v>105001000</v>
      </c>
      <c r="GD86">
        <v>108500300</v>
      </c>
      <c r="GE86">
        <v>107295062</v>
      </c>
      <c r="GF86">
        <v>73</v>
      </c>
      <c r="GG86">
        <v>47</v>
      </c>
      <c r="GI86" s="24"/>
      <c r="GJ86">
        <v>25000328</v>
      </c>
      <c r="GK86">
        <v>26236989</v>
      </c>
      <c r="GL86">
        <v>25000411</v>
      </c>
      <c r="GM86">
        <v>416</v>
      </c>
      <c r="GN86">
        <v>69</v>
      </c>
      <c r="GP86" s="24"/>
      <c r="GQ86">
        <v>95</v>
      </c>
      <c r="GR86">
        <v>100</v>
      </c>
      <c r="GS86">
        <v>98</v>
      </c>
      <c r="GT86">
        <v>120769884</v>
      </c>
      <c r="GU86">
        <v>128</v>
      </c>
      <c r="GW86" s="24"/>
      <c r="GX86">
        <v>345</v>
      </c>
      <c r="GY86">
        <v>367</v>
      </c>
      <c r="GZ86">
        <v>363</v>
      </c>
      <c r="HA86">
        <v>32348683</v>
      </c>
      <c r="HB86">
        <v>158</v>
      </c>
      <c r="HD86" s="24"/>
      <c r="HE86">
        <v>5631</v>
      </c>
      <c r="HF86">
        <v>5637</v>
      </c>
      <c r="HG86">
        <v>5631</v>
      </c>
      <c r="HH86">
        <v>13281389</v>
      </c>
      <c r="HI86">
        <v>272</v>
      </c>
      <c r="HK86" s="24"/>
      <c r="HL86">
        <v>106117500</v>
      </c>
      <c r="HM86">
        <v>107797000</v>
      </c>
      <c r="HN86">
        <v>107058686</v>
      </c>
      <c r="HO86">
        <v>51</v>
      </c>
      <c r="HP86">
        <v>33</v>
      </c>
      <c r="HR86" s="24"/>
      <c r="HS86">
        <v>7701</v>
      </c>
      <c r="HT86">
        <v>8184</v>
      </c>
      <c r="HU86">
        <v>8184</v>
      </c>
      <c r="HV86">
        <v>503373</v>
      </c>
      <c r="HW86">
        <v>118</v>
      </c>
      <c r="HY86" s="24"/>
      <c r="HZ86">
        <v>8301</v>
      </c>
      <c r="IA86">
        <v>8728</v>
      </c>
      <c r="IB86">
        <v>8688</v>
      </c>
      <c r="IC86">
        <v>1745156</v>
      </c>
      <c r="ID86">
        <v>450</v>
      </c>
      <c r="IF86" s="24"/>
      <c r="IG86">
        <v>2807</v>
      </c>
      <c r="IH86">
        <v>2933</v>
      </c>
      <c r="II86">
        <v>2807</v>
      </c>
      <c r="IJ86">
        <v>3556760</v>
      </c>
      <c r="IK86">
        <v>122</v>
      </c>
      <c r="IM86" s="24"/>
      <c r="IN86">
        <v>106503200</v>
      </c>
      <c r="IO86">
        <v>108487000</v>
      </c>
      <c r="IP86">
        <v>108000975</v>
      </c>
      <c r="IQ86">
        <v>34</v>
      </c>
      <c r="IR86">
        <v>31</v>
      </c>
      <c r="IT86" s="24"/>
      <c r="IU86">
        <v>8299</v>
      </c>
      <c r="IV86">
        <v>8398</v>
      </c>
      <c r="IW86">
        <v>8300</v>
      </c>
      <c r="IX86">
        <v>1244578</v>
      </c>
      <c r="IY86">
        <v>117</v>
      </c>
      <c r="JA86" s="24"/>
      <c r="JB86">
        <v>106200000</v>
      </c>
      <c r="JC86">
        <v>108999499</v>
      </c>
      <c r="JD86">
        <v>107194359</v>
      </c>
      <c r="JE86">
        <v>39</v>
      </c>
      <c r="JF86">
        <v>36</v>
      </c>
      <c r="JH86" s="24"/>
      <c r="JI86">
        <v>103000000</v>
      </c>
      <c r="JJ86">
        <v>107187000</v>
      </c>
      <c r="JK86">
        <v>106029307</v>
      </c>
      <c r="JL86">
        <v>28</v>
      </c>
      <c r="JM86">
        <v>28</v>
      </c>
      <c r="JO86" s="24"/>
      <c r="JP86">
        <v>72</v>
      </c>
      <c r="JQ86">
        <v>77</v>
      </c>
      <c r="JR86">
        <v>74</v>
      </c>
      <c r="JS86">
        <v>103891153</v>
      </c>
      <c r="JT86">
        <v>76</v>
      </c>
      <c r="JV86" s="24"/>
      <c r="JW86">
        <v>75</v>
      </c>
      <c r="JX86">
        <v>79</v>
      </c>
      <c r="JY86">
        <v>75</v>
      </c>
      <c r="JZ86">
        <v>112445113</v>
      </c>
      <c r="KA86">
        <v>111</v>
      </c>
      <c r="KC86" s="24"/>
      <c r="KD86">
        <v>19</v>
      </c>
      <c r="KE86">
        <v>21</v>
      </c>
      <c r="KF86">
        <v>21</v>
      </c>
      <c r="KG86">
        <v>38047670</v>
      </c>
      <c r="KH86">
        <v>234</v>
      </c>
      <c r="KJ86" s="24"/>
      <c r="KK86">
        <v>89</v>
      </c>
      <c r="KL86">
        <v>94</v>
      </c>
      <c r="KM86">
        <v>93</v>
      </c>
      <c r="KN86">
        <v>109623588</v>
      </c>
      <c r="KO86">
        <v>131</v>
      </c>
      <c r="KQ86" s="24"/>
      <c r="KR86">
        <v>90040</v>
      </c>
      <c r="KS86">
        <v>93998</v>
      </c>
      <c r="KT86">
        <v>90057</v>
      </c>
      <c r="KU86">
        <v>70473</v>
      </c>
      <c r="KV86">
        <v>595</v>
      </c>
      <c r="KX86" s="24"/>
      <c r="KY86">
        <v>609</v>
      </c>
      <c r="KZ86">
        <v>642</v>
      </c>
      <c r="LA86">
        <v>642</v>
      </c>
      <c r="LB86">
        <v>4202763</v>
      </c>
      <c r="LC86">
        <v>156</v>
      </c>
      <c r="LE86" s="24"/>
      <c r="LF86">
        <v>225504</v>
      </c>
      <c r="LG86">
        <v>225701</v>
      </c>
      <c r="LH86">
        <v>225506</v>
      </c>
      <c r="LI86">
        <v>89263</v>
      </c>
      <c r="LJ86">
        <v>843</v>
      </c>
      <c r="LL86" s="24"/>
      <c r="LM86">
        <v>85661</v>
      </c>
      <c r="LN86">
        <v>86000</v>
      </c>
      <c r="LO86">
        <v>85664</v>
      </c>
      <c r="LP86">
        <v>297658</v>
      </c>
      <c r="LQ86">
        <v>1246</v>
      </c>
      <c r="LS86" s="24"/>
      <c r="LT86">
        <v>326</v>
      </c>
      <c r="LU86">
        <v>339</v>
      </c>
      <c r="LV86">
        <v>339</v>
      </c>
      <c r="LW86">
        <v>57080759</v>
      </c>
      <c r="LX86">
        <v>262</v>
      </c>
      <c r="LZ86" s="24"/>
      <c r="MA86">
        <v>90004</v>
      </c>
      <c r="MB86">
        <v>94031</v>
      </c>
      <c r="MC86">
        <v>93011</v>
      </c>
      <c r="MD86">
        <v>481106</v>
      </c>
      <c r="ME86">
        <v>73</v>
      </c>
    </row>
    <row r="87" spans="2:343" x14ac:dyDescent="0.25">
      <c r="B87" s="24"/>
      <c r="C87">
        <v>3</v>
      </c>
      <c r="D87">
        <v>3</v>
      </c>
      <c r="E87">
        <v>3</v>
      </c>
      <c r="F87">
        <v>34558672382</v>
      </c>
      <c r="G87">
        <v>2958</v>
      </c>
      <c r="I87" s="24"/>
      <c r="J87">
        <v>4</v>
      </c>
      <c r="K87">
        <v>5</v>
      </c>
      <c r="L87">
        <v>5</v>
      </c>
      <c r="M87">
        <v>7883065795</v>
      </c>
      <c r="N87">
        <v>2061</v>
      </c>
      <c r="P87" s="24"/>
      <c r="Q87">
        <v>29</v>
      </c>
      <c r="R87">
        <v>29</v>
      </c>
      <c r="S87">
        <v>29</v>
      </c>
      <c r="T87">
        <v>1525583508</v>
      </c>
      <c r="U87">
        <v>1909</v>
      </c>
      <c r="W87" s="24"/>
      <c r="X87">
        <v>69</v>
      </c>
      <c r="Y87">
        <v>69</v>
      </c>
      <c r="Z87">
        <v>69</v>
      </c>
      <c r="AA87">
        <v>415282651</v>
      </c>
      <c r="AB87">
        <v>1478</v>
      </c>
      <c r="AD87" s="24"/>
      <c r="AE87">
        <v>549</v>
      </c>
      <c r="AF87">
        <v>553</v>
      </c>
      <c r="AG87">
        <v>550</v>
      </c>
      <c r="AH87">
        <v>72267723</v>
      </c>
      <c r="AI87">
        <v>1510</v>
      </c>
      <c r="AK87" s="24"/>
      <c r="AL87">
        <v>1001</v>
      </c>
      <c r="AM87">
        <v>1025</v>
      </c>
      <c r="AN87">
        <v>1022</v>
      </c>
      <c r="AO87">
        <v>28076326</v>
      </c>
      <c r="AP87">
        <v>1196</v>
      </c>
      <c r="AR87" s="24"/>
      <c r="AS87">
        <v>2942</v>
      </c>
      <c r="AT87">
        <v>3015</v>
      </c>
      <c r="AU87">
        <v>2965</v>
      </c>
      <c r="AV87">
        <v>9777346</v>
      </c>
      <c r="AW87">
        <v>1158</v>
      </c>
      <c r="AY87" s="24"/>
      <c r="AZ87">
        <v>328005600</v>
      </c>
      <c r="BA87">
        <v>335799998</v>
      </c>
      <c r="BB87">
        <v>330500000</v>
      </c>
      <c r="BC87">
        <v>1782</v>
      </c>
      <c r="BD87">
        <v>1304</v>
      </c>
      <c r="BF87" s="24"/>
      <c r="BG87">
        <v>25322</v>
      </c>
      <c r="BH87">
        <v>25606</v>
      </c>
      <c r="BI87">
        <v>25323</v>
      </c>
      <c r="BJ87">
        <v>2213596</v>
      </c>
      <c r="BK87">
        <v>227</v>
      </c>
      <c r="BM87" s="24"/>
      <c r="BN87">
        <v>7061001</v>
      </c>
      <c r="BO87">
        <v>7100473</v>
      </c>
      <c r="BP87">
        <v>7061006</v>
      </c>
      <c r="BQ87">
        <v>7695</v>
      </c>
      <c r="BR87">
        <v>302</v>
      </c>
      <c r="BT87" s="24"/>
      <c r="BU87">
        <v>1908</v>
      </c>
      <c r="BV87">
        <v>1993</v>
      </c>
      <c r="BW87">
        <v>1915</v>
      </c>
      <c r="BX87">
        <v>20148144</v>
      </c>
      <c r="BY87">
        <v>232</v>
      </c>
      <c r="CA87" s="24"/>
      <c r="CB87">
        <v>365</v>
      </c>
      <c r="CC87">
        <v>371</v>
      </c>
      <c r="CD87">
        <v>366</v>
      </c>
      <c r="CE87">
        <v>85172038</v>
      </c>
      <c r="CF87">
        <v>278</v>
      </c>
      <c r="CH87" s="24"/>
      <c r="CI87">
        <v>25600</v>
      </c>
      <c r="CJ87">
        <v>25600</v>
      </c>
      <c r="CK87">
        <v>25600</v>
      </c>
      <c r="CL87">
        <v>1185442</v>
      </c>
      <c r="CM87">
        <v>167</v>
      </c>
      <c r="CO87" s="24"/>
      <c r="CP87">
        <v>8351</v>
      </c>
      <c r="CQ87">
        <v>8549</v>
      </c>
      <c r="CR87">
        <v>8549</v>
      </c>
      <c r="CS87">
        <v>965502</v>
      </c>
      <c r="CT87">
        <v>343</v>
      </c>
      <c r="CV87" s="24"/>
      <c r="CW87">
        <v>1448888</v>
      </c>
      <c r="CX87">
        <v>1449999</v>
      </c>
      <c r="CY87">
        <v>1449997</v>
      </c>
      <c r="CZ87">
        <v>6885</v>
      </c>
      <c r="DA87">
        <v>41</v>
      </c>
      <c r="DC87" s="24"/>
      <c r="DD87">
        <v>401</v>
      </c>
      <c r="DE87">
        <v>401</v>
      </c>
      <c r="DF87">
        <v>401</v>
      </c>
      <c r="DG87">
        <v>22713921</v>
      </c>
      <c r="DH87">
        <v>157</v>
      </c>
      <c r="DJ87" s="24"/>
      <c r="DK87">
        <v>36980011</v>
      </c>
      <c r="DL87">
        <v>38498000</v>
      </c>
      <c r="DM87">
        <v>36990045</v>
      </c>
      <c r="DN87">
        <v>401</v>
      </c>
      <c r="DO87">
        <v>99</v>
      </c>
      <c r="DQ87" s="24"/>
      <c r="DR87">
        <v>1400071</v>
      </c>
      <c r="DS87">
        <v>1694993</v>
      </c>
      <c r="DT87">
        <v>1560051</v>
      </c>
      <c r="DU87">
        <v>4043</v>
      </c>
      <c r="DV87">
        <v>188</v>
      </c>
      <c r="DX87" s="24"/>
      <c r="DY87">
        <v>18529004</v>
      </c>
      <c r="DZ87">
        <v>20252998</v>
      </c>
      <c r="EA87">
        <v>19101027</v>
      </c>
      <c r="EB87">
        <v>364</v>
      </c>
      <c r="EC87">
        <v>106</v>
      </c>
      <c r="EE87" s="24"/>
      <c r="EF87">
        <v>183</v>
      </c>
      <c r="EG87">
        <v>191</v>
      </c>
      <c r="EH87">
        <v>184</v>
      </c>
      <c r="EI87">
        <v>86731435</v>
      </c>
      <c r="EJ87">
        <v>203</v>
      </c>
      <c r="EL87" s="24"/>
      <c r="EM87">
        <v>58103</v>
      </c>
      <c r="EN87">
        <v>58400</v>
      </c>
      <c r="EO87">
        <v>58109</v>
      </c>
      <c r="EP87">
        <v>59588</v>
      </c>
      <c r="EQ87">
        <v>638</v>
      </c>
      <c r="ES87" s="24"/>
      <c r="ET87">
        <v>447</v>
      </c>
      <c r="EU87">
        <v>449</v>
      </c>
      <c r="EV87">
        <v>447</v>
      </c>
      <c r="EW87">
        <v>25316596</v>
      </c>
      <c r="EX87">
        <v>529</v>
      </c>
      <c r="EZ87" s="24"/>
      <c r="FA87">
        <v>3807992</v>
      </c>
      <c r="FB87">
        <v>3844999</v>
      </c>
      <c r="FC87">
        <v>3807998</v>
      </c>
      <c r="FD87">
        <v>651</v>
      </c>
      <c r="FE87">
        <v>16</v>
      </c>
      <c r="FG87" s="24"/>
      <c r="FH87">
        <v>8401</v>
      </c>
      <c r="FI87">
        <v>8600</v>
      </c>
      <c r="FJ87">
        <v>8500</v>
      </c>
      <c r="FK87">
        <v>1946229</v>
      </c>
      <c r="FL87">
        <v>464</v>
      </c>
      <c r="FN87" s="24"/>
      <c r="FO87">
        <v>24954</v>
      </c>
      <c r="FP87">
        <v>24966</v>
      </c>
      <c r="FQ87">
        <v>24954</v>
      </c>
      <c r="FR87">
        <v>106128</v>
      </c>
      <c r="FS87">
        <v>65</v>
      </c>
      <c r="FU87" s="24"/>
      <c r="FV87">
        <v>26665</v>
      </c>
      <c r="FW87">
        <v>27800</v>
      </c>
      <c r="FX87">
        <v>27005</v>
      </c>
      <c r="FY87">
        <v>288876</v>
      </c>
      <c r="FZ87">
        <v>1231</v>
      </c>
      <c r="GB87" s="24"/>
      <c r="GC87">
        <v>106000000</v>
      </c>
      <c r="GD87">
        <v>108000000</v>
      </c>
      <c r="GE87">
        <v>107164654</v>
      </c>
      <c r="GF87">
        <v>81</v>
      </c>
      <c r="GG87">
        <v>56</v>
      </c>
      <c r="GI87" s="24"/>
      <c r="GJ87">
        <v>24502022</v>
      </c>
      <c r="GK87">
        <v>25995999</v>
      </c>
      <c r="GL87">
        <v>25501000</v>
      </c>
      <c r="GM87">
        <v>226</v>
      </c>
      <c r="GN87">
        <v>63</v>
      </c>
      <c r="GP87" s="24"/>
      <c r="GQ87">
        <v>95</v>
      </c>
      <c r="GR87">
        <v>100</v>
      </c>
      <c r="GS87">
        <v>99</v>
      </c>
      <c r="GT87">
        <v>102119047</v>
      </c>
      <c r="GU87">
        <v>127</v>
      </c>
      <c r="GW87" s="24"/>
      <c r="GX87">
        <v>378</v>
      </c>
      <c r="GY87">
        <v>379</v>
      </c>
      <c r="GZ87">
        <v>379</v>
      </c>
      <c r="HA87">
        <v>32799556</v>
      </c>
      <c r="HB87">
        <v>194</v>
      </c>
      <c r="HD87" s="24"/>
      <c r="HE87">
        <v>5485</v>
      </c>
      <c r="HF87">
        <v>5604</v>
      </c>
      <c r="HG87">
        <v>5603</v>
      </c>
      <c r="HH87">
        <v>13218545</v>
      </c>
      <c r="HI87">
        <v>280</v>
      </c>
      <c r="HK87" s="24"/>
      <c r="HL87">
        <v>106119900</v>
      </c>
      <c r="HM87">
        <v>110494810</v>
      </c>
      <c r="HN87">
        <v>107688602</v>
      </c>
      <c r="HO87">
        <v>93</v>
      </c>
      <c r="HP87">
        <v>64</v>
      </c>
      <c r="HR87" s="24"/>
      <c r="HS87">
        <v>7706</v>
      </c>
      <c r="HT87">
        <v>8499</v>
      </c>
      <c r="HU87">
        <v>8348</v>
      </c>
      <c r="HV87">
        <v>476281</v>
      </c>
      <c r="HW87">
        <v>130</v>
      </c>
      <c r="HY87" s="24"/>
      <c r="HZ87">
        <v>8307</v>
      </c>
      <c r="IA87">
        <v>8679</v>
      </c>
      <c r="IB87">
        <v>8560</v>
      </c>
      <c r="IC87">
        <v>1888578</v>
      </c>
      <c r="ID87">
        <v>461</v>
      </c>
      <c r="IF87" s="24"/>
      <c r="IG87">
        <v>3240</v>
      </c>
      <c r="IH87">
        <v>3243</v>
      </c>
      <c r="II87">
        <v>3240</v>
      </c>
      <c r="IJ87">
        <v>811256</v>
      </c>
      <c r="IK87">
        <v>114</v>
      </c>
      <c r="IM87" s="24"/>
      <c r="IN87">
        <v>106000400</v>
      </c>
      <c r="IO87">
        <v>107999299</v>
      </c>
      <c r="IP87">
        <v>106543394</v>
      </c>
      <c r="IQ87">
        <v>77</v>
      </c>
      <c r="IR87">
        <v>48</v>
      </c>
      <c r="IT87" s="24"/>
      <c r="IU87">
        <v>8000</v>
      </c>
      <c r="IV87">
        <v>8396</v>
      </c>
      <c r="IW87">
        <v>8082</v>
      </c>
      <c r="IX87">
        <v>2534825</v>
      </c>
      <c r="IY87">
        <v>158</v>
      </c>
      <c r="JA87" s="24"/>
      <c r="JB87">
        <v>106398400</v>
      </c>
      <c r="JC87">
        <v>107499800</v>
      </c>
      <c r="JD87">
        <v>106399000</v>
      </c>
      <c r="JE87">
        <v>131</v>
      </c>
      <c r="JF87">
        <v>76</v>
      </c>
      <c r="JH87" s="24"/>
      <c r="JI87">
        <v>105000800</v>
      </c>
      <c r="JJ87">
        <v>107178600</v>
      </c>
      <c r="JK87">
        <v>106682377</v>
      </c>
      <c r="JL87">
        <v>35</v>
      </c>
      <c r="JM87">
        <v>29</v>
      </c>
      <c r="JO87" s="24"/>
      <c r="JP87">
        <v>74</v>
      </c>
      <c r="JQ87">
        <v>76</v>
      </c>
      <c r="JR87">
        <v>75</v>
      </c>
      <c r="JS87">
        <v>52785405</v>
      </c>
      <c r="JT87">
        <v>68</v>
      </c>
      <c r="JV87" s="24"/>
      <c r="JW87">
        <v>71</v>
      </c>
      <c r="JX87">
        <v>74</v>
      </c>
      <c r="JY87">
        <v>73</v>
      </c>
      <c r="JZ87">
        <v>115361892</v>
      </c>
      <c r="KA87">
        <v>133</v>
      </c>
      <c r="KC87" s="24"/>
      <c r="KD87">
        <v>21</v>
      </c>
      <c r="KE87">
        <v>21</v>
      </c>
      <c r="KF87">
        <v>21</v>
      </c>
      <c r="KG87">
        <v>39709001</v>
      </c>
      <c r="KH87">
        <v>237</v>
      </c>
      <c r="KJ87" s="24"/>
      <c r="KK87">
        <v>87</v>
      </c>
      <c r="KL87">
        <v>91</v>
      </c>
      <c r="KM87">
        <v>87</v>
      </c>
      <c r="KN87">
        <v>96919789</v>
      </c>
      <c r="KO87">
        <v>117</v>
      </c>
      <c r="KQ87" s="24"/>
      <c r="KR87">
        <v>90031</v>
      </c>
      <c r="KS87">
        <v>90035</v>
      </c>
      <c r="KT87">
        <v>90032</v>
      </c>
      <c r="KU87">
        <v>61278</v>
      </c>
      <c r="KV87">
        <v>612</v>
      </c>
      <c r="KX87" s="24"/>
      <c r="KY87">
        <v>591</v>
      </c>
      <c r="KZ87">
        <v>629</v>
      </c>
      <c r="LA87">
        <v>610</v>
      </c>
      <c r="LB87">
        <v>6074185</v>
      </c>
      <c r="LC87">
        <v>162</v>
      </c>
      <c r="LE87" s="24"/>
      <c r="LF87">
        <v>228007</v>
      </c>
      <c r="LG87">
        <v>228014</v>
      </c>
      <c r="LH87">
        <v>228012</v>
      </c>
      <c r="LI87">
        <v>101377</v>
      </c>
      <c r="LJ87">
        <v>878</v>
      </c>
      <c r="LL87" s="24"/>
      <c r="LM87">
        <v>86900</v>
      </c>
      <c r="LN87">
        <v>87314</v>
      </c>
      <c r="LO87">
        <v>86901</v>
      </c>
      <c r="LP87">
        <v>301477</v>
      </c>
      <c r="LQ87">
        <v>1267</v>
      </c>
      <c r="LS87" s="24"/>
      <c r="LT87">
        <v>338</v>
      </c>
      <c r="LU87">
        <v>339</v>
      </c>
      <c r="LV87">
        <v>339</v>
      </c>
      <c r="LW87">
        <v>73284995</v>
      </c>
      <c r="LX87">
        <v>292</v>
      </c>
      <c r="LZ87" s="24"/>
      <c r="MA87">
        <v>88574</v>
      </c>
      <c r="MB87">
        <v>92900</v>
      </c>
      <c r="MC87">
        <v>88666</v>
      </c>
      <c r="MD87">
        <v>1014538</v>
      </c>
      <c r="ME87">
        <v>128</v>
      </c>
    </row>
    <row r="88" spans="2:343" x14ac:dyDescent="0.25">
      <c r="B88" s="24"/>
      <c r="C88">
        <v>3</v>
      </c>
      <c r="D88">
        <v>3</v>
      </c>
      <c r="E88">
        <v>3</v>
      </c>
      <c r="F88">
        <v>25778261570</v>
      </c>
      <c r="G88">
        <v>3031</v>
      </c>
      <c r="I88" s="24"/>
      <c r="J88">
        <v>4</v>
      </c>
      <c r="K88">
        <v>5</v>
      </c>
      <c r="L88">
        <v>5</v>
      </c>
      <c r="M88">
        <v>7994187543</v>
      </c>
      <c r="N88">
        <v>2070</v>
      </c>
      <c r="P88" s="24"/>
      <c r="Q88">
        <v>28</v>
      </c>
      <c r="R88">
        <v>29</v>
      </c>
      <c r="S88">
        <v>29</v>
      </c>
      <c r="T88">
        <v>1975204086</v>
      </c>
      <c r="U88">
        <v>1870</v>
      </c>
      <c r="W88" s="24"/>
      <c r="X88">
        <v>69</v>
      </c>
      <c r="Y88">
        <v>69</v>
      </c>
      <c r="Z88">
        <v>69</v>
      </c>
      <c r="AA88">
        <v>338592976</v>
      </c>
      <c r="AB88">
        <v>1445</v>
      </c>
      <c r="AD88" s="24"/>
      <c r="AE88">
        <v>546</v>
      </c>
      <c r="AF88">
        <v>552</v>
      </c>
      <c r="AG88">
        <v>552</v>
      </c>
      <c r="AH88">
        <v>109784550</v>
      </c>
      <c r="AI88">
        <v>1570</v>
      </c>
      <c r="AK88" s="24"/>
      <c r="AL88">
        <v>1001</v>
      </c>
      <c r="AM88">
        <v>1023</v>
      </c>
      <c r="AN88">
        <v>1007</v>
      </c>
      <c r="AO88">
        <v>36368588</v>
      </c>
      <c r="AP88">
        <v>1226</v>
      </c>
      <c r="AR88" s="24"/>
      <c r="AS88">
        <v>2936</v>
      </c>
      <c r="AT88">
        <v>3014</v>
      </c>
      <c r="AU88">
        <v>2996</v>
      </c>
      <c r="AV88">
        <v>18574254</v>
      </c>
      <c r="AW88">
        <v>1211</v>
      </c>
      <c r="AY88" s="24"/>
      <c r="AZ88">
        <v>327001000</v>
      </c>
      <c r="BA88">
        <v>336996910</v>
      </c>
      <c r="BB88">
        <v>332000005</v>
      </c>
      <c r="BC88">
        <v>1992</v>
      </c>
      <c r="BD88">
        <v>1429</v>
      </c>
      <c r="BF88" s="24"/>
      <c r="BG88">
        <v>24910</v>
      </c>
      <c r="BH88">
        <v>25700</v>
      </c>
      <c r="BI88">
        <v>25511</v>
      </c>
      <c r="BJ88">
        <v>2973426</v>
      </c>
      <c r="BK88">
        <v>253</v>
      </c>
      <c r="BM88" s="24"/>
      <c r="BN88">
        <v>7061001</v>
      </c>
      <c r="BO88">
        <v>7100776</v>
      </c>
      <c r="BP88">
        <v>7061006</v>
      </c>
      <c r="BQ88">
        <v>9065</v>
      </c>
      <c r="BR88">
        <v>315</v>
      </c>
      <c r="BT88" s="24"/>
      <c r="BU88">
        <v>1838</v>
      </c>
      <c r="BV88">
        <v>1895</v>
      </c>
      <c r="BW88">
        <v>1894</v>
      </c>
      <c r="BX88">
        <v>21715416</v>
      </c>
      <c r="BY88">
        <v>252</v>
      </c>
      <c r="CA88" s="24"/>
      <c r="CB88">
        <v>361</v>
      </c>
      <c r="CC88">
        <v>375</v>
      </c>
      <c r="CD88">
        <v>369</v>
      </c>
      <c r="CE88">
        <v>80990610</v>
      </c>
      <c r="CF88">
        <v>302</v>
      </c>
      <c r="CH88" s="24"/>
      <c r="CI88">
        <v>24511</v>
      </c>
      <c r="CJ88">
        <v>25600</v>
      </c>
      <c r="CK88">
        <v>25505</v>
      </c>
      <c r="CL88">
        <v>1764231</v>
      </c>
      <c r="CM88">
        <v>175</v>
      </c>
      <c r="CO88" s="24"/>
      <c r="CP88">
        <v>8316</v>
      </c>
      <c r="CQ88">
        <v>8489</v>
      </c>
      <c r="CR88">
        <v>8351</v>
      </c>
      <c r="CS88">
        <v>1515673</v>
      </c>
      <c r="CT88">
        <v>374</v>
      </c>
      <c r="CV88" s="24"/>
      <c r="CW88">
        <v>1448967</v>
      </c>
      <c r="CX88">
        <v>1448988</v>
      </c>
      <c r="CY88">
        <v>1448967</v>
      </c>
      <c r="CZ88">
        <v>7080</v>
      </c>
      <c r="DA88">
        <v>36</v>
      </c>
      <c r="DC88" s="24"/>
      <c r="DD88">
        <v>385</v>
      </c>
      <c r="DE88">
        <v>402</v>
      </c>
      <c r="DF88">
        <v>402</v>
      </c>
      <c r="DG88">
        <v>60289669</v>
      </c>
      <c r="DH88">
        <v>198</v>
      </c>
      <c r="DJ88" s="24"/>
      <c r="DK88">
        <v>36990100</v>
      </c>
      <c r="DL88">
        <v>37001002</v>
      </c>
      <c r="DM88">
        <v>36996001</v>
      </c>
      <c r="DN88">
        <v>344</v>
      </c>
      <c r="DO88">
        <v>87</v>
      </c>
      <c r="DQ88" s="24"/>
      <c r="DR88">
        <v>1400270</v>
      </c>
      <c r="DS88">
        <v>1599108</v>
      </c>
      <c r="DT88">
        <v>1599108</v>
      </c>
      <c r="DU88">
        <v>4717</v>
      </c>
      <c r="DV88">
        <v>216</v>
      </c>
      <c r="DX88" s="24"/>
      <c r="DY88">
        <v>18530014</v>
      </c>
      <c r="DZ88">
        <v>19780002</v>
      </c>
      <c r="EA88">
        <v>19699999</v>
      </c>
      <c r="EB88">
        <v>401</v>
      </c>
      <c r="EC88">
        <v>114</v>
      </c>
      <c r="EE88" s="24"/>
      <c r="EF88">
        <v>183</v>
      </c>
      <c r="EG88">
        <v>187</v>
      </c>
      <c r="EH88">
        <v>185</v>
      </c>
      <c r="EI88">
        <v>99733374</v>
      </c>
      <c r="EJ88">
        <v>183</v>
      </c>
      <c r="EL88" s="24"/>
      <c r="EM88">
        <v>58117</v>
      </c>
      <c r="EN88">
        <v>58250</v>
      </c>
      <c r="EO88">
        <v>58120</v>
      </c>
      <c r="EP88">
        <v>69908</v>
      </c>
      <c r="EQ88">
        <v>699</v>
      </c>
      <c r="ES88" s="24"/>
      <c r="ET88">
        <v>432</v>
      </c>
      <c r="EU88">
        <v>450</v>
      </c>
      <c r="EV88">
        <v>449</v>
      </c>
      <c r="EW88">
        <v>44757990</v>
      </c>
      <c r="EX88">
        <v>621</v>
      </c>
      <c r="EZ88" s="24"/>
      <c r="FA88">
        <v>3700000</v>
      </c>
      <c r="FB88">
        <v>3797999</v>
      </c>
      <c r="FC88">
        <v>3700000</v>
      </c>
      <c r="FD88">
        <v>1007</v>
      </c>
      <c r="FE88">
        <v>17</v>
      </c>
      <c r="FG88" s="24"/>
      <c r="FH88">
        <v>8404</v>
      </c>
      <c r="FI88">
        <v>8703</v>
      </c>
      <c r="FJ88">
        <v>8602</v>
      </c>
      <c r="FK88">
        <v>2103134</v>
      </c>
      <c r="FL88">
        <v>462</v>
      </c>
      <c r="FN88" s="24"/>
      <c r="FO88">
        <v>23554</v>
      </c>
      <c r="FP88">
        <v>23999</v>
      </c>
      <c r="FQ88">
        <v>23590</v>
      </c>
      <c r="FR88">
        <v>70876</v>
      </c>
      <c r="FS88">
        <v>74</v>
      </c>
      <c r="FU88" s="24"/>
      <c r="FV88">
        <v>27031</v>
      </c>
      <c r="FW88">
        <v>27052</v>
      </c>
      <c r="FX88">
        <v>27039</v>
      </c>
      <c r="FY88">
        <v>327555</v>
      </c>
      <c r="FZ88">
        <v>1317</v>
      </c>
      <c r="GB88" s="24"/>
      <c r="GC88">
        <v>105600200</v>
      </c>
      <c r="GD88">
        <v>107985800</v>
      </c>
      <c r="GE88">
        <v>107182142</v>
      </c>
      <c r="GF88">
        <v>56</v>
      </c>
      <c r="GG88">
        <v>45</v>
      </c>
      <c r="GI88" s="24"/>
      <c r="GJ88">
        <v>24702407</v>
      </c>
      <c r="GK88">
        <v>25994999</v>
      </c>
      <c r="GL88">
        <v>24702575</v>
      </c>
      <c r="GM88">
        <v>244</v>
      </c>
      <c r="GN88">
        <v>45</v>
      </c>
      <c r="GP88" s="24"/>
      <c r="GQ88">
        <v>94</v>
      </c>
      <c r="GR88">
        <v>100</v>
      </c>
      <c r="GS88">
        <v>99</v>
      </c>
      <c r="GT88">
        <v>130405791</v>
      </c>
      <c r="GU88">
        <v>132</v>
      </c>
      <c r="GW88" s="24"/>
      <c r="GX88">
        <v>373</v>
      </c>
      <c r="GY88">
        <v>379</v>
      </c>
      <c r="GZ88">
        <v>377</v>
      </c>
      <c r="HA88">
        <v>122171270</v>
      </c>
      <c r="HB88">
        <v>222</v>
      </c>
      <c r="HD88" s="24"/>
      <c r="HE88">
        <v>5450</v>
      </c>
      <c r="HF88">
        <v>5549</v>
      </c>
      <c r="HG88">
        <v>5547</v>
      </c>
      <c r="HH88">
        <v>10672308</v>
      </c>
      <c r="HI88">
        <v>252</v>
      </c>
      <c r="HK88" s="24"/>
      <c r="HL88">
        <v>107000200</v>
      </c>
      <c r="HM88">
        <v>110493800</v>
      </c>
      <c r="HN88">
        <v>108302829</v>
      </c>
      <c r="HO88">
        <v>72</v>
      </c>
      <c r="HP88">
        <v>49</v>
      </c>
      <c r="HR88" s="24"/>
      <c r="HS88">
        <v>7709</v>
      </c>
      <c r="HT88">
        <v>8200</v>
      </c>
      <c r="HU88">
        <v>8000</v>
      </c>
      <c r="HV88">
        <v>860619</v>
      </c>
      <c r="HW88">
        <v>161</v>
      </c>
      <c r="HY88" s="24"/>
      <c r="HZ88">
        <v>8303</v>
      </c>
      <c r="IA88">
        <v>8566</v>
      </c>
      <c r="IB88">
        <v>8490</v>
      </c>
      <c r="IC88">
        <v>1858312</v>
      </c>
      <c r="ID88">
        <v>501</v>
      </c>
      <c r="IF88" s="24"/>
      <c r="IG88">
        <v>2739</v>
      </c>
      <c r="IH88">
        <v>3125</v>
      </c>
      <c r="II88">
        <v>2750</v>
      </c>
      <c r="IJ88">
        <v>1794499</v>
      </c>
      <c r="IK88">
        <v>143</v>
      </c>
      <c r="IM88" s="24"/>
      <c r="IN88">
        <v>104203000</v>
      </c>
      <c r="IO88">
        <v>106982400</v>
      </c>
      <c r="IP88">
        <v>104253299</v>
      </c>
      <c r="IQ88">
        <v>71</v>
      </c>
      <c r="IR88">
        <v>46</v>
      </c>
      <c r="IT88" s="24"/>
      <c r="IU88">
        <v>7749</v>
      </c>
      <c r="IV88">
        <v>7998</v>
      </c>
      <c r="IW88">
        <v>7750</v>
      </c>
      <c r="IX88">
        <v>1221790</v>
      </c>
      <c r="IY88">
        <v>142</v>
      </c>
      <c r="JA88" s="24"/>
      <c r="JB88">
        <v>105500200</v>
      </c>
      <c r="JC88">
        <v>107200000</v>
      </c>
      <c r="JD88">
        <v>106055116</v>
      </c>
      <c r="JE88">
        <v>98</v>
      </c>
      <c r="JF88">
        <v>62</v>
      </c>
      <c r="JH88" s="24"/>
      <c r="JI88">
        <v>105405600</v>
      </c>
      <c r="JJ88">
        <v>107167800</v>
      </c>
      <c r="JK88">
        <v>106501636</v>
      </c>
      <c r="JL88">
        <v>44</v>
      </c>
      <c r="JM88">
        <v>29</v>
      </c>
      <c r="JO88" s="24"/>
      <c r="JP88">
        <v>74</v>
      </c>
      <c r="JQ88">
        <v>74</v>
      </c>
      <c r="JR88">
        <v>74</v>
      </c>
      <c r="JS88">
        <v>68345952</v>
      </c>
      <c r="JT88">
        <v>91</v>
      </c>
      <c r="JV88" s="24"/>
      <c r="JW88">
        <v>71</v>
      </c>
      <c r="JX88">
        <v>73</v>
      </c>
      <c r="JY88">
        <v>73</v>
      </c>
      <c r="JZ88">
        <v>73270401</v>
      </c>
      <c r="KA88">
        <v>80</v>
      </c>
      <c r="KC88" s="24"/>
      <c r="KD88">
        <v>21</v>
      </c>
      <c r="KE88">
        <v>24</v>
      </c>
      <c r="KF88">
        <v>21</v>
      </c>
      <c r="KG88">
        <v>83350338</v>
      </c>
      <c r="KH88">
        <v>278</v>
      </c>
      <c r="KJ88" s="24"/>
      <c r="KK88">
        <v>79</v>
      </c>
      <c r="KL88">
        <v>86</v>
      </c>
      <c r="KM88">
        <v>85</v>
      </c>
      <c r="KN88">
        <v>155833651</v>
      </c>
      <c r="KO88">
        <v>143</v>
      </c>
      <c r="KQ88" s="24"/>
      <c r="KR88">
        <v>90088</v>
      </c>
      <c r="KS88">
        <v>93500</v>
      </c>
      <c r="KT88">
        <v>90166</v>
      </c>
      <c r="KU88">
        <v>63336</v>
      </c>
      <c r="KV88">
        <v>677</v>
      </c>
      <c r="KX88" s="24"/>
      <c r="KY88">
        <v>551</v>
      </c>
      <c r="KZ88">
        <v>618</v>
      </c>
      <c r="LA88">
        <v>570</v>
      </c>
      <c r="LB88">
        <v>5144172</v>
      </c>
      <c r="LC88">
        <v>163</v>
      </c>
      <c r="LE88" s="24"/>
      <c r="LF88">
        <v>226925</v>
      </c>
      <c r="LG88">
        <v>229003</v>
      </c>
      <c r="LH88">
        <v>228899</v>
      </c>
      <c r="LI88">
        <v>147104</v>
      </c>
      <c r="LJ88">
        <v>991</v>
      </c>
      <c r="LL88" s="24"/>
      <c r="LM88">
        <v>87207</v>
      </c>
      <c r="LN88">
        <v>87630</v>
      </c>
      <c r="LO88">
        <v>87212</v>
      </c>
      <c r="LP88">
        <v>354848</v>
      </c>
      <c r="LQ88">
        <v>1360</v>
      </c>
      <c r="LS88" s="24"/>
      <c r="LT88">
        <v>326</v>
      </c>
      <c r="LU88">
        <v>339</v>
      </c>
      <c r="LV88">
        <v>339</v>
      </c>
      <c r="LW88">
        <v>114867701</v>
      </c>
      <c r="LX88">
        <v>344</v>
      </c>
      <c r="LZ88" s="24"/>
      <c r="MA88">
        <v>86704</v>
      </c>
      <c r="MB88">
        <v>92430</v>
      </c>
      <c r="MC88">
        <v>92429</v>
      </c>
      <c r="MD88">
        <v>488375</v>
      </c>
      <c r="ME88">
        <v>55</v>
      </c>
    </row>
    <row r="89" spans="2:343" x14ac:dyDescent="0.25">
      <c r="B89" s="24"/>
      <c r="C89">
        <v>3</v>
      </c>
      <c r="D89">
        <v>3</v>
      </c>
      <c r="E89">
        <v>3</v>
      </c>
      <c r="F89">
        <v>35560877635</v>
      </c>
      <c r="G89">
        <v>3404</v>
      </c>
      <c r="I89" s="24"/>
      <c r="J89">
        <v>5</v>
      </c>
      <c r="K89">
        <v>5</v>
      </c>
      <c r="L89">
        <v>5</v>
      </c>
      <c r="M89">
        <v>8347517778</v>
      </c>
      <c r="N89">
        <v>2472</v>
      </c>
      <c r="P89" s="24"/>
      <c r="Q89">
        <v>29</v>
      </c>
      <c r="R89">
        <v>29</v>
      </c>
      <c r="S89">
        <v>29</v>
      </c>
      <c r="T89">
        <v>2729336040</v>
      </c>
      <c r="U89">
        <v>2296</v>
      </c>
      <c r="W89" s="24"/>
      <c r="X89">
        <v>68</v>
      </c>
      <c r="Y89">
        <v>69</v>
      </c>
      <c r="Z89">
        <v>69</v>
      </c>
      <c r="AA89">
        <v>538546444</v>
      </c>
      <c r="AB89">
        <v>1765</v>
      </c>
      <c r="AD89" s="24"/>
      <c r="AE89">
        <v>549</v>
      </c>
      <c r="AF89">
        <v>551</v>
      </c>
      <c r="AG89">
        <v>551</v>
      </c>
      <c r="AH89">
        <v>161390615</v>
      </c>
      <c r="AI89">
        <v>1933</v>
      </c>
      <c r="AK89" s="24"/>
      <c r="AL89">
        <v>1018</v>
      </c>
      <c r="AM89">
        <v>1022</v>
      </c>
      <c r="AN89">
        <v>1021</v>
      </c>
      <c r="AO89">
        <v>47113864</v>
      </c>
      <c r="AP89">
        <v>1513</v>
      </c>
      <c r="AR89" s="24"/>
      <c r="AS89">
        <v>2960</v>
      </c>
      <c r="AT89">
        <v>3049</v>
      </c>
      <c r="AU89">
        <v>3016</v>
      </c>
      <c r="AV89">
        <v>17279055</v>
      </c>
      <c r="AW89">
        <v>1508</v>
      </c>
      <c r="AY89" s="24"/>
      <c r="AZ89">
        <v>327001000</v>
      </c>
      <c r="BA89">
        <v>334499999</v>
      </c>
      <c r="BB89">
        <v>329305001</v>
      </c>
      <c r="BC89">
        <v>2393</v>
      </c>
      <c r="BD89">
        <v>1589</v>
      </c>
      <c r="BF89" s="24"/>
      <c r="BG89">
        <v>24008</v>
      </c>
      <c r="BH89">
        <v>24018</v>
      </c>
      <c r="BI89">
        <v>24014</v>
      </c>
      <c r="BJ89">
        <v>1638331</v>
      </c>
      <c r="BK89">
        <v>229</v>
      </c>
      <c r="BM89" s="24"/>
      <c r="BN89">
        <v>6917010</v>
      </c>
      <c r="BO89">
        <v>6951000</v>
      </c>
      <c r="BP89">
        <v>6918045</v>
      </c>
      <c r="BQ89">
        <v>9788</v>
      </c>
      <c r="BR89">
        <v>355</v>
      </c>
      <c r="BT89" s="24"/>
      <c r="BU89">
        <v>1851</v>
      </c>
      <c r="BV89">
        <v>1894</v>
      </c>
      <c r="BW89">
        <v>1893</v>
      </c>
      <c r="BX89">
        <v>30648993</v>
      </c>
      <c r="BY89">
        <v>301</v>
      </c>
      <c r="CA89" s="24"/>
      <c r="CB89">
        <v>366</v>
      </c>
      <c r="CC89">
        <v>368</v>
      </c>
      <c r="CD89">
        <v>368</v>
      </c>
      <c r="CE89">
        <v>86191368</v>
      </c>
      <c r="CF89">
        <v>346</v>
      </c>
      <c r="CH89" s="24"/>
      <c r="CI89">
        <v>23504</v>
      </c>
      <c r="CJ89">
        <v>24005</v>
      </c>
      <c r="CK89">
        <v>23522</v>
      </c>
      <c r="CL89">
        <v>1235294</v>
      </c>
      <c r="CM89">
        <v>213</v>
      </c>
      <c r="CO89" s="24"/>
      <c r="CP89">
        <v>7825</v>
      </c>
      <c r="CQ89">
        <v>8300</v>
      </c>
      <c r="CR89">
        <v>8195</v>
      </c>
      <c r="CS89">
        <v>1093383</v>
      </c>
      <c r="CT89">
        <v>422</v>
      </c>
      <c r="CV89" s="24"/>
      <c r="CW89">
        <v>1442439</v>
      </c>
      <c r="CX89">
        <v>1442439</v>
      </c>
      <c r="CY89">
        <v>1442439</v>
      </c>
      <c r="CZ89">
        <v>9821</v>
      </c>
      <c r="DA89">
        <v>43</v>
      </c>
      <c r="DC89" s="24"/>
      <c r="DD89">
        <v>390</v>
      </c>
      <c r="DE89">
        <v>406</v>
      </c>
      <c r="DF89">
        <v>406</v>
      </c>
      <c r="DG89">
        <v>54815106</v>
      </c>
      <c r="DH89">
        <v>215</v>
      </c>
      <c r="DJ89" s="24"/>
      <c r="DK89">
        <v>37120004</v>
      </c>
      <c r="DL89">
        <v>37220002</v>
      </c>
      <c r="DM89">
        <v>37121000</v>
      </c>
      <c r="DN89">
        <v>521</v>
      </c>
      <c r="DO89">
        <v>129</v>
      </c>
      <c r="DQ89" s="24"/>
      <c r="DR89">
        <v>1426002</v>
      </c>
      <c r="DS89">
        <v>1599999</v>
      </c>
      <c r="DT89">
        <v>1519998</v>
      </c>
      <c r="DU89">
        <v>6303</v>
      </c>
      <c r="DV89">
        <v>279</v>
      </c>
      <c r="DX89" s="24"/>
      <c r="DY89">
        <v>19000003</v>
      </c>
      <c r="DZ89">
        <v>20529004</v>
      </c>
      <c r="EA89">
        <v>19100555</v>
      </c>
      <c r="EB89">
        <v>343</v>
      </c>
      <c r="EC89">
        <v>107</v>
      </c>
      <c r="EE89" s="24"/>
      <c r="EF89">
        <v>181</v>
      </c>
      <c r="EG89">
        <v>187</v>
      </c>
      <c r="EH89">
        <v>181</v>
      </c>
      <c r="EI89">
        <v>88677723</v>
      </c>
      <c r="EJ89">
        <v>219</v>
      </c>
      <c r="EL89" s="24"/>
      <c r="EM89">
        <v>56264</v>
      </c>
      <c r="EN89">
        <v>57899</v>
      </c>
      <c r="EO89">
        <v>56269</v>
      </c>
      <c r="EP89">
        <v>95102</v>
      </c>
      <c r="EQ89">
        <v>763</v>
      </c>
      <c r="ES89" s="24"/>
      <c r="ET89">
        <v>431</v>
      </c>
      <c r="EU89">
        <v>449</v>
      </c>
      <c r="EV89">
        <v>448</v>
      </c>
      <c r="EW89">
        <v>43938341</v>
      </c>
      <c r="EX89">
        <v>738</v>
      </c>
      <c r="EZ89" s="24"/>
      <c r="FA89">
        <v>3700000</v>
      </c>
      <c r="FB89">
        <v>3795998</v>
      </c>
      <c r="FC89">
        <v>3701004</v>
      </c>
      <c r="FD89">
        <v>1479</v>
      </c>
      <c r="FE89">
        <v>22</v>
      </c>
      <c r="FG89" s="24"/>
      <c r="FH89">
        <v>8408</v>
      </c>
      <c r="FI89">
        <v>8668</v>
      </c>
      <c r="FJ89">
        <v>8499</v>
      </c>
      <c r="FK89">
        <v>2050502</v>
      </c>
      <c r="FL89">
        <v>564</v>
      </c>
      <c r="FN89" s="24"/>
      <c r="FO89">
        <v>19391</v>
      </c>
      <c r="FP89">
        <v>21000</v>
      </c>
      <c r="FQ89">
        <v>19400</v>
      </c>
      <c r="FR89">
        <v>351454</v>
      </c>
      <c r="FS89">
        <v>99</v>
      </c>
      <c r="FU89" s="24"/>
      <c r="FV89">
        <v>28059</v>
      </c>
      <c r="FW89">
        <v>28066</v>
      </c>
      <c r="FX89">
        <v>28064</v>
      </c>
      <c r="FY89">
        <v>469600</v>
      </c>
      <c r="FZ89">
        <v>1487</v>
      </c>
      <c r="GB89" s="24"/>
      <c r="GC89">
        <v>102750750</v>
      </c>
      <c r="GD89">
        <v>107974000</v>
      </c>
      <c r="GE89">
        <v>106000200</v>
      </c>
      <c r="GF89">
        <v>111</v>
      </c>
      <c r="GG89">
        <v>82</v>
      </c>
      <c r="GI89" s="24"/>
      <c r="GJ89">
        <v>25210006</v>
      </c>
      <c r="GK89">
        <v>26000000</v>
      </c>
      <c r="GL89">
        <v>25220049</v>
      </c>
      <c r="GM89">
        <v>520</v>
      </c>
      <c r="GN89">
        <v>98</v>
      </c>
      <c r="GP89" s="24"/>
      <c r="GQ89">
        <v>92</v>
      </c>
      <c r="GR89">
        <v>99</v>
      </c>
      <c r="GS89">
        <v>96</v>
      </c>
      <c r="GT89">
        <v>162426333</v>
      </c>
      <c r="GU89">
        <v>186</v>
      </c>
      <c r="GW89" s="24"/>
      <c r="GX89">
        <v>372</v>
      </c>
      <c r="GY89">
        <v>397</v>
      </c>
      <c r="GZ89">
        <v>395</v>
      </c>
      <c r="HA89">
        <v>77449386</v>
      </c>
      <c r="HB89">
        <v>291</v>
      </c>
      <c r="HD89" s="24"/>
      <c r="HE89">
        <v>5367</v>
      </c>
      <c r="HF89">
        <v>5487</v>
      </c>
      <c r="HG89">
        <v>5486</v>
      </c>
      <c r="HH89">
        <v>16799028</v>
      </c>
      <c r="HI89">
        <v>280</v>
      </c>
      <c r="HK89" s="24"/>
      <c r="HL89">
        <v>104000000</v>
      </c>
      <c r="HM89">
        <v>107499800</v>
      </c>
      <c r="HN89">
        <v>105500000</v>
      </c>
      <c r="HO89">
        <v>102</v>
      </c>
      <c r="HP89">
        <v>78</v>
      </c>
      <c r="HR89" s="24"/>
      <c r="HS89">
        <v>8000</v>
      </c>
      <c r="HT89">
        <v>8499</v>
      </c>
      <c r="HU89">
        <v>8475</v>
      </c>
      <c r="HV89">
        <v>1032293</v>
      </c>
      <c r="HW89">
        <v>198</v>
      </c>
      <c r="HY89" s="24"/>
      <c r="HZ89">
        <v>8200</v>
      </c>
      <c r="IA89">
        <v>8499</v>
      </c>
      <c r="IB89">
        <v>8362</v>
      </c>
      <c r="IC89">
        <v>1783829</v>
      </c>
      <c r="ID89">
        <v>544</v>
      </c>
      <c r="IF89" s="24"/>
      <c r="IG89">
        <v>2682</v>
      </c>
      <c r="IH89">
        <v>2999</v>
      </c>
      <c r="II89">
        <v>2700</v>
      </c>
      <c r="IJ89">
        <v>2405327</v>
      </c>
      <c r="IK89">
        <v>163</v>
      </c>
      <c r="IM89" s="24"/>
      <c r="IN89">
        <v>103500000</v>
      </c>
      <c r="IO89">
        <v>106800000</v>
      </c>
      <c r="IP89">
        <v>104777523</v>
      </c>
      <c r="IQ89">
        <v>97</v>
      </c>
      <c r="IR89">
        <v>73</v>
      </c>
      <c r="IT89" s="24"/>
      <c r="IU89">
        <v>7800</v>
      </c>
      <c r="IV89">
        <v>7998</v>
      </c>
      <c r="IW89">
        <v>7899</v>
      </c>
      <c r="IX89">
        <v>1063489</v>
      </c>
      <c r="IY89">
        <v>140</v>
      </c>
      <c r="JA89" s="24"/>
      <c r="JB89">
        <v>104500000</v>
      </c>
      <c r="JC89">
        <v>107499800</v>
      </c>
      <c r="JD89">
        <v>105500200</v>
      </c>
      <c r="JE89">
        <v>158</v>
      </c>
      <c r="JF89">
        <v>97</v>
      </c>
      <c r="JH89" s="24"/>
      <c r="JI89">
        <v>104002001</v>
      </c>
      <c r="JJ89">
        <v>107167598</v>
      </c>
      <c r="JK89">
        <v>105733737</v>
      </c>
      <c r="JL89">
        <v>70</v>
      </c>
      <c r="JM89">
        <v>45</v>
      </c>
      <c r="JO89" s="24"/>
      <c r="JP89">
        <v>74</v>
      </c>
      <c r="JQ89">
        <v>74</v>
      </c>
      <c r="JR89">
        <v>74</v>
      </c>
      <c r="JS89">
        <v>145966617</v>
      </c>
      <c r="JT89">
        <v>126</v>
      </c>
      <c r="JV89" s="24"/>
      <c r="JW89">
        <v>70</v>
      </c>
      <c r="JX89">
        <v>73</v>
      </c>
      <c r="JY89">
        <v>71</v>
      </c>
      <c r="JZ89">
        <v>207101960</v>
      </c>
      <c r="KA89">
        <v>189</v>
      </c>
      <c r="KC89" s="24"/>
      <c r="KD89">
        <v>23</v>
      </c>
      <c r="KE89">
        <v>27</v>
      </c>
      <c r="KF89">
        <v>27</v>
      </c>
      <c r="KG89">
        <v>63100861</v>
      </c>
      <c r="KH89">
        <v>336</v>
      </c>
      <c r="KJ89" s="24"/>
      <c r="KK89">
        <v>79</v>
      </c>
      <c r="KL89">
        <v>84</v>
      </c>
      <c r="KM89">
        <v>84</v>
      </c>
      <c r="KN89">
        <v>278734773</v>
      </c>
      <c r="KO89">
        <v>219</v>
      </c>
      <c r="KQ89" s="24"/>
      <c r="KR89">
        <v>90108</v>
      </c>
      <c r="KS89">
        <v>91000</v>
      </c>
      <c r="KT89">
        <v>90168</v>
      </c>
      <c r="KU89">
        <v>70916</v>
      </c>
      <c r="KV89">
        <v>784</v>
      </c>
      <c r="KX89" s="24"/>
      <c r="KY89">
        <v>600</v>
      </c>
      <c r="KZ89">
        <v>607</v>
      </c>
      <c r="LA89">
        <v>607</v>
      </c>
      <c r="LB89">
        <v>6020246</v>
      </c>
      <c r="LC89">
        <v>203</v>
      </c>
      <c r="LE89" s="24"/>
      <c r="LF89">
        <v>210100</v>
      </c>
      <c r="LG89">
        <v>216999</v>
      </c>
      <c r="LH89">
        <v>210239</v>
      </c>
      <c r="LI89">
        <v>132329</v>
      </c>
      <c r="LJ89">
        <v>1157</v>
      </c>
      <c r="LL89" s="24"/>
      <c r="LM89">
        <v>87218</v>
      </c>
      <c r="LN89">
        <v>87360</v>
      </c>
      <c r="LO89">
        <v>87237</v>
      </c>
      <c r="LP89">
        <v>316496</v>
      </c>
      <c r="LQ89">
        <v>1514</v>
      </c>
      <c r="LS89" s="24"/>
      <c r="LT89">
        <v>330</v>
      </c>
      <c r="LU89">
        <v>336</v>
      </c>
      <c r="LV89">
        <v>334</v>
      </c>
      <c r="LW89">
        <v>91339938</v>
      </c>
      <c r="LX89">
        <v>359</v>
      </c>
      <c r="LZ89" s="24"/>
      <c r="MA89">
        <v>88702</v>
      </c>
      <c r="MB89">
        <v>91951</v>
      </c>
      <c r="MC89">
        <v>90004</v>
      </c>
      <c r="MD89">
        <v>728039</v>
      </c>
      <c r="ME89">
        <v>89</v>
      </c>
    </row>
    <row r="90" spans="2:343" x14ac:dyDescent="0.25">
      <c r="B90" s="24"/>
      <c r="C90">
        <v>3</v>
      </c>
      <c r="D90">
        <v>3</v>
      </c>
      <c r="E90">
        <v>3</v>
      </c>
      <c r="F90">
        <v>33485599481</v>
      </c>
      <c r="G90">
        <v>3770</v>
      </c>
      <c r="I90" s="24"/>
      <c r="J90">
        <v>4</v>
      </c>
      <c r="K90">
        <v>5</v>
      </c>
      <c r="L90">
        <v>5</v>
      </c>
      <c r="M90">
        <v>8350338637</v>
      </c>
      <c r="N90">
        <v>2697</v>
      </c>
      <c r="P90" s="24"/>
      <c r="Q90">
        <v>29</v>
      </c>
      <c r="R90">
        <v>29</v>
      </c>
      <c r="S90">
        <v>29</v>
      </c>
      <c r="T90">
        <v>3372695739</v>
      </c>
      <c r="U90">
        <v>2541</v>
      </c>
      <c r="W90" s="24"/>
      <c r="X90">
        <v>70</v>
      </c>
      <c r="Y90">
        <v>72</v>
      </c>
      <c r="Z90">
        <v>72</v>
      </c>
      <c r="AA90">
        <v>488061701</v>
      </c>
      <c r="AB90">
        <v>1960</v>
      </c>
      <c r="AD90" s="24"/>
      <c r="AE90">
        <v>539</v>
      </c>
      <c r="AF90">
        <v>551</v>
      </c>
      <c r="AG90">
        <v>550</v>
      </c>
      <c r="AH90">
        <v>163441670</v>
      </c>
      <c r="AI90">
        <v>1979</v>
      </c>
      <c r="AK90" s="24"/>
      <c r="AL90">
        <v>1005</v>
      </c>
      <c r="AM90">
        <v>1022</v>
      </c>
      <c r="AN90">
        <v>1018</v>
      </c>
      <c r="AO90">
        <v>46788954</v>
      </c>
      <c r="AP90">
        <v>1535</v>
      </c>
      <c r="AR90" s="24"/>
      <c r="AS90">
        <v>2998</v>
      </c>
      <c r="AT90">
        <v>3112</v>
      </c>
      <c r="AU90">
        <v>3055</v>
      </c>
      <c r="AV90">
        <v>21100536</v>
      </c>
      <c r="AW90">
        <v>1590</v>
      </c>
      <c r="AY90" s="24"/>
      <c r="AZ90">
        <v>328501560</v>
      </c>
      <c r="BA90">
        <v>334998380</v>
      </c>
      <c r="BB90">
        <v>333000020</v>
      </c>
      <c r="BC90">
        <v>2354</v>
      </c>
      <c r="BD90">
        <v>1648</v>
      </c>
      <c r="BF90" s="24"/>
      <c r="BG90">
        <v>25006</v>
      </c>
      <c r="BH90">
        <v>25009</v>
      </c>
      <c r="BI90">
        <v>25006</v>
      </c>
      <c r="BJ90">
        <v>1040239</v>
      </c>
      <c r="BK90">
        <v>213</v>
      </c>
      <c r="BM90" s="24"/>
      <c r="BN90">
        <v>6923999</v>
      </c>
      <c r="BO90">
        <v>6924985</v>
      </c>
      <c r="BP90">
        <v>6924710</v>
      </c>
      <c r="BQ90">
        <v>9849</v>
      </c>
      <c r="BR90">
        <v>328</v>
      </c>
      <c r="BT90" s="24"/>
      <c r="BU90">
        <v>1830</v>
      </c>
      <c r="BV90">
        <v>1894</v>
      </c>
      <c r="BW90">
        <v>1878</v>
      </c>
      <c r="BX90">
        <v>27508723</v>
      </c>
      <c r="BY90">
        <v>279</v>
      </c>
      <c r="CA90" s="24"/>
      <c r="CB90">
        <v>298</v>
      </c>
      <c r="CC90">
        <v>334</v>
      </c>
      <c r="CD90">
        <v>325</v>
      </c>
      <c r="CE90">
        <v>146352856</v>
      </c>
      <c r="CF90">
        <v>415</v>
      </c>
      <c r="CH90" s="24"/>
      <c r="CI90">
        <v>25002</v>
      </c>
      <c r="CJ90">
        <v>25007</v>
      </c>
      <c r="CK90">
        <v>25006</v>
      </c>
      <c r="CL90">
        <v>2405624</v>
      </c>
      <c r="CM90">
        <v>239</v>
      </c>
      <c r="CO90" s="24"/>
      <c r="CP90">
        <v>8200</v>
      </c>
      <c r="CQ90">
        <v>8714</v>
      </c>
      <c r="CR90">
        <v>8478</v>
      </c>
      <c r="CS90">
        <v>1296568</v>
      </c>
      <c r="CT90">
        <v>477</v>
      </c>
      <c r="CV90" s="24"/>
      <c r="CW90">
        <v>1490167</v>
      </c>
      <c r="CX90">
        <v>1568948</v>
      </c>
      <c r="CY90">
        <v>1500000</v>
      </c>
      <c r="CZ90">
        <v>8929</v>
      </c>
      <c r="DA90">
        <v>61</v>
      </c>
      <c r="DC90" s="24"/>
      <c r="DD90">
        <v>384</v>
      </c>
      <c r="DE90">
        <v>404</v>
      </c>
      <c r="DF90">
        <v>404</v>
      </c>
      <c r="DG90">
        <v>39609930</v>
      </c>
      <c r="DH90">
        <v>211</v>
      </c>
      <c r="DJ90" s="24"/>
      <c r="DK90">
        <v>37121009</v>
      </c>
      <c r="DL90">
        <v>37121074</v>
      </c>
      <c r="DM90">
        <v>37121061</v>
      </c>
      <c r="DN90">
        <v>414</v>
      </c>
      <c r="DO90">
        <v>109</v>
      </c>
      <c r="DQ90" s="24"/>
      <c r="DR90">
        <v>1456102</v>
      </c>
      <c r="DS90">
        <v>1546276</v>
      </c>
      <c r="DT90">
        <v>1460000</v>
      </c>
      <c r="DU90">
        <v>5306</v>
      </c>
      <c r="DV90">
        <v>280</v>
      </c>
      <c r="DX90" s="24"/>
      <c r="DY90">
        <v>19119032</v>
      </c>
      <c r="DZ90">
        <v>19488887</v>
      </c>
      <c r="EA90">
        <v>19119043</v>
      </c>
      <c r="EB90">
        <v>408</v>
      </c>
      <c r="EC90">
        <v>102</v>
      </c>
      <c r="EE90" s="24"/>
      <c r="EF90">
        <v>170</v>
      </c>
      <c r="EG90">
        <v>179</v>
      </c>
      <c r="EH90">
        <v>178</v>
      </c>
      <c r="EI90">
        <v>102493575</v>
      </c>
      <c r="EJ90">
        <v>258</v>
      </c>
      <c r="EL90" s="24"/>
      <c r="EM90">
        <v>56100</v>
      </c>
      <c r="EN90">
        <v>57898</v>
      </c>
      <c r="EO90">
        <v>56269</v>
      </c>
      <c r="EP90">
        <v>101790</v>
      </c>
      <c r="EQ90">
        <v>860</v>
      </c>
      <c r="ES90" s="24"/>
      <c r="ET90">
        <v>426</v>
      </c>
      <c r="EU90">
        <v>435</v>
      </c>
      <c r="EV90">
        <v>435</v>
      </c>
      <c r="EW90">
        <v>62279014</v>
      </c>
      <c r="EX90">
        <v>743</v>
      </c>
      <c r="EZ90" s="24"/>
      <c r="FA90">
        <v>3788997</v>
      </c>
      <c r="FB90">
        <v>3810000</v>
      </c>
      <c r="FC90">
        <v>3789000</v>
      </c>
      <c r="FD90">
        <v>2074</v>
      </c>
      <c r="FE90">
        <v>27</v>
      </c>
      <c r="FG90" s="24"/>
      <c r="FH90">
        <v>8401</v>
      </c>
      <c r="FI90">
        <v>8649</v>
      </c>
      <c r="FJ90">
        <v>8430</v>
      </c>
      <c r="FK90">
        <v>2657351</v>
      </c>
      <c r="FL90">
        <v>620</v>
      </c>
      <c r="FN90" s="24"/>
      <c r="FO90">
        <v>21997</v>
      </c>
      <c r="FP90">
        <v>21998</v>
      </c>
      <c r="FQ90">
        <v>21997</v>
      </c>
      <c r="FR90">
        <v>135139</v>
      </c>
      <c r="FS90">
        <v>84</v>
      </c>
      <c r="FU90" s="24"/>
      <c r="FV90">
        <v>28110</v>
      </c>
      <c r="FW90">
        <v>28116</v>
      </c>
      <c r="FX90">
        <v>28110</v>
      </c>
      <c r="FY90">
        <v>390761</v>
      </c>
      <c r="FZ90">
        <v>1644</v>
      </c>
      <c r="GB90" s="24"/>
      <c r="GC90">
        <v>104001002</v>
      </c>
      <c r="GD90">
        <v>107000000</v>
      </c>
      <c r="GE90">
        <v>104001600</v>
      </c>
      <c r="GF90">
        <v>104</v>
      </c>
      <c r="GG90">
        <v>68</v>
      </c>
      <c r="GI90" s="24"/>
      <c r="GJ90">
        <v>25211776</v>
      </c>
      <c r="GK90">
        <v>25412777</v>
      </c>
      <c r="GL90">
        <v>25211803</v>
      </c>
      <c r="GM90">
        <v>366</v>
      </c>
      <c r="GN90">
        <v>74</v>
      </c>
      <c r="GP90" s="24"/>
      <c r="GQ90">
        <v>90</v>
      </c>
      <c r="GR90">
        <v>99</v>
      </c>
      <c r="GS90">
        <v>99</v>
      </c>
      <c r="GT90">
        <v>148722195</v>
      </c>
      <c r="GU90">
        <v>183</v>
      </c>
      <c r="GW90" s="24"/>
      <c r="GX90">
        <v>373</v>
      </c>
      <c r="GY90">
        <v>382</v>
      </c>
      <c r="GZ90">
        <v>375</v>
      </c>
      <c r="HA90">
        <v>37747628</v>
      </c>
      <c r="HB90">
        <v>248</v>
      </c>
      <c r="HD90" s="24"/>
      <c r="HE90">
        <v>5349</v>
      </c>
      <c r="HF90">
        <v>5375</v>
      </c>
      <c r="HG90">
        <v>5374</v>
      </c>
      <c r="HH90">
        <v>21525525</v>
      </c>
      <c r="HI90">
        <v>323</v>
      </c>
      <c r="HK90" s="24"/>
      <c r="HL90">
        <v>103105501</v>
      </c>
      <c r="HM90">
        <v>106499999</v>
      </c>
      <c r="HN90">
        <v>104593688</v>
      </c>
      <c r="HO90">
        <v>78</v>
      </c>
      <c r="HP90">
        <v>58</v>
      </c>
      <c r="HR90" s="24"/>
      <c r="HS90">
        <v>8001</v>
      </c>
      <c r="HT90">
        <v>8500</v>
      </c>
      <c r="HU90">
        <v>8496</v>
      </c>
      <c r="HV90">
        <v>1117449</v>
      </c>
      <c r="HW90">
        <v>233</v>
      </c>
      <c r="HY90" s="24"/>
      <c r="HZ90">
        <v>7927</v>
      </c>
      <c r="IA90">
        <v>8685</v>
      </c>
      <c r="IB90">
        <v>8239</v>
      </c>
      <c r="IC90">
        <v>2658793</v>
      </c>
      <c r="ID90">
        <v>733</v>
      </c>
      <c r="IF90" s="24"/>
      <c r="IG90">
        <v>2687</v>
      </c>
      <c r="IH90">
        <v>2986</v>
      </c>
      <c r="II90">
        <v>2808</v>
      </c>
      <c r="IJ90">
        <v>2704235</v>
      </c>
      <c r="IK90">
        <v>164</v>
      </c>
      <c r="IM90" s="24"/>
      <c r="IN90">
        <v>103001800</v>
      </c>
      <c r="IO90">
        <v>106198598</v>
      </c>
      <c r="IP90">
        <v>104484421</v>
      </c>
      <c r="IQ90">
        <v>56</v>
      </c>
      <c r="IR90">
        <v>42</v>
      </c>
      <c r="IT90" s="24"/>
      <c r="IU90">
        <v>7626</v>
      </c>
      <c r="IV90">
        <v>7836</v>
      </c>
      <c r="IW90">
        <v>7650</v>
      </c>
      <c r="IX90">
        <v>1572625</v>
      </c>
      <c r="IY90">
        <v>184</v>
      </c>
      <c r="JA90" s="24"/>
      <c r="JB90">
        <v>104000000</v>
      </c>
      <c r="JC90">
        <v>106989999</v>
      </c>
      <c r="JD90">
        <v>105800000</v>
      </c>
      <c r="JE90">
        <v>125</v>
      </c>
      <c r="JF90">
        <v>83</v>
      </c>
      <c r="JH90" s="24"/>
      <c r="JI90">
        <v>104001000</v>
      </c>
      <c r="JJ90">
        <v>106998200</v>
      </c>
      <c r="JK90">
        <v>104213216</v>
      </c>
      <c r="JL90">
        <v>75</v>
      </c>
      <c r="JM90">
        <v>42</v>
      </c>
      <c r="JO90" s="24"/>
      <c r="JP90">
        <v>72</v>
      </c>
      <c r="JQ90">
        <v>75</v>
      </c>
      <c r="JR90">
        <v>74</v>
      </c>
      <c r="JS90">
        <v>135255390</v>
      </c>
      <c r="JT90">
        <v>117</v>
      </c>
      <c r="JV90" s="24"/>
      <c r="JW90">
        <v>70</v>
      </c>
      <c r="JX90">
        <v>73</v>
      </c>
      <c r="JY90">
        <v>72</v>
      </c>
      <c r="JZ90">
        <v>132745504</v>
      </c>
      <c r="KA90">
        <v>130</v>
      </c>
      <c r="KC90" s="24"/>
      <c r="KD90">
        <v>23</v>
      </c>
      <c r="KE90">
        <v>26</v>
      </c>
      <c r="KF90">
        <v>26</v>
      </c>
      <c r="KG90">
        <v>60878140</v>
      </c>
      <c r="KH90">
        <v>381</v>
      </c>
      <c r="KJ90" s="24"/>
      <c r="KK90">
        <v>82</v>
      </c>
      <c r="KL90">
        <v>82</v>
      </c>
      <c r="KM90">
        <v>82</v>
      </c>
      <c r="KN90">
        <v>168236251</v>
      </c>
      <c r="KO90">
        <v>180</v>
      </c>
      <c r="KQ90" s="24"/>
      <c r="KR90">
        <v>91251</v>
      </c>
      <c r="KS90">
        <v>93899</v>
      </c>
      <c r="KT90">
        <v>91506</v>
      </c>
      <c r="KU90">
        <v>75326</v>
      </c>
      <c r="KV90">
        <v>804</v>
      </c>
      <c r="KX90" s="24"/>
      <c r="KY90">
        <v>574</v>
      </c>
      <c r="KZ90">
        <v>607</v>
      </c>
      <c r="LA90">
        <v>607</v>
      </c>
      <c r="LB90">
        <v>5616975</v>
      </c>
      <c r="LC90">
        <v>215</v>
      </c>
      <c r="LE90" s="24"/>
      <c r="LF90">
        <v>213000</v>
      </c>
      <c r="LG90">
        <v>216500</v>
      </c>
      <c r="LH90">
        <v>215000</v>
      </c>
      <c r="LI90">
        <v>159524</v>
      </c>
      <c r="LJ90">
        <v>1134</v>
      </c>
      <c r="LL90" s="24"/>
      <c r="LM90">
        <v>87601</v>
      </c>
      <c r="LN90">
        <v>87710</v>
      </c>
      <c r="LO90">
        <v>87605</v>
      </c>
      <c r="LP90">
        <v>436305</v>
      </c>
      <c r="LQ90">
        <v>1707</v>
      </c>
      <c r="LS90" s="24"/>
      <c r="LT90">
        <v>325</v>
      </c>
      <c r="LU90">
        <v>328</v>
      </c>
      <c r="LV90">
        <v>326</v>
      </c>
      <c r="LW90">
        <v>131051400</v>
      </c>
      <c r="LX90">
        <v>420</v>
      </c>
      <c r="LZ90" s="24"/>
      <c r="MA90">
        <v>86868</v>
      </c>
      <c r="MB90">
        <v>88961</v>
      </c>
      <c r="MC90">
        <v>87201</v>
      </c>
      <c r="MD90">
        <v>1952810</v>
      </c>
      <c r="ME90">
        <v>225</v>
      </c>
    </row>
    <row r="91" spans="2:343" x14ac:dyDescent="0.25">
      <c r="B91" s="24"/>
      <c r="C91">
        <v>3</v>
      </c>
      <c r="D91">
        <v>3</v>
      </c>
      <c r="E91">
        <v>3</v>
      </c>
      <c r="F91">
        <v>30249644350</v>
      </c>
      <c r="G91">
        <v>3275</v>
      </c>
      <c r="I91" s="24"/>
      <c r="J91">
        <v>4</v>
      </c>
      <c r="K91">
        <v>5</v>
      </c>
      <c r="L91">
        <v>5</v>
      </c>
      <c r="M91">
        <v>7946276298</v>
      </c>
      <c r="N91">
        <v>2287</v>
      </c>
      <c r="P91" s="24"/>
      <c r="Q91">
        <v>28</v>
      </c>
      <c r="R91">
        <v>29</v>
      </c>
      <c r="S91">
        <v>29</v>
      </c>
      <c r="T91">
        <v>2736244690</v>
      </c>
      <c r="U91">
        <v>2057</v>
      </c>
      <c r="W91" s="24"/>
      <c r="X91">
        <v>71</v>
      </c>
      <c r="Y91">
        <v>75</v>
      </c>
      <c r="Z91">
        <v>73</v>
      </c>
      <c r="AA91">
        <v>308988647</v>
      </c>
      <c r="AB91">
        <v>1615</v>
      </c>
      <c r="AD91" s="24"/>
      <c r="AE91">
        <v>537</v>
      </c>
      <c r="AF91">
        <v>550</v>
      </c>
      <c r="AG91">
        <v>538</v>
      </c>
      <c r="AH91">
        <v>153583208</v>
      </c>
      <c r="AI91">
        <v>1708</v>
      </c>
      <c r="AK91" s="24"/>
      <c r="AL91">
        <v>996</v>
      </c>
      <c r="AM91">
        <v>1025</v>
      </c>
      <c r="AN91">
        <v>1002</v>
      </c>
      <c r="AO91">
        <v>48792994</v>
      </c>
      <c r="AP91">
        <v>1453</v>
      </c>
      <c r="AR91" s="24"/>
      <c r="AS91">
        <v>2976</v>
      </c>
      <c r="AT91">
        <v>3046</v>
      </c>
      <c r="AU91">
        <v>2979</v>
      </c>
      <c r="AV91">
        <v>19719309</v>
      </c>
      <c r="AW91">
        <v>1375</v>
      </c>
      <c r="AY91" s="24"/>
      <c r="AZ91">
        <v>328101350</v>
      </c>
      <c r="BA91">
        <v>335740000</v>
      </c>
      <c r="BB91">
        <v>331000000</v>
      </c>
      <c r="BC91">
        <v>2325</v>
      </c>
      <c r="BD91">
        <v>1561</v>
      </c>
      <c r="BF91" s="24"/>
      <c r="BG91">
        <v>25012</v>
      </c>
      <c r="BH91">
        <v>25900</v>
      </c>
      <c r="BI91">
        <v>25799</v>
      </c>
      <c r="BJ91">
        <v>1169185</v>
      </c>
      <c r="BK91">
        <v>212</v>
      </c>
      <c r="BM91" s="24"/>
      <c r="BN91">
        <v>6925031</v>
      </c>
      <c r="BO91">
        <v>6928992</v>
      </c>
      <c r="BP91">
        <v>6926002</v>
      </c>
      <c r="BQ91">
        <v>9941</v>
      </c>
      <c r="BR91">
        <v>321</v>
      </c>
      <c r="BT91" s="24"/>
      <c r="BU91">
        <v>1828</v>
      </c>
      <c r="BV91">
        <v>1892</v>
      </c>
      <c r="BW91">
        <v>1835</v>
      </c>
      <c r="BX91">
        <v>30251516</v>
      </c>
      <c r="BY91">
        <v>255</v>
      </c>
      <c r="CA91" s="24"/>
      <c r="CB91">
        <v>303</v>
      </c>
      <c r="CC91">
        <v>327</v>
      </c>
      <c r="CD91">
        <v>325</v>
      </c>
      <c r="CE91">
        <v>82676811</v>
      </c>
      <c r="CF91">
        <v>291</v>
      </c>
      <c r="CH91" s="24"/>
      <c r="CI91">
        <v>25501</v>
      </c>
      <c r="CJ91">
        <v>26046</v>
      </c>
      <c r="CK91">
        <v>26025</v>
      </c>
      <c r="CL91">
        <v>603933</v>
      </c>
      <c r="CM91">
        <v>166</v>
      </c>
      <c r="CO91" s="24"/>
      <c r="CP91">
        <v>8112</v>
      </c>
      <c r="CQ91">
        <v>8706</v>
      </c>
      <c r="CR91">
        <v>8697</v>
      </c>
      <c r="CS91">
        <v>1134766</v>
      </c>
      <c r="CT91">
        <v>439</v>
      </c>
      <c r="CV91" s="24"/>
      <c r="CW91">
        <v>1491711</v>
      </c>
      <c r="CX91">
        <v>1568930</v>
      </c>
      <c r="CY91">
        <v>1500000</v>
      </c>
      <c r="CZ91">
        <v>12566</v>
      </c>
      <c r="DA91">
        <v>47</v>
      </c>
      <c r="DC91" s="24"/>
      <c r="DD91">
        <v>379</v>
      </c>
      <c r="DE91">
        <v>397</v>
      </c>
      <c r="DF91">
        <v>397</v>
      </c>
      <c r="DG91">
        <v>27087138</v>
      </c>
      <c r="DH91">
        <v>178</v>
      </c>
      <c r="DJ91" s="24"/>
      <c r="DK91">
        <v>37121100</v>
      </c>
      <c r="DL91">
        <v>38969000</v>
      </c>
      <c r="DM91">
        <v>38000000</v>
      </c>
      <c r="DN91">
        <v>640</v>
      </c>
      <c r="DO91">
        <v>104</v>
      </c>
      <c r="DQ91" s="24"/>
      <c r="DR91">
        <v>1597001</v>
      </c>
      <c r="DS91">
        <v>1698888</v>
      </c>
      <c r="DT91">
        <v>1640031</v>
      </c>
      <c r="DU91">
        <v>4266</v>
      </c>
      <c r="DV91">
        <v>292</v>
      </c>
      <c r="DX91" s="24"/>
      <c r="DY91">
        <v>19001004</v>
      </c>
      <c r="DZ91">
        <v>19119051</v>
      </c>
      <c r="EA91">
        <v>19001005</v>
      </c>
      <c r="EB91">
        <v>606</v>
      </c>
      <c r="EC91">
        <v>110</v>
      </c>
      <c r="EE91" s="24"/>
      <c r="EF91">
        <v>168</v>
      </c>
      <c r="EG91">
        <v>176</v>
      </c>
      <c r="EH91">
        <v>175</v>
      </c>
      <c r="EI91">
        <v>86127404</v>
      </c>
      <c r="EJ91">
        <v>174</v>
      </c>
      <c r="EL91" s="24"/>
      <c r="EM91">
        <v>54011</v>
      </c>
      <c r="EN91">
        <v>57910</v>
      </c>
      <c r="EO91">
        <v>54012</v>
      </c>
      <c r="EP91">
        <v>124361</v>
      </c>
      <c r="EQ91">
        <v>768</v>
      </c>
      <c r="ES91" s="24"/>
      <c r="ET91">
        <v>392</v>
      </c>
      <c r="EU91">
        <v>432</v>
      </c>
      <c r="EV91">
        <v>409</v>
      </c>
      <c r="EW91">
        <v>43714927</v>
      </c>
      <c r="EX91">
        <v>693</v>
      </c>
      <c r="EZ91" s="24"/>
      <c r="FA91">
        <v>3811005</v>
      </c>
      <c r="FB91">
        <v>3850005</v>
      </c>
      <c r="FC91">
        <v>3812005</v>
      </c>
      <c r="FD91">
        <v>2487</v>
      </c>
      <c r="FE91">
        <v>33</v>
      </c>
      <c r="FG91" s="24"/>
      <c r="FH91">
        <v>8501</v>
      </c>
      <c r="FI91">
        <v>8781</v>
      </c>
      <c r="FJ91">
        <v>8642</v>
      </c>
      <c r="FK91">
        <v>2898870</v>
      </c>
      <c r="FL91">
        <v>576</v>
      </c>
      <c r="FN91" s="24"/>
      <c r="FO91">
        <v>21879</v>
      </c>
      <c r="FP91">
        <v>21899</v>
      </c>
      <c r="FQ91">
        <v>21898</v>
      </c>
      <c r="FR91">
        <v>102249</v>
      </c>
      <c r="FS91">
        <v>91</v>
      </c>
      <c r="FU91" s="24"/>
      <c r="FV91">
        <v>26010</v>
      </c>
      <c r="FW91">
        <v>27052</v>
      </c>
      <c r="FX91">
        <v>26013</v>
      </c>
      <c r="FY91">
        <v>399709</v>
      </c>
      <c r="FZ91">
        <v>1430</v>
      </c>
      <c r="GB91" s="24"/>
      <c r="GC91">
        <v>104000000</v>
      </c>
      <c r="GD91">
        <v>107398198</v>
      </c>
      <c r="GE91">
        <v>106011227</v>
      </c>
      <c r="GF91">
        <v>85</v>
      </c>
      <c r="GG91">
        <v>67</v>
      </c>
      <c r="GI91" s="24"/>
      <c r="GJ91">
        <v>24900000</v>
      </c>
      <c r="GK91">
        <v>25000000</v>
      </c>
      <c r="GL91">
        <v>24905000</v>
      </c>
      <c r="GM91">
        <v>250</v>
      </c>
      <c r="GN91">
        <v>54</v>
      </c>
      <c r="GP91" s="24"/>
      <c r="GQ91">
        <v>95</v>
      </c>
      <c r="GR91">
        <v>99</v>
      </c>
      <c r="GS91">
        <v>98</v>
      </c>
      <c r="GT91">
        <v>135408006</v>
      </c>
      <c r="GU91">
        <v>150</v>
      </c>
      <c r="GW91" s="24"/>
      <c r="GX91">
        <v>371</v>
      </c>
      <c r="GY91">
        <v>374</v>
      </c>
      <c r="GZ91">
        <v>373</v>
      </c>
      <c r="HA91">
        <v>42663954</v>
      </c>
      <c r="HB91">
        <v>232</v>
      </c>
      <c r="HD91" s="24"/>
      <c r="HE91">
        <v>5059</v>
      </c>
      <c r="HF91">
        <v>5234</v>
      </c>
      <c r="HG91">
        <v>5226</v>
      </c>
      <c r="HH91">
        <v>21869833</v>
      </c>
      <c r="HI91">
        <v>276</v>
      </c>
      <c r="HK91" s="24"/>
      <c r="HL91">
        <v>103107009</v>
      </c>
      <c r="HM91">
        <v>105998900</v>
      </c>
      <c r="HN91">
        <v>105058355</v>
      </c>
      <c r="HO91">
        <v>58</v>
      </c>
      <c r="HP91">
        <v>52</v>
      </c>
      <c r="HR91" s="24"/>
      <c r="HS91">
        <v>8100</v>
      </c>
      <c r="HT91">
        <v>9249</v>
      </c>
      <c r="HU91">
        <v>8500</v>
      </c>
      <c r="HV91">
        <v>977588</v>
      </c>
      <c r="HW91">
        <v>211</v>
      </c>
      <c r="HY91" s="24"/>
      <c r="HZ91">
        <v>7938</v>
      </c>
      <c r="IA91">
        <v>8599</v>
      </c>
      <c r="IB91">
        <v>8299</v>
      </c>
      <c r="IC91">
        <v>1888915</v>
      </c>
      <c r="ID91">
        <v>535</v>
      </c>
      <c r="IF91" s="24"/>
      <c r="IG91">
        <v>2740</v>
      </c>
      <c r="IH91">
        <v>2804</v>
      </c>
      <c r="II91">
        <v>2803</v>
      </c>
      <c r="IJ91">
        <v>1766363</v>
      </c>
      <c r="IK91">
        <v>141</v>
      </c>
      <c r="IM91" s="24"/>
      <c r="IN91">
        <v>104000000</v>
      </c>
      <c r="IO91">
        <v>106194400</v>
      </c>
      <c r="IP91">
        <v>105243771</v>
      </c>
      <c r="IQ91">
        <v>64</v>
      </c>
      <c r="IR91">
        <v>59</v>
      </c>
      <c r="IT91" s="24"/>
      <c r="IU91">
        <v>7626</v>
      </c>
      <c r="IV91">
        <v>7710</v>
      </c>
      <c r="IW91">
        <v>7710</v>
      </c>
      <c r="IX91">
        <v>1931994</v>
      </c>
      <c r="IY91">
        <v>176</v>
      </c>
      <c r="JA91" s="24"/>
      <c r="JB91">
        <v>104499999</v>
      </c>
      <c r="JC91">
        <v>106499999</v>
      </c>
      <c r="JD91">
        <v>105501000</v>
      </c>
      <c r="JE91">
        <v>167</v>
      </c>
      <c r="JF91">
        <v>92</v>
      </c>
      <c r="JH91" s="24"/>
      <c r="JI91">
        <v>104500000</v>
      </c>
      <c r="JJ91">
        <v>106996500</v>
      </c>
      <c r="JK91">
        <v>106350273</v>
      </c>
      <c r="JL91">
        <v>35</v>
      </c>
      <c r="JM91">
        <v>35</v>
      </c>
      <c r="JO91" s="24"/>
      <c r="JP91">
        <v>74</v>
      </c>
      <c r="JQ91">
        <v>76</v>
      </c>
      <c r="JR91">
        <v>76</v>
      </c>
      <c r="JS91">
        <v>102196610</v>
      </c>
      <c r="JT91">
        <v>120</v>
      </c>
      <c r="JV91" s="24"/>
      <c r="JW91">
        <v>70</v>
      </c>
      <c r="JX91">
        <v>72</v>
      </c>
      <c r="JY91">
        <v>70</v>
      </c>
      <c r="JZ91">
        <v>112946487</v>
      </c>
      <c r="KA91">
        <v>100</v>
      </c>
      <c r="KC91" s="24"/>
      <c r="KD91">
        <v>25</v>
      </c>
      <c r="KE91">
        <v>29</v>
      </c>
      <c r="KF91">
        <v>26</v>
      </c>
      <c r="KG91">
        <v>80017555</v>
      </c>
      <c r="KH91">
        <v>335</v>
      </c>
      <c r="KJ91" s="24"/>
      <c r="KK91">
        <v>78</v>
      </c>
      <c r="KL91">
        <v>87</v>
      </c>
      <c r="KM91">
        <v>81</v>
      </c>
      <c r="KN91">
        <v>209683215</v>
      </c>
      <c r="KO91">
        <v>168</v>
      </c>
      <c r="KQ91" s="24"/>
      <c r="KR91">
        <v>91005</v>
      </c>
      <c r="KS91">
        <v>94399</v>
      </c>
      <c r="KT91">
        <v>91502</v>
      </c>
      <c r="KU91">
        <v>85763</v>
      </c>
      <c r="KV91">
        <v>754</v>
      </c>
      <c r="KX91" s="24"/>
      <c r="KY91">
        <v>555</v>
      </c>
      <c r="KZ91">
        <v>607</v>
      </c>
      <c r="LA91">
        <v>607</v>
      </c>
      <c r="LB91">
        <v>5209815</v>
      </c>
      <c r="LC91">
        <v>162</v>
      </c>
      <c r="LE91" s="24"/>
      <c r="LF91">
        <v>215264</v>
      </c>
      <c r="LG91">
        <v>216562</v>
      </c>
      <c r="LH91">
        <v>215300</v>
      </c>
      <c r="LI91">
        <v>139691</v>
      </c>
      <c r="LJ91">
        <v>1089</v>
      </c>
      <c r="LL91" s="24"/>
      <c r="LM91">
        <v>85710</v>
      </c>
      <c r="LN91">
        <v>87703</v>
      </c>
      <c r="LO91">
        <v>85726</v>
      </c>
      <c r="LP91">
        <v>463748</v>
      </c>
      <c r="LQ91">
        <v>1514</v>
      </c>
      <c r="LS91" s="24"/>
      <c r="LT91">
        <v>311</v>
      </c>
      <c r="LU91">
        <v>320</v>
      </c>
      <c r="LV91">
        <v>320</v>
      </c>
      <c r="LW91">
        <v>104333026</v>
      </c>
      <c r="LX91">
        <v>357</v>
      </c>
      <c r="LZ91" s="24"/>
      <c r="MA91">
        <v>83000</v>
      </c>
      <c r="MB91">
        <v>88155</v>
      </c>
      <c r="MC91">
        <v>88128</v>
      </c>
      <c r="MD91">
        <v>475206</v>
      </c>
      <c r="ME91">
        <v>77</v>
      </c>
    </row>
    <row r="92" spans="2:343" x14ac:dyDescent="0.25">
      <c r="B92" s="24"/>
      <c r="C92">
        <v>3</v>
      </c>
      <c r="D92">
        <v>3</v>
      </c>
      <c r="E92">
        <v>3</v>
      </c>
      <c r="F92">
        <v>21001639652</v>
      </c>
      <c r="G92">
        <v>3059</v>
      </c>
      <c r="I92" s="24"/>
      <c r="J92">
        <v>4</v>
      </c>
      <c r="K92">
        <v>5</v>
      </c>
      <c r="L92">
        <v>5</v>
      </c>
      <c r="M92">
        <v>6673413025</v>
      </c>
      <c r="N92">
        <v>2151</v>
      </c>
      <c r="P92" s="24"/>
      <c r="Q92">
        <v>28</v>
      </c>
      <c r="R92">
        <v>29</v>
      </c>
      <c r="S92">
        <v>29</v>
      </c>
      <c r="T92">
        <v>1745708469</v>
      </c>
      <c r="U92">
        <v>1964</v>
      </c>
      <c r="W92" s="24"/>
      <c r="X92">
        <v>74</v>
      </c>
      <c r="Y92">
        <v>84</v>
      </c>
      <c r="Z92">
        <v>83</v>
      </c>
      <c r="AA92">
        <v>399910199</v>
      </c>
      <c r="AB92">
        <v>1579</v>
      </c>
      <c r="AD92" s="24"/>
      <c r="AE92">
        <v>528</v>
      </c>
      <c r="AF92">
        <v>540</v>
      </c>
      <c r="AG92">
        <v>529</v>
      </c>
      <c r="AH92">
        <v>82098953</v>
      </c>
      <c r="AI92">
        <v>1478</v>
      </c>
      <c r="AK92" s="24"/>
      <c r="AL92">
        <v>991</v>
      </c>
      <c r="AM92">
        <v>1021</v>
      </c>
      <c r="AN92">
        <v>1000</v>
      </c>
      <c r="AO92">
        <v>36557853</v>
      </c>
      <c r="AP92">
        <v>1223</v>
      </c>
      <c r="AR92" s="24"/>
      <c r="AS92">
        <v>2940</v>
      </c>
      <c r="AT92">
        <v>2998</v>
      </c>
      <c r="AU92">
        <v>2978</v>
      </c>
      <c r="AV92">
        <v>11973582</v>
      </c>
      <c r="AW92">
        <v>1148</v>
      </c>
      <c r="AY92" s="24"/>
      <c r="AZ92">
        <v>326251007</v>
      </c>
      <c r="BA92">
        <v>335999969</v>
      </c>
      <c r="BB92">
        <v>332000000</v>
      </c>
      <c r="BC92">
        <v>2140</v>
      </c>
      <c r="BD92">
        <v>1453</v>
      </c>
      <c r="BF92" s="24"/>
      <c r="BG92">
        <v>25614</v>
      </c>
      <c r="BH92">
        <v>25709</v>
      </c>
      <c r="BI92">
        <v>25700</v>
      </c>
      <c r="BJ92">
        <v>2306292</v>
      </c>
      <c r="BK92">
        <v>170</v>
      </c>
      <c r="BM92" s="24"/>
      <c r="BN92">
        <v>6927019</v>
      </c>
      <c r="BO92">
        <v>6928992</v>
      </c>
      <c r="BP92">
        <v>6927024</v>
      </c>
      <c r="BQ92">
        <v>10804</v>
      </c>
      <c r="BR92">
        <v>369</v>
      </c>
      <c r="BT92" s="24"/>
      <c r="BU92">
        <v>1836</v>
      </c>
      <c r="BV92">
        <v>1886</v>
      </c>
      <c r="BW92">
        <v>1886</v>
      </c>
      <c r="BX92">
        <v>30757511</v>
      </c>
      <c r="BY92">
        <v>244</v>
      </c>
      <c r="CA92" s="24"/>
      <c r="CB92">
        <v>299</v>
      </c>
      <c r="CC92">
        <v>309</v>
      </c>
      <c r="CD92">
        <v>303</v>
      </c>
      <c r="CE92">
        <v>115516285</v>
      </c>
      <c r="CF92">
        <v>353</v>
      </c>
      <c r="CH92" s="24"/>
      <c r="CI92">
        <v>26200</v>
      </c>
      <c r="CJ92">
        <v>26200</v>
      </c>
      <c r="CK92">
        <v>26200</v>
      </c>
      <c r="CL92">
        <v>1056975</v>
      </c>
      <c r="CM92">
        <v>167</v>
      </c>
      <c r="CO92" s="24"/>
      <c r="CP92">
        <v>8400</v>
      </c>
      <c r="CQ92">
        <v>8658</v>
      </c>
      <c r="CR92">
        <v>8654</v>
      </c>
      <c r="CS92">
        <v>1232121</v>
      </c>
      <c r="CT92">
        <v>446</v>
      </c>
      <c r="CV92" s="24"/>
      <c r="CW92">
        <v>1402640</v>
      </c>
      <c r="CX92">
        <v>1499999</v>
      </c>
      <c r="CY92">
        <v>1491713</v>
      </c>
      <c r="CZ92">
        <v>7208</v>
      </c>
      <c r="DA92">
        <v>47</v>
      </c>
      <c r="DC92" s="24"/>
      <c r="DD92">
        <v>357</v>
      </c>
      <c r="DE92">
        <v>396</v>
      </c>
      <c r="DF92">
        <v>394</v>
      </c>
      <c r="DG92">
        <v>40779215</v>
      </c>
      <c r="DH92">
        <v>240</v>
      </c>
      <c r="DJ92" s="24"/>
      <c r="DK92">
        <v>34803609</v>
      </c>
      <c r="DL92">
        <v>37000000</v>
      </c>
      <c r="DM92">
        <v>35999998</v>
      </c>
      <c r="DN92">
        <v>365</v>
      </c>
      <c r="DO92">
        <v>96</v>
      </c>
      <c r="DQ92" s="24"/>
      <c r="DR92">
        <v>1720032</v>
      </c>
      <c r="DS92">
        <v>1796889</v>
      </c>
      <c r="DT92">
        <v>1720040</v>
      </c>
      <c r="DU92">
        <v>4610</v>
      </c>
      <c r="DV92">
        <v>254</v>
      </c>
      <c r="DX92" s="24"/>
      <c r="DY92">
        <v>18531042</v>
      </c>
      <c r="DZ92">
        <v>19001004</v>
      </c>
      <c r="EA92">
        <v>19001004</v>
      </c>
      <c r="EB92">
        <v>333</v>
      </c>
      <c r="EC92">
        <v>90</v>
      </c>
      <c r="EE92" s="24"/>
      <c r="EF92">
        <v>168</v>
      </c>
      <c r="EG92">
        <v>175</v>
      </c>
      <c r="EH92">
        <v>169</v>
      </c>
      <c r="EI92">
        <v>138298732</v>
      </c>
      <c r="EJ92">
        <v>210</v>
      </c>
      <c r="EL92" s="24"/>
      <c r="EM92">
        <v>53001</v>
      </c>
      <c r="EN92">
        <v>54012</v>
      </c>
      <c r="EO92">
        <v>54001</v>
      </c>
      <c r="EP92">
        <v>91709</v>
      </c>
      <c r="EQ92">
        <v>734</v>
      </c>
      <c r="ES92" s="24"/>
      <c r="ET92">
        <v>428</v>
      </c>
      <c r="EU92">
        <v>431</v>
      </c>
      <c r="EV92">
        <v>430</v>
      </c>
      <c r="EW92">
        <v>43616651</v>
      </c>
      <c r="EX92">
        <v>691</v>
      </c>
      <c r="EZ92" s="24"/>
      <c r="FA92">
        <v>3860000</v>
      </c>
      <c r="FB92">
        <v>3918999</v>
      </c>
      <c r="FC92">
        <v>3918998</v>
      </c>
      <c r="FD92">
        <v>1426</v>
      </c>
      <c r="FE92">
        <v>29</v>
      </c>
      <c r="FG92" s="24"/>
      <c r="FH92">
        <v>8639</v>
      </c>
      <c r="FI92">
        <v>8999</v>
      </c>
      <c r="FJ92">
        <v>8993</v>
      </c>
      <c r="FK92">
        <v>3308373</v>
      </c>
      <c r="FL92">
        <v>567</v>
      </c>
      <c r="FN92" s="24"/>
      <c r="FO92">
        <v>20755</v>
      </c>
      <c r="FP92">
        <v>21873</v>
      </c>
      <c r="FQ92">
        <v>20778</v>
      </c>
      <c r="FR92">
        <v>284439</v>
      </c>
      <c r="FS92">
        <v>135</v>
      </c>
      <c r="FU92" s="24"/>
      <c r="FV92">
        <v>26017</v>
      </c>
      <c r="FW92">
        <v>26404</v>
      </c>
      <c r="FX92">
        <v>26214</v>
      </c>
      <c r="FY92">
        <v>318013</v>
      </c>
      <c r="FZ92">
        <v>1365</v>
      </c>
      <c r="GB92" s="24"/>
      <c r="GC92">
        <v>104501400</v>
      </c>
      <c r="GD92">
        <v>107199500</v>
      </c>
      <c r="GE92">
        <v>106054488</v>
      </c>
      <c r="GF92">
        <v>59</v>
      </c>
      <c r="GG92">
        <v>48</v>
      </c>
      <c r="GI92" s="24"/>
      <c r="GJ92">
        <v>25000000</v>
      </c>
      <c r="GK92">
        <v>26000000</v>
      </c>
      <c r="GL92">
        <v>25000012</v>
      </c>
      <c r="GM92">
        <v>289</v>
      </c>
      <c r="GN92">
        <v>66</v>
      </c>
      <c r="GP92" s="24"/>
      <c r="GQ92">
        <v>98</v>
      </c>
      <c r="GR92">
        <v>99</v>
      </c>
      <c r="GS92">
        <v>98</v>
      </c>
      <c r="GT92">
        <v>232929242</v>
      </c>
      <c r="GU92">
        <v>164</v>
      </c>
      <c r="GW92" s="24"/>
      <c r="GX92">
        <v>384</v>
      </c>
      <c r="GY92">
        <v>388</v>
      </c>
      <c r="GZ92">
        <v>388</v>
      </c>
      <c r="HA92">
        <v>39649406</v>
      </c>
      <c r="HB92">
        <v>212</v>
      </c>
      <c r="HD92" s="24"/>
      <c r="HE92">
        <v>5217</v>
      </c>
      <c r="HF92">
        <v>5217</v>
      </c>
      <c r="HG92">
        <v>5217</v>
      </c>
      <c r="HH92">
        <v>14770693</v>
      </c>
      <c r="HI92">
        <v>306</v>
      </c>
      <c r="HK92" s="24"/>
      <c r="HL92">
        <v>103301000</v>
      </c>
      <c r="HM92">
        <v>106198998</v>
      </c>
      <c r="HN92">
        <v>105401352</v>
      </c>
      <c r="HO92">
        <v>84</v>
      </c>
      <c r="HP92">
        <v>65</v>
      </c>
      <c r="HR92" s="24"/>
      <c r="HS92">
        <v>8016</v>
      </c>
      <c r="HT92">
        <v>8500</v>
      </c>
      <c r="HU92">
        <v>8301</v>
      </c>
      <c r="HV92">
        <v>661307</v>
      </c>
      <c r="HW92">
        <v>204</v>
      </c>
      <c r="HY92" s="24"/>
      <c r="HZ92">
        <v>8008</v>
      </c>
      <c r="IA92">
        <v>8299</v>
      </c>
      <c r="IB92">
        <v>8247</v>
      </c>
      <c r="IC92">
        <v>2358873</v>
      </c>
      <c r="ID92">
        <v>574</v>
      </c>
      <c r="IF92" s="24"/>
      <c r="IG92">
        <v>2687</v>
      </c>
      <c r="IH92">
        <v>2789</v>
      </c>
      <c r="II92">
        <v>2700</v>
      </c>
      <c r="IJ92">
        <v>2590994</v>
      </c>
      <c r="IK92">
        <v>178</v>
      </c>
      <c r="IM92" s="24"/>
      <c r="IN92">
        <v>103502100</v>
      </c>
      <c r="IO92">
        <v>105999000</v>
      </c>
      <c r="IP92">
        <v>105192889</v>
      </c>
      <c r="IQ92">
        <v>64</v>
      </c>
      <c r="IR92">
        <v>55</v>
      </c>
      <c r="IT92" s="24"/>
      <c r="IU92">
        <v>7649</v>
      </c>
      <c r="IV92">
        <v>7709</v>
      </c>
      <c r="IW92">
        <v>7709</v>
      </c>
      <c r="IX92">
        <v>1549061</v>
      </c>
      <c r="IY92">
        <v>155</v>
      </c>
      <c r="JA92" s="24"/>
      <c r="JB92">
        <v>105399999</v>
      </c>
      <c r="JC92">
        <v>108399999</v>
      </c>
      <c r="JD92">
        <v>107999000</v>
      </c>
      <c r="JE92">
        <v>127</v>
      </c>
      <c r="JF92">
        <v>84</v>
      </c>
      <c r="JH92" s="24"/>
      <c r="JI92">
        <v>104500300</v>
      </c>
      <c r="JJ92">
        <v>106792000</v>
      </c>
      <c r="JK92">
        <v>105431807</v>
      </c>
      <c r="JL92">
        <v>47</v>
      </c>
      <c r="JM92">
        <v>38</v>
      </c>
      <c r="JO92" s="24"/>
      <c r="JP92">
        <v>73</v>
      </c>
      <c r="JQ92">
        <v>76</v>
      </c>
      <c r="JR92">
        <v>74</v>
      </c>
      <c r="JS92">
        <v>147423879</v>
      </c>
      <c r="JT92">
        <v>108</v>
      </c>
      <c r="JV92" s="24"/>
      <c r="JW92">
        <v>70</v>
      </c>
      <c r="JX92">
        <v>71</v>
      </c>
      <c r="JY92">
        <v>70</v>
      </c>
      <c r="JZ92">
        <v>210507541</v>
      </c>
      <c r="KA92">
        <v>129</v>
      </c>
      <c r="KC92" s="24"/>
      <c r="KD92">
        <v>24</v>
      </c>
      <c r="KE92">
        <v>29</v>
      </c>
      <c r="KF92">
        <v>29</v>
      </c>
      <c r="KG92">
        <v>54426291</v>
      </c>
      <c r="KH92">
        <v>331</v>
      </c>
      <c r="KJ92" s="24"/>
      <c r="KK92">
        <v>78</v>
      </c>
      <c r="KL92">
        <v>84</v>
      </c>
      <c r="KM92">
        <v>84</v>
      </c>
      <c r="KN92">
        <v>200473983</v>
      </c>
      <c r="KO92">
        <v>199</v>
      </c>
      <c r="KQ92" s="24"/>
      <c r="KR92">
        <v>87500</v>
      </c>
      <c r="KS92">
        <v>90050</v>
      </c>
      <c r="KT92">
        <v>90027</v>
      </c>
      <c r="KU92">
        <v>60415</v>
      </c>
      <c r="KV92">
        <v>615</v>
      </c>
      <c r="KX92" s="24"/>
      <c r="KY92">
        <v>606</v>
      </c>
      <c r="KZ92">
        <v>606</v>
      </c>
      <c r="LA92">
        <v>606</v>
      </c>
      <c r="LB92">
        <v>4252700</v>
      </c>
      <c r="LC92">
        <v>185</v>
      </c>
      <c r="LE92" s="24"/>
      <c r="LF92">
        <v>216004</v>
      </c>
      <c r="LG92">
        <v>217601</v>
      </c>
      <c r="LH92">
        <v>216032</v>
      </c>
      <c r="LI92">
        <v>135240</v>
      </c>
      <c r="LJ92">
        <v>961</v>
      </c>
      <c r="LL92" s="24"/>
      <c r="LM92">
        <v>82103</v>
      </c>
      <c r="LN92">
        <v>85702</v>
      </c>
      <c r="LO92">
        <v>84002</v>
      </c>
      <c r="LP92">
        <v>302858</v>
      </c>
      <c r="LQ92">
        <v>1390</v>
      </c>
      <c r="LS92" s="24"/>
      <c r="LT92">
        <v>297</v>
      </c>
      <c r="LU92">
        <v>313</v>
      </c>
      <c r="LV92">
        <v>312</v>
      </c>
      <c r="LW92">
        <v>121983578</v>
      </c>
      <c r="LX92">
        <v>357</v>
      </c>
      <c r="LZ92" s="24"/>
      <c r="MA92">
        <v>88053</v>
      </c>
      <c r="MB92">
        <v>88151</v>
      </c>
      <c r="MC92">
        <v>88151</v>
      </c>
      <c r="MD92">
        <v>462484</v>
      </c>
      <c r="ME92">
        <v>62</v>
      </c>
    </row>
    <row r="93" spans="2:343" x14ac:dyDescent="0.25">
      <c r="B93" s="24"/>
      <c r="C93">
        <v>3</v>
      </c>
      <c r="D93">
        <v>3</v>
      </c>
      <c r="E93">
        <v>3</v>
      </c>
      <c r="F93">
        <v>37474075624</v>
      </c>
      <c r="G93">
        <v>3377</v>
      </c>
      <c r="I93" s="24"/>
      <c r="J93">
        <v>4</v>
      </c>
      <c r="K93">
        <v>5</v>
      </c>
      <c r="L93">
        <v>4</v>
      </c>
      <c r="M93">
        <v>6672305108</v>
      </c>
      <c r="N93">
        <v>2212</v>
      </c>
      <c r="P93" s="24"/>
      <c r="Q93">
        <v>28</v>
      </c>
      <c r="R93">
        <v>29</v>
      </c>
      <c r="S93">
        <v>29</v>
      </c>
      <c r="T93">
        <v>1863379902</v>
      </c>
      <c r="U93">
        <v>2043</v>
      </c>
      <c r="W93" s="24"/>
      <c r="X93">
        <v>75</v>
      </c>
      <c r="Y93">
        <v>79</v>
      </c>
      <c r="Z93">
        <v>76</v>
      </c>
      <c r="AA93">
        <v>351061364</v>
      </c>
      <c r="AB93">
        <v>1534</v>
      </c>
      <c r="AD93" s="24"/>
      <c r="AE93">
        <v>520</v>
      </c>
      <c r="AF93">
        <v>538</v>
      </c>
      <c r="AG93">
        <v>521</v>
      </c>
      <c r="AH93">
        <v>103981237</v>
      </c>
      <c r="AI93">
        <v>1704</v>
      </c>
      <c r="AK93" s="24"/>
      <c r="AL93">
        <v>984</v>
      </c>
      <c r="AM93">
        <v>1019</v>
      </c>
      <c r="AN93">
        <v>1000</v>
      </c>
      <c r="AO93">
        <v>25557201</v>
      </c>
      <c r="AP93">
        <v>1302</v>
      </c>
      <c r="AR93" s="24"/>
      <c r="AS93">
        <v>2875</v>
      </c>
      <c r="AT93">
        <v>2950</v>
      </c>
      <c r="AU93">
        <v>2920</v>
      </c>
      <c r="AV93">
        <v>18869216</v>
      </c>
      <c r="AW93">
        <v>1314</v>
      </c>
      <c r="AY93" s="24"/>
      <c r="AZ93">
        <v>327000000</v>
      </c>
      <c r="BA93">
        <v>334979980</v>
      </c>
      <c r="BB93">
        <v>333499998</v>
      </c>
      <c r="BC93">
        <v>2191</v>
      </c>
      <c r="BD93">
        <v>1499</v>
      </c>
      <c r="BF93" s="24"/>
      <c r="BG93">
        <v>25703</v>
      </c>
      <c r="BH93">
        <v>25709</v>
      </c>
      <c r="BI93">
        <v>25707</v>
      </c>
      <c r="BJ93">
        <v>2683770</v>
      </c>
      <c r="BK93">
        <v>234</v>
      </c>
      <c r="BM93" s="24"/>
      <c r="BN93">
        <v>6927026</v>
      </c>
      <c r="BO93">
        <v>7000000</v>
      </c>
      <c r="BP93">
        <v>6960000</v>
      </c>
      <c r="BQ93">
        <v>10865</v>
      </c>
      <c r="BR93">
        <v>332</v>
      </c>
      <c r="BT93" s="24"/>
      <c r="BU93">
        <v>1910</v>
      </c>
      <c r="BV93">
        <v>1986</v>
      </c>
      <c r="BW93">
        <v>1985</v>
      </c>
      <c r="BX93">
        <v>24485038</v>
      </c>
      <c r="BY93">
        <v>231</v>
      </c>
      <c r="CA93" s="24"/>
      <c r="CB93">
        <v>307</v>
      </c>
      <c r="CC93">
        <v>307</v>
      </c>
      <c r="CD93">
        <v>307</v>
      </c>
      <c r="CE93">
        <v>52094866</v>
      </c>
      <c r="CF93">
        <v>256</v>
      </c>
      <c r="CH93" s="24"/>
      <c r="CI93">
        <v>26065</v>
      </c>
      <c r="CJ93">
        <v>26200</v>
      </c>
      <c r="CK93">
        <v>26072</v>
      </c>
      <c r="CL93">
        <v>1566895</v>
      </c>
      <c r="CM93">
        <v>224</v>
      </c>
      <c r="CO93" s="24"/>
      <c r="CP93">
        <v>8150</v>
      </c>
      <c r="CQ93">
        <v>8498</v>
      </c>
      <c r="CR93">
        <v>8490</v>
      </c>
      <c r="CS93">
        <v>949284</v>
      </c>
      <c r="CT93">
        <v>374</v>
      </c>
      <c r="CV93" s="24"/>
      <c r="CW93">
        <v>1380033</v>
      </c>
      <c r="CX93">
        <v>1489998</v>
      </c>
      <c r="CY93">
        <v>1400000</v>
      </c>
      <c r="CZ93">
        <v>8220</v>
      </c>
      <c r="DA93">
        <v>39</v>
      </c>
      <c r="DC93" s="24"/>
      <c r="DD93">
        <v>388</v>
      </c>
      <c r="DE93">
        <v>392</v>
      </c>
      <c r="DF93">
        <v>389</v>
      </c>
      <c r="DG93">
        <v>20428356</v>
      </c>
      <c r="DH93">
        <v>134</v>
      </c>
      <c r="DJ93" s="24"/>
      <c r="DK93">
        <v>34803660</v>
      </c>
      <c r="DL93">
        <v>35999988</v>
      </c>
      <c r="DM93">
        <v>34803731</v>
      </c>
      <c r="DN93">
        <v>355</v>
      </c>
      <c r="DO93">
        <v>95</v>
      </c>
      <c r="DQ93" s="24"/>
      <c r="DR93">
        <v>1600006</v>
      </c>
      <c r="DS93">
        <v>1720091</v>
      </c>
      <c r="DT93">
        <v>1720049</v>
      </c>
      <c r="DU93">
        <v>6828</v>
      </c>
      <c r="DV93">
        <v>236</v>
      </c>
      <c r="DX93" s="24"/>
      <c r="DY93">
        <v>15000011</v>
      </c>
      <c r="DZ93">
        <v>18929998</v>
      </c>
      <c r="EA93">
        <v>17900109</v>
      </c>
      <c r="EB93">
        <v>536</v>
      </c>
      <c r="EC93">
        <v>122</v>
      </c>
      <c r="EE93" s="24"/>
      <c r="EF93">
        <v>169</v>
      </c>
      <c r="EG93">
        <v>175</v>
      </c>
      <c r="EH93">
        <v>170</v>
      </c>
      <c r="EI93">
        <v>93563047</v>
      </c>
      <c r="EJ93">
        <v>197</v>
      </c>
      <c r="EL93" s="24"/>
      <c r="EM93">
        <v>51999</v>
      </c>
      <c r="EN93">
        <v>55999</v>
      </c>
      <c r="EO93">
        <v>53001</v>
      </c>
      <c r="EP93">
        <v>79167</v>
      </c>
      <c r="EQ93">
        <v>682</v>
      </c>
      <c r="ES93" s="24"/>
      <c r="ET93">
        <v>390</v>
      </c>
      <c r="EU93">
        <v>428</v>
      </c>
      <c r="EV93">
        <v>418</v>
      </c>
      <c r="EW93">
        <v>48243870</v>
      </c>
      <c r="EX93">
        <v>623</v>
      </c>
      <c r="EZ93" s="24"/>
      <c r="FA93">
        <v>3850010</v>
      </c>
      <c r="FB93">
        <v>3939694</v>
      </c>
      <c r="FC93">
        <v>3860000</v>
      </c>
      <c r="FD93">
        <v>2968</v>
      </c>
      <c r="FE93">
        <v>31</v>
      </c>
      <c r="FG93" s="24"/>
      <c r="FH93">
        <v>8656</v>
      </c>
      <c r="FI93">
        <v>8999</v>
      </c>
      <c r="FJ93">
        <v>8949</v>
      </c>
      <c r="FK93">
        <v>1957180</v>
      </c>
      <c r="FL93">
        <v>480</v>
      </c>
      <c r="FN93" s="24"/>
      <c r="FO93">
        <v>21598</v>
      </c>
      <c r="FP93">
        <v>21698</v>
      </c>
      <c r="FQ93">
        <v>21698</v>
      </c>
      <c r="FR93">
        <v>135124</v>
      </c>
      <c r="FS93">
        <v>92</v>
      </c>
      <c r="FU93" s="24"/>
      <c r="FV93">
        <v>26405</v>
      </c>
      <c r="FW93">
        <v>26585</v>
      </c>
      <c r="FX93">
        <v>26405</v>
      </c>
      <c r="FY93">
        <v>296030</v>
      </c>
      <c r="FZ93">
        <v>1322</v>
      </c>
      <c r="GB93" s="24"/>
      <c r="GC93">
        <v>107200800</v>
      </c>
      <c r="GD93">
        <v>110098799</v>
      </c>
      <c r="GE93">
        <v>108211065</v>
      </c>
      <c r="GF93">
        <v>73</v>
      </c>
      <c r="GG93">
        <v>59</v>
      </c>
      <c r="GI93" s="24"/>
      <c r="GJ93">
        <v>24100000</v>
      </c>
      <c r="GK93">
        <v>25700000</v>
      </c>
      <c r="GL93">
        <v>25000000</v>
      </c>
      <c r="GM93">
        <v>522</v>
      </c>
      <c r="GN93">
        <v>76</v>
      </c>
      <c r="GP93" s="24"/>
      <c r="GQ93">
        <v>101</v>
      </c>
      <c r="GR93">
        <v>110</v>
      </c>
      <c r="GS93">
        <v>103</v>
      </c>
      <c r="GT93">
        <v>105227168</v>
      </c>
      <c r="GU93">
        <v>121</v>
      </c>
      <c r="GW93" s="24"/>
      <c r="GX93">
        <v>357</v>
      </c>
      <c r="GY93">
        <v>374</v>
      </c>
      <c r="GZ93">
        <v>359</v>
      </c>
      <c r="HA93">
        <v>66421382</v>
      </c>
      <c r="HB93">
        <v>228</v>
      </c>
      <c r="HD93" s="24"/>
      <c r="HE93">
        <v>5101</v>
      </c>
      <c r="HF93">
        <v>5217</v>
      </c>
      <c r="HG93">
        <v>5194</v>
      </c>
      <c r="HH93">
        <v>17638006</v>
      </c>
      <c r="HI93">
        <v>309</v>
      </c>
      <c r="HK93" s="24"/>
      <c r="HL93">
        <v>107200300</v>
      </c>
      <c r="HM93">
        <v>109398800</v>
      </c>
      <c r="HN93">
        <v>108128461</v>
      </c>
      <c r="HO93">
        <v>72</v>
      </c>
      <c r="HP93">
        <v>61</v>
      </c>
      <c r="HR93" s="24"/>
      <c r="HS93">
        <v>8001</v>
      </c>
      <c r="HT93">
        <v>8488</v>
      </c>
      <c r="HU93">
        <v>8449</v>
      </c>
      <c r="HV93">
        <v>595269</v>
      </c>
      <c r="HW93">
        <v>139</v>
      </c>
      <c r="HY93" s="24"/>
      <c r="HZ93">
        <v>7935</v>
      </c>
      <c r="IA93">
        <v>8344</v>
      </c>
      <c r="IB93">
        <v>8219</v>
      </c>
      <c r="IC93">
        <v>2105790</v>
      </c>
      <c r="ID93">
        <v>528</v>
      </c>
      <c r="IF93" s="24"/>
      <c r="IG93">
        <v>2605</v>
      </c>
      <c r="IH93">
        <v>2658</v>
      </c>
      <c r="II93">
        <v>2605</v>
      </c>
      <c r="IJ93">
        <v>1617884</v>
      </c>
      <c r="IK93">
        <v>147</v>
      </c>
      <c r="IM93" s="24"/>
      <c r="IN93">
        <v>106600200</v>
      </c>
      <c r="IO93">
        <v>108395300</v>
      </c>
      <c r="IP93">
        <v>107638231</v>
      </c>
      <c r="IQ93">
        <v>75</v>
      </c>
      <c r="IR93">
        <v>58</v>
      </c>
      <c r="IT93" s="24"/>
      <c r="IU93">
        <v>7506</v>
      </c>
      <c r="IV93">
        <v>7688</v>
      </c>
      <c r="IW93">
        <v>7686</v>
      </c>
      <c r="IX93">
        <v>2174015</v>
      </c>
      <c r="IY93">
        <v>168</v>
      </c>
      <c r="JA93" s="24"/>
      <c r="JB93">
        <v>104000000</v>
      </c>
      <c r="JC93">
        <v>108000000</v>
      </c>
      <c r="JD93">
        <v>107001000</v>
      </c>
      <c r="JE93">
        <v>148</v>
      </c>
      <c r="JF93">
        <v>77</v>
      </c>
      <c r="JH93" s="24"/>
      <c r="JI93">
        <v>104802200</v>
      </c>
      <c r="JJ93">
        <v>106591400</v>
      </c>
      <c r="JK93">
        <v>105447281</v>
      </c>
      <c r="JL93">
        <v>79</v>
      </c>
      <c r="JM93">
        <v>50</v>
      </c>
      <c r="JO93" s="24"/>
      <c r="JP93">
        <v>75</v>
      </c>
      <c r="JQ93">
        <v>76</v>
      </c>
      <c r="JR93">
        <v>76</v>
      </c>
      <c r="JS93">
        <v>113121375</v>
      </c>
      <c r="JT93">
        <v>119</v>
      </c>
      <c r="JV93" s="24"/>
      <c r="JW93">
        <v>67</v>
      </c>
      <c r="JX93">
        <v>69</v>
      </c>
      <c r="JY93">
        <v>67</v>
      </c>
      <c r="JZ93">
        <v>94632347</v>
      </c>
      <c r="KA93">
        <v>100</v>
      </c>
      <c r="KC93" s="24"/>
      <c r="KD93">
        <v>25</v>
      </c>
      <c r="KE93">
        <v>30</v>
      </c>
      <c r="KF93">
        <v>25</v>
      </c>
      <c r="KG93">
        <v>185697960</v>
      </c>
      <c r="KH93">
        <v>326</v>
      </c>
      <c r="KJ93" s="24"/>
      <c r="KK93">
        <v>79</v>
      </c>
      <c r="KL93">
        <v>81</v>
      </c>
      <c r="KM93">
        <v>79</v>
      </c>
      <c r="KN93">
        <v>124335087</v>
      </c>
      <c r="KO93">
        <v>175</v>
      </c>
      <c r="KQ93" s="24"/>
      <c r="KR93">
        <v>89000</v>
      </c>
      <c r="KS93">
        <v>89009</v>
      </c>
      <c r="KT93">
        <v>89002</v>
      </c>
      <c r="KU93">
        <v>44603</v>
      </c>
      <c r="KV93">
        <v>651</v>
      </c>
      <c r="KX93" s="24"/>
      <c r="KY93">
        <v>590</v>
      </c>
      <c r="KZ93">
        <v>603</v>
      </c>
      <c r="LA93">
        <v>595</v>
      </c>
      <c r="LB93">
        <v>5048904</v>
      </c>
      <c r="LC93">
        <v>202</v>
      </c>
      <c r="LE93" s="24"/>
      <c r="LF93">
        <v>217750</v>
      </c>
      <c r="LG93">
        <v>218015</v>
      </c>
      <c r="LH93">
        <v>218003</v>
      </c>
      <c r="LI93">
        <v>113827</v>
      </c>
      <c r="LJ93">
        <v>993</v>
      </c>
      <c r="LL93" s="24"/>
      <c r="LM93">
        <v>84003</v>
      </c>
      <c r="LN93">
        <v>84007</v>
      </c>
      <c r="LO93">
        <v>84003</v>
      </c>
      <c r="LP93">
        <v>341558</v>
      </c>
      <c r="LQ93">
        <v>1379</v>
      </c>
      <c r="LS93" s="24"/>
      <c r="LT93">
        <v>279</v>
      </c>
      <c r="LU93">
        <v>307</v>
      </c>
      <c r="LV93">
        <v>304</v>
      </c>
      <c r="LW93">
        <v>209803735</v>
      </c>
      <c r="LX93">
        <v>369</v>
      </c>
      <c r="LZ93" s="24"/>
      <c r="MA93">
        <v>86030</v>
      </c>
      <c r="MB93">
        <v>88139</v>
      </c>
      <c r="MC93">
        <v>86032</v>
      </c>
      <c r="MD93">
        <v>1604764</v>
      </c>
      <c r="ME93">
        <v>72</v>
      </c>
    </row>
    <row r="94" spans="2:343" x14ac:dyDescent="0.25">
      <c r="B94" s="24"/>
      <c r="C94">
        <v>3</v>
      </c>
      <c r="D94">
        <v>3</v>
      </c>
      <c r="E94">
        <v>3</v>
      </c>
      <c r="F94">
        <v>32764840989</v>
      </c>
      <c r="G94">
        <v>3299</v>
      </c>
      <c r="I94" s="24"/>
      <c r="J94">
        <v>4</v>
      </c>
      <c r="K94">
        <v>4</v>
      </c>
      <c r="L94">
        <v>4</v>
      </c>
      <c r="M94">
        <v>9418803209</v>
      </c>
      <c r="N94">
        <v>2289</v>
      </c>
      <c r="P94" s="24"/>
      <c r="Q94">
        <v>29</v>
      </c>
      <c r="R94">
        <v>29</v>
      </c>
      <c r="S94">
        <v>29</v>
      </c>
      <c r="T94">
        <v>2119632323</v>
      </c>
      <c r="U94">
        <v>2039</v>
      </c>
      <c r="W94" s="24"/>
      <c r="X94">
        <v>74</v>
      </c>
      <c r="Y94">
        <v>75</v>
      </c>
      <c r="Z94">
        <v>75</v>
      </c>
      <c r="AA94">
        <v>389701693</v>
      </c>
      <c r="AB94">
        <v>1628</v>
      </c>
      <c r="AD94" s="24"/>
      <c r="AE94">
        <v>520</v>
      </c>
      <c r="AF94">
        <v>534</v>
      </c>
      <c r="AG94">
        <v>524</v>
      </c>
      <c r="AH94">
        <v>108573517</v>
      </c>
      <c r="AI94">
        <v>1644</v>
      </c>
      <c r="AK94" s="24"/>
      <c r="AL94">
        <v>982</v>
      </c>
      <c r="AM94">
        <v>1012</v>
      </c>
      <c r="AN94">
        <v>984</v>
      </c>
      <c r="AO94">
        <v>28158632</v>
      </c>
      <c r="AP94">
        <v>1318</v>
      </c>
      <c r="AR94" s="24"/>
      <c r="AS94">
        <v>2895</v>
      </c>
      <c r="AT94">
        <v>2982</v>
      </c>
      <c r="AU94">
        <v>2966</v>
      </c>
      <c r="AV94">
        <v>13231768</v>
      </c>
      <c r="AW94">
        <v>1350</v>
      </c>
      <c r="AY94" s="24"/>
      <c r="AZ94">
        <v>327000002</v>
      </c>
      <c r="BA94">
        <v>333797900</v>
      </c>
      <c r="BB94">
        <v>332000000</v>
      </c>
      <c r="BC94">
        <v>2076</v>
      </c>
      <c r="BD94">
        <v>1407</v>
      </c>
      <c r="BF94" s="24"/>
      <c r="BG94">
        <v>25043</v>
      </c>
      <c r="BH94">
        <v>25045</v>
      </c>
      <c r="BI94">
        <v>25044</v>
      </c>
      <c r="BJ94">
        <v>3642914</v>
      </c>
      <c r="BK94">
        <v>247</v>
      </c>
      <c r="BM94" s="24"/>
      <c r="BN94">
        <v>7000000</v>
      </c>
      <c r="BO94">
        <v>7000006</v>
      </c>
      <c r="BP94">
        <v>7000002</v>
      </c>
      <c r="BQ94">
        <v>9341</v>
      </c>
      <c r="BR94">
        <v>299</v>
      </c>
      <c r="BT94" s="24"/>
      <c r="BU94">
        <v>1921</v>
      </c>
      <c r="BV94">
        <v>1977</v>
      </c>
      <c r="BW94">
        <v>1950</v>
      </c>
      <c r="BX94">
        <v>21899229</v>
      </c>
      <c r="BY94">
        <v>246</v>
      </c>
      <c r="CA94" s="24"/>
      <c r="CB94">
        <v>295</v>
      </c>
      <c r="CC94">
        <v>307</v>
      </c>
      <c r="CD94">
        <v>306</v>
      </c>
      <c r="CE94">
        <v>94304362</v>
      </c>
      <c r="CF94">
        <v>309</v>
      </c>
      <c r="CH94" s="24"/>
      <c r="CI94">
        <v>26002</v>
      </c>
      <c r="CJ94">
        <v>26210</v>
      </c>
      <c r="CK94">
        <v>26200</v>
      </c>
      <c r="CL94">
        <v>1164969</v>
      </c>
      <c r="CM94">
        <v>206</v>
      </c>
      <c r="CO94" s="24"/>
      <c r="CP94">
        <v>8151</v>
      </c>
      <c r="CQ94">
        <v>8440</v>
      </c>
      <c r="CR94">
        <v>8299</v>
      </c>
      <c r="CS94">
        <v>892589</v>
      </c>
      <c r="CT94">
        <v>341</v>
      </c>
      <c r="CV94" s="24"/>
      <c r="CW94">
        <v>1355203</v>
      </c>
      <c r="CX94">
        <v>1405082</v>
      </c>
      <c r="CY94">
        <v>1405040</v>
      </c>
      <c r="CZ94">
        <v>14043</v>
      </c>
      <c r="DA94">
        <v>58</v>
      </c>
      <c r="DC94" s="24"/>
      <c r="DD94">
        <v>387</v>
      </c>
      <c r="DE94">
        <v>388</v>
      </c>
      <c r="DF94">
        <v>387</v>
      </c>
      <c r="DG94">
        <v>31916153</v>
      </c>
      <c r="DH94">
        <v>190</v>
      </c>
      <c r="DJ94" s="24"/>
      <c r="DK94">
        <v>34804289</v>
      </c>
      <c r="DL94">
        <v>35800000</v>
      </c>
      <c r="DM94">
        <v>34902185</v>
      </c>
      <c r="DN94">
        <v>418</v>
      </c>
      <c r="DO94">
        <v>90</v>
      </c>
      <c r="DQ94" s="24"/>
      <c r="DR94">
        <v>1600513</v>
      </c>
      <c r="DS94">
        <v>1649994</v>
      </c>
      <c r="DT94">
        <v>1649994</v>
      </c>
      <c r="DU94">
        <v>4338</v>
      </c>
      <c r="DV94">
        <v>226</v>
      </c>
      <c r="DX94" s="24"/>
      <c r="DY94">
        <v>16345013</v>
      </c>
      <c r="DZ94">
        <v>18740006</v>
      </c>
      <c r="EA94">
        <v>18398998</v>
      </c>
      <c r="EB94">
        <v>399</v>
      </c>
      <c r="EC94">
        <v>117</v>
      </c>
      <c r="EE94" s="24"/>
      <c r="EF94">
        <v>169</v>
      </c>
      <c r="EG94">
        <v>172</v>
      </c>
      <c r="EH94">
        <v>169</v>
      </c>
      <c r="EI94">
        <v>81020619</v>
      </c>
      <c r="EJ94">
        <v>166</v>
      </c>
      <c r="EL94" s="24"/>
      <c r="EM94">
        <v>51114</v>
      </c>
      <c r="EN94">
        <v>56998</v>
      </c>
      <c r="EO94">
        <v>54201</v>
      </c>
      <c r="EP94">
        <v>86225</v>
      </c>
      <c r="EQ94">
        <v>713</v>
      </c>
      <c r="ES94" s="24"/>
      <c r="ET94">
        <v>409</v>
      </c>
      <c r="EU94">
        <v>420</v>
      </c>
      <c r="EV94">
        <v>416</v>
      </c>
      <c r="EW94">
        <v>49752651</v>
      </c>
      <c r="EX94">
        <v>631</v>
      </c>
      <c r="EZ94" s="24"/>
      <c r="FA94">
        <v>3721001</v>
      </c>
      <c r="FB94">
        <v>3811005</v>
      </c>
      <c r="FC94">
        <v>3811005</v>
      </c>
      <c r="FD94">
        <v>1573</v>
      </c>
      <c r="FE94">
        <v>19</v>
      </c>
      <c r="FG94" s="24"/>
      <c r="FH94">
        <v>8690</v>
      </c>
      <c r="FI94">
        <v>9048</v>
      </c>
      <c r="FJ94">
        <v>8899</v>
      </c>
      <c r="FK94">
        <v>1819263</v>
      </c>
      <c r="FL94">
        <v>491</v>
      </c>
      <c r="FN94" s="24"/>
      <c r="FO94">
        <v>21000</v>
      </c>
      <c r="FP94">
        <v>21585</v>
      </c>
      <c r="FQ94">
        <v>21579</v>
      </c>
      <c r="FR94">
        <v>66436</v>
      </c>
      <c r="FS94">
        <v>64</v>
      </c>
      <c r="FU94" s="24"/>
      <c r="FV94">
        <v>26815</v>
      </c>
      <c r="FW94">
        <v>27015</v>
      </c>
      <c r="FX94">
        <v>26846</v>
      </c>
      <c r="FY94">
        <v>279238</v>
      </c>
      <c r="FZ94">
        <v>1265</v>
      </c>
      <c r="GB94" s="24"/>
      <c r="GC94">
        <v>108500200</v>
      </c>
      <c r="GD94">
        <v>110795700</v>
      </c>
      <c r="GE94">
        <v>109967581</v>
      </c>
      <c r="GF94">
        <v>51</v>
      </c>
      <c r="GG94">
        <v>40</v>
      </c>
      <c r="GI94" s="24"/>
      <c r="GJ94">
        <v>24300894</v>
      </c>
      <c r="GK94">
        <v>25969994</v>
      </c>
      <c r="GL94">
        <v>24300909</v>
      </c>
      <c r="GM94">
        <v>261</v>
      </c>
      <c r="GN94">
        <v>67</v>
      </c>
      <c r="GP94" s="24"/>
      <c r="GQ94">
        <v>91</v>
      </c>
      <c r="GR94">
        <v>99</v>
      </c>
      <c r="GS94">
        <v>94</v>
      </c>
      <c r="GT94">
        <v>155000489</v>
      </c>
      <c r="GU94">
        <v>147</v>
      </c>
      <c r="GW94" s="24"/>
      <c r="GX94">
        <v>357</v>
      </c>
      <c r="GY94">
        <v>359</v>
      </c>
      <c r="GZ94">
        <v>358</v>
      </c>
      <c r="HA94">
        <v>78186657</v>
      </c>
      <c r="HB94">
        <v>235</v>
      </c>
      <c r="HD94" s="24"/>
      <c r="HE94">
        <v>5174</v>
      </c>
      <c r="HF94">
        <v>5189</v>
      </c>
      <c r="HG94">
        <v>5188</v>
      </c>
      <c r="HH94">
        <v>14949318</v>
      </c>
      <c r="HI94">
        <v>264</v>
      </c>
      <c r="HK94" s="24"/>
      <c r="HL94">
        <v>109001000</v>
      </c>
      <c r="HM94">
        <v>111381400</v>
      </c>
      <c r="HN94">
        <v>109662207</v>
      </c>
      <c r="HO94">
        <v>86</v>
      </c>
      <c r="HP94">
        <v>68</v>
      </c>
      <c r="HR94" s="24"/>
      <c r="HS94">
        <v>8401</v>
      </c>
      <c r="HT94">
        <v>9411</v>
      </c>
      <c r="HU94">
        <v>8950</v>
      </c>
      <c r="HV94">
        <v>891532</v>
      </c>
      <c r="HW94">
        <v>190</v>
      </c>
      <c r="HY94" s="24"/>
      <c r="HZ94">
        <v>7990</v>
      </c>
      <c r="IA94">
        <v>8298</v>
      </c>
      <c r="IB94">
        <v>8199</v>
      </c>
      <c r="IC94">
        <v>2210706</v>
      </c>
      <c r="ID94">
        <v>533</v>
      </c>
      <c r="IF94" s="24"/>
      <c r="IG94">
        <v>2581</v>
      </c>
      <c r="IH94">
        <v>2601</v>
      </c>
      <c r="II94">
        <v>2600</v>
      </c>
      <c r="IJ94">
        <v>1691471</v>
      </c>
      <c r="IK94">
        <v>143</v>
      </c>
      <c r="IM94" s="24"/>
      <c r="IN94">
        <v>109000000</v>
      </c>
      <c r="IO94">
        <v>111999999</v>
      </c>
      <c r="IP94">
        <v>109973989</v>
      </c>
      <c r="IQ94">
        <v>67</v>
      </c>
      <c r="IR94">
        <v>51</v>
      </c>
      <c r="IT94" s="24"/>
      <c r="IU94">
        <v>7505</v>
      </c>
      <c r="IV94">
        <v>7766</v>
      </c>
      <c r="IW94">
        <v>7510</v>
      </c>
      <c r="IX94">
        <v>1353595</v>
      </c>
      <c r="IY94">
        <v>153</v>
      </c>
      <c r="JA94" s="24"/>
      <c r="JB94">
        <v>105501000</v>
      </c>
      <c r="JC94">
        <v>107399000</v>
      </c>
      <c r="JD94">
        <v>107000000</v>
      </c>
      <c r="JE94">
        <v>119</v>
      </c>
      <c r="JF94">
        <v>75</v>
      </c>
      <c r="JH94" s="24"/>
      <c r="JI94">
        <v>103000000</v>
      </c>
      <c r="JJ94">
        <v>106498200</v>
      </c>
      <c r="JK94">
        <v>104986699</v>
      </c>
      <c r="JL94">
        <v>44</v>
      </c>
      <c r="JM94">
        <v>36</v>
      </c>
      <c r="JO94" s="24"/>
      <c r="JP94">
        <v>72</v>
      </c>
      <c r="JQ94">
        <v>75</v>
      </c>
      <c r="JR94">
        <v>73</v>
      </c>
      <c r="JS94">
        <v>104673540</v>
      </c>
      <c r="JT94">
        <v>106</v>
      </c>
      <c r="JV94" s="24"/>
      <c r="JW94">
        <v>67</v>
      </c>
      <c r="JX94">
        <v>70</v>
      </c>
      <c r="JY94">
        <v>68</v>
      </c>
      <c r="JZ94">
        <v>141841344</v>
      </c>
      <c r="KA94">
        <v>98</v>
      </c>
      <c r="KC94" s="24"/>
      <c r="KD94">
        <v>28</v>
      </c>
      <c r="KE94">
        <v>34</v>
      </c>
      <c r="KF94">
        <v>34</v>
      </c>
      <c r="KG94">
        <v>58537955</v>
      </c>
      <c r="KH94">
        <v>347</v>
      </c>
      <c r="KJ94" s="24"/>
      <c r="KK94">
        <v>75</v>
      </c>
      <c r="KL94">
        <v>81</v>
      </c>
      <c r="KM94">
        <v>77</v>
      </c>
      <c r="KN94">
        <v>131129312</v>
      </c>
      <c r="KO94">
        <v>138</v>
      </c>
      <c r="KQ94" s="24"/>
      <c r="KR94">
        <v>89003</v>
      </c>
      <c r="KS94">
        <v>89010</v>
      </c>
      <c r="KT94">
        <v>89009</v>
      </c>
      <c r="KU94">
        <v>45992</v>
      </c>
      <c r="KV94">
        <v>627</v>
      </c>
      <c r="KX94" s="24"/>
      <c r="KY94">
        <v>591</v>
      </c>
      <c r="KZ94">
        <v>603</v>
      </c>
      <c r="LA94">
        <v>603</v>
      </c>
      <c r="LB94">
        <v>4076728</v>
      </c>
      <c r="LC94">
        <v>171</v>
      </c>
      <c r="LE94" s="24"/>
      <c r="LF94">
        <v>212250</v>
      </c>
      <c r="LG94">
        <v>215500</v>
      </c>
      <c r="LH94">
        <v>213000</v>
      </c>
      <c r="LI94">
        <v>86219</v>
      </c>
      <c r="LJ94">
        <v>945</v>
      </c>
      <c r="LL94" s="24"/>
      <c r="LM94">
        <v>83117</v>
      </c>
      <c r="LN94">
        <v>83337</v>
      </c>
      <c r="LO94">
        <v>83214</v>
      </c>
      <c r="LP94">
        <v>273927</v>
      </c>
      <c r="LQ94">
        <v>1284</v>
      </c>
      <c r="LS94" s="24"/>
      <c r="LT94">
        <v>290</v>
      </c>
      <c r="LU94">
        <v>302</v>
      </c>
      <c r="LV94">
        <v>298</v>
      </c>
      <c r="LW94">
        <v>120341897</v>
      </c>
      <c r="LX94">
        <v>343</v>
      </c>
      <c r="LZ94" s="24"/>
      <c r="MA94">
        <v>88137</v>
      </c>
      <c r="MB94">
        <v>88194</v>
      </c>
      <c r="MC94">
        <v>88137</v>
      </c>
      <c r="MD94">
        <v>1421251</v>
      </c>
      <c r="ME94">
        <v>130</v>
      </c>
    </row>
    <row r="95" spans="2:343" x14ac:dyDescent="0.25">
      <c r="B95" s="24"/>
      <c r="C95">
        <v>3</v>
      </c>
      <c r="D95">
        <v>3</v>
      </c>
      <c r="E95">
        <v>3</v>
      </c>
      <c r="F95">
        <v>23883298751</v>
      </c>
      <c r="G95">
        <v>3199</v>
      </c>
      <c r="I95" s="24"/>
      <c r="J95">
        <v>4</v>
      </c>
      <c r="K95">
        <v>4</v>
      </c>
      <c r="L95">
        <v>4</v>
      </c>
      <c r="M95">
        <v>5696002196</v>
      </c>
      <c r="N95">
        <v>2201</v>
      </c>
      <c r="P95" s="24"/>
      <c r="Q95">
        <v>29</v>
      </c>
      <c r="R95">
        <v>29</v>
      </c>
      <c r="S95">
        <v>29</v>
      </c>
      <c r="T95">
        <v>2346726252</v>
      </c>
      <c r="U95">
        <v>2058</v>
      </c>
      <c r="W95" s="24"/>
      <c r="X95">
        <v>73</v>
      </c>
      <c r="Y95">
        <v>74</v>
      </c>
      <c r="Z95">
        <v>73</v>
      </c>
      <c r="AA95">
        <v>510983537</v>
      </c>
      <c r="AB95">
        <v>1578</v>
      </c>
      <c r="AD95" s="24"/>
      <c r="AE95">
        <v>517</v>
      </c>
      <c r="AF95">
        <v>529</v>
      </c>
      <c r="AG95">
        <v>517</v>
      </c>
      <c r="AH95">
        <v>111639438</v>
      </c>
      <c r="AI95">
        <v>1652</v>
      </c>
      <c r="AK95" s="24"/>
      <c r="AL95">
        <v>982</v>
      </c>
      <c r="AM95">
        <v>1005</v>
      </c>
      <c r="AN95">
        <v>1003</v>
      </c>
      <c r="AO95">
        <v>38246144</v>
      </c>
      <c r="AP95">
        <v>1249</v>
      </c>
      <c r="AR95" s="24"/>
      <c r="AS95">
        <v>2850</v>
      </c>
      <c r="AT95">
        <v>2939</v>
      </c>
      <c r="AU95">
        <v>2900</v>
      </c>
      <c r="AV95">
        <v>21215568</v>
      </c>
      <c r="AW95">
        <v>1348</v>
      </c>
      <c r="AY95" s="24"/>
      <c r="AZ95">
        <v>327525000</v>
      </c>
      <c r="BA95">
        <v>332899998</v>
      </c>
      <c r="BB95">
        <v>331800000</v>
      </c>
      <c r="BC95">
        <v>2028</v>
      </c>
      <c r="BD95">
        <v>1346</v>
      </c>
      <c r="BF95" s="24"/>
      <c r="BG95">
        <v>24093</v>
      </c>
      <c r="BH95">
        <v>24501</v>
      </c>
      <c r="BI95">
        <v>24500</v>
      </c>
      <c r="BJ95">
        <v>1003984</v>
      </c>
      <c r="BK95">
        <v>176</v>
      </c>
      <c r="BM95" s="24"/>
      <c r="BN95">
        <v>6927272</v>
      </c>
      <c r="BO95">
        <v>7000000</v>
      </c>
      <c r="BP95">
        <v>7000000</v>
      </c>
      <c r="BQ95">
        <v>7379</v>
      </c>
      <c r="BR95">
        <v>287</v>
      </c>
      <c r="BT95" s="24"/>
      <c r="BU95">
        <v>1926</v>
      </c>
      <c r="BV95">
        <v>1974</v>
      </c>
      <c r="BW95">
        <v>1973</v>
      </c>
      <c r="BX95">
        <v>28239952</v>
      </c>
      <c r="BY95">
        <v>272</v>
      </c>
      <c r="CA95" s="24"/>
      <c r="CB95">
        <v>295</v>
      </c>
      <c r="CC95">
        <v>306</v>
      </c>
      <c r="CD95">
        <v>302</v>
      </c>
      <c r="CE95">
        <v>78543232</v>
      </c>
      <c r="CF95">
        <v>298</v>
      </c>
      <c r="CH95" s="24"/>
      <c r="CI95">
        <v>25000</v>
      </c>
      <c r="CJ95">
        <v>25000</v>
      </c>
      <c r="CK95">
        <v>25000</v>
      </c>
      <c r="CL95">
        <v>2570304</v>
      </c>
      <c r="CM95">
        <v>186</v>
      </c>
      <c r="CO95" s="24"/>
      <c r="CP95">
        <v>8151</v>
      </c>
      <c r="CQ95">
        <v>8398</v>
      </c>
      <c r="CR95">
        <v>8299</v>
      </c>
      <c r="CS95">
        <v>1169878</v>
      </c>
      <c r="CT95">
        <v>393</v>
      </c>
      <c r="CV95" s="24"/>
      <c r="CW95">
        <v>1419999</v>
      </c>
      <c r="CX95">
        <v>1446999</v>
      </c>
      <c r="CY95">
        <v>1446999</v>
      </c>
      <c r="CZ95">
        <v>1361</v>
      </c>
      <c r="DA95">
        <v>15</v>
      </c>
      <c r="DC95" s="24"/>
      <c r="DD95">
        <v>362</v>
      </c>
      <c r="DE95">
        <v>387</v>
      </c>
      <c r="DF95">
        <v>387</v>
      </c>
      <c r="DG95">
        <v>39182006</v>
      </c>
      <c r="DH95">
        <v>176</v>
      </c>
      <c r="DJ95" s="24"/>
      <c r="DK95">
        <v>34804325</v>
      </c>
      <c r="DL95">
        <v>36005032</v>
      </c>
      <c r="DM95">
        <v>35980309</v>
      </c>
      <c r="DN95">
        <v>340</v>
      </c>
      <c r="DO95">
        <v>88</v>
      </c>
      <c r="DQ95" s="24"/>
      <c r="DR95">
        <v>1600735</v>
      </c>
      <c r="DS95">
        <v>1788999</v>
      </c>
      <c r="DT95">
        <v>1649999</v>
      </c>
      <c r="DU95">
        <v>3936</v>
      </c>
      <c r="DV95">
        <v>204</v>
      </c>
      <c r="DX95" s="24"/>
      <c r="DY95">
        <v>17000000</v>
      </c>
      <c r="DZ95">
        <v>18200000</v>
      </c>
      <c r="EA95">
        <v>17550008</v>
      </c>
      <c r="EB95">
        <v>578</v>
      </c>
      <c r="EC95">
        <v>131</v>
      </c>
      <c r="EE95" s="24"/>
      <c r="EF95">
        <v>170</v>
      </c>
      <c r="EG95">
        <v>175</v>
      </c>
      <c r="EH95">
        <v>172</v>
      </c>
      <c r="EI95">
        <v>164733629</v>
      </c>
      <c r="EJ95">
        <v>251</v>
      </c>
      <c r="EL95" s="24"/>
      <c r="EM95">
        <v>53120</v>
      </c>
      <c r="EN95">
        <v>55995</v>
      </c>
      <c r="EO95">
        <v>53532</v>
      </c>
      <c r="EP95">
        <v>90020</v>
      </c>
      <c r="EQ95">
        <v>655</v>
      </c>
      <c r="ES95" s="24"/>
      <c r="ET95">
        <v>410</v>
      </c>
      <c r="EU95">
        <v>431</v>
      </c>
      <c r="EV95">
        <v>429</v>
      </c>
      <c r="EW95">
        <v>40747112</v>
      </c>
      <c r="EX95">
        <v>622</v>
      </c>
      <c r="EZ95" s="24"/>
      <c r="FA95">
        <v>3937690</v>
      </c>
      <c r="FB95">
        <v>3937690</v>
      </c>
      <c r="FC95">
        <v>3937690</v>
      </c>
      <c r="FD95">
        <v>454</v>
      </c>
      <c r="FE95">
        <v>9</v>
      </c>
      <c r="FG95" s="24"/>
      <c r="FH95">
        <v>8690</v>
      </c>
      <c r="FI95">
        <v>8994</v>
      </c>
      <c r="FJ95">
        <v>8691</v>
      </c>
      <c r="FK95">
        <v>1630311</v>
      </c>
      <c r="FL95">
        <v>477</v>
      </c>
      <c r="FN95" s="24"/>
      <c r="FO95">
        <v>21396</v>
      </c>
      <c r="FP95">
        <v>21399</v>
      </c>
      <c r="FQ95">
        <v>21399</v>
      </c>
      <c r="FR95">
        <v>179913</v>
      </c>
      <c r="FS95">
        <v>97</v>
      </c>
      <c r="FU95" s="24"/>
      <c r="FV95">
        <v>27015</v>
      </c>
      <c r="FW95">
        <v>27203</v>
      </c>
      <c r="FX95">
        <v>27202</v>
      </c>
      <c r="FY95">
        <v>367194</v>
      </c>
      <c r="FZ95">
        <v>1225</v>
      </c>
      <c r="GB95" s="24"/>
      <c r="GC95">
        <v>104503001</v>
      </c>
      <c r="GD95">
        <v>107502000</v>
      </c>
      <c r="GE95">
        <v>105404800</v>
      </c>
      <c r="GF95">
        <v>107</v>
      </c>
      <c r="GG95">
        <v>60</v>
      </c>
      <c r="GI95" s="24"/>
      <c r="GJ95">
        <v>24501001</v>
      </c>
      <c r="GK95">
        <v>26490988</v>
      </c>
      <c r="GL95">
        <v>26300000</v>
      </c>
      <c r="GM95">
        <v>346</v>
      </c>
      <c r="GN95">
        <v>61</v>
      </c>
      <c r="GP95" s="24"/>
      <c r="GQ95">
        <v>91</v>
      </c>
      <c r="GR95">
        <v>98</v>
      </c>
      <c r="GS95">
        <v>95</v>
      </c>
      <c r="GT95">
        <v>173483412</v>
      </c>
      <c r="GU95">
        <v>155</v>
      </c>
      <c r="GW95" s="24"/>
      <c r="GX95">
        <v>360</v>
      </c>
      <c r="GY95">
        <v>399</v>
      </c>
      <c r="GZ95">
        <v>393</v>
      </c>
      <c r="HA95">
        <v>36371373</v>
      </c>
      <c r="HB95">
        <v>193</v>
      </c>
      <c r="HD95" s="24"/>
      <c r="HE95">
        <v>5190</v>
      </c>
      <c r="HF95">
        <v>5194</v>
      </c>
      <c r="HG95">
        <v>5193</v>
      </c>
      <c r="HH95">
        <v>15012823</v>
      </c>
      <c r="HI95">
        <v>256</v>
      </c>
      <c r="HK95" s="24"/>
      <c r="HL95">
        <v>102169000</v>
      </c>
      <c r="HM95">
        <v>104999997</v>
      </c>
      <c r="HN95">
        <v>104001400</v>
      </c>
      <c r="HO95">
        <v>103</v>
      </c>
      <c r="HP95">
        <v>67</v>
      </c>
      <c r="HR95" s="24"/>
      <c r="HS95">
        <v>8609</v>
      </c>
      <c r="HT95">
        <v>9297</v>
      </c>
      <c r="HU95">
        <v>8610</v>
      </c>
      <c r="HV95">
        <v>604168</v>
      </c>
      <c r="HW95">
        <v>173</v>
      </c>
      <c r="HY95" s="24"/>
      <c r="HZ95">
        <v>7832</v>
      </c>
      <c r="IA95">
        <v>8199</v>
      </c>
      <c r="IB95">
        <v>8076</v>
      </c>
      <c r="IC95">
        <v>1739729</v>
      </c>
      <c r="ID95">
        <v>508</v>
      </c>
      <c r="IF95" s="24"/>
      <c r="IG95">
        <v>2549</v>
      </c>
      <c r="IH95">
        <v>2596</v>
      </c>
      <c r="II95">
        <v>2595</v>
      </c>
      <c r="IJ95">
        <v>2328592</v>
      </c>
      <c r="IK95">
        <v>171</v>
      </c>
      <c r="IM95" s="24"/>
      <c r="IN95">
        <v>103504701</v>
      </c>
      <c r="IO95">
        <v>107001000</v>
      </c>
      <c r="IP95">
        <v>104001000</v>
      </c>
      <c r="IQ95">
        <v>107</v>
      </c>
      <c r="IR95">
        <v>77</v>
      </c>
      <c r="IT95" s="24"/>
      <c r="IU95">
        <v>7530</v>
      </c>
      <c r="IV95">
        <v>7764</v>
      </c>
      <c r="IW95">
        <v>7762</v>
      </c>
      <c r="IX95">
        <v>1868657</v>
      </c>
      <c r="IY95">
        <v>179</v>
      </c>
      <c r="JA95" s="24"/>
      <c r="JB95">
        <v>103250485</v>
      </c>
      <c r="JC95">
        <v>106800000</v>
      </c>
      <c r="JD95">
        <v>104600000</v>
      </c>
      <c r="JE95">
        <v>114</v>
      </c>
      <c r="JF95">
        <v>73</v>
      </c>
      <c r="JH95" s="24"/>
      <c r="JI95">
        <v>103800300</v>
      </c>
      <c r="JJ95">
        <v>106400000</v>
      </c>
      <c r="JK95">
        <v>104032871</v>
      </c>
      <c r="JL95">
        <v>67</v>
      </c>
      <c r="JM95">
        <v>43</v>
      </c>
      <c r="JO95" s="24"/>
      <c r="JP95">
        <v>72</v>
      </c>
      <c r="JQ95">
        <v>74</v>
      </c>
      <c r="JR95">
        <v>74</v>
      </c>
      <c r="JS95">
        <v>108500475</v>
      </c>
      <c r="JT95">
        <v>109</v>
      </c>
      <c r="JV95" s="24"/>
      <c r="JW95">
        <v>68</v>
      </c>
      <c r="JX95">
        <v>70</v>
      </c>
      <c r="JY95">
        <v>70</v>
      </c>
      <c r="JZ95">
        <v>136549280</v>
      </c>
      <c r="KA95">
        <v>121</v>
      </c>
      <c r="KC95" s="24"/>
      <c r="KD95">
        <v>27</v>
      </c>
      <c r="KE95">
        <v>27</v>
      </c>
      <c r="KF95">
        <v>27</v>
      </c>
      <c r="KG95">
        <v>72496550</v>
      </c>
      <c r="KH95">
        <v>306</v>
      </c>
      <c r="KJ95" s="24"/>
      <c r="KK95">
        <v>80</v>
      </c>
      <c r="KL95">
        <v>80</v>
      </c>
      <c r="KM95">
        <v>80</v>
      </c>
      <c r="KN95">
        <v>116329391</v>
      </c>
      <c r="KO95">
        <v>165</v>
      </c>
      <c r="KQ95" s="24"/>
      <c r="KR95">
        <v>86000</v>
      </c>
      <c r="KS95">
        <v>89899</v>
      </c>
      <c r="KT95">
        <v>86000</v>
      </c>
      <c r="KU95">
        <v>59263</v>
      </c>
      <c r="KV95">
        <v>581</v>
      </c>
      <c r="KX95" s="24"/>
      <c r="KY95">
        <v>602</v>
      </c>
      <c r="KZ95">
        <v>603</v>
      </c>
      <c r="LA95">
        <v>602</v>
      </c>
      <c r="LB95">
        <v>4508972</v>
      </c>
      <c r="LC95">
        <v>183</v>
      </c>
      <c r="LE95" s="24"/>
      <c r="LF95">
        <v>210768</v>
      </c>
      <c r="LG95">
        <v>214000</v>
      </c>
      <c r="LH95">
        <v>213000</v>
      </c>
      <c r="LI95">
        <v>103016</v>
      </c>
      <c r="LJ95">
        <v>818</v>
      </c>
      <c r="LL95" s="24"/>
      <c r="LM95">
        <v>83149</v>
      </c>
      <c r="LN95">
        <v>83502</v>
      </c>
      <c r="LO95">
        <v>83501</v>
      </c>
      <c r="LP95">
        <v>340187</v>
      </c>
      <c r="LQ95">
        <v>1225</v>
      </c>
      <c r="LS95" s="24"/>
      <c r="LT95">
        <v>289</v>
      </c>
      <c r="LU95">
        <v>295</v>
      </c>
      <c r="LV95">
        <v>289</v>
      </c>
      <c r="LW95">
        <v>103362718</v>
      </c>
      <c r="LX95">
        <v>352</v>
      </c>
      <c r="LZ95" s="24"/>
      <c r="MA95">
        <v>90096</v>
      </c>
      <c r="MB95">
        <v>94975</v>
      </c>
      <c r="MC95">
        <v>90096</v>
      </c>
      <c r="MD95">
        <v>448401</v>
      </c>
      <c r="ME95">
        <v>41</v>
      </c>
    </row>
    <row r="96" spans="2:343" x14ac:dyDescent="0.25">
      <c r="B96" s="24"/>
      <c r="C96">
        <v>3</v>
      </c>
      <c r="D96">
        <v>3</v>
      </c>
      <c r="E96">
        <v>3</v>
      </c>
      <c r="F96">
        <v>35009557965</v>
      </c>
      <c r="G96">
        <v>3385</v>
      </c>
      <c r="I96" s="24"/>
      <c r="J96">
        <v>4</v>
      </c>
      <c r="K96">
        <v>4</v>
      </c>
      <c r="L96">
        <v>4</v>
      </c>
      <c r="M96">
        <v>8148224886</v>
      </c>
      <c r="N96">
        <v>2323</v>
      </c>
      <c r="P96" s="24"/>
      <c r="Q96">
        <v>28</v>
      </c>
      <c r="R96">
        <v>29</v>
      </c>
      <c r="S96">
        <v>28</v>
      </c>
      <c r="T96">
        <v>1866111198</v>
      </c>
      <c r="U96">
        <v>2062</v>
      </c>
      <c r="W96" s="24"/>
      <c r="X96">
        <v>71</v>
      </c>
      <c r="Y96">
        <v>73</v>
      </c>
      <c r="Z96">
        <v>72</v>
      </c>
      <c r="AA96">
        <v>373141050</v>
      </c>
      <c r="AB96">
        <v>1582</v>
      </c>
      <c r="AD96" s="24"/>
      <c r="AE96">
        <v>516</v>
      </c>
      <c r="AF96">
        <v>531</v>
      </c>
      <c r="AG96">
        <v>530</v>
      </c>
      <c r="AH96">
        <v>132178811</v>
      </c>
      <c r="AI96">
        <v>1829</v>
      </c>
      <c r="AK96" s="24"/>
      <c r="AL96">
        <v>982</v>
      </c>
      <c r="AM96">
        <v>1003</v>
      </c>
      <c r="AN96">
        <v>1002</v>
      </c>
      <c r="AO96">
        <v>42681076</v>
      </c>
      <c r="AP96">
        <v>1425</v>
      </c>
      <c r="AR96" s="24"/>
      <c r="AS96">
        <v>2850</v>
      </c>
      <c r="AT96">
        <v>2934</v>
      </c>
      <c r="AU96">
        <v>2928</v>
      </c>
      <c r="AV96">
        <v>15639344</v>
      </c>
      <c r="AW96">
        <v>1407</v>
      </c>
      <c r="AY96" s="24"/>
      <c r="AZ96">
        <v>326300000</v>
      </c>
      <c r="BA96">
        <v>331599988</v>
      </c>
      <c r="BB96">
        <v>330000000</v>
      </c>
      <c r="BC96">
        <v>2286</v>
      </c>
      <c r="BD96">
        <v>1506</v>
      </c>
      <c r="BF96" s="24"/>
      <c r="BG96">
        <v>24530</v>
      </c>
      <c r="BH96">
        <v>24803</v>
      </c>
      <c r="BI96">
        <v>24634</v>
      </c>
      <c r="BJ96">
        <v>1518728</v>
      </c>
      <c r="BK96">
        <v>224</v>
      </c>
      <c r="BM96" s="24"/>
      <c r="BN96">
        <v>6931274</v>
      </c>
      <c r="BO96">
        <v>6931410</v>
      </c>
      <c r="BP96">
        <v>6931329</v>
      </c>
      <c r="BQ96">
        <v>9325</v>
      </c>
      <c r="BR96">
        <v>288</v>
      </c>
      <c r="BT96" s="24"/>
      <c r="BU96">
        <v>1921</v>
      </c>
      <c r="BV96">
        <v>1972</v>
      </c>
      <c r="BW96">
        <v>1969</v>
      </c>
      <c r="BX96">
        <v>28576031</v>
      </c>
      <c r="BY96">
        <v>271</v>
      </c>
      <c r="CA96" s="24"/>
      <c r="CB96">
        <v>305</v>
      </c>
      <c r="CC96">
        <v>306</v>
      </c>
      <c r="CD96">
        <v>306</v>
      </c>
      <c r="CE96">
        <v>98965877</v>
      </c>
      <c r="CF96">
        <v>299</v>
      </c>
      <c r="CH96" s="24"/>
      <c r="CI96">
        <v>24014</v>
      </c>
      <c r="CJ96">
        <v>25001</v>
      </c>
      <c r="CK96">
        <v>24100</v>
      </c>
      <c r="CL96">
        <v>936309</v>
      </c>
      <c r="CM96">
        <v>200</v>
      </c>
      <c r="CO96" s="24"/>
      <c r="CP96">
        <v>8149</v>
      </c>
      <c r="CQ96">
        <v>8391</v>
      </c>
      <c r="CR96">
        <v>8374</v>
      </c>
      <c r="CS96">
        <v>1236982</v>
      </c>
      <c r="CT96">
        <v>435</v>
      </c>
      <c r="CV96" s="24"/>
      <c r="CW96">
        <v>1390002</v>
      </c>
      <c r="CX96">
        <v>1419989</v>
      </c>
      <c r="CY96">
        <v>1419987</v>
      </c>
      <c r="CZ96">
        <v>11270</v>
      </c>
      <c r="DA96">
        <v>53</v>
      </c>
      <c r="DC96" s="24"/>
      <c r="DD96">
        <v>334</v>
      </c>
      <c r="DE96">
        <v>387</v>
      </c>
      <c r="DF96">
        <v>386</v>
      </c>
      <c r="DG96">
        <v>50912684</v>
      </c>
      <c r="DH96">
        <v>205</v>
      </c>
      <c r="DJ96" s="24"/>
      <c r="DK96">
        <v>34810001</v>
      </c>
      <c r="DL96">
        <v>35974999</v>
      </c>
      <c r="DM96">
        <v>34811065</v>
      </c>
      <c r="DN96">
        <v>379</v>
      </c>
      <c r="DO96">
        <v>83</v>
      </c>
      <c r="DQ96" s="24"/>
      <c r="DR96">
        <v>1633017</v>
      </c>
      <c r="DS96">
        <v>1789999</v>
      </c>
      <c r="DT96">
        <v>1635430</v>
      </c>
      <c r="DU96">
        <v>4508</v>
      </c>
      <c r="DV96">
        <v>237</v>
      </c>
      <c r="DX96" s="24"/>
      <c r="DY96">
        <v>17653001</v>
      </c>
      <c r="DZ96">
        <v>18199999</v>
      </c>
      <c r="EA96">
        <v>17654001</v>
      </c>
      <c r="EB96">
        <v>371</v>
      </c>
      <c r="EC96">
        <v>103</v>
      </c>
      <c r="EE96" s="24"/>
      <c r="EF96">
        <v>169</v>
      </c>
      <c r="EG96">
        <v>175</v>
      </c>
      <c r="EH96">
        <v>171</v>
      </c>
      <c r="EI96">
        <v>142433242</v>
      </c>
      <c r="EJ96">
        <v>251</v>
      </c>
      <c r="EL96" s="24"/>
      <c r="EM96">
        <v>50702</v>
      </c>
      <c r="EN96">
        <v>53121</v>
      </c>
      <c r="EO96">
        <v>52116</v>
      </c>
      <c r="EP96">
        <v>108013</v>
      </c>
      <c r="EQ96">
        <v>722</v>
      </c>
      <c r="ES96" s="24"/>
      <c r="ET96">
        <v>406</v>
      </c>
      <c r="EU96">
        <v>431</v>
      </c>
      <c r="EV96">
        <v>430</v>
      </c>
      <c r="EW96">
        <v>50767716</v>
      </c>
      <c r="EX96">
        <v>821</v>
      </c>
      <c r="EZ96" s="24"/>
      <c r="FA96">
        <v>3937689</v>
      </c>
      <c r="FB96">
        <v>3937690</v>
      </c>
      <c r="FC96">
        <v>3937690</v>
      </c>
      <c r="FD96">
        <v>1410</v>
      </c>
      <c r="FE96">
        <v>34</v>
      </c>
      <c r="FG96" s="24"/>
      <c r="FH96">
        <v>8668</v>
      </c>
      <c r="FI96">
        <v>8900</v>
      </c>
      <c r="FJ96">
        <v>8700</v>
      </c>
      <c r="FK96">
        <v>2172500</v>
      </c>
      <c r="FL96">
        <v>570</v>
      </c>
      <c r="FN96" s="24"/>
      <c r="FO96">
        <v>21005</v>
      </c>
      <c r="FP96">
        <v>21393</v>
      </c>
      <c r="FQ96">
        <v>21393</v>
      </c>
      <c r="FR96">
        <v>232597</v>
      </c>
      <c r="FS96">
        <v>113</v>
      </c>
      <c r="FU96" s="24"/>
      <c r="FV96">
        <v>25025</v>
      </c>
      <c r="FW96">
        <v>26598</v>
      </c>
      <c r="FX96">
        <v>25504</v>
      </c>
      <c r="FY96">
        <v>416312</v>
      </c>
      <c r="FZ96">
        <v>1425</v>
      </c>
      <c r="GB96" s="24"/>
      <c r="GC96">
        <v>104500000</v>
      </c>
      <c r="GD96">
        <v>108999800</v>
      </c>
      <c r="GE96">
        <v>107632058</v>
      </c>
      <c r="GF96">
        <v>83</v>
      </c>
      <c r="GG96">
        <v>65</v>
      </c>
      <c r="GI96" s="24"/>
      <c r="GJ96">
        <v>25111001</v>
      </c>
      <c r="GK96">
        <v>26999999</v>
      </c>
      <c r="GL96">
        <v>25420527</v>
      </c>
      <c r="GM96">
        <v>406</v>
      </c>
      <c r="GN96">
        <v>75</v>
      </c>
      <c r="GP96" s="24"/>
      <c r="GQ96">
        <v>94</v>
      </c>
      <c r="GR96">
        <v>97</v>
      </c>
      <c r="GS96">
        <v>97</v>
      </c>
      <c r="GT96">
        <v>191838298</v>
      </c>
      <c r="GU96">
        <v>182</v>
      </c>
      <c r="GW96" s="24"/>
      <c r="GX96">
        <v>355</v>
      </c>
      <c r="GY96">
        <v>386</v>
      </c>
      <c r="GZ96">
        <v>374</v>
      </c>
      <c r="HA96">
        <v>51538954</v>
      </c>
      <c r="HB96">
        <v>255</v>
      </c>
      <c r="HD96" s="24"/>
      <c r="HE96">
        <v>5361</v>
      </c>
      <c r="HF96">
        <v>5478</v>
      </c>
      <c r="HG96">
        <v>5412</v>
      </c>
      <c r="HH96">
        <v>33249641</v>
      </c>
      <c r="HI96">
        <v>343</v>
      </c>
      <c r="HK96" s="24"/>
      <c r="HL96">
        <v>102001000</v>
      </c>
      <c r="HM96">
        <v>105999000</v>
      </c>
      <c r="HN96">
        <v>105462682</v>
      </c>
      <c r="HO96">
        <v>83</v>
      </c>
      <c r="HP96">
        <v>63</v>
      </c>
      <c r="HR96" s="24"/>
      <c r="HS96">
        <v>8651</v>
      </c>
      <c r="HT96">
        <v>9240</v>
      </c>
      <c r="HU96">
        <v>8951</v>
      </c>
      <c r="HV96">
        <v>1006992</v>
      </c>
      <c r="HW96">
        <v>223</v>
      </c>
      <c r="HY96" s="24"/>
      <c r="HZ96">
        <v>7700</v>
      </c>
      <c r="IA96">
        <v>7997</v>
      </c>
      <c r="IB96">
        <v>7798</v>
      </c>
      <c r="IC96">
        <v>2344506</v>
      </c>
      <c r="ID96">
        <v>632</v>
      </c>
      <c r="IF96" s="24"/>
      <c r="IG96">
        <v>2463</v>
      </c>
      <c r="IH96">
        <v>2594</v>
      </c>
      <c r="II96">
        <v>2589</v>
      </c>
      <c r="IJ96">
        <v>2233807</v>
      </c>
      <c r="IK96">
        <v>163</v>
      </c>
      <c r="IM96" s="24"/>
      <c r="IN96">
        <v>102010005</v>
      </c>
      <c r="IO96">
        <v>106998996</v>
      </c>
      <c r="IP96">
        <v>105071097</v>
      </c>
      <c r="IQ96">
        <v>66</v>
      </c>
      <c r="IR96">
        <v>58</v>
      </c>
      <c r="IT96" s="24"/>
      <c r="IU96">
        <v>7532</v>
      </c>
      <c r="IV96">
        <v>7651</v>
      </c>
      <c r="IW96">
        <v>7536</v>
      </c>
      <c r="IX96">
        <v>2330248</v>
      </c>
      <c r="IY96">
        <v>214</v>
      </c>
      <c r="JA96" s="24"/>
      <c r="JB96">
        <v>102900000</v>
      </c>
      <c r="JC96">
        <v>105590899</v>
      </c>
      <c r="JD96">
        <v>104958867</v>
      </c>
      <c r="JE96">
        <v>89</v>
      </c>
      <c r="JF96">
        <v>76</v>
      </c>
      <c r="JH96" s="24"/>
      <c r="JI96">
        <v>102401001</v>
      </c>
      <c r="JJ96">
        <v>105899800</v>
      </c>
      <c r="JK96">
        <v>105125572</v>
      </c>
      <c r="JL96">
        <v>39</v>
      </c>
      <c r="JM96">
        <v>34</v>
      </c>
      <c r="JO96" s="24"/>
      <c r="JP96">
        <v>72</v>
      </c>
      <c r="JQ96">
        <v>74</v>
      </c>
      <c r="JR96">
        <v>74</v>
      </c>
      <c r="JS96">
        <v>90034925</v>
      </c>
      <c r="JT96">
        <v>109</v>
      </c>
      <c r="JV96" s="24"/>
      <c r="JW96">
        <v>66</v>
      </c>
      <c r="JX96">
        <v>69</v>
      </c>
      <c r="JY96">
        <v>69</v>
      </c>
      <c r="JZ96">
        <v>168235397</v>
      </c>
      <c r="KA96">
        <v>164</v>
      </c>
      <c r="KC96" s="24"/>
      <c r="KD96">
        <v>27</v>
      </c>
      <c r="KE96">
        <v>31</v>
      </c>
      <c r="KF96">
        <v>28</v>
      </c>
      <c r="KG96">
        <v>85300088</v>
      </c>
      <c r="KH96">
        <v>341</v>
      </c>
      <c r="KJ96" s="24"/>
      <c r="KK96">
        <v>78</v>
      </c>
      <c r="KL96">
        <v>80</v>
      </c>
      <c r="KM96">
        <v>80</v>
      </c>
      <c r="KN96">
        <v>148533720</v>
      </c>
      <c r="KO96">
        <v>155</v>
      </c>
      <c r="KQ96" s="24"/>
      <c r="KR96">
        <v>86000</v>
      </c>
      <c r="KS96">
        <v>87999</v>
      </c>
      <c r="KT96">
        <v>86005</v>
      </c>
      <c r="KU96">
        <v>79846</v>
      </c>
      <c r="KV96">
        <v>667</v>
      </c>
      <c r="KX96" s="24"/>
      <c r="KY96">
        <v>592</v>
      </c>
      <c r="KZ96">
        <v>602</v>
      </c>
      <c r="LA96">
        <v>602</v>
      </c>
      <c r="LB96">
        <v>7758508</v>
      </c>
      <c r="LC96">
        <v>209</v>
      </c>
      <c r="LE96" s="24"/>
      <c r="LF96">
        <v>207514</v>
      </c>
      <c r="LG96">
        <v>209999</v>
      </c>
      <c r="LH96">
        <v>208402</v>
      </c>
      <c r="LI96">
        <v>119873</v>
      </c>
      <c r="LJ96">
        <v>1028</v>
      </c>
      <c r="LL96" s="24"/>
      <c r="LM96">
        <v>82606</v>
      </c>
      <c r="LN96">
        <v>83168</v>
      </c>
      <c r="LO96">
        <v>82701</v>
      </c>
      <c r="LP96">
        <v>372875</v>
      </c>
      <c r="LQ96">
        <v>1463</v>
      </c>
      <c r="LS96" s="24"/>
      <c r="LT96">
        <v>295</v>
      </c>
      <c r="LU96">
        <v>304</v>
      </c>
      <c r="LV96">
        <v>296</v>
      </c>
      <c r="LW96">
        <v>118193825</v>
      </c>
      <c r="LX96">
        <v>405</v>
      </c>
      <c r="LZ96" s="24"/>
      <c r="MA96">
        <v>94787</v>
      </c>
      <c r="MB96">
        <v>94880</v>
      </c>
      <c r="MC96">
        <v>94808</v>
      </c>
      <c r="MD96">
        <v>786054</v>
      </c>
      <c r="ME96">
        <v>99</v>
      </c>
    </row>
    <row r="97" spans="2:343" x14ac:dyDescent="0.25">
      <c r="B97" s="24"/>
      <c r="C97">
        <v>3</v>
      </c>
      <c r="D97">
        <v>3</v>
      </c>
      <c r="E97">
        <v>3</v>
      </c>
      <c r="F97">
        <v>41085340138</v>
      </c>
      <c r="G97">
        <v>3615</v>
      </c>
      <c r="I97" s="24"/>
      <c r="J97">
        <v>4</v>
      </c>
      <c r="K97">
        <v>4</v>
      </c>
      <c r="L97">
        <v>4</v>
      </c>
      <c r="M97">
        <v>9986812148</v>
      </c>
      <c r="N97">
        <v>2592</v>
      </c>
      <c r="P97" s="24"/>
      <c r="Q97">
        <v>28</v>
      </c>
      <c r="R97">
        <v>29</v>
      </c>
      <c r="S97">
        <v>29</v>
      </c>
      <c r="T97">
        <v>2524206281</v>
      </c>
      <c r="U97">
        <v>2263</v>
      </c>
      <c r="W97" s="24"/>
      <c r="X97">
        <v>72</v>
      </c>
      <c r="Y97">
        <v>72</v>
      </c>
      <c r="Z97">
        <v>72</v>
      </c>
      <c r="AA97">
        <v>484406161</v>
      </c>
      <c r="AB97">
        <v>1685</v>
      </c>
      <c r="AD97" s="24"/>
      <c r="AE97">
        <v>535</v>
      </c>
      <c r="AF97">
        <v>540</v>
      </c>
      <c r="AG97">
        <v>538</v>
      </c>
      <c r="AH97">
        <v>117875770</v>
      </c>
      <c r="AI97">
        <v>1896</v>
      </c>
      <c r="AK97" s="24"/>
      <c r="AL97">
        <v>982</v>
      </c>
      <c r="AM97">
        <v>1004</v>
      </c>
      <c r="AN97">
        <v>1003</v>
      </c>
      <c r="AO97">
        <v>39523532</v>
      </c>
      <c r="AP97">
        <v>1383</v>
      </c>
      <c r="AR97" s="24"/>
      <c r="AS97">
        <v>2854</v>
      </c>
      <c r="AT97">
        <v>2927</v>
      </c>
      <c r="AU97">
        <v>2924</v>
      </c>
      <c r="AV97">
        <v>17286419</v>
      </c>
      <c r="AW97">
        <v>1460</v>
      </c>
      <c r="AY97" s="24"/>
      <c r="AZ97">
        <v>327400032</v>
      </c>
      <c r="BA97">
        <v>333000000</v>
      </c>
      <c r="BB97">
        <v>330400000</v>
      </c>
      <c r="BC97">
        <v>2202</v>
      </c>
      <c r="BD97">
        <v>1530</v>
      </c>
      <c r="BF97" s="24"/>
      <c r="BG97">
        <v>25471</v>
      </c>
      <c r="BH97">
        <v>26000</v>
      </c>
      <c r="BI97">
        <v>25473</v>
      </c>
      <c r="BJ97">
        <v>1923359</v>
      </c>
      <c r="BK97">
        <v>211</v>
      </c>
      <c r="BM97" s="24"/>
      <c r="BN97">
        <v>6932091</v>
      </c>
      <c r="BO97">
        <v>6943388</v>
      </c>
      <c r="BP97">
        <v>6943350</v>
      </c>
      <c r="BQ97">
        <v>9930</v>
      </c>
      <c r="BR97">
        <v>331</v>
      </c>
      <c r="BT97" s="24"/>
      <c r="BU97">
        <v>1929</v>
      </c>
      <c r="BV97">
        <v>1971</v>
      </c>
      <c r="BW97">
        <v>1964</v>
      </c>
      <c r="BX97">
        <v>47149879</v>
      </c>
      <c r="BY97">
        <v>299</v>
      </c>
      <c r="CA97" s="24"/>
      <c r="CB97">
        <v>324</v>
      </c>
      <c r="CC97">
        <v>348</v>
      </c>
      <c r="CD97">
        <v>347</v>
      </c>
      <c r="CE97">
        <v>64054127</v>
      </c>
      <c r="CF97">
        <v>256</v>
      </c>
      <c r="CH97" s="24"/>
      <c r="CI97">
        <v>25000</v>
      </c>
      <c r="CJ97">
        <v>25400</v>
      </c>
      <c r="CK97">
        <v>25000</v>
      </c>
      <c r="CL97">
        <v>1121771</v>
      </c>
      <c r="CM97">
        <v>189</v>
      </c>
      <c r="CO97" s="24"/>
      <c r="CP97">
        <v>8102</v>
      </c>
      <c r="CQ97">
        <v>8389</v>
      </c>
      <c r="CR97">
        <v>8348</v>
      </c>
      <c r="CS97">
        <v>1259757</v>
      </c>
      <c r="CT97">
        <v>456</v>
      </c>
      <c r="CV97" s="24"/>
      <c r="CW97">
        <v>1355677</v>
      </c>
      <c r="CX97">
        <v>1389999</v>
      </c>
      <c r="CY97">
        <v>1389067</v>
      </c>
      <c r="CZ97">
        <v>5858</v>
      </c>
      <c r="DA97">
        <v>47</v>
      </c>
      <c r="DC97" s="24"/>
      <c r="DD97">
        <v>383</v>
      </c>
      <c r="DE97">
        <v>385</v>
      </c>
      <c r="DF97">
        <v>384</v>
      </c>
      <c r="DG97">
        <v>35684541</v>
      </c>
      <c r="DH97">
        <v>203</v>
      </c>
      <c r="DJ97" s="24"/>
      <c r="DK97">
        <v>34813004</v>
      </c>
      <c r="DL97">
        <v>34814018</v>
      </c>
      <c r="DM97">
        <v>34813322</v>
      </c>
      <c r="DN97">
        <v>299</v>
      </c>
      <c r="DO97">
        <v>87</v>
      </c>
      <c r="DQ97" s="24"/>
      <c r="DR97">
        <v>1650328</v>
      </c>
      <c r="DS97">
        <v>1799328</v>
      </c>
      <c r="DT97">
        <v>1779999</v>
      </c>
      <c r="DU97">
        <v>5438</v>
      </c>
      <c r="DV97">
        <v>268</v>
      </c>
      <c r="DX97" s="24"/>
      <c r="DY97">
        <v>17656070</v>
      </c>
      <c r="DZ97">
        <v>20000000</v>
      </c>
      <c r="EA97">
        <v>18494996</v>
      </c>
      <c r="EB97">
        <v>438</v>
      </c>
      <c r="EC97">
        <v>133</v>
      </c>
      <c r="EE97" s="24"/>
      <c r="EF97">
        <v>173</v>
      </c>
      <c r="EG97">
        <v>181</v>
      </c>
      <c r="EH97">
        <v>180</v>
      </c>
      <c r="EI97">
        <v>127254743</v>
      </c>
      <c r="EJ97">
        <v>275</v>
      </c>
      <c r="EL97" s="24"/>
      <c r="EM97">
        <v>51002</v>
      </c>
      <c r="EN97">
        <v>53249</v>
      </c>
      <c r="EO97">
        <v>51113</v>
      </c>
      <c r="EP97">
        <v>119813</v>
      </c>
      <c r="EQ97">
        <v>809</v>
      </c>
      <c r="ES97" s="24"/>
      <c r="ET97">
        <v>435</v>
      </c>
      <c r="EU97">
        <v>460</v>
      </c>
      <c r="EV97">
        <v>449</v>
      </c>
      <c r="EW97">
        <v>42144377</v>
      </c>
      <c r="EX97">
        <v>682</v>
      </c>
      <c r="EZ97" s="24"/>
      <c r="FA97">
        <v>3937690</v>
      </c>
      <c r="FB97">
        <v>3937690</v>
      </c>
      <c r="FC97">
        <v>3937690</v>
      </c>
      <c r="FD97">
        <v>983</v>
      </c>
      <c r="FE97">
        <v>18</v>
      </c>
      <c r="FG97" s="24"/>
      <c r="FH97">
        <v>8625</v>
      </c>
      <c r="FI97">
        <v>8888</v>
      </c>
      <c r="FJ97">
        <v>8667</v>
      </c>
      <c r="FK97">
        <v>2192468</v>
      </c>
      <c r="FL97">
        <v>583</v>
      </c>
      <c r="FN97" s="24"/>
      <c r="FO97">
        <v>20805</v>
      </c>
      <c r="FP97">
        <v>21393</v>
      </c>
      <c r="FQ97">
        <v>21102</v>
      </c>
      <c r="FR97">
        <v>390668</v>
      </c>
      <c r="FS97">
        <v>129</v>
      </c>
      <c r="FU97" s="24"/>
      <c r="FV97">
        <v>25802</v>
      </c>
      <c r="FW97">
        <v>26002</v>
      </c>
      <c r="FX97">
        <v>25850</v>
      </c>
      <c r="FY97">
        <v>430247</v>
      </c>
      <c r="FZ97">
        <v>1543</v>
      </c>
      <c r="GB97" s="24"/>
      <c r="GC97">
        <v>102525000</v>
      </c>
      <c r="GD97">
        <v>107999200</v>
      </c>
      <c r="GE97">
        <v>105462752</v>
      </c>
      <c r="GF97">
        <v>66</v>
      </c>
      <c r="GG97">
        <v>52</v>
      </c>
      <c r="GI97" s="24"/>
      <c r="GJ97">
        <v>25701659</v>
      </c>
      <c r="GK97">
        <v>28602004</v>
      </c>
      <c r="GL97">
        <v>26000000</v>
      </c>
      <c r="GM97">
        <v>230</v>
      </c>
      <c r="GN97">
        <v>52</v>
      </c>
      <c r="GP97" s="24"/>
      <c r="GQ97">
        <v>95</v>
      </c>
      <c r="GR97">
        <v>98</v>
      </c>
      <c r="GS97">
        <v>97</v>
      </c>
      <c r="GT97">
        <v>232881804</v>
      </c>
      <c r="GU97">
        <v>192</v>
      </c>
      <c r="GW97" s="24"/>
      <c r="GX97">
        <v>350</v>
      </c>
      <c r="GY97">
        <v>367</v>
      </c>
      <c r="GZ97">
        <v>355</v>
      </c>
      <c r="HA97">
        <v>48930629</v>
      </c>
      <c r="HB97">
        <v>257</v>
      </c>
      <c r="HD97" s="24"/>
      <c r="HE97">
        <v>5478</v>
      </c>
      <c r="HF97">
        <v>5611</v>
      </c>
      <c r="HG97">
        <v>5555</v>
      </c>
      <c r="HH97">
        <v>30854783</v>
      </c>
      <c r="HI97">
        <v>372</v>
      </c>
      <c r="HK97" s="24"/>
      <c r="HL97">
        <v>102002012</v>
      </c>
      <c r="HM97">
        <v>109247300</v>
      </c>
      <c r="HN97">
        <v>105702039</v>
      </c>
      <c r="HO97">
        <v>71</v>
      </c>
      <c r="HP97">
        <v>59</v>
      </c>
      <c r="HR97" s="24"/>
      <c r="HS97">
        <v>8800</v>
      </c>
      <c r="HT97">
        <v>9198</v>
      </c>
      <c r="HU97">
        <v>8991</v>
      </c>
      <c r="HV97">
        <v>1098622</v>
      </c>
      <c r="HW97">
        <v>247</v>
      </c>
      <c r="HY97" s="24"/>
      <c r="HZ97">
        <v>7653</v>
      </c>
      <c r="IA97">
        <v>7989</v>
      </c>
      <c r="IB97">
        <v>7849</v>
      </c>
      <c r="IC97">
        <v>2050372</v>
      </c>
      <c r="ID97">
        <v>593</v>
      </c>
      <c r="IF97" s="24"/>
      <c r="IG97">
        <v>2514</v>
      </c>
      <c r="IH97">
        <v>2589</v>
      </c>
      <c r="II97">
        <v>2589</v>
      </c>
      <c r="IJ97">
        <v>2540262</v>
      </c>
      <c r="IK97">
        <v>180</v>
      </c>
      <c r="IM97" s="24"/>
      <c r="IN97">
        <v>105999998</v>
      </c>
      <c r="IO97">
        <v>112297800</v>
      </c>
      <c r="IP97">
        <v>108159974</v>
      </c>
      <c r="IQ97">
        <v>38</v>
      </c>
      <c r="IR97">
        <v>36</v>
      </c>
      <c r="IT97" s="24"/>
      <c r="IU97">
        <v>7650</v>
      </c>
      <c r="IV97">
        <v>7763</v>
      </c>
      <c r="IW97">
        <v>7763</v>
      </c>
      <c r="IX97">
        <v>1711858</v>
      </c>
      <c r="IY97">
        <v>164</v>
      </c>
      <c r="JA97" s="24"/>
      <c r="JB97">
        <v>101600000</v>
      </c>
      <c r="JC97">
        <v>104200000</v>
      </c>
      <c r="JD97">
        <v>102200000</v>
      </c>
      <c r="JE97">
        <v>121</v>
      </c>
      <c r="JF97">
        <v>80</v>
      </c>
      <c r="JH97" s="24"/>
      <c r="JI97">
        <v>103802200</v>
      </c>
      <c r="JJ97">
        <v>107785400</v>
      </c>
      <c r="JK97">
        <v>106068972</v>
      </c>
      <c r="JL97">
        <v>43</v>
      </c>
      <c r="JM97">
        <v>36</v>
      </c>
      <c r="JO97" s="24"/>
      <c r="JP97">
        <v>73</v>
      </c>
      <c r="JQ97">
        <v>74</v>
      </c>
      <c r="JR97">
        <v>74</v>
      </c>
      <c r="JS97">
        <v>202917482</v>
      </c>
      <c r="JT97">
        <v>124</v>
      </c>
      <c r="JV97" s="24"/>
      <c r="JW97">
        <v>69</v>
      </c>
      <c r="JX97">
        <v>70</v>
      </c>
      <c r="JY97">
        <v>70</v>
      </c>
      <c r="JZ97">
        <v>145086457</v>
      </c>
      <c r="KA97">
        <v>149</v>
      </c>
      <c r="KC97" s="24"/>
      <c r="KD97">
        <v>27</v>
      </c>
      <c r="KE97">
        <v>28</v>
      </c>
      <c r="KF97">
        <v>27</v>
      </c>
      <c r="KG97">
        <v>76083073</v>
      </c>
      <c r="KH97">
        <v>339</v>
      </c>
      <c r="KJ97" s="24"/>
      <c r="KK97">
        <v>77</v>
      </c>
      <c r="KL97">
        <v>80</v>
      </c>
      <c r="KM97">
        <v>79</v>
      </c>
      <c r="KN97">
        <v>174133327</v>
      </c>
      <c r="KO97">
        <v>191</v>
      </c>
      <c r="KQ97" s="24"/>
      <c r="KR97">
        <v>86601</v>
      </c>
      <c r="KS97">
        <v>89600</v>
      </c>
      <c r="KT97">
        <v>87004</v>
      </c>
      <c r="KU97">
        <v>86619</v>
      </c>
      <c r="KV97">
        <v>772</v>
      </c>
      <c r="KX97" s="24"/>
      <c r="KY97">
        <v>592</v>
      </c>
      <c r="KZ97">
        <v>602</v>
      </c>
      <c r="LA97">
        <v>602</v>
      </c>
      <c r="LB97">
        <v>10206745</v>
      </c>
      <c r="LC97">
        <v>248</v>
      </c>
      <c r="LE97" s="24"/>
      <c r="LF97">
        <v>205115</v>
      </c>
      <c r="LG97">
        <v>208502</v>
      </c>
      <c r="LH97">
        <v>207700</v>
      </c>
      <c r="LI97">
        <v>115244</v>
      </c>
      <c r="LJ97">
        <v>1109</v>
      </c>
      <c r="LL97" s="24"/>
      <c r="LM97">
        <v>85058</v>
      </c>
      <c r="LN97">
        <v>85058</v>
      </c>
      <c r="LO97">
        <v>85058</v>
      </c>
      <c r="LP97">
        <v>584915</v>
      </c>
      <c r="LQ97">
        <v>1639</v>
      </c>
      <c r="LS97" s="24"/>
      <c r="LT97">
        <v>309</v>
      </c>
      <c r="LU97">
        <v>314</v>
      </c>
      <c r="LV97">
        <v>310</v>
      </c>
      <c r="LW97">
        <v>89738675</v>
      </c>
      <c r="LX97">
        <v>384</v>
      </c>
      <c r="LZ97" s="24"/>
      <c r="MA97">
        <v>98999</v>
      </c>
      <c r="MB97">
        <v>99999</v>
      </c>
      <c r="MC97">
        <v>99999</v>
      </c>
      <c r="MD97">
        <v>2748191</v>
      </c>
      <c r="ME97">
        <v>159</v>
      </c>
    </row>
    <row r="98" spans="2:343" x14ac:dyDescent="0.25">
      <c r="B98" s="24"/>
      <c r="C98">
        <v>3</v>
      </c>
      <c r="D98">
        <v>3</v>
      </c>
      <c r="E98">
        <v>3</v>
      </c>
      <c r="F98">
        <v>31825196404</v>
      </c>
      <c r="G98">
        <v>3191</v>
      </c>
      <c r="I98" s="24"/>
      <c r="J98">
        <v>4</v>
      </c>
      <c r="K98">
        <v>5</v>
      </c>
      <c r="L98">
        <v>4</v>
      </c>
      <c r="M98">
        <v>6462448738</v>
      </c>
      <c r="N98">
        <v>2262</v>
      </c>
      <c r="P98" s="24"/>
      <c r="Q98">
        <v>28</v>
      </c>
      <c r="R98">
        <v>29</v>
      </c>
      <c r="S98">
        <v>29</v>
      </c>
      <c r="T98">
        <v>1845847800</v>
      </c>
      <c r="U98">
        <v>2057</v>
      </c>
      <c r="W98" s="24"/>
      <c r="X98">
        <v>72</v>
      </c>
      <c r="Y98">
        <v>74</v>
      </c>
      <c r="Z98">
        <v>73</v>
      </c>
      <c r="AA98">
        <v>400336902</v>
      </c>
      <c r="AB98">
        <v>1629</v>
      </c>
      <c r="AD98" s="24"/>
      <c r="AE98">
        <v>534</v>
      </c>
      <c r="AF98">
        <v>550</v>
      </c>
      <c r="AG98">
        <v>536</v>
      </c>
      <c r="AH98">
        <v>107425307</v>
      </c>
      <c r="AI98">
        <v>1795</v>
      </c>
      <c r="AK98" s="24"/>
      <c r="AL98">
        <v>977</v>
      </c>
      <c r="AM98">
        <v>1000</v>
      </c>
      <c r="AN98">
        <v>982</v>
      </c>
      <c r="AO98">
        <v>53725247</v>
      </c>
      <c r="AP98">
        <v>1382</v>
      </c>
      <c r="AR98" s="24"/>
      <c r="AS98">
        <v>2814</v>
      </c>
      <c r="AT98">
        <v>2919</v>
      </c>
      <c r="AU98">
        <v>2820</v>
      </c>
      <c r="AV98">
        <v>18688871</v>
      </c>
      <c r="AW98">
        <v>1326</v>
      </c>
      <c r="AY98" s="24"/>
      <c r="AZ98">
        <v>330000000</v>
      </c>
      <c r="BA98">
        <v>335999998</v>
      </c>
      <c r="BB98">
        <v>333999999</v>
      </c>
      <c r="BC98">
        <v>1813</v>
      </c>
      <c r="BD98">
        <v>1299</v>
      </c>
      <c r="BF98" s="24"/>
      <c r="BG98">
        <v>26302</v>
      </c>
      <c r="BH98">
        <v>26303</v>
      </c>
      <c r="BI98">
        <v>26302</v>
      </c>
      <c r="BJ98">
        <v>654543</v>
      </c>
      <c r="BK98">
        <v>164</v>
      </c>
      <c r="BM98" s="24"/>
      <c r="BN98">
        <v>6650000</v>
      </c>
      <c r="BO98">
        <v>6943381</v>
      </c>
      <c r="BP98">
        <v>6932091</v>
      </c>
      <c r="BQ98">
        <v>10175</v>
      </c>
      <c r="BR98">
        <v>308</v>
      </c>
      <c r="BT98" s="24"/>
      <c r="BU98">
        <v>1922</v>
      </c>
      <c r="BV98">
        <v>1972</v>
      </c>
      <c r="BW98">
        <v>1971</v>
      </c>
      <c r="BX98">
        <v>20529147</v>
      </c>
      <c r="BY98">
        <v>236</v>
      </c>
      <c r="CA98" s="24"/>
      <c r="CB98">
        <v>329</v>
      </c>
      <c r="CC98">
        <v>347</v>
      </c>
      <c r="CD98">
        <v>346</v>
      </c>
      <c r="CE98">
        <v>67065732</v>
      </c>
      <c r="CF98">
        <v>270</v>
      </c>
      <c r="CH98" s="24"/>
      <c r="CI98">
        <v>25700</v>
      </c>
      <c r="CJ98">
        <v>25703</v>
      </c>
      <c r="CK98">
        <v>25702</v>
      </c>
      <c r="CL98">
        <v>679178</v>
      </c>
      <c r="CM98">
        <v>157</v>
      </c>
      <c r="CO98" s="24"/>
      <c r="CP98">
        <v>8103</v>
      </c>
      <c r="CQ98">
        <v>8489</v>
      </c>
      <c r="CR98">
        <v>8449</v>
      </c>
      <c r="CS98">
        <v>1210963</v>
      </c>
      <c r="CT98">
        <v>389</v>
      </c>
      <c r="CV98" s="24"/>
      <c r="CW98">
        <v>1379186</v>
      </c>
      <c r="CX98">
        <v>1379999</v>
      </c>
      <c r="CY98">
        <v>1379876</v>
      </c>
      <c r="CZ98">
        <v>7459</v>
      </c>
      <c r="DA98">
        <v>49</v>
      </c>
      <c r="DC98" s="24"/>
      <c r="DD98">
        <v>384</v>
      </c>
      <c r="DE98">
        <v>385</v>
      </c>
      <c r="DF98">
        <v>385</v>
      </c>
      <c r="DG98">
        <v>49273246</v>
      </c>
      <c r="DH98">
        <v>157</v>
      </c>
      <c r="DJ98" s="24"/>
      <c r="DK98">
        <v>34817272</v>
      </c>
      <c r="DL98">
        <v>36499999</v>
      </c>
      <c r="DM98">
        <v>35032967</v>
      </c>
      <c r="DN98">
        <v>324</v>
      </c>
      <c r="DO98">
        <v>96</v>
      </c>
      <c r="DQ98" s="24"/>
      <c r="DR98">
        <v>1650449</v>
      </c>
      <c r="DS98">
        <v>1950445</v>
      </c>
      <c r="DT98">
        <v>1650580</v>
      </c>
      <c r="DU98">
        <v>4409</v>
      </c>
      <c r="DV98">
        <v>235</v>
      </c>
      <c r="DX98" s="24"/>
      <c r="DY98">
        <v>18100045</v>
      </c>
      <c r="DZ98">
        <v>19999999</v>
      </c>
      <c r="EA98">
        <v>18100102</v>
      </c>
      <c r="EB98">
        <v>522</v>
      </c>
      <c r="EC98">
        <v>105</v>
      </c>
      <c r="EE98" s="24"/>
      <c r="EF98">
        <v>174</v>
      </c>
      <c r="EG98">
        <v>178</v>
      </c>
      <c r="EH98">
        <v>177</v>
      </c>
      <c r="EI98">
        <v>91812762</v>
      </c>
      <c r="EJ98">
        <v>181</v>
      </c>
      <c r="EL98" s="24"/>
      <c r="EM98">
        <v>44016</v>
      </c>
      <c r="EN98">
        <v>52500</v>
      </c>
      <c r="EO98">
        <v>50702</v>
      </c>
      <c r="EP98">
        <v>140153</v>
      </c>
      <c r="EQ98">
        <v>723</v>
      </c>
      <c r="ES98" s="24"/>
      <c r="ET98">
        <v>459</v>
      </c>
      <c r="EU98">
        <v>499</v>
      </c>
      <c r="EV98">
        <v>470</v>
      </c>
      <c r="EW98">
        <v>44150199</v>
      </c>
      <c r="EX98">
        <v>640</v>
      </c>
      <c r="EZ98" s="24"/>
      <c r="FA98">
        <v>3842941</v>
      </c>
      <c r="FB98">
        <v>3936744</v>
      </c>
      <c r="FC98">
        <v>3842941</v>
      </c>
      <c r="FD98">
        <v>1267</v>
      </c>
      <c r="FE98">
        <v>17</v>
      </c>
      <c r="FG98" s="24"/>
      <c r="FH98">
        <v>8402</v>
      </c>
      <c r="FI98">
        <v>8749</v>
      </c>
      <c r="FJ98">
        <v>8697</v>
      </c>
      <c r="FK98">
        <v>2458094</v>
      </c>
      <c r="FL98">
        <v>479</v>
      </c>
      <c r="FN98" s="24"/>
      <c r="FO98">
        <v>21393</v>
      </c>
      <c r="FP98">
        <v>21393</v>
      </c>
      <c r="FQ98">
        <v>21393</v>
      </c>
      <c r="FR98">
        <v>108359</v>
      </c>
      <c r="FS98">
        <v>86</v>
      </c>
      <c r="FU98" s="24"/>
      <c r="FV98">
        <v>25804</v>
      </c>
      <c r="FW98">
        <v>25850</v>
      </c>
      <c r="FX98">
        <v>25806</v>
      </c>
      <c r="FY98">
        <v>541496</v>
      </c>
      <c r="FZ98">
        <v>1409</v>
      </c>
      <c r="GB98" s="24"/>
      <c r="GC98">
        <v>103119300</v>
      </c>
      <c r="GD98">
        <v>107997600</v>
      </c>
      <c r="GE98">
        <v>106326443</v>
      </c>
      <c r="GF98">
        <v>51</v>
      </c>
      <c r="GG98">
        <v>47</v>
      </c>
      <c r="GI98" s="24"/>
      <c r="GJ98">
        <v>26500011</v>
      </c>
      <c r="GK98">
        <v>28702002</v>
      </c>
      <c r="GL98">
        <v>27500007</v>
      </c>
      <c r="GM98">
        <v>516</v>
      </c>
      <c r="GN98">
        <v>72</v>
      </c>
      <c r="GP98" s="24"/>
      <c r="GQ98">
        <v>97</v>
      </c>
      <c r="GR98">
        <v>101</v>
      </c>
      <c r="GS98">
        <v>101</v>
      </c>
      <c r="GT98">
        <v>127804537</v>
      </c>
      <c r="GU98">
        <v>143</v>
      </c>
      <c r="GW98" s="24"/>
      <c r="GX98">
        <v>366</v>
      </c>
      <c r="GY98">
        <v>367</v>
      </c>
      <c r="GZ98">
        <v>366</v>
      </c>
      <c r="HA98">
        <v>36589309</v>
      </c>
      <c r="HB98">
        <v>186</v>
      </c>
      <c r="HD98" s="24"/>
      <c r="HE98">
        <v>5606</v>
      </c>
      <c r="HF98">
        <v>5796</v>
      </c>
      <c r="HG98">
        <v>5792</v>
      </c>
      <c r="HH98">
        <v>13866056</v>
      </c>
      <c r="HI98">
        <v>296</v>
      </c>
      <c r="HK98" s="24"/>
      <c r="HL98">
        <v>105510000</v>
      </c>
      <c r="HM98">
        <v>108697799</v>
      </c>
      <c r="HN98">
        <v>106717203</v>
      </c>
      <c r="HO98">
        <v>65</v>
      </c>
      <c r="HP98">
        <v>44</v>
      </c>
      <c r="HR98" s="24"/>
      <c r="HS98">
        <v>8600</v>
      </c>
      <c r="HT98">
        <v>9197</v>
      </c>
      <c r="HU98">
        <v>8601</v>
      </c>
      <c r="HV98">
        <v>842205</v>
      </c>
      <c r="HW98">
        <v>161</v>
      </c>
      <c r="HY98" s="24"/>
      <c r="HZ98">
        <v>7665</v>
      </c>
      <c r="IA98">
        <v>8054</v>
      </c>
      <c r="IB98">
        <v>7992</v>
      </c>
      <c r="IC98">
        <v>2121881</v>
      </c>
      <c r="ID98">
        <v>504</v>
      </c>
      <c r="IF98" s="24"/>
      <c r="IG98">
        <v>2589</v>
      </c>
      <c r="IH98">
        <v>2589</v>
      </c>
      <c r="II98">
        <v>2589</v>
      </c>
      <c r="IJ98">
        <v>2092191</v>
      </c>
      <c r="IK98">
        <v>181</v>
      </c>
      <c r="IM98" s="24"/>
      <c r="IN98">
        <v>108200000</v>
      </c>
      <c r="IO98">
        <v>112297793</v>
      </c>
      <c r="IP98">
        <v>110500700</v>
      </c>
      <c r="IQ98">
        <v>108</v>
      </c>
      <c r="IR98">
        <v>77</v>
      </c>
      <c r="IT98" s="24"/>
      <c r="IU98">
        <v>7531</v>
      </c>
      <c r="IV98">
        <v>7762</v>
      </c>
      <c r="IW98">
        <v>7658</v>
      </c>
      <c r="IX98">
        <v>1159697</v>
      </c>
      <c r="IY98">
        <v>163</v>
      </c>
      <c r="JA98" s="24"/>
      <c r="JB98">
        <v>104000200</v>
      </c>
      <c r="JC98">
        <v>105999999</v>
      </c>
      <c r="JD98">
        <v>104999999</v>
      </c>
      <c r="JE98">
        <v>107</v>
      </c>
      <c r="JF98">
        <v>63</v>
      </c>
      <c r="JH98" s="24"/>
      <c r="JI98">
        <v>105200000</v>
      </c>
      <c r="JJ98">
        <v>107782799</v>
      </c>
      <c r="JK98">
        <v>105890372</v>
      </c>
      <c r="JL98">
        <v>44</v>
      </c>
      <c r="JM98">
        <v>26</v>
      </c>
      <c r="JO98" s="24"/>
      <c r="JP98">
        <v>73</v>
      </c>
      <c r="JQ98">
        <v>74</v>
      </c>
      <c r="JR98">
        <v>74</v>
      </c>
      <c r="JS98">
        <v>113062181</v>
      </c>
      <c r="JT98">
        <v>124</v>
      </c>
      <c r="JV98" s="24"/>
      <c r="JW98">
        <v>67</v>
      </c>
      <c r="JX98">
        <v>70</v>
      </c>
      <c r="JY98">
        <v>68</v>
      </c>
      <c r="JZ98">
        <v>88068807</v>
      </c>
      <c r="KA98">
        <v>104</v>
      </c>
      <c r="KC98" s="24"/>
      <c r="KD98">
        <v>25</v>
      </c>
      <c r="KE98">
        <v>28</v>
      </c>
      <c r="KF98">
        <v>26</v>
      </c>
      <c r="KG98">
        <v>58951001</v>
      </c>
      <c r="KH98">
        <v>278</v>
      </c>
      <c r="KJ98" s="24"/>
      <c r="KK98">
        <v>77</v>
      </c>
      <c r="KL98">
        <v>79</v>
      </c>
      <c r="KM98">
        <v>77</v>
      </c>
      <c r="KN98">
        <v>146492654</v>
      </c>
      <c r="KO98">
        <v>112</v>
      </c>
      <c r="KQ98" s="24"/>
      <c r="KR98">
        <v>86608</v>
      </c>
      <c r="KS98">
        <v>89000</v>
      </c>
      <c r="KT98">
        <v>86812</v>
      </c>
      <c r="KU98">
        <v>104033</v>
      </c>
      <c r="KV98">
        <v>683</v>
      </c>
      <c r="KX98" s="24"/>
      <c r="KY98">
        <v>602</v>
      </c>
      <c r="KZ98">
        <v>602</v>
      </c>
      <c r="LA98">
        <v>602</v>
      </c>
      <c r="LB98">
        <v>4558300</v>
      </c>
      <c r="LC98">
        <v>179</v>
      </c>
      <c r="LE98" s="24"/>
      <c r="LF98">
        <v>206111</v>
      </c>
      <c r="LG98">
        <v>206305</v>
      </c>
      <c r="LH98">
        <v>206117</v>
      </c>
      <c r="LI98">
        <v>132282</v>
      </c>
      <c r="LJ98">
        <v>1053</v>
      </c>
      <c r="LL98" s="24"/>
      <c r="LM98">
        <v>82026</v>
      </c>
      <c r="LN98">
        <v>85000</v>
      </c>
      <c r="LO98">
        <v>82732</v>
      </c>
      <c r="LP98">
        <v>497183</v>
      </c>
      <c r="LQ98">
        <v>1477</v>
      </c>
      <c r="LS98" s="24"/>
      <c r="LT98">
        <v>306</v>
      </c>
      <c r="LU98">
        <v>333</v>
      </c>
      <c r="LV98">
        <v>328</v>
      </c>
      <c r="LW98">
        <v>92797327</v>
      </c>
      <c r="LX98">
        <v>348</v>
      </c>
      <c r="LZ98" s="24"/>
      <c r="MA98">
        <v>93196</v>
      </c>
      <c r="MB98">
        <v>103160</v>
      </c>
      <c r="MC98">
        <v>94000</v>
      </c>
      <c r="MD98">
        <v>411438</v>
      </c>
      <c r="ME98">
        <v>46</v>
      </c>
    </row>
    <row r="99" spans="2:343" x14ac:dyDescent="0.25">
      <c r="B99" s="24"/>
      <c r="C99">
        <v>3</v>
      </c>
      <c r="D99">
        <v>3</v>
      </c>
      <c r="E99">
        <v>3</v>
      </c>
      <c r="F99">
        <v>25564152062</v>
      </c>
      <c r="G99">
        <v>2890</v>
      </c>
      <c r="I99" s="24"/>
      <c r="J99">
        <v>5</v>
      </c>
      <c r="K99">
        <v>5</v>
      </c>
      <c r="L99">
        <v>5</v>
      </c>
      <c r="M99">
        <v>4744385453</v>
      </c>
      <c r="N99">
        <v>2054</v>
      </c>
      <c r="P99" s="24"/>
      <c r="Q99">
        <v>28</v>
      </c>
      <c r="R99">
        <v>29</v>
      </c>
      <c r="S99">
        <v>29</v>
      </c>
      <c r="T99">
        <v>1400519453</v>
      </c>
      <c r="U99">
        <v>1889</v>
      </c>
      <c r="W99" s="24"/>
      <c r="X99">
        <v>70</v>
      </c>
      <c r="Y99">
        <v>74</v>
      </c>
      <c r="Z99">
        <v>73</v>
      </c>
      <c r="AA99">
        <v>242564907</v>
      </c>
      <c r="AB99">
        <v>1501</v>
      </c>
      <c r="AD99" s="24"/>
      <c r="AE99">
        <v>534</v>
      </c>
      <c r="AF99">
        <v>549</v>
      </c>
      <c r="AG99">
        <v>546</v>
      </c>
      <c r="AH99">
        <v>82239306</v>
      </c>
      <c r="AI99">
        <v>1511</v>
      </c>
      <c r="AK99" s="24"/>
      <c r="AL99">
        <v>959</v>
      </c>
      <c r="AM99">
        <v>1001</v>
      </c>
      <c r="AN99">
        <v>980</v>
      </c>
      <c r="AO99">
        <v>38471380</v>
      </c>
      <c r="AP99">
        <v>1235</v>
      </c>
      <c r="AR99" s="24"/>
      <c r="AS99">
        <v>2816</v>
      </c>
      <c r="AT99">
        <v>2915</v>
      </c>
      <c r="AU99">
        <v>2866</v>
      </c>
      <c r="AV99">
        <v>16861276</v>
      </c>
      <c r="AW99">
        <v>1240</v>
      </c>
      <c r="AY99" s="24"/>
      <c r="AZ99">
        <v>332500100</v>
      </c>
      <c r="BA99">
        <v>341999999</v>
      </c>
      <c r="BB99">
        <v>337999989</v>
      </c>
      <c r="BC99">
        <v>1797</v>
      </c>
      <c r="BD99">
        <v>1286</v>
      </c>
      <c r="BF99" s="24"/>
      <c r="BG99">
        <v>26000</v>
      </c>
      <c r="BH99">
        <v>26302</v>
      </c>
      <c r="BI99">
        <v>26302</v>
      </c>
      <c r="BJ99">
        <v>2283294</v>
      </c>
      <c r="BK99">
        <v>209</v>
      </c>
      <c r="BM99" s="24"/>
      <c r="BN99">
        <v>6751781</v>
      </c>
      <c r="BO99">
        <v>6851554</v>
      </c>
      <c r="BP99">
        <v>6818144</v>
      </c>
      <c r="BQ99">
        <v>7032</v>
      </c>
      <c r="BR99">
        <v>264</v>
      </c>
      <c r="BT99" s="24"/>
      <c r="BU99">
        <v>1959</v>
      </c>
      <c r="BV99">
        <v>1959</v>
      </c>
      <c r="BW99">
        <v>1959</v>
      </c>
      <c r="BX99">
        <v>21100577</v>
      </c>
      <c r="BY99">
        <v>198</v>
      </c>
      <c r="CA99" s="24"/>
      <c r="CB99">
        <v>336</v>
      </c>
      <c r="CC99">
        <v>345</v>
      </c>
      <c r="CD99">
        <v>344</v>
      </c>
      <c r="CE99">
        <v>46585389</v>
      </c>
      <c r="CF99">
        <v>201</v>
      </c>
      <c r="CH99" s="24"/>
      <c r="CI99">
        <v>26500</v>
      </c>
      <c r="CJ99">
        <v>26500</v>
      </c>
      <c r="CK99">
        <v>26500</v>
      </c>
      <c r="CL99">
        <v>447014</v>
      </c>
      <c r="CM99">
        <v>157</v>
      </c>
      <c r="CO99" s="24"/>
      <c r="CP99">
        <v>8020</v>
      </c>
      <c r="CQ99">
        <v>8466</v>
      </c>
      <c r="CR99">
        <v>8398</v>
      </c>
      <c r="CS99">
        <v>1053868</v>
      </c>
      <c r="CT99">
        <v>345</v>
      </c>
      <c r="CV99" s="24"/>
      <c r="CW99">
        <v>1380000</v>
      </c>
      <c r="CX99">
        <v>1389999</v>
      </c>
      <c r="CY99">
        <v>1385887</v>
      </c>
      <c r="CZ99">
        <v>13654</v>
      </c>
      <c r="DA99">
        <v>52</v>
      </c>
      <c r="DC99" s="24"/>
      <c r="DD99">
        <v>335</v>
      </c>
      <c r="DE99">
        <v>381</v>
      </c>
      <c r="DF99">
        <v>360</v>
      </c>
      <c r="DG99">
        <v>52655827</v>
      </c>
      <c r="DH99">
        <v>211</v>
      </c>
      <c r="DJ99" s="24"/>
      <c r="DK99">
        <v>34819586</v>
      </c>
      <c r="DL99">
        <v>34883017</v>
      </c>
      <c r="DM99">
        <v>34819799</v>
      </c>
      <c r="DN99">
        <v>430</v>
      </c>
      <c r="DO99">
        <v>91</v>
      </c>
      <c r="DQ99" s="24"/>
      <c r="DR99">
        <v>1652107</v>
      </c>
      <c r="DS99">
        <v>1800000</v>
      </c>
      <c r="DT99">
        <v>1703004</v>
      </c>
      <c r="DU99">
        <v>6054</v>
      </c>
      <c r="DV99">
        <v>229</v>
      </c>
      <c r="DX99" s="24"/>
      <c r="DY99">
        <v>18200001</v>
      </c>
      <c r="DZ99">
        <v>19999998</v>
      </c>
      <c r="EA99">
        <v>18400046</v>
      </c>
      <c r="EB99">
        <v>362</v>
      </c>
      <c r="EC99">
        <v>93</v>
      </c>
      <c r="EE99" s="24"/>
      <c r="EF99">
        <v>174</v>
      </c>
      <c r="EG99">
        <v>182</v>
      </c>
      <c r="EH99">
        <v>176</v>
      </c>
      <c r="EI99">
        <v>79599801</v>
      </c>
      <c r="EJ99">
        <v>158</v>
      </c>
      <c r="EL99" s="24"/>
      <c r="EM99">
        <v>44602</v>
      </c>
      <c r="EN99">
        <v>51500</v>
      </c>
      <c r="EO99">
        <v>45602</v>
      </c>
      <c r="EP99">
        <v>69175</v>
      </c>
      <c r="EQ99">
        <v>662</v>
      </c>
      <c r="ES99" s="24"/>
      <c r="ET99">
        <v>452</v>
      </c>
      <c r="EU99">
        <v>493</v>
      </c>
      <c r="EV99">
        <v>459</v>
      </c>
      <c r="EW99">
        <v>31960228</v>
      </c>
      <c r="EX99">
        <v>561</v>
      </c>
      <c r="EZ99" s="24"/>
      <c r="FA99">
        <v>3936744</v>
      </c>
      <c r="FB99">
        <v>3936744</v>
      </c>
      <c r="FC99">
        <v>3936744</v>
      </c>
      <c r="FD99">
        <v>831</v>
      </c>
      <c r="FE99">
        <v>14</v>
      </c>
      <c r="FG99" s="24"/>
      <c r="FH99">
        <v>8405</v>
      </c>
      <c r="FI99">
        <v>8749</v>
      </c>
      <c r="FJ99">
        <v>8696</v>
      </c>
      <c r="FK99">
        <v>1976325</v>
      </c>
      <c r="FL99">
        <v>444</v>
      </c>
      <c r="FN99" s="24"/>
      <c r="FO99">
        <v>21371</v>
      </c>
      <c r="FP99">
        <v>21391</v>
      </c>
      <c r="FQ99">
        <v>21379</v>
      </c>
      <c r="FR99">
        <v>54246</v>
      </c>
      <c r="FS99">
        <v>59</v>
      </c>
      <c r="FU99" s="24"/>
      <c r="FV99">
        <v>26002</v>
      </c>
      <c r="FW99">
        <v>26006</v>
      </c>
      <c r="FX99">
        <v>26004</v>
      </c>
      <c r="FY99">
        <v>262600</v>
      </c>
      <c r="FZ99">
        <v>1178</v>
      </c>
      <c r="GB99" s="24"/>
      <c r="GC99">
        <v>103004000</v>
      </c>
      <c r="GD99">
        <v>107996999</v>
      </c>
      <c r="GE99">
        <v>104869487</v>
      </c>
      <c r="GF99">
        <v>87</v>
      </c>
      <c r="GG99">
        <v>54</v>
      </c>
      <c r="GI99" s="24"/>
      <c r="GJ99">
        <v>26500000</v>
      </c>
      <c r="GK99">
        <v>26500003</v>
      </c>
      <c r="GL99">
        <v>26500000</v>
      </c>
      <c r="GM99">
        <v>176</v>
      </c>
      <c r="GN99">
        <v>38</v>
      </c>
      <c r="GP99" s="24"/>
      <c r="GQ99">
        <v>101</v>
      </c>
      <c r="GR99">
        <v>101</v>
      </c>
      <c r="GS99">
        <v>101</v>
      </c>
      <c r="GT99">
        <v>97900289</v>
      </c>
      <c r="GU99">
        <v>113</v>
      </c>
      <c r="GW99" s="24"/>
      <c r="GX99">
        <v>351</v>
      </c>
      <c r="GY99">
        <v>367</v>
      </c>
      <c r="GZ99">
        <v>366</v>
      </c>
      <c r="HA99">
        <v>33674046</v>
      </c>
      <c r="HB99">
        <v>189</v>
      </c>
      <c r="HD99" s="24"/>
      <c r="HE99">
        <v>5563</v>
      </c>
      <c r="HF99">
        <v>5658</v>
      </c>
      <c r="HG99">
        <v>5656</v>
      </c>
      <c r="HH99">
        <v>9006755</v>
      </c>
      <c r="HI99">
        <v>213</v>
      </c>
      <c r="HK99" s="24"/>
      <c r="HL99">
        <v>102223100</v>
      </c>
      <c r="HM99">
        <v>108696999</v>
      </c>
      <c r="HN99">
        <v>106459646</v>
      </c>
      <c r="HO99">
        <v>47</v>
      </c>
      <c r="HP99">
        <v>43</v>
      </c>
      <c r="HR99" s="24"/>
      <c r="HS99">
        <v>8571</v>
      </c>
      <c r="HT99">
        <v>8891</v>
      </c>
      <c r="HU99">
        <v>8889</v>
      </c>
      <c r="HV99">
        <v>609729</v>
      </c>
      <c r="HW99">
        <v>127</v>
      </c>
      <c r="HY99" s="24"/>
      <c r="HZ99">
        <v>7653</v>
      </c>
      <c r="IA99">
        <v>7986</v>
      </c>
      <c r="IB99">
        <v>7887</v>
      </c>
      <c r="IC99">
        <v>2012902</v>
      </c>
      <c r="ID99">
        <v>448</v>
      </c>
      <c r="IF99" s="24"/>
      <c r="IG99">
        <v>2511</v>
      </c>
      <c r="IH99">
        <v>2588</v>
      </c>
      <c r="II99">
        <v>2588</v>
      </c>
      <c r="IJ99">
        <v>2601956</v>
      </c>
      <c r="IK99">
        <v>136</v>
      </c>
      <c r="IM99" s="24"/>
      <c r="IN99">
        <v>102033800</v>
      </c>
      <c r="IO99">
        <v>108974999</v>
      </c>
      <c r="IP99">
        <v>104978703</v>
      </c>
      <c r="IQ99">
        <v>64</v>
      </c>
      <c r="IR99">
        <v>43</v>
      </c>
      <c r="IT99" s="24"/>
      <c r="IU99">
        <v>7501</v>
      </c>
      <c r="IV99">
        <v>7657</v>
      </c>
      <c r="IW99">
        <v>7654</v>
      </c>
      <c r="IX99">
        <v>1136414</v>
      </c>
      <c r="IY99">
        <v>121</v>
      </c>
      <c r="JA99" s="24"/>
      <c r="JB99">
        <v>103100000</v>
      </c>
      <c r="JC99">
        <v>108550000</v>
      </c>
      <c r="JD99">
        <v>105687589</v>
      </c>
      <c r="JE99">
        <v>97</v>
      </c>
      <c r="JF99">
        <v>69</v>
      </c>
      <c r="JH99" s="24"/>
      <c r="JI99">
        <v>106999999</v>
      </c>
      <c r="JJ99">
        <v>107778600</v>
      </c>
      <c r="JK99">
        <v>107035036</v>
      </c>
      <c r="JL99">
        <v>28</v>
      </c>
      <c r="JM99">
        <v>24</v>
      </c>
      <c r="JO99" s="24"/>
      <c r="JP99">
        <v>72</v>
      </c>
      <c r="JQ99">
        <v>74</v>
      </c>
      <c r="JR99">
        <v>74</v>
      </c>
      <c r="JS99">
        <v>110089316</v>
      </c>
      <c r="JT99">
        <v>111</v>
      </c>
      <c r="JV99" s="24"/>
      <c r="JW99">
        <v>68</v>
      </c>
      <c r="JX99">
        <v>70</v>
      </c>
      <c r="JY99">
        <v>70</v>
      </c>
      <c r="JZ99">
        <v>122194277</v>
      </c>
      <c r="KA99">
        <v>110</v>
      </c>
      <c r="KC99" s="24"/>
      <c r="KD99">
        <v>24</v>
      </c>
      <c r="KE99">
        <v>26</v>
      </c>
      <c r="KF99">
        <v>26</v>
      </c>
      <c r="KG99">
        <v>41156894</v>
      </c>
      <c r="KH99">
        <v>277</v>
      </c>
      <c r="KJ99" s="24"/>
      <c r="KK99">
        <v>76</v>
      </c>
      <c r="KL99">
        <v>80</v>
      </c>
      <c r="KM99">
        <v>76</v>
      </c>
      <c r="KN99">
        <v>142594785</v>
      </c>
      <c r="KO99">
        <v>131</v>
      </c>
      <c r="KQ99" s="24"/>
      <c r="KR99">
        <v>87200</v>
      </c>
      <c r="KS99">
        <v>87202</v>
      </c>
      <c r="KT99">
        <v>87201</v>
      </c>
      <c r="KU99">
        <v>61281</v>
      </c>
      <c r="KV99">
        <v>643</v>
      </c>
      <c r="KX99" s="24"/>
      <c r="KY99">
        <v>601</v>
      </c>
      <c r="KZ99">
        <v>601</v>
      </c>
      <c r="LA99">
        <v>601</v>
      </c>
      <c r="LB99">
        <v>4816357</v>
      </c>
      <c r="LC99">
        <v>202</v>
      </c>
      <c r="LE99" s="24"/>
      <c r="LF99">
        <v>205403</v>
      </c>
      <c r="LG99">
        <v>206117</v>
      </c>
      <c r="LH99">
        <v>205403</v>
      </c>
      <c r="LI99">
        <v>80600</v>
      </c>
      <c r="LJ99">
        <v>845</v>
      </c>
      <c r="LL99" s="24"/>
      <c r="LM99">
        <v>80250</v>
      </c>
      <c r="LN99">
        <v>80505</v>
      </c>
      <c r="LO99">
        <v>80504</v>
      </c>
      <c r="LP99">
        <v>276678</v>
      </c>
      <c r="LQ99">
        <v>1250</v>
      </c>
      <c r="LS99" s="24"/>
      <c r="LT99">
        <v>310</v>
      </c>
      <c r="LU99">
        <v>327</v>
      </c>
      <c r="LV99">
        <v>327</v>
      </c>
      <c r="LW99">
        <v>87203490</v>
      </c>
      <c r="LX99">
        <v>312</v>
      </c>
      <c r="LZ99" s="24"/>
      <c r="MA99">
        <v>92267</v>
      </c>
      <c r="MB99">
        <v>98505</v>
      </c>
      <c r="MC99">
        <v>97365</v>
      </c>
      <c r="MD99">
        <v>912424</v>
      </c>
      <c r="ME99">
        <v>116</v>
      </c>
    </row>
    <row r="100" spans="2:343" x14ac:dyDescent="0.25">
      <c r="B100" s="24"/>
      <c r="C100">
        <v>3</v>
      </c>
      <c r="D100">
        <v>3</v>
      </c>
      <c r="E100">
        <v>3</v>
      </c>
      <c r="F100">
        <v>31610671588</v>
      </c>
      <c r="G100">
        <v>2942</v>
      </c>
      <c r="I100" s="24"/>
      <c r="J100">
        <v>4</v>
      </c>
      <c r="K100">
        <v>5</v>
      </c>
      <c r="L100">
        <v>5</v>
      </c>
      <c r="M100">
        <v>5046420782</v>
      </c>
      <c r="N100">
        <v>2095</v>
      </c>
      <c r="P100" s="24"/>
      <c r="Q100">
        <v>29</v>
      </c>
      <c r="R100">
        <v>29</v>
      </c>
      <c r="S100">
        <v>29</v>
      </c>
      <c r="T100">
        <v>2205741033</v>
      </c>
      <c r="U100">
        <v>1839</v>
      </c>
      <c r="W100" s="24"/>
      <c r="X100">
        <v>73</v>
      </c>
      <c r="Y100">
        <v>73</v>
      </c>
      <c r="Z100">
        <v>73</v>
      </c>
      <c r="AA100">
        <v>329737965</v>
      </c>
      <c r="AB100">
        <v>1439</v>
      </c>
      <c r="AD100" s="24"/>
      <c r="AE100">
        <v>535</v>
      </c>
      <c r="AF100">
        <v>540</v>
      </c>
      <c r="AG100">
        <v>539</v>
      </c>
      <c r="AH100">
        <v>90295570</v>
      </c>
      <c r="AI100">
        <v>1603</v>
      </c>
      <c r="AK100" s="24"/>
      <c r="AL100">
        <v>976</v>
      </c>
      <c r="AM100">
        <v>997</v>
      </c>
      <c r="AN100">
        <v>980</v>
      </c>
      <c r="AO100">
        <v>34997375</v>
      </c>
      <c r="AP100">
        <v>1215</v>
      </c>
      <c r="AR100" s="24"/>
      <c r="AS100">
        <v>2861</v>
      </c>
      <c r="AT100">
        <v>2898</v>
      </c>
      <c r="AU100">
        <v>2897</v>
      </c>
      <c r="AV100">
        <v>11772483</v>
      </c>
      <c r="AW100">
        <v>1133</v>
      </c>
      <c r="AY100" s="24"/>
      <c r="AZ100">
        <v>338501101</v>
      </c>
      <c r="BA100">
        <v>347748999</v>
      </c>
      <c r="BB100">
        <v>343000000</v>
      </c>
      <c r="BC100">
        <v>1664</v>
      </c>
      <c r="BD100">
        <v>1229</v>
      </c>
      <c r="BF100" s="24"/>
      <c r="BG100">
        <v>25484</v>
      </c>
      <c r="BH100">
        <v>26499</v>
      </c>
      <c r="BI100">
        <v>25486</v>
      </c>
      <c r="BJ100">
        <v>1706731</v>
      </c>
      <c r="BK100">
        <v>216</v>
      </c>
      <c r="BM100" s="24"/>
      <c r="BN100">
        <v>6900636</v>
      </c>
      <c r="BO100">
        <v>6900645</v>
      </c>
      <c r="BP100">
        <v>6900641</v>
      </c>
      <c r="BQ100">
        <v>10041</v>
      </c>
      <c r="BR100">
        <v>309</v>
      </c>
      <c r="BT100" s="24"/>
      <c r="BU100">
        <v>1922</v>
      </c>
      <c r="BV100">
        <v>1971</v>
      </c>
      <c r="BW100">
        <v>1971</v>
      </c>
      <c r="BX100">
        <v>18990624</v>
      </c>
      <c r="BY100">
        <v>219</v>
      </c>
      <c r="CA100" s="24"/>
      <c r="CB100">
        <v>323</v>
      </c>
      <c r="CC100">
        <v>339</v>
      </c>
      <c r="CD100">
        <v>337</v>
      </c>
      <c r="CE100">
        <v>60510696</v>
      </c>
      <c r="CF100">
        <v>268</v>
      </c>
      <c r="CH100" s="24"/>
      <c r="CI100">
        <v>25703</v>
      </c>
      <c r="CJ100">
        <v>25703</v>
      </c>
      <c r="CK100">
        <v>25703</v>
      </c>
      <c r="CL100">
        <v>2040725</v>
      </c>
      <c r="CM100">
        <v>195</v>
      </c>
      <c r="CO100" s="24"/>
      <c r="CP100">
        <v>8467</v>
      </c>
      <c r="CQ100">
        <v>8492</v>
      </c>
      <c r="CR100">
        <v>8487</v>
      </c>
      <c r="CS100">
        <v>818954</v>
      </c>
      <c r="CT100">
        <v>361</v>
      </c>
      <c r="CV100" s="24"/>
      <c r="CW100">
        <v>1352702</v>
      </c>
      <c r="CX100">
        <v>1389999</v>
      </c>
      <c r="CY100">
        <v>1360000</v>
      </c>
      <c r="CZ100">
        <v>9554</v>
      </c>
      <c r="DA100">
        <v>43</v>
      </c>
      <c r="DC100" s="24"/>
      <c r="DD100">
        <v>346</v>
      </c>
      <c r="DE100">
        <v>379</v>
      </c>
      <c r="DF100">
        <v>369</v>
      </c>
      <c r="DG100">
        <v>36572429</v>
      </c>
      <c r="DH100">
        <v>224</v>
      </c>
      <c r="DJ100" s="24"/>
      <c r="DK100">
        <v>34883102</v>
      </c>
      <c r="DL100">
        <v>37000000</v>
      </c>
      <c r="DM100">
        <v>34889687</v>
      </c>
      <c r="DN100">
        <v>413</v>
      </c>
      <c r="DO100">
        <v>81</v>
      </c>
      <c r="DQ100" s="24"/>
      <c r="DR100">
        <v>1841032</v>
      </c>
      <c r="DS100">
        <v>1934999</v>
      </c>
      <c r="DT100">
        <v>1899999</v>
      </c>
      <c r="DU100">
        <v>3847</v>
      </c>
      <c r="DV100">
        <v>198</v>
      </c>
      <c r="DX100" s="24"/>
      <c r="DY100">
        <v>19498999</v>
      </c>
      <c r="DZ100">
        <v>19949999</v>
      </c>
      <c r="EA100">
        <v>19925006</v>
      </c>
      <c r="EB100">
        <v>325</v>
      </c>
      <c r="EC100">
        <v>91</v>
      </c>
      <c r="EE100" s="24"/>
      <c r="EF100">
        <v>172</v>
      </c>
      <c r="EG100">
        <v>180</v>
      </c>
      <c r="EH100">
        <v>174</v>
      </c>
      <c r="EI100">
        <v>126455887</v>
      </c>
      <c r="EJ100">
        <v>242</v>
      </c>
      <c r="EL100" s="24"/>
      <c r="EM100">
        <v>45103</v>
      </c>
      <c r="EN100">
        <v>46513</v>
      </c>
      <c r="EO100">
        <v>46502</v>
      </c>
      <c r="EP100">
        <v>55245</v>
      </c>
      <c r="EQ100">
        <v>645</v>
      </c>
      <c r="ES100" s="24"/>
      <c r="ET100">
        <v>397</v>
      </c>
      <c r="EU100">
        <v>422</v>
      </c>
      <c r="EV100">
        <v>422</v>
      </c>
      <c r="EW100">
        <v>47838794</v>
      </c>
      <c r="EX100">
        <v>575</v>
      </c>
      <c r="EZ100" s="24"/>
      <c r="FA100">
        <v>3850000</v>
      </c>
      <c r="FB100">
        <v>3936744</v>
      </c>
      <c r="FC100">
        <v>3930000</v>
      </c>
      <c r="FD100">
        <v>698</v>
      </c>
      <c r="FE100">
        <v>16</v>
      </c>
      <c r="FG100" s="24"/>
      <c r="FH100">
        <v>8470</v>
      </c>
      <c r="FI100">
        <v>8799</v>
      </c>
      <c r="FJ100">
        <v>8786</v>
      </c>
      <c r="FK100">
        <v>1738069</v>
      </c>
      <c r="FL100">
        <v>483</v>
      </c>
      <c r="FN100" s="24"/>
      <c r="FO100">
        <v>20998</v>
      </c>
      <c r="FP100">
        <v>20999</v>
      </c>
      <c r="FQ100">
        <v>20999</v>
      </c>
      <c r="FR100">
        <v>131368</v>
      </c>
      <c r="FS100">
        <v>73</v>
      </c>
      <c r="FU100" s="24"/>
      <c r="FV100">
        <v>26012</v>
      </c>
      <c r="FW100">
        <v>26537</v>
      </c>
      <c r="FX100">
        <v>26501</v>
      </c>
      <c r="FY100">
        <v>263546</v>
      </c>
      <c r="FZ100">
        <v>1213</v>
      </c>
      <c r="GB100" s="24"/>
      <c r="GC100">
        <v>103001003</v>
      </c>
      <c r="GD100">
        <v>107991800</v>
      </c>
      <c r="GE100">
        <v>105591168</v>
      </c>
      <c r="GF100">
        <v>67</v>
      </c>
      <c r="GG100">
        <v>52</v>
      </c>
      <c r="GI100" s="24"/>
      <c r="GJ100">
        <v>27000028</v>
      </c>
      <c r="GK100">
        <v>28999995</v>
      </c>
      <c r="GL100">
        <v>27979999</v>
      </c>
      <c r="GM100">
        <v>268</v>
      </c>
      <c r="GN100">
        <v>55</v>
      </c>
      <c r="GP100" s="24"/>
      <c r="GQ100">
        <v>105</v>
      </c>
      <c r="GR100">
        <v>106</v>
      </c>
      <c r="GS100">
        <v>106</v>
      </c>
      <c r="GT100">
        <v>87910690</v>
      </c>
      <c r="GU100">
        <v>119</v>
      </c>
      <c r="GW100" s="24"/>
      <c r="GX100">
        <v>340</v>
      </c>
      <c r="GY100">
        <v>365</v>
      </c>
      <c r="GZ100">
        <v>359</v>
      </c>
      <c r="HA100">
        <v>45600612</v>
      </c>
      <c r="HB100">
        <v>261</v>
      </c>
      <c r="HD100" s="24"/>
      <c r="HE100">
        <v>5495</v>
      </c>
      <c r="HF100">
        <v>5645</v>
      </c>
      <c r="HG100">
        <v>5645</v>
      </c>
      <c r="HH100">
        <v>11719952</v>
      </c>
      <c r="HI100">
        <v>268</v>
      </c>
      <c r="HK100" s="24"/>
      <c r="HL100">
        <v>104500500</v>
      </c>
      <c r="HM100">
        <v>108693499</v>
      </c>
      <c r="HN100">
        <v>106368215</v>
      </c>
      <c r="HO100">
        <v>52</v>
      </c>
      <c r="HP100">
        <v>44</v>
      </c>
      <c r="HR100" s="24"/>
      <c r="HS100">
        <v>8401</v>
      </c>
      <c r="HT100">
        <v>8800</v>
      </c>
      <c r="HU100">
        <v>8739</v>
      </c>
      <c r="HV100">
        <v>757833</v>
      </c>
      <c r="HW100">
        <v>169</v>
      </c>
      <c r="HY100" s="24"/>
      <c r="HZ100">
        <v>7033</v>
      </c>
      <c r="IA100">
        <v>7843</v>
      </c>
      <c r="IB100">
        <v>7749</v>
      </c>
      <c r="IC100">
        <v>2554690</v>
      </c>
      <c r="ID100">
        <v>515</v>
      </c>
      <c r="IF100" s="24"/>
      <c r="IG100">
        <v>2463</v>
      </c>
      <c r="IH100">
        <v>2589</v>
      </c>
      <c r="II100">
        <v>2511</v>
      </c>
      <c r="IJ100">
        <v>1987529</v>
      </c>
      <c r="IK100">
        <v>130</v>
      </c>
      <c r="IM100" s="24"/>
      <c r="IN100">
        <v>103600000</v>
      </c>
      <c r="IO100">
        <v>108000000</v>
      </c>
      <c r="IP100">
        <v>106019468</v>
      </c>
      <c r="IQ100">
        <v>74</v>
      </c>
      <c r="IR100">
        <v>60</v>
      </c>
      <c r="IT100" s="24"/>
      <c r="IU100">
        <v>7403</v>
      </c>
      <c r="IV100">
        <v>7652</v>
      </c>
      <c r="IW100">
        <v>7456</v>
      </c>
      <c r="IX100">
        <v>1679269</v>
      </c>
      <c r="IY100">
        <v>153</v>
      </c>
      <c r="JA100" s="24"/>
      <c r="JB100">
        <v>102000000</v>
      </c>
      <c r="JC100">
        <v>105299800</v>
      </c>
      <c r="JD100">
        <v>103896250</v>
      </c>
      <c r="JE100">
        <v>84</v>
      </c>
      <c r="JF100">
        <v>54</v>
      </c>
      <c r="JH100" s="24"/>
      <c r="JI100">
        <v>102405200</v>
      </c>
      <c r="JJ100">
        <v>107770500</v>
      </c>
      <c r="JK100">
        <v>104432283</v>
      </c>
      <c r="JL100">
        <v>48</v>
      </c>
      <c r="JM100">
        <v>26</v>
      </c>
      <c r="JO100" s="24"/>
      <c r="JP100">
        <v>71</v>
      </c>
      <c r="JQ100">
        <v>74</v>
      </c>
      <c r="JR100">
        <v>73</v>
      </c>
      <c r="JS100">
        <v>137848817</v>
      </c>
      <c r="JT100">
        <v>117</v>
      </c>
      <c r="JV100" s="24"/>
      <c r="JW100">
        <v>68</v>
      </c>
      <c r="JX100">
        <v>71</v>
      </c>
      <c r="JY100">
        <v>70</v>
      </c>
      <c r="JZ100">
        <v>63552918</v>
      </c>
      <c r="KA100">
        <v>87</v>
      </c>
      <c r="KC100" s="24"/>
      <c r="KD100">
        <v>21</v>
      </c>
      <c r="KE100">
        <v>24</v>
      </c>
      <c r="KF100">
        <v>24</v>
      </c>
      <c r="KG100">
        <v>57389401</v>
      </c>
      <c r="KH100">
        <v>309</v>
      </c>
      <c r="KJ100" s="24"/>
      <c r="KK100">
        <v>78</v>
      </c>
      <c r="KL100">
        <v>78</v>
      </c>
      <c r="KM100">
        <v>78</v>
      </c>
      <c r="KN100">
        <v>135643301</v>
      </c>
      <c r="KO100">
        <v>130</v>
      </c>
      <c r="KQ100" s="24"/>
      <c r="KR100">
        <v>87206</v>
      </c>
      <c r="KS100">
        <v>89998</v>
      </c>
      <c r="KT100">
        <v>87211</v>
      </c>
      <c r="KU100">
        <v>44175</v>
      </c>
      <c r="KV100">
        <v>581</v>
      </c>
      <c r="KX100" s="24"/>
      <c r="KY100">
        <v>601</v>
      </c>
      <c r="KZ100">
        <v>601</v>
      </c>
      <c r="LA100">
        <v>601</v>
      </c>
      <c r="LB100">
        <v>8876988</v>
      </c>
      <c r="LC100">
        <v>190</v>
      </c>
      <c r="LE100" s="24"/>
      <c r="LF100">
        <v>201014</v>
      </c>
      <c r="LG100">
        <v>205404</v>
      </c>
      <c r="LH100">
        <v>205401</v>
      </c>
      <c r="LI100">
        <v>83895</v>
      </c>
      <c r="LJ100">
        <v>869</v>
      </c>
      <c r="LL100" s="24"/>
      <c r="LM100">
        <v>80300</v>
      </c>
      <c r="LN100">
        <v>81600</v>
      </c>
      <c r="LO100">
        <v>81202</v>
      </c>
      <c r="LP100">
        <v>301262</v>
      </c>
      <c r="LQ100">
        <v>1266</v>
      </c>
      <c r="LS100" s="24"/>
      <c r="LT100">
        <v>319</v>
      </c>
      <c r="LU100">
        <v>319</v>
      </c>
      <c r="LV100">
        <v>319</v>
      </c>
      <c r="LW100">
        <v>95471901</v>
      </c>
      <c r="LX100">
        <v>346</v>
      </c>
      <c r="LZ100" s="24"/>
      <c r="MA100">
        <v>92268</v>
      </c>
      <c r="MB100">
        <v>95983</v>
      </c>
      <c r="MC100">
        <v>92277</v>
      </c>
      <c r="MD100">
        <v>1054201</v>
      </c>
      <c r="ME100">
        <v>112</v>
      </c>
    </row>
    <row r="101" spans="2:343" x14ac:dyDescent="0.25">
      <c r="B101" s="24"/>
      <c r="C101">
        <v>3</v>
      </c>
      <c r="D101">
        <v>3</v>
      </c>
      <c r="E101">
        <v>3</v>
      </c>
      <c r="F101">
        <v>29238309086</v>
      </c>
      <c r="G101">
        <v>2977</v>
      </c>
      <c r="I101" s="24"/>
      <c r="J101">
        <v>4</v>
      </c>
      <c r="K101">
        <v>5</v>
      </c>
      <c r="L101">
        <v>5</v>
      </c>
      <c r="M101">
        <v>8958750121</v>
      </c>
      <c r="N101">
        <v>2046</v>
      </c>
      <c r="P101" s="24"/>
      <c r="Q101">
        <v>28</v>
      </c>
      <c r="R101">
        <v>29</v>
      </c>
      <c r="S101">
        <v>29</v>
      </c>
      <c r="T101">
        <v>1661373713</v>
      </c>
      <c r="U101">
        <v>1916</v>
      </c>
      <c r="W101" s="24"/>
      <c r="X101">
        <v>72</v>
      </c>
      <c r="Y101">
        <v>73</v>
      </c>
      <c r="Z101">
        <v>73</v>
      </c>
      <c r="AA101">
        <v>274402135</v>
      </c>
      <c r="AB101">
        <v>1446</v>
      </c>
      <c r="AD101" s="24"/>
      <c r="AE101">
        <v>521</v>
      </c>
      <c r="AF101">
        <v>538</v>
      </c>
      <c r="AG101">
        <v>537</v>
      </c>
      <c r="AH101">
        <v>98467664</v>
      </c>
      <c r="AI101">
        <v>1606</v>
      </c>
      <c r="AK101" s="24"/>
      <c r="AL101">
        <v>970</v>
      </c>
      <c r="AM101">
        <v>1000</v>
      </c>
      <c r="AN101">
        <v>971</v>
      </c>
      <c r="AO101">
        <v>28417293</v>
      </c>
      <c r="AP101">
        <v>1249</v>
      </c>
      <c r="AR101" s="24"/>
      <c r="AS101">
        <v>2807</v>
      </c>
      <c r="AT101">
        <v>2906</v>
      </c>
      <c r="AU101">
        <v>2850</v>
      </c>
      <c r="AV101">
        <v>14903613</v>
      </c>
      <c r="AW101">
        <v>1274</v>
      </c>
      <c r="AY101" s="24"/>
      <c r="AZ101">
        <v>342900000</v>
      </c>
      <c r="BA101">
        <v>349828836</v>
      </c>
      <c r="BB101">
        <v>346999999</v>
      </c>
      <c r="BC101">
        <v>1855</v>
      </c>
      <c r="BD101">
        <v>1346</v>
      </c>
      <c r="BF101" s="24"/>
      <c r="BG101">
        <v>25489</v>
      </c>
      <c r="BH101">
        <v>27490</v>
      </c>
      <c r="BI101">
        <v>25700</v>
      </c>
      <c r="BJ101">
        <v>1348392</v>
      </c>
      <c r="BK101">
        <v>207</v>
      </c>
      <c r="BM101" s="24"/>
      <c r="BN101">
        <v>6950002</v>
      </c>
      <c r="BO101">
        <v>6956000</v>
      </c>
      <c r="BP101">
        <v>6950006</v>
      </c>
      <c r="BQ101">
        <v>9461</v>
      </c>
      <c r="BR101">
        <v>252</v>
      </c>
      <c r="BT101" s="24"/>
      <c r="BU101">
        <v>1954</v>
      </c>
      <c r="BV101">
        <v>1968</v>
      </c>
      <c r="BW101">
        <v>1968</v>
      </c>
      <c r="BX101">
        <v>17438927</v>
      </c>
      <c r="BY101">
        <v>216</v>
      </c>
      <c r="CA101" s="24"/>
      <c r="CB101">
        <v>338</v>
      </c>
      <c r="CC101">
        <v>339</v>
      </c>
      <c r="CD101">
        <v>338</v>
      </c>
      <c r="CE101">
        <v>59644202</v>
      </c>
      <c r="CF101">
        <v>230</v>
      </c>
      <c r="CH101" s="24"/>
      <c r="CI101">
        <v>24063</v>
      </c>
      <c r="CJ101">
        <v>24064</v>
      </c>
      <c r="CK101">
        <v>24064</v>
      </c>
      <c r="CL101">
        <v>669862</v>
      </c>
      <c r="CM101">
        <v>163</v>
      </c>
      <c r="CO101" s="24"/>
      <c r="CP101">
        <v>8450</v>
      </c>
      <c r="CQ101">
        <v>8660</v>
      </c>
      <c r="CR101">
        <v>8660</v>
      </c>
      <c r="CS101">
        <v>1242977</v>
      </c>
      <c r="CT101">
        <v>402</v>
      </c>
      <c r="CV101" s="24"/>
      <c r="CW101">
        <v>1360002</v>
      </c>
      <c r="CX101">
        <v>1393999</v>
      </c>
      <c r="CY101">
        <v>1365000</v>
      </c>
      <c r="CZ101">
        <v>8767</v>
      </c>
      <c r="DA101">
        <v>40</v>
      </c>
      <c r="DC101" s="24"/>
      <c r="DD101">
        <v>366</v>
      </c>
      <c r="DE101">
        <v>376</v>
      </c>
      <c r="DF101">
        <v>375</v>
      </c>
      <c r="DG101">
        <v>45564798</v>
      </c>
      <c r="DH101">
        <v>252</v>
      </c>
      <c r="DJ101" s="24"/>
      <c r="DK101">
        <v>34882905</v>
      </c>
      <c r="DL101">
        <v>34889687</v>
      </c>
      <c r="DM101">
        <v>34889687</v>
      </c>
      <c r="DN101">
        <v>350</v>
      </c>
      <c r="DO101">
        <v>82</v>
      </c>
      <c r="DQ101" s="24"/>
      <c r="DR101">
        <v>1841788</v>
      </c>
      <c r="DS101">
        <v>1931927</v>
      </c>
      <c r="DT101">
        <v>1841789</v>
      </c>
      <c r="DU101">
        <v>4595</v>
      </c>
      <c r="DV101">
        <v>223</v>
      </c>
      <c r="DX101" s="24"/>
      <c r="DY101">
        <v>19925007</v>
      </c>
      <c r="DZ101">
        <v>20100001</v>
      </c>
      <c r="EA101">
        <v>19925028</v>
      </c>
      <c r="EB101">
        <v>298</v>
      </c>
      <c r="EC101">
        <v>88</v>
      </c>
      <c r="EE101" s="24"/>
      <c r="EF101">
        <v>170</v>
      </c>
      <c r="EG101">
        <v>177</v>
      </c>
      <c r="EH101">
        <v>176</v>
      </c>
      <c r="EI101">
        <v>79951278</v>
      </c>
      <c r="EJ101">
        <v>214</v>
      </c>
      <c r="EL101" s="24"/>
      <c r="EM101">
        <v>47503</v>
      </c>
      <c r="EN101">
        <v>49996</v>
      </c>
      <c r="EO101">
        <v>47519</v>
      </c>
      <c r="EP101">
        <v>89758</v>
      </c>
      <c r="EQ101">
        <v>676</v>
      </c>
      <c r="ES101" s="24"/>
      <c r="ET101">
        <v>398</v>
      </c>
      <c r="EU101">
        <v>449</v>
      </c>
      <c r="EV101">
        <v>436</v>
      </c>
      <c r="EW101">
        <v>36875268</v>
      </c>
      <c r="EX101">
        <v>599</v>
      </c>
      <c r="EZ101" s="24"/>
      <c r="FA101">
        <v>3850001</v>
      </c>
      <c r="FB101">
        <v>3850001</v>
      </c>
      <c r="FC101">
        <v>3850001</v>
      </c>
      <c r="FD101">
        <v>1556</v>
      </c>
      <c r="FE101">
        <v>21</v>
      </c>
      <c r="FG101" s="24"/>
      <c r="FH101">
        <v>8540</v>
      </c>
      <c r="FI101">
        <v>8876</v>
      </c>
      <c r="FJ101">
        <v>8863</v>
      </c>
      <c r="FK101">
        <v>1919109</v>
      </c>
      <c r="FL101">
        <v>456</v>
      </c>
      <c r="FN101" s="24"/>
      <c r="FO101">
        <v>20999</v>
      </c>
      <c r="FP101">
        <v>20999</v>
      </c>
      <c r="FQ101">
        <v>20999</v>
      </c>
      <c r="FR101">
        <v>154530</v>
      </c>
      <c r="FS101">
        <v>97</v>
      </c>
      <c r="FU101" s="24"/>
      <c r="FV101">
        <v>26548</v>
      </c>
      <c r="FW101">
        <v>26636</v>
      </c>
      <c r="FX101">
        <v>26621</v>
      </c>
      <c r="FY101">
        <v>329342</v>
      </c>
      <c r="FZ101">
        <v>1229</v>
      </c>
      <c r="GB101" s="24"/>
      <c r="GC101">
        <v>100701000</v>
      </c>
      <c r="GD101">
        <v>105000000</v>
      </c>
      <c r="GE101">
        <v>103069001</v>
      </c>
      <c r="GF101">
        <v>130</v>
      </c>
      <c r="GG101">
        <v>68</v>
      </c>
      <c r="GI101" s="24"/>
      <c r="GJ101">
        <v>27000015</v>
      </c>
      <c r="GK101">
        <v>27500000</v>
      </c>
      <c r="GL101">
        <v>27000028</v>
      </c>
      <c r="GM101">
        <v>245</v>
      </c>
      <c r="GN101">
        <v>51</v>
      </c>
      <c r="GP101" s="24"/>
      <c r="GQ101">
        <v>98</v>
      </c>
      <c r="GR101">
        <v>106</v>
      </c>
      <c r="GS101">
        <v>99</v>
      </c>
      <c r="GT101">
        <v>180575004</v>
      </c>
      <c r="GU101">
        <v>160</v>
      </c>
      <c r="GW101" s="24"/>
      <c r="GX101">
        <v>351</v>
      </c>
      <c r="GY101">
        <v>367</v>
      </c>
      <c r="GZ101">
        <v>366</v>
      </c>
      <c r="HA101">
        <v>50452217</v>
      </c>
      <c r="HB101">
        <v>198</v>
      </c>
      <c r="HD101" s="24"/>
      <c r="HE101">
        <v>5450</v>
      </c>
      <c r="HF101">
        <v>5641</v>
      </c>
      <c r="HG101">
        <v>5579</v>
      </c>
      <c r="HH101">
        <v>18400334</v>
      </c>
      <c r="HI101">
        <v>318</v>
      </c>
      <c r="HK101" s="24"/>
      <c r="HL101">
        <v>102613504</v>
      </c>
      <c r="HM101">
        <v>108400000</v>
      </c>
      <c r="HN101">
        <v>104000400</v>
      </c>
      <c r="HO101">
        <v>105</v>
      </c>
      <c r="HP101">
        <v>61</v>
      </c>
      <c r="HR101" s="24"/>
      <c r="HS101">
        <v>8470</v>
      </c>
      <c r="HT101">
        <v>8737</v>
      </c>
      <c r="HU101">
        <v>8500</v>
      </c>
      <c r="HV101">
        <v>807085</v>
      </c>
      <c r="HW101">
        <v>190</v>
      </c>
      <c r="HY101" s="24"/>
      <c r="HZ101">
        <v>7598</v>
      </c>
      <c r="IA101">
        <v>8085</v>
      </c>
      <c r="IB101">
        <v>7977</v>
      </c>
      <c r="IC101">
        <v>2432281</v>
      </c>
      <c r="ID101">
        <v>596</v>
      </c>
      <c r="IF101" s="24"/>
      <c r="IG101">
        <v>2589</v>
      </c>
      <c r="IH101">
        <v>2589</v>
      </c>
      <c r="II101">
        <v>2589</v>
      </c>
      <c r="IJ101">
        <v>2112436</v>
      </c>
      <c r="IK101">
        <v>161</v>
      </c>
      <c r="IM101" s="24"/>
      <c r="IN101">
        <v>100100001</v>
      </c>
      <c r="IO101">
        <v>104800000</v>
      </c>
      <c r="IP101">
        <v>102026000</v>
      </c>
      <c r="IQ101">
        <v>109</v>
      </c>
      <c r="IR101">
        <v>66</v>
      </c>
      <c r="IT101" s="24"/>
      <c r="IU101">
        <v>7403</v>
      </c>
      <c r="IV101">
        <v>7650</v>
      </c>
      <c r="IW101">
        <v>7629</v>
      </c>
      <c r="IX101">
        <v>2288747</v>
      </c>
      <c r="IY101">
        <v>204</v>
      </c>
      <c r="JA101" s="24"/>
      <c r="JB101">
        <v>102600000</v>
      </c>
      <c r="JC101">
        <v>107249999</v>
      </c>
      <c r="JD101">
        <v>103491677</v>
      </c>
      <c r="JE101">
        <v>97</v>
      </c>
      <c r="JF101">
        <v>62</v>
      </c>
      <c r="JH101" s="24"/>
      <c r="JI101">
        <v>102403001</v>
      </c>
      <c r="JJ101">
        <v>107770600</v>
      </c>
      <c r="JK101">
        <v>103992985</v>
      </c>
      <c r="JL101">
        <v>61</v>
      </c>
      <c r="JM101">
        <v>48</v>
      </c>
      <c r="JO101" s="24"/>
      <c r="JP101">
        <v>70</v>
      </c>
      <c r="JQ101">
        <v>73</v>
      </c>
      <c r="JR101">
        <v>71</v>
      </c>
      <c r="JS101">
        <v>107829437</v>
      </c>
      <c r="JT101">
        <v>104</v>
      </c>
      <c r="JV101" s="24"/>
      <c r="JW101">
        <v>67</v>
      </c>
      <c r="JX101">
        <v>71</v>
      </c>
      <c r="JY101">
        <v>71</v>
      </c>
      <c r="JZ101">
        <v>169345550</v>
      </c>
      <c r="KA101">
        <v>138</v>
      </c>
      <c r="KC101" s="24"/>
      <c r="KD101">
        <v>22</v>
      </c>
      <c r="KE101">
        <v>24</v>
      </c>
      <c r="KF101">
        <v>24</v>
      </c>
      <c r="KG101">
        <v>54717857</v>
      </c>
      <c r="KH101">
        <v>322</v>
      </c>
      <c r="KJ101" s="24"/>
      <c r="KK101">
        <v>75</v>
      </c>
      <c r="KL101">
        <v>78</v>
      </c>
      <c r="KM101">
        <v>76</v>
      </c>
      <c r="KN101">
        <v>102614270</v>
      </c>
      <c r="KO101">
        <v>127</v>
      </c>
      <c r="KQ101" s="24"/>
      <c r="KR101">
        <v>87405</v>
      </c>
      <c r="KS101">
        <v>88499</v>
      </c>
      <c r="KT101">
        <v>87901</v>
      </c>
      <c r="KU101">
        <v>47862</v>
      </c>
      <c r="KV101">
        <v>604</v>
      </c>
      <c r="KX101" s="24"/>
      <c r="KY101">
        <v>569</v>
      </c>
      <c r="KZ101">
        <v>600</v>
      </c>
      <c r="LA101">
        <v>600</v>
      </c>
      <c r="LB101">
        <v>6629241</v>
      </c>
      <c r="LC101">
        <v>205</v>
      </c>
      <c r="LE101" s="24"/>
      <c r="LF101">
        <v>200000</v>
      </c>
      <c r="LG101">
        <v>201016</v>
      </c>
      <c r="LH101">
        <v>200419</v>
      </c>
      <c r="LI101">
        <v>170260</v>
      </c>
      <c r="LJ101">
        <v>978</v>
      </c>
      <c r="LL101" s="24"/>
      <c r="LM101">
        <v>81336</v>
      </c>
      <c r="LN101">
        <v>82013</v>
      </c>
      <c r="LO101">
        <v>81669</v>
      </c>
      <c r="LP101">
        <v>278990</v>
      </c>
      <c r="LQ101">
        <v>1230</v>
      </c>
      <c r="LS101" s="24"/>
      <c r="LT101">
        <v>319</v>
      </c>
      <c r="LU101">
        <v>319</v>
      </c>
      <c r="LV101">
        <v>319</v>
      </c>
      <c r="LW101">
        <v>94185824</v>
      </c>
      <c r="LX101">
        <v>320</v>
      </c>
      <c r="LZ101" s="24"/>
      <c r="MA101">
        <v>94610</v>
      </c>
      <c r="MB101">
        <v>99607</v>
      </c>
      <c r="MC101">
        <v>99581</v>
      </c>
      <c r="MD101">
        <v>507725</v>
      </c>
      <c r="ME101">
        <v>86</v>
      </c>
    </row>
    <row r="102" spans="2:343" x14ac:dyDescent="0.25">
      <c r="B102" s="24"/>
      <c r="C102">
        <v>3</v>
      </c>
      <c r="D102">
        <v>3</v>
      </c>
      <c r="E102">
        <v>3</v>
      </c>
      <c r="F102">
        <v>22293712141</v>
      </c>
      <c r="G102">
        <v>2755</v>
      </c>
      <c r="I102" s="24"/>
      <c r="J102">
        <v>4</v>
      </c>
      <c r="K102">
        <v>4</v>
      </c>
      <c r="L102">
        <v>4</v>
      </c>
      <c r="M102">
        <v>4344706853</v>
      </c>
      <c r="N102">
        <v>1861</v>
      </c>
      <c r="P102" s="24"/>
      <c r="Q102">
        <v>28</v>
      </c>
      <c r="R102">
        <v>29</v>
      </c>
      <c r="S102">
        <v>28</v>
      </c>
      <c r="T102">
        <v>1573655034</v>
      </c>
      <c r="U102">
        <v>1743</v>
      </c>
      <c r="W102" s="24"/>
      <c r="X102">
        <v>71</v>
      </c>
      <c r="Y102">
        <v>73</v>
      </c>
      <c r="Z102">
        <v>72</v>
      </c>
      <c r="AA102">
        <v>355213005</v>
      </c>
      <c r="AB102">
        <v>1331</v>
      </c>
      <c r="AD102" s="24"/>
      <c r="AE102">
        <v>507</v>
      </c>
      <c r="AF102">
        <v>517</v>
      </c>
      <c r="AG102">
        <v>516</v>
      </c>
      <c r="AH102">
        <v>125329285</v>
      </c>
      <c r="AI102">
        <v>1463</v>
      </c>
      <c r="AK102" s="24"/>
      <c r="AL102">
        <v>959</v>
      </c>
      <c r="AM102">
        <v>993</v>
      </c>
      <c r="AN102">
        <v>970</v>
      </c>
      <c r="AO102">
        <v>29583690</v>
      </c>
      <c r="AP102">
        <v>1150</v>
      </c>
      <c r="AR102" s="24"/>
      <c r="AS102">
        <v>2789</v>
      </c>
      <c r="AT102">
        <v>2807</v>
      </c>
      <c r="AU102">
        <v>2804</v>
      </c>
      <c r="AV102">
        <v>19763702</v>
      </c>
      <c r="AW102">
        <v>1130</v>
      </c>
      <c r="AY102" s="24"/>
      <c r="AZ102">
        <v>345000000</v>
      </c>
      <c r="BA102">
        <v>350000000</v>
      </c>
      <c r="BB102">
        <v>349000000</v>
      </c>
      <c r="BC102">
        <v>1894</v>
      </c>
      <c r="BD102">
        <v>1403</v>
      </c>
      <c r="BF102" s="24"/>
      <c r="BG102">
        <v>26103</v>
      </c>
      <c r="BH102">
        <v>27912</v>
      </c>
      <c r="BI102">
        <v>26201</v>
      </c>
      <c r="BJ102">
        <v>494727</v>
      </c>
      <c r="BK102">
        <v>156</v>
      </c>
      <c r="BM102" s="24"/>
      <c r="BN102">
        <v>6751813</v>
      </c>
      <c r="BO102">
        <v>6800000</v>
      </c>
      <c r="BP102">
        <v>6800000</v>
      </c>
      <c r="BQ102">
        <v>8492</v>
      </c>
      <c r="BR102">
        <v>313</v>
      </c>
      <c r="BT102" s="24"/>
      <c r="BU102">
        <v>1919</v>
      </c>
      <c r="BV102">
        <v>1966</v>
      </c>
      <c r="BW102">
        <v>1965</v>
      </c>
      <c r="BX102">
        <v>28620874</v>
      </c>
      <c r="BY102">
        <v>229</v>
      </c>
      <c r="CA102" s="24"/>
      <c r="CB102">
        <v>335</v>
      </c>
      <c r="CC102">
        <v>338</v>
      </c>
      <c r="CD102">
        <v>338</v>
      </c>
      <c r="CE102">
        <v>78029721</v>
      </c>
      <c r="CF102">
        <v>290</v>
      </c>
      <c r="CH102" s="24"/>
      <c r="CI102">
        <v>24065</v>
      </c>
      <c r="CJ102">
        <v>24503</v>
      </c>
      <c r="CK102">
        <v>24065</v>
      </c>
      <c r="CL102">
        <v>409612</v>
      </c>
      <c r="CM102">
        <v>117</v>
      </c>
      <c r="CO102" s="24"/>
      <c r="CP102">
        <v>7955</v>
      </c>
      <c r="CQ102">
        <v>8645</v>
      </c>
      <c r="CR102">
        <v>8629</v>
      </c>
      <c r="CS102">
        <v>1024908</v>
      </c>
      <c r="CT102">
        <v>358</v>
      </c>
      <c r="CV102" s="24"/>
      <c r="CW102">
        <v>1398876</v>
      </c>
      <c r="CX102">
        <v>1399880</v>
      </c>
      <c r="CY102">
        <v>1398876</v>
      </c>
      <c r="CZ102">
        <v>8263</v>
      </c>
      <c r="DA102">
        <v>60</v>
      </c>
      <c r="DC102" s="24"/>
      <c r="DD102">
        <v>379</v>
      </c>
      <c r="DE102">
        <v>407</v>
      </c>
      <c r="DF102">
        <v>386</v>
      </c>
      <c r="DG102">
        <v>64948621</v>
      </c>
      <c r="DH102">
        <v>189</v>
      </c>
      <c r="DJ102" s="24"/>
      <c r="DK102">
        <v>34822000</v>
      </c>
      <c r="DL102">
        <v>36121129</v>
      </c>
      <c r="DM102">
        <v>34824012</v>
      </c>
      <c r="DN102">
        <v>269</v>
      </c>
      <c r="DO102">
        <v>89</v>
      </c>
      <c r="DQ102" s="24"/>
      <c r="DR102">
        <v>1843002</v>
      </c>
      <c r="DS102">
        <v>1937999</v>
      </c>
      <c r="DT102">
        <v>1900031</v>
      </c>
      <c r="DU102">
        <v>5821</v>
      </c>
      <c r="DV102">
        <v>259</v>
      </c>
      <c r="DX102" s="24"/>
      <c r="DY102">
        <v>18610065</v>
      </c>
      <c r="DZ102">
        <v>19497999</v>
      </c>
      <c r="EA102">
        <v>18611001</v>
      </c>
      <c r="EB102">
        <v>418</v>
      </c>
      <c r="EC102">
        <v>111</v>
      </c>
      <c r="EE102" s="24"/>
      <c r="EF102">
        <v>172</v>
      </c>
      <c r="EG102">
        <v>176</v>
      </c>
      <c r="EH102">
        <v>175</v>
      </c>
      <c r="EI102">
        <v>80971831</v>
      </c>
      <c r="EJ102">
        <v>170</v>
      </c>
      <c r="EL102" s="24"/>
      <c r="EM102">
        <v>47507</v>
      </c>
      <c r="EN102">
        <v>47907</v>
      </c>
      <c r="EO102">
        <v>47519</v>
      </c>
      <c r="EP102">
        <v>80195</v>
      </c>
      <c r="EQ102">
        <v>626</v>
      </c>
      <c r="ES102" s="24"/>
      <c r="ET102">
        <v>426</v>
      </c>
      <c r="EU102">
        <v>443</v>
      </c>
      <c r="EV102">
        <v>437</v>
      </c>
      <c r="EW102">
        <v>43285275</v>
      </c>
      <c r="EX102">
        <v>587</v>
      </c>
      <c r="EZ102" s="24"/>
      <c r="FA102">
        <v>3899999</v>
      </c>
      <c r="FB102">
        <v>3930000</v>
      </c>
      <c r="FC102">
        <v>3929999</v>
      </c>
      <c r="FD102">
        <v>772</v>
      </c>
      <c r="FE102">
        <v>12</v>
      </c>
      <c r="FG102" s="24"/>
      <c r="FH102">
        <v>8546</v>
      </c>
      <c r="FI102">
        <v>8800</v>
      </c>
      <c r="FJ102">
        <v>8777</v>
      </c>
      <c r="FK102">
        <v>1853913</v>
      </c>
      <c r="FL102">
        <v>459</v>
      </c>
      <c r="FN102" s="24"/>
      <c r="FO102">
        <v>20999</v>
      </c>
      <c r="FP102">
        <v>20999</v>
      </c>
      <c r="FQ102">
        <v>20999</v>
      </c>
      <c r="FR102">
        <v>134679</v>
      </c>
      <c r="FS102">
        <v>72</v>
      </c>
      <c r="FU102" s="24"/>
      <c r="FV102">
        <v>25000</v>
      </c>
      <c r="FW102">
        <v>26642</v>
      </c>
      <c r="FX102">
        <v>26630</v>
      </c>
      <c r="FY102">
        <v>308651</v>
      </c>
      <c r="FZ102">
        <v>1237</v>
      </c>
      <c r="GB102" s="24"/>
      <c r="GC102">
        <v>100001001</v>
      </c>
      <c r="GD102">
        <v>107986000</v>
      </c>
      <c r="GE102">
        <v>103287844</v>
      </c>
      <c r="GF102">
        <v>65</v>
      </c>
      <c r="GG102">
        <v>45</v>
      </c>
      <c r="GI102" s="24"/>
      <c r="GJ102">
        <v>27000003</v>
      </c>
      <c r="GK102">
        <v>28050001</v>
      </c>
      <c r="GL102">
        <v>27500001</v>
      </c>
      <c r="GM102">
        <v>347</v>
      </c>
      <c r="GN102">
        <v>62</v>
      </c>
      <c r="GP102" s="24"/>
      <c r="GQ102">
        <v>99</v>
      </c>
      <c r="GR102">
        <v>106</v>
      </c>
      <c r="GS102">
        <v>106</v>
      </c>
      <c r="GT102">
        <v>83025149</v>
      </c>
      <c r="GU102">
        <v>137</v>
      </c>
      <c r="GW102" s="24"/>
      <c r="GX102">
        <v>375</v>
      </c>
      <c r="GY102">
        <v>399</v>
      </c>
      <c r="GZ102">
        <v>388</v>
      </c>
      <c r="HA102">
        <v>53414003</v>
      </c>
      <c r="HB102">
        <v>192</v>
      </c>
      <c r="HD102" s="24"/>
      <c r="HE102">
        <v>5612</v>
      </c>
      <c r="HF102">
        <v>5638</v>
      </c>
      <c r="HG102">
        <v>5622</v>
      </c>
      <c r="HH102">
        <v>8945787</v>
      </c>
      <c r="HI102">
        <v>247</v>
      </c>
      <c r="HK102" s="24"/>
      <c r="HL102">
        <v>100021000</v>
      </c>
      <c r="HM102">
        <v>105499999</v>
      </c>
      <c r="HN102">
        <v>102409638</v>
      </c>
      <c r="HO102">
        <v>89</v>
      </c>
      <c r="HP102">
        <v>51</v>
      </c>
      <c r="HR102" s="24"/>
      <c r="HS102">
        <v>8698</v>
      </c>
      <c r="HT102">
        <v>8800</v>
      </c>
      <c r="HU102">
        <v>8750</v>
      </c>
      <c r="HV102">
        <v>810049</v>
      </c>
      <c r="HW102">
        <v>155</v>
      </c>
      <c r="HY102" s="24"/>
      <c r="HZ102">
        <v>7850</v>
      </c>
      <c r="IA102">
        <v>8100</v>
      </c>
      <c r="IB102">
        <v>8094</v>
      </c>
      <c r="IC102">
        <v>1591982</v>
      </c>
      <c r="ID102">
        <v>484</v>
      </c>
      <c r="IF102" s="24"/>
      <c r="IG102">
        <v>2588</v>
      </c>
      <c r="IH102">
        <v>2588</v>
      </c>
      <c r="II102">
        <v>2588</v>
      </c>
      <c r="IJ102">
        <v>1330826</v>
      </c>
      <c r="IK102">
        <v>125</v>
      </c>
      <c r="IM102" s="24"/>
      <c r="IN102">
        <v>99000000</v>
      </c>
      <c r="IO102">
        <v>105999999</v>
      </c>
      <c r="IP102">
        <v>103214370</v>
      </c>
      <c r="IQ102">
        <v>62</v>
      </c>
      <c r="IR102">
        <v>48</v>
      </c>
      <c r="IT102" s="24"/>
      <c r="IU102">
        <v>7485</v>
      </c>
      <c r="IV102">
        <v>7609</v>
      </c>
      <c r="IW102">
        <v>7599</v>
      </c>
      <c r="IX102">
        <v>1301557</v>
      </c>
      <c r="IY102">
        <v>140</v>
      </c>
      <c r="JA102" s="24"/>
      <c r="JB102">
        <v>100669000</v>
      </c>
      <c r="JC102">
        <v>104249999</v>
      </c>
      <c r="JD102">
        <v>102277954</v>
      </c>
      <c r="JE102">
        <v>88</v>
      </c>
      <c r="JF102">
        <v>53</v>
      </c>
      <c r="JH102" s="24"/>
      <c r="JI102">
        <v>102401003</v>
      </c>
      <c r="JJ102">
        <v>107773994</v>
      </c>
      <c r="JK102">
        <v>104826055</v>
      </c>
      <c r="JL102">
        <v>35</v>
      </c>
      <c r="JM102">
        <v>26</v>
      </c>
      <c r="JO102" s="24"/>
      <c r="JP102">
        <v>73</v>
      </c>
      <c r="JQ102">
        <v>73</v>
      </c>
      <c r="JR102">
        <v>73</v>
      </c>
      <c r="JS102">
        <v>100339250</v>
      </c>
      <c r="JT102">
        <v>79</v>
      </c>
      <c r="JV102" s="24"/>
      <c r="JW102">
        <v>74</v>
      </c>
      <c r="JX102">
        <v>79</v>
      </c>
      <c r="JY102">
        <v>77</v>
      </c>
      <c r="JZ102">
        <v>139247429</v>
      </c>
      <c r="KA102">
        <v>116</v>
      </c>
      <c r="KC102" s="24"/>
      <c r="KD102">
        <v>23</v>
      </c>
      <c r="KE102">
        <v>24</v>
      </c>
      <c r="KF102">
        <v>24</v>
      </c>
      <c r="KG102">
        <v>57466657</v>
      </c>
      <c r="KH102">
        <v>286</v>
      </c>
      <c r="KJ102" s="24"/>
      <c r="KK102">
        <v>72</v>
      </c>
      <c r="KL102">
        <v>78</v>
      </c>
      <c r="KM102">
        <v>76</v>
      </c>
      <c r="KN102">
        <v>142355286</v>
      </c>
      <c r="KO102">
        <v>167</v>
      </c>
      <c r="KQ102" s="24"/>
      <c r="KR102">
        <v>87400</v>
      </c>
      <c r="KS102">
        <v>88402</v>
      </c>
      <c r="KT102">
        <v>88200</v>
      </c>
      <c r="KU102">
        <v>64778</v>
      </c>
      <c r="KV102">
        <v>564</v>
      </c>
      <c r="KX102" s="24"/>
      <c r="KY102">
        <v>572</v>
      </c>
      <c r="KZ102">
        <v>600</v>
      </c>
      <c r="LA102">
        <v>600</v>
      </c>
      <c r="LB102">
        <v>4650918</v>
      </c>
      <c r="LC102">
        <v>187</v>
      </c>
      <c r="LE102" s="24"/>
      <c r="LF102">
        <v>201000</v>
      </c>
      <c r="LG102">
        <v>203000</v>
      </c>
      <c r="LH102">
        <v>201001</v>
      </c>
      <c r="LI102">
        <v>114079</v>
      </c>
      <c r="LJ102">
        <v>926</v>
      </c>
      <c r="LL102" s="24"/>
      <c r="LM102">
        <v>77989</v>
      </c>
      <c r="LN102">
        <v>82015</v>
      </c>
      <c r="LO102">
        <v>81336</v>
      </c>
      <c r="LP102">
        <v>335156</v>
      </c>
      <c r="LQ102">
        <v>1286</v>
      </c>
      <c r="LS102" s="24"/>
      <c r="LT102">
        <v>319</v>
      </c>
      <c r="LU102">
        <v>326</v>
      </c>
      <c r="LV102">
        <v>326</v>
      </c>
      <c r="LW102">
        <v>93016714</v>
      </c>
      <c r="LX102">
        <v>292</v>
      </c>
      <c r="LZ102" s="24"/>
      <c r="MA102">
        <v>96530</v>
      </c>
      <c r="MB102">
        <v>99491</v>
      </c>
      <c r="MC102">
        <v>97899</v>
      </c>
      <c r="MD102">
        <v>741743</v>
      </c>
      <c r="ME102">
        <v>70</v>
      </c>
    </row>
    <row r="103" spans="2:343" x14ac:dyDescent="0.25">
      <c r="B103" s="24"/>
      <c r="C103">
        <v>3</v>
      </c>
      <c r="D103">
        <v>3</v>
      </c>
      <c r="E103">
        <v>3</v>
      </c>
      <c r="F103">
        <v>36875851190</v>
      </c>
      <c r="G103">
        <v>3514</v>
      </c>
      <c r="I103" s="24"/>
      <c r="J103">
        <v>4</v>
      </c>
      <c r="K103">
        <v>4</v>
      </c>
      <c r="L103">
        <v>4</v>
      </c>
      <c r="M103">
        <v>7865491989</v>
      </c>
      <c r="N103">
        <v>2419</v>
      </c>
      <c r="P103" s="24"/>
      <c r="Q103">
        <v>27</v>
      </c>
      <c r="R103">
        <v>29</v>
      </c>
      <c r="S103">
        <v>28</v>
      </c>
      <c r="T103">
        <v>2594697424</v>
      </c>
      <c r="U103">
        <v>2263</v>
      </c>
      <c r="W103" s="24"/>
      <c r="X103">
        <v>71</v>
      </c>
      <c r="Y103">
        <v>73</v>
      </c>
      <c r="Z103">
        <v>73</v>
      </c>
      <c r="AA103">
        <v>423174189</v>
      </c>
      <c r="AB103">
        <v>1634</v>
      </c>
      <c r="AD103" s="24"/>
      <c r="AE103">
        <v>516</v>
      </c>
      <c r="AF103">
        <v>529</v>
      </c>
      <c r="AG103">
        <v>522</v>
      </c>
      <c r="AH103">
        <v>120912461</v>
      </c>
      <c r="AI103">
        <v>1818</v>
      </c>
      <c r="AK103" s="24"/>
      <c r="AL103">
        <v>958</v>
      </c>
      <c r="AM103">
        <v>978</v>
      </c>
      <c r="AN103">
        <v>969</v>
      </c>
      <c r="AO103">
        <v>45706296</v>
      </c>
      <c r="AP103">
        <v>1430</v>
      </c>
      <c r="AR103" s="24"/>
      <c r="AS103">
        <v>2629</v>
      </c>
      <c r="AT103">
        <v>2795</v>
      </c>
      <c r="AU103">
        <v>2750</v>
      </c>
      <c r="AV103">
        <v>19446654</v>
      </c>
      <c r="AW103">
        <v>1422</v>
      </c>
      <c r="AY103" s="24"/>
      <c r="AZ103">
        <v>346202000</v>
      </c>
      <c r="BA103">
        <v>353500000</v>
      </c>
      <c r="BB103">
        <v>352000000</v>
      </c>
      <c r="BC103">
        <v>2159</v>
      </c>
      <c r="BD103">
        <v>1436</v>
      </c>
      <c r="BF103" s="24"/>
      <c r="BG103">
        <v>26914</v>
      </c>
      <c r="BH103">
        <v>26990</v>
      </c>
      <c r="BI103">
        <v>26914</v>
      </c>
      <c r="BJ103">
        <v>682014</v>
      </c>
      <c r="BK103">
        <v>202</v>
      </c>
      <c r="BM103" s="24"/>
      <c r="BN103">
        <v>6751880</v>
      </c>
      <c r="BO103">
        <v>6815000</v>
      </c>
      <c r="BP103">
        <v>6799224</v>
      </c>
      <c r="BQ103">
        <v>10060</v>
      </c>
      <c r="BR103">
        <v>387</v>
      </c>
      <c r="BT103" s="24"/>
      <c r="BU103">
        <v>1969</v>
      </c>
      <c r="BV103">
        <v>2067</v>
      </c>
      <c r="BW103">
        <v>1981</v>
      </c>
      <c r="BX103">
        <v>61351661</v>
      </c>
      <c r="BY103">
        <v>320</v>
      </c>
      <c r="CA103" s="24"/>
      <c r="CB103">
        <v>321</v>
      </c>
      <c r="CC103">
        <v>333</v>
      </c>
      <c r="CD103">
        <v>325</v>
      </c>
      <c r="CE103">
        <v>109103767</v>
      </c>
      <c r="CF103">
        <v>315</v>
      </c>
      <c r="CH103" s="24"/>
      <c r="CI103">
        <v>24503</v>
      </c>
      <c r="CJ103">
        <v>25000</v>
      </c>
      <c r="CK103">
        <v>24504</v>
      </c>
      <c r="CL103">
        <v>299977</v>
      </c>
      <c r="CM103">
        <v>177</v>
      </c>
      <c r="CO103" s="24"/>
      <c r="CP103">
        <v>7963</v>
      </c>
      <c r="CQ103">
        <v>8496</v>
      </c>
      <c r="CR103">
        <v>7967</v>
      </c>
      <c r="CS103">
        <v>1773825</v>
      </c>
      <c r="CT103">
        <v>485</v>
      </c>
      <c r="CV103" s="24"/>
      <c r="CW103">
        <v>1360000</v>
      </c>
      <c r="CX103">
        <v>1399879</v>
      </c>
      <c r="CY103">
        <v>1398885</v>
      </c>
      <c r="CZ103">
        <v>11157</v>
      </c>
      <c r="DA103">
        <v>74</v>
      </c>
      <c r="DC103" s="24"/>
      <c r="DD103">
        <v>404</v>
      </c>
      <c r="DE103">
        <v>415</v>
      </c>
      <c r="DF103">
        <v>408</v>
      </c>
      <c r="DG103">
        <v>42057921</v>
      </c>
      <c r="DH103">
        <v>223</v>
      </c>
      <c r="DJ103" s="24"/>
      <c r="DK103">
        <v>35256003</v>
      </c>
      <c r="DL103">
        <v>36430996</v>
      </c>
      <c r="DM103">
        <v>35356003</v>
      </c>
      <c r="DN103">
        <v>384</v>
      </c>
      <c r="DO103">
        <v>98</v>
      </c>
      <c r="DQ103" s="24"/>
      <c r="DR103">
        <v>1844000</v>
      </c>
      <c r="DS103">
        <v>1923036</v>
      </c>
      <c r="DT103">
        <v>1844059</v>
      </c>
      <c r="DU103">
        <v>6609</v>
      </c>
      <c r="DV103">
        <v>317</v>
      </c>
      <c r="DX103" s="24"/>
      <c r="DY103">
        <v>18516000</v>
      </c>
      <c r="DZ103">
        <v>18989999</v>
      </c>
      <c r="EA103">
        <v>18611000</v>
      </c>
      <c r="EB103">
        <v>585</v>
      </c>
      <c r="EC103">
        <v>174</v>
      </c>
      <c r="EE103" s="24"/>
      <c r="EF103">
        <v>170</v>
      </c>
      <c r="EG103">
        <v>178</v>
      </c>
      <c r="EH103">
        <v>174</v>
      </c>
      <c r="EI103">
        <v>118556263</v>
      </c>
      <c r="EJ103">
        <v>244</v>
      </c>
      <c r="EL103" s="24"/>
      <c r="EM103">
        <v>48000</v>
      </c>
      <c r="EN103">
        <v>50994</v>
      </c>
      <c r="EO103">
        <v>48500</v>
      </c>
      <c r="EP103">
        <v>106449</v>
      </c>
      <c r="EQ103">
        <v>855</v>
      </c>
      <c r="ES103" s="24"/>
      <c r="ET103">
        <v>433</v>
      </c>
      <c r="EU103">
        <v>434</v>
      </c>
      <c r="EV103">
        <v>433</v>
      </c>
      <c r="EW103">
        <v>44293474</v>
      </c>
      <c r="EX103">
        <v>709</v>
      </c>
      <c r="EZ103" s="24"/>
      <c r="FA103">
        <v>3851278</v>
      </c>
      <c r="FB103">
        <v>3928744</v>
      </c>
      <c r="FC103">
        <v>3926997</v>
      </c>
      <c r="FD103">
        <v>1396</v>
      </c>
      <c r="FE103">
        <v>31</v>
      </c>
      <c r="FG103" s="24"/>
      <c r="FH103">
        <v>8581</v>
      </c>
      <c r="FI103">
        <v>8728</v>
      </c>
      <c r="FJ103">
        <v>8590</v>
      </c>
      <c r="FK103">
        <v>2093399</v>
      </c>
      <c r="FL103">
        <v>603</v>
      </c>
      <c r="FN103" s="24"/>
      <c r="FO103">
        <v>20804</v>
      </c>
      <c r="FP103">
        <v>21104</v>
      </c>
      <c r="FQ103">
        <v>20905</v>
      </c>
      <c r="FR103">
        <v>225039</v>
      </c>
      <c r="FS103">
        <v>120</v>
      </c>
      <c r="FU103" s="24"/>
      <c r="FV103">
        <v>23335</v>
      </c>
      <c r="FW103">
        <v>24413</v>
      </c>
      <c r="FX103">
        <v>24401</v>
      </c>
      <c r="FY103">
        <v>391150</v>
      </c>
      <c r="FZ103">
        <v>1513</v>
      </c>
      <c r="GB103" s="24"/>
      <c r="GC103">
        <v>99787800</v>
      </c>
      <c r="GD103">
        <v>107967789</v>
      </c>
      <c r="GE103">
        <v>105379632</v>
      </c>
      <c r="GF103">
        <v>58</v>
      </c>
      <c r="GG103">
        <v>50</v>
      </c>
      <c r="GI103" s="24"/>
      <c r="GJ103">
        <v>24508033</v>
      </c>
      <c r="GK103">
        <v>25508000</v>
      </c>
      <c r="GL103">
        <v>25000015</v>
      </c>
      <c r="GM103">
        <v>357</v>
      </c>
      <c r="GN103">
        <v>91</v>
      </c>
      <c r="GP103" s="24"/>
      <c r="GQ103">
        <v>100</v>
      </c>
      <c r="GR103">
        <v>103</v>
      </c>
      <c r="GS103">
        <v>102</v>
      </c>
      <c r="GT103">
        <v>119021544</v>
      </c>
      <c r="GU103">
        <v>183</v>
      </c>
      <c r="GW103" s="24"/>
      <c r="GX103">
        <v>369</v>
      </c>
      <c r="GY103">
        <v>379</v>
      </c>
      <c r="GZ103">
        <v>376</v>
      </c>
      <c r="HA103">
        <v>61751420</v>
      </c>
      <c r="HB103">
        <v>230</v>
      </c>
      <c r="HD103" s="24"/>
      <c r="HE103">
        <v>5611</v>
      </c>
      <c r="HF103">
        <v>5612</v>
      </c>
      <c r="HG103">
        <v>5612</v>
      </c>
      <c r="HH103">
        <v>15198622</v>
      </c>
      <c r="HI103">
        <v>308</v>
      </c>
      <c r="HK103" s="24"/>
      <c r="HL103">
        <v>105000000</v>
      </c>
      <c r="HM103">
        <v>107999899</v>
      </c>
      <c r="HN103">
        <v>106690341</v>
      </c>
      <c r="HO103">
        <v>51</v>
      </c>
      <c r="HP103">
        <v>44</v>
      </c>
      <c r="HR103" s="24"/>
      <c r="HS103">
        <v>8560</v>
      </c>
      <c r="HT103">
        <v>8798</v>
      </c>
      <c r="HU103">
        <v>8601</v>
      </c>
      <c r="HV103">
        <v>739973</v>
      </c>
      <c r="HW103">
        <v>191</v>
      </c>
      <c r="HY103" s="24"/>
      <c r="HZ103">
        <v>7690</v>
      </c>
      <c r="IA103">
        <v>8099</v>
      </c>
      <c r="IB103">
        <v>7870</v>
      </c>
      <c r="IC103">
        <v>3126650</v>
      </c>
      <c r="ID103">
        <v>673</v>
      </c>
      <c r="IF103" s="24"/>
      <c r="IG103">
        <v>2413</v>
      </c>
      <c r="IH103">
        <v>2588</v>
      </c>
      <c r="II103">
        <v>2588</v>
      </c>
      <c r="IJ103">
        <v>1927700</v>
      </c>
      <c r="IK103">
        <v>150</v>
      </c>
      <c r="IM103" s="24"/>
      <c r="IN103">
        <v>100101200</v>
      </c>
      <c r="IO103">
        <v>107008800</v>
      </c>
      <c r="IP103">
        <v>104665290</v>
      </c>
      <c r="IQ103">
        <v>65</v>
      </c>
      <c r="IR103">
        <v>51</v>
      </c>
      <c r="IT103" s="24"/>
      <c r="IU103">
        <v>7312</v>
      </c>
      <c r="IV103">
        <v>7549</v>
      </c>
      <c r="IW103">
        <v>7548</v>
      </c>
      <c r="IX103">
        <v>1558197</v>
      </c>
      <c r="IY103">
        <v>189</v>
      </c>
      <c r="JA103" s="24"/>
      <c r="JB103">
        <v>102000000</v>
      </c>
      <c r="JC103">
        <v>104500000</v>
      </c>
      <c r="JD103">
        <v>102600000</v>
      </c>
      <c r="JE103">
        <v>232</v>
      </c>
      <c r="JF103">
        <v>145</v>
      </c>
      <c r="JH103" s="24"/>
      <c r="JI103">
        <v>100106306</v>
      </c>
      <c r="JJ103">
        <v>107773991</v>
      </c>
      <c r="JK103">
        <v>105470702</v>
      </c>
      <c r="JL103">
        <v>46</v>
      </c>
      <c r="JM103">
        <v>41</v>
      </c>
      <c r="JO103" s="24"/>
      <c r="JP103">
        <v>71</v>
      </c>
      <c r="JQ103">
        <v>73</v>
      </c>
      <c r="JR103">
        <v>72</v>
      </c>
      <c r="JS103">
        <v>153360554</v>
      </c>
      <c r="JT103">
        <v>126</v>
      </c>
      <c r="JV103" s="24"/>
      <c r="JW103">
        <v>77</v>
      </c>
      <c r="JX103">
        <v>83</v>
      </c>
      <c r="JY103">
        <v>78</v>
      </c>
      <c r="JZ103">
        <v>185202880</v>
      </c>
      <c r="KA103">
        <v>159</v>
      </c>
      <c r="KC103" s="24"/>
      <c r="KD103">
        <v>22</v>
      </c>
      <c r="KE103">
        <v>23</v>
      </c>
      <c r="KF103">
        <v>22</v>
      </c>
      <c r="KG103">
        <v>78148664</v>
      </c>
      <c r="KH103">
        <v>376</v>
      </c>
      <c r="KJ103" s="24"/>
      <c r="KK103">
        <v>71</v>
      </c>
      <c r="KL103">
        <v>75</v>
      </c>
      <c r="KM103">
        <v>74</v>
      </c>
      <c r="KN103">
        <v>125183452</v>
      </c>
      <c r="KO103">
        <v>151</v>
      </c>
      <c r="KQ103" s="24"/>
      <c r="KR103">
        <v>87280</v>
      </c>
      <c r="KS103">
        <v>88025</v>
      </c>
      <c r="KT103">
        <v>87500</v>
      </c>
      <c r="KU103">
        <v>71445</v>
      </c>
      <c r="KV103">
        <v>731</v>
      </c>
      <c r="KX103" s="24"/>
      <c r="KY103">
        <v>573</v>
      </c>
      <c r="KZ103">
        <v>600</v>
      </c>
      <c r="LA103">
        <v>600</v>
      </c>
      <c r="LB103">
        <v>6823095</v>
      </c>
      <c r="LC103">
        <v>230</v>
      </c>
      <c r="LE103" s="24"/>
      <c r="LF103">
        <v>197000</v>
      </c>
      <c r="LG103">
        <v>201105</v>
      </c>
      <c r="LH103">
        <v>200250</v>
      </c>
      <c r="LI103">
        <v>147377</v>
      </c>
      <c r="LJ103">
        <v>1079</v>
      </c>
      <c r="LL103" s="24"/>
      <c r="LM103">
        <v>78001</v>
      </c>
      <c r="LN103">
        <v>79253</v>
      </c>
      <c r="LO103">
        <v>79102</v>
      </c>
      <c r="LP103">
        <v>378646</v>
      </c>
      <c r="LQ103">
        <v>1563</v>
      </c>
      <c r="LS103" s="24"/>
      <c r="LT103">
        <v>304</v>
      </c>
      <c r="LU103">
        <v>311</v>
      </c>
      <c r="LV103">
        <v>309</v>
      </c>
      <c r="LW103">
        <v>144351612</v>
      </c>
      <c r="LX103">
        <v>373</v>
      </c>
      <c r="LZ103" s="24"/>
      <c r="MA103">
        <v>96137</v>
      </c>
      <c r="MB103">
        <v>99349</v>
      </c>
      <c r="MC103">
        <v>97167</v>
      </c>
      <c r="MD103">
        <v>862048</v>
      </c>
      <c r="ME103">
        <v>102</v>
      </c>
    </row>
    <row r="104" spans="2:343" x14ac:dyDescent="0.25">
      <c r="B104" s="24"/>
      <c r="C104">
        <v>3</v>
      </c>
      <c r="D104">
        <v>3</v>
      </c>
      <c r="E104">
        <v>3</v>
      </c>
      <c r="F104">
        <v>33144583219</v>
      </c>
      <c r="G104">
        <v>3683</v>
      </c>
      <c r="I104" s="24"/>
      <c r="J104">
        <v>4</v>
      </c>
      <c r="K104">
        <v>4</v>
      </c>
      <c r="L104">
        <v>4</v>
      </c>
      <c r="M104">
        <v>6571009960</v>
      </c>
      <c r="N104">
        <v>2644</v>
      </c>
      <c r="P104" s="24"/>
      <c r="Q104">
        <v>27</v>
      </c>
      <c r="R104">
        <v>28</v>
      </c>
      <c r="S104">
        <v>28</v>
      </c>
      <c r="T104">
        <v>2282176770</v>
      </c>
      <c r="U104">
        <v>2379</v>
      </c>
      <c r="W104" s="24"/>
      <c r="X104">
        <v>72</v>
      </c>
      <c r="Y104">
        <v>74</v>
      </c>
      <c r="Z104">
        <v>73</v>
      </c>
      <c r="AA104">
        <v>345699220</v>
      </c>
      <c r="AB104">
        <v>1825</v>
      </c>
      <c r="AD104" s="24"/>
      <c r="AE104">
        <v>511</v>
      </c>
      <c r="AF104">
        <v>527</v>
      </c>
      <c r="AG104">
        <v>518</v>
      </c>
      <c r="AH104">
        <v>117752592</v>
      </c>
      <c r="AI104">
        <v>1909</v>
      </c>
      <c r="AK104" s="24"/>
      <c r="AL104">
        <v>964</v>
      </c>
      <c r="AM104">
        <v>975</v>
      </c>
      <c r="AN104">
        <v>973</v>
      </c>
      <c r="AO104">
        <v>44972734</v>
      </c>
      <c r="AP104">
        <v>1451</v>
      </c>
      <c r="AR104" s="24"/>
      <c r="AS104">
        <v>2732</v>
      </c>
      <c r="AT104">
        <v>2789</v>
      </c>
      <c r="AU104">
        <v>2761</v>
      </c>
      <c r="AV104">
        <v>18297286</v>
      </c>
      <c r="AW104">
        <v>1447</v>
      </c>
      <c r="AY104" s="24"/>
      <c r="AZ104">
        <v>348401000</v>
      </c>
      <c r="BA104">
        <v>354598450</v>
      </c>
      <c r="BB104">
        <v>352054998</v>
      </c>
      <c r="BC104">
        <v>1980</v>
      </c>
      <c r="BD104">
        <v>1467</v>
      </c>
      <c r="BF104" s="24"/>
      <c r="BG104">
        <v>26219</v>
      </c>
      <c r="BH104">
        <v>26220</v>
      </c>
      <c r="BI104">
        <v>26219</v>
      </c>
      <c r="BJ104">
        <v>1353233</v>
      </c>
      <c r="BK104">
        <v>255</v>
      </c>
      <c r="BM104" s="24"/>
      <c r="BN104">
        <v>6752396</v>
      </c>
      <c r="BO104">
        <v>6815002</v>
      </c>
      <c r="BP104">
        <v>6815002</v>
      </c>
      <c r="BQ104">
        <v>7564</v>
      </c>
      <c r="BR104">
        <v>296</v>
      </c>
      <c r="BT104" s="24"/>
      <c r="BU104">
        <v>2007</v>
      </c>
      <c r="BV104">
        <v>2069</v>
      </c>
      <c r="BW104">
        <v>2059</v>
      </c>
      <c r="BX104">
        <v>39089037</v>
      </c>
      <c r="BY104">
        <v>389</v>
      </c>
      <c r="CA104" s="24"/>
      <c r="CB104">
        <v>320</v>
      </c>
      <c r="CC104">
        <v>331</v>
      </c>
      <c r="CD104">
        <v>320</v>
      </c>
      <c r="CE104">
        <v>66367481</v>
      </c>
      <c r="CF104">
        <v>306</v>
      </c>
      <c r="CH104" s="24"/>
      <c r="CI104">
        <v>25102</v>
      </c>
      <c r="CJ104">
        <v>25200</v>
      </c>
      <c r="CK104">
        <v>25152</v>
      </c>
      <c r="CL104">
        <v>633047</v>
      </c>
      <c r="CM104">
        <v>188</v>
      </c>
      <c r="CO104" s="24"/>
      <c r="CP104">
        <v>8338</v>
      </c>
      <c r="CQ104">
        <v>8547</v>
      </c>
      <c r="CR104">
        <v>8439</v>
      </c>
      <c r="CS104">
        <v>1216039</v>
      </c>
      <c r="CT104">
        <v>454</v>
      </c>
      <c r="CV104" s="24"/>
      <c r="CW104">
        <v>1340109</v>
      </c>
      <c r="CX104">
        <v>1399879</v>
      </c>
      <c r="CY104">
        <v>1350000</v>
      </c>
      <c r="CZ104">
        <v>13393</v>
      </c>
      <c r="DA104">
        <v>75</v>
      </c>
      <c r="DC104" s="24"/>
      <c r="DD104">
        <v>384</v>
      </c>
      <c r="DE104">
        <v>403</v>
      </c>
      <c r="DF104">
        <v>402</v>
      </c>
      <c r="DG104">
        <v>38612181</v>
      </c>
      <c r="DH104">
        <v>216</v>
      </c>
      <c r="DJ104" s="24"/>
      <c r="DK104">
        <v>35452000</v>
      </c>
      <c r="DL104">
        <v>35462473</v>
      </c>
      <c r="DM104">
        <v>35460016</v>
      </c>
      <c r="DN104">
        <v>375</v>
      </c>
      <c r="DO104">
        <v>101</v>
      </c>
      <c r="DQ104" s="24"/>
      <c r="DR104">
        <v>1845101</v>
      </c>
      <c r="DS104">
        <v>1920994</v>
      </c>
      <c r="DT104">
        <v>1846002</v>
      </c>
      <c r="DU104">
        <v>6307</v>
      </c>
      <c r="DV104">
        <v>283</v>
      </c>
      <c r="DX104" s="24"/>
      <c r="DY104">
        <v>18000000</v>
      </c>
      <c r="DZ104">
        <v>18700000</v>
      </c>
      <c r="EA104">
        <v>18200000</v>
      </c>
      <c r="EB104">
        <v>461</v>
      </c>
      <c r="EC104">
        <v>116</v>
      </c>
      <c r="EE104" s="24"/>
      <c r="EF104">
        <v>170</v>
      </c>
      <c r="EG104">
        <v>170</v>
      </c>
      <c r="EH104">
        <v>170</v>
      </c>
      <c r="EI104">
        <v>131540444</v>
      </c>
      <c r="EJ104">
        <v>211</v>
      </c>
      <c r="EL104" s="24"/>
      <c r="EM104">
        <v>43002</v>
      </c>
      <c r="EN104">
        <v>49000</v>
      </c>
      <c r="EO104">
        <v>46004</v>
      </c>
      <c r="EP104">
        <v>127459</v>
      </c>
      <c r="EQ104">
        <v>866</v>
      </c>
      <c r="ES104" s="24"/>
      <c r="ET104">
        <v>433</v>
      </c>
      <c r="EU104">
        <v>435</v>
      </c>
      <c r="EV104">
        <v>434</v>
      </c>
      <c r="EW104">
        <v>47196150</v>
      </c>
      <c r="EX104">
        <v>736</v>
      </c>
      <c r="EZ104" s="24"/>
      <c r="FA104">
        <v>3851278</v>
      </c>
      <c r="FB104">
        <v>3927999</v>
      </c>
      <c r="FC104">
        <v>3851301</v>
      </c>
      <c r="FD104">
        <v>1547</v>
      </c>
      <c r="FE104">
        <v>28</v>
      </c>
      <c r="FG104" s="24"/>
      <c r="FH104">
        <v>8541</v>
      </c>
      <c r="FI104">
        <v>8798</v>
      </c>
      <c r="FJ104">
        <v>8700</v>
      </c>
      <c r="FK104">
        <v>2393253</v>
      </c>
      <c r="FL104">
        <v>560</v>
      </c>
      <c r="FN104" s="24"/>
      <c r="FO104">
        <v>21371</v>
      </c>
      <c r="FP104">
        <v>21371</v>
      </c>
      <c r="FQ104">
        <v>21371</v>
      </c>
      <c r="FR104">
        <v>177260</v>
      </c>
      <c r="FS104">
        <v>79</v>
      </c>
      <c r="FU104" s="24"/>
      <c r="FV104">
        <v>24005</v>
      </c>
      <c r="FW104">
        <v>24500</v>
      </c>
      <c r="FX104">
        <v>24026</v>
      </c>
      <c r="FY104">
        <v>341379</v>
      </c>
      <c r="FZ104">
        <v>1544</v>
      </c>
      <c r="GB104" s="24"/>
      <c r="GC104">
        <v>100006000</v>
      </c>
      <c r="GD104">
        <v>102400000</v>
      </c>
      <c r="GE104">
        <v>100014000</v>
      </c>
      <c r="GF104">
        <v>146</v>
      </c>
      <c r="GG104">
        <v>74</v>
      </c>
      <c r="GI104" s="24"/>
      <c r="GJ104">
        <v>25000133</v>
      </c>
      <c r="GK104">
        <v>26490000</v>
      </c>
      <c r="GL104">
        <v>25490000</v>
      </c>
      <c r="GM104">
        <v>636</v>
      </c>
      <c r="GN104">
        <v>125</v>
      </c>
      <c r="GP104" s="24"/>
      <c r="GQ104">
        <v>97</v>
      </c>
      <c r="GR104">
        <v>103</v>
      </c>
      <c r="GS104">
        <v>98</v>
      </c>
      <c r="GT104">
        <v>148026698</v>
      </c>
      <c r="GU104">
        <v>147</v>
      </c>
      <c r="GW104" s="24"/>
      <c r="GX104">
        <v>343</v>
      </c>
      <c r="GY104">
        <v>373</v>
      </c>
      <c r="GZ104">
        <v>368</v>
      </c>
      <c r="HA104">
        <v>60654758</v>
      </c>
      <c r="HB104">
        <v>294</v>
      </c>
      <c r="HD104" s="24"/>
      <c r="HE104">
        <v>5605</v>
      </c>
      <c r="HF104">
        <v>5607</v>
      </c>
      <c r="HG104">
        <v>5606</v>
      </c>
      <c r="HH104">
        <v>17806593</v>
      </c>
      <c r="HI104">
        <v>304</v>
      </c>
      <c r="HK104" s="24"/>
      <c r="HL104">
        <v>101002401</v>
      </c>
      <c r="HM104">
        <v>105000000</v>
      </c>
      <c r="HN104">
        <v>101510400</v>
      </c>
      <c r="HO104">
        <v>181</v>
      </c>
      <c r="HP104">
        <v>91</v>
      </c>
      <c r="HR104" s="24"/>
      <c r="HS104">
        <v>8603</v>
      </c>
      <c r="HT104">
        <v>8902</v>
      </c>
      <c r="HU104">
        <v>8900</v>
      </c>
      <c r="HV104">
        <v>1057179</v>
      </c>
      <c r="HW104">
        <v>173</v>
      </c>
      <c r="HY104" s="24"/>
      <c r="HZ104">
        <v>7900</v>
      </c>
      <c r="IA104">
        <v>8491</v>
      </c>
      <c r="IB104">
        <v>8350</v>
      </c>
      <c r="IC104">
        <v>2273822</v>
      </c>
      <c r="ID104">
        <v>703</v>
      </c>
      <c r="IF104" s="24"/>
      <c r="IG104">
        <v>2568</v>
      </c>
      <c r="IH104">
        <v>2568</v>
      </c>
      <c r="II104">
        <v>2568</v>
      </c>
      <c r="IJ104">
        <v>1789953</v>
      </c>
      <c r="IK104">
        <v>163</v>
      </c>
      <c r="IM104" s="24"/>
      <c r="IN104">
        <v>100103003</v>
      </c>
      <c r="IO104">
        <v>106990995</v>
      </c>
      <c r="IP104">
        <v>101101000</v>
      </c>
      <c r="IQ104">
        <v>134</v>
      </c>
      <c r="IR104">
        <v>89</v>
      </c>
      <c r="IT104" s="24"/>
      <c r="IU104">
        <v>7547</v>
      </c>
      <c r="IV104">
        <v>7579</v>
      </c>
      <c r="IW104">
        <v>7549</v>
      </c>
      <c r="IX104">
        <v>2202414</v>
      </c>
      <c r="IY104">
        <v>194</v>
      </c>
      <c r="JA104" s="24"/>
      <c r="JB104">
        <v>100700000</v>
      </c>
      <c r="JC104">
        <v>105598800</v>
      </c>
      <c r="JD104">
        <v>102005999</v>
      </c>
      <c r="JE104">
        <v>222</v>
      </c>
      <c r="JF104">
        <v>125</v>
      </c>
      <c r="JH104" s="24"/>
      <c r="JI104">
        <v>101111411</v>
      </c>
      <c r="JJ104">
        <v>107681390</v>
      </c>
      <c r="JK104">
        <v>102282677</v>
      </c>
      <c r="JL104">
        <v>80</v>
      </c>
      <c r="JM104">
        <v>41</v>
      </c>
      <c r="JO104" s="24"/>
      <c r="JP104">
        <v>71</v>
      </c>
      <c r="JQ104">
        <v>73</v>
      </c>
      <c r="JR104">
        <v>73</v>
      </c>
      <c r="JS104">
        <v>141834721</v>
      </c>
      <c r="JT104">
        <v>122</v>
      </c>
      <c r="JV104" s="24"/>
      <c r="JW104">
        <v>74</v>
      </c>
      <c r="JX104">
        <v>76</v>
      </c>
      <c r="JY104">
        <v>76</v>
      </c>
      <c r="JZ104">
        <v>149853564</v>
      </c>
      <c r="KA104">
        <v>134</v>
      </c>
      <c r="KC104" s="24"/>
      <c r="KD104">
        <v>20</v>
      </c>
      <c r="KE104">
        <v>23</v>
      </c>
      <c r="KF104">
        <v>23</v>
      </c>
      <c r="KG104">
        <v>59311741</v>
      </c>
      <c r="KH104">
        <v>391</v>
      </c>
      <c r="KJ104" s="24"/>
      <c r="KK104">
        <v>71</v>
      </c>
      <c r="KL104">
        <v>77</v>
      </c>
      <c r="KM104">
        <v>76</v>
      </c>
      <c r="KN104">
        <v>188623875</v>
      </c>
      <c r="KO104">
        <v>161</v>
      </c>
      <c r="KQ104" s="24"/>
      <c r="KR104">
        <v>86550</v>
      </c>
      <c r="KS104">
        <v>87501</v>
      </c>
      <c r="KT104">
        <v>87251</v>
      </c>
      <c r="KU104">
        <v>71648</v>
      </c>
      <c r="KV104">
        <v>731</v>
      </c>
      <c r="KX104" s="24"/>
      <c r="KY104">
        <v>573</v>
      </c>
      <c r="KZ104">
        <v>599</v>
      </c>
      <c r="LA104">
        <v>599</v>
      </c>
      <c r="LB104">
        <v>5306175</v>
      </c>
      <c r="LC104">
        <v>193</v>
      </c>
      <c r="LE104" s="24"/>
      <c r="LF104">
        <v>194111</v>
      </c>
      <c r="LG104">
        <v>196000</v>
      </c>
      <c r="LH104">
        <v>194128</v>
      </c>
      <c r="LI104">
        <v>114654</v>
      </c>
      <c r="LJ104">
        <v>1159</v>
      </c>
      <c r="LL104" s="24"/>
      <c r="LM104">
        <v>79250</v>
      </c>
      <c r="LN104">
        <v>79500</v>
      </c>
      <c r="LO104">
        <v>79272</v>
      </c>
      <c r="LP104">
        <v>349100</v>
      </c>
      <c r="LQ104">
        <v>1606</v>
      </c>
      <c r="LS104" s="24"/>
      <c r="LT104">
        <v>299</v>
      </c>
      <c r="LU104">
        <v>306</v>
      </c>
      <c r="LV104">
        <v>306</v>
      </c>
      <c r="LW104">
        <v>107221298</v>
      </c>
      <c r="LX104">
        <v>382</v>
      </c>
      <c r="LZ104" s="24"/>
      <c r="MA104">
        <v>90000</v>
      </c>
      <c r="MB104">
        <v>96131</v>
      </c>
      <c r="MC104">
        <v>92232</v>
      </c>
      <c r="MD104">
        <v>1753111</v>
      </c>
      <c r="ME104">
        <v>191</v>
      </c>
    </row>
    <row r="105" spans="2:343" x14ac:dyDescent="0.25">
      <c r="B105" s="24"/>
      <c r="C105">
        <v>3</v>
      </c>
      <c r="D105">
        <v>3</v>
      </c>
      <c r="E105">
        <v>3</v>
      </c>
      <c r="F105">
        <v>33884255957</v>
      </c>
      <c r="G105">
        <v>3140</v>
      </c>
      <c r="I105" s="24"/>
      <c r="J105">
        <v>4</v>
      </c>
      <c r="K105">
        <v>5</v>
      </c>
      <c r="L105">
        <v>5</v>
      </c>
      <c r="M105">
        <v>8149385261</v>
      </c>
      <c r="N105">
        <v>2156</v>
      </c>
      <c r="P105" s="24"/>
      <c r="Q105">
        <v>28</v>
      </c>
      <c r="R105">
        <v>29</v>
      </c>
      <c r="S105">
        <v>29</v>
      </c>
      <c r="T105">
        <v>2631683933</v>
      </c>
      <c r="U105">
        <v>2051</v>
      </c>
      <c r="W105" s="24"/>
      <c r="X105">
        <v>74</v>
      </c>
      <c r="Y105">
        <v>77</v>
      </c>
      <c r="Z105">
        <v>74</v>
      </c>
      <c r="AA105">
        <v>533159177</v>
      </c>
      <c r="AB105">
        <v>1495</v>
      </c>
      <c r="AD105" s="24"/>
      <c r="AE105">
        <v>520</v>
      </c>
      <c r="AF105">
        <v>540</v>
      </c>
      <c r="AG105">
        <v>531</v>
      </c>
      <c r="AH105">
        <v>130623185</v>
      </c>
      <c r="AI105">
        <v>1681</v>
      </c>
      <c r="AK105" s="24"/>
      <c r="AL105">
        <v>961</v>
      </c>
      <c r="AM105">
        <v>988</v>
      </c>
      <c r="AN105">
        <v>984</v>
      </c>
      <c r="AO105">
        <v>41642079</v>
      </c>
      <c r="AP105">
        <v>1233</v>
      </c>
      <c r="AR105" s="24"/>
      <c r="AS105">
        <v>2764</v>
      </c>
      <c r="AT105">
        <v>2877</v>
      </c>
      <c r="AU105">
        <v>2850</v>
      </c>
      <c r="AV105">
        <v>14578351</v>
      </c>
      <c r="AW105">
        <v>1265</v>
      </c>
      <c r="AY105" s="24"/>
      <c r="AZ105">
        <v>348511111</v>
      </c>
      <c r="BA105">
        <v>356899999</v>
      </c>
      <c r="BB105">
        <v>353999999</v>
      </c>
      <c r="BC105">
        <v>2256</v>
      </c>
      <c r="BD105">
        <v>1439</v>
      </c>
      <c r="BF105" s="24"/>
      <c r="BG105">
        <v>26223</v>
      </c>
      <c r="BH105">
        <v>26999</v>
      </c>
      <c r="BI105">
        <v>26224</v>
      </c>
      <c r="BJ105">
        <v>1001673</v>
      </c>
      <c r="BK105">
        <v>214</v>
      </c>
      <c r="BM105" s="24"/>
      <c r="BN105">
        <v>6752023</v>
      </c>
      <c r="BO105">
        <v>6800000</v>
      </c>
      <c r="BP105">
        <v>6752034</v>
      </c>
      <c r="BQ105">
        <v>12362</v>
      </c>
      <c r="BR105">
        <v>310</v>
      </c>
      <c r="BT105" s="24"/>
      <c r="BU105">
        <v>2012</v>
      </c>
      <c r="BV105">
        <v>2069</v>
      </c>
      <c r="BW105">
        <v>2068</v>
      </c>
      <c r="BX105">
        <v>27366399</v>
      </c>
      <c r="BY105">
        <v>271</v>
      </c>
      <c r="CA105" s="24"/>
      <c r="CB105">
        <v>310</v>
      </c>
      <c r="CC105">
        <v>318</v>
      </c>
      <c r="CD105">
        <v>318</v>
      </c>
      <c r="CE105">
        <v>66229435</v>
      </c>
      <c r="CF105">
        <v>232</v>
      </c>
      <c r="CH105" s="24"/>
      <c r="CI105">
        <v>25300</v>
      </c>
      <c r="CJ105">
        <v>26302</v>
      </c>
      <c r="CK105">
        <v>26000</v>
      </c>
      <c r="CL105">
        <v>426295</v>
      </c>
      <c r="CM105">
        <v>160</v>
      </c>
      <c r="CO105" s="24"/>
      <c r="CP105">
        <v>8004</v>
      </c>
      <c r="CQ105">
        <v>8399</v>
      </c>
      <c r="CR105">
        <v>8345</v>
      </c>
      <c r="CS105">
        <v>1076465</v>
      </c>
      <c r="CT105">
        <v>366</v>
      </c>
      <c r="CV105" s="24"/>
      <c r="CW105">
        <v>1399878</v>
      </c>
      <c r="CX105">
        <v>1399879</v>
      </c>
      <c r="CY105">
        <v>1399878</v>
      </c>
      <c r="CZ105">
        <v>6286</v>
      </c>
      <c r="DA105">
        <v>36</v>
      </c>
      <c r="DC105" s="24"/>
      <c r="DD105">
        <v>399</v>
      </c>
      <c r="DE105">
        <v>401</v>
      </c>
      <c r="DF105">
        <v>399</v>
      </c>
      <c r="DG105">
        <v>33264513</v>
      </c>
      <c r="DH105">
        <v>185</v>
      </c>
      <c r="DJ105" s="24"/>
      <c r="DK105">
        <v>35463023</v>
      </c>
      <c r="DL105">
        <v>36973997</v>
      </c>
      <c r="DM105">
        <v>35465129</v>
      </c>
      <c r="DN105">
        <v>280</v>
      </c>
      <c r="DO105">
        <v>70</v>
      </c>
      <c r="DQ105" s="24"/>
      <c r="DR105">
        <v>1844142</v>
      </c>
      <c r="DS105">
        <v>1845198</v>
      </c>
      <c r="DT105">
        <v>1844154</v>
      </c>
      <c r="DU105">
        <v>4710</v>
      </c>
      <c r="DV105">
        <v>244</v>
      </c>
      <c r="DX105" s="24"/>
      <c r="DY105">
        <v>16100016</v>
      </c>
      <c r="DZ105">
        <v>18429999</v>
      </c>
      <c r="EA105">
        <v>18048998</v>
      </c>
      <c r="EB105">
        <v>330</v>
      </c>
      <c r="EC105">
        <v>103</v>
      </c>
      <c r="EE105" s="24"/>
      <c r="EF105">
        <v>163</v>
      </c>
      <c r="EG105">
        <v>168</v>
      </c>
      <c r="EH105">
        <v>166</v>
      </c>
      <c r="EI105">
        <v>116758063</v>
      </c>
      <c r="EJ105">
        <v>220</v>
      </c>
      <c r="EL105" s="24"/>
      <c r="EM105">
        <v>46255</v>
      </c>
      <c r="EN105">
        <v>46268</v>
      </c>
      <c r="EO105">
        <v>46259</v>
      </c>
      <c r="EP105">
        <v>65523</v>
      </c>
      <c r="EQ105">
        <v>665</v>
      </c>
      <c r="ES105" s="24"/>
      <c r="ET105">
        <v>419</v>
      </c>
      <c r="EU105">
        <v>445</v>
      </c>
      <c r="EV105">
        <v>445</v>
      </c>
      <c r="EW105">
        <v>38692032</v>
      </c>
      <c r="EX105">
        <v>588</v>
      </c>
      <c r="EZ105" s="24"/>
      <c r="FA105">
        <v>3843279</v>
      </c>
      <c r="FB105">
        <v>3929999</v>
      </c>
      <c r="FC105">
        <v>3929998</v>
      </c>
      <c r="FD105">
        <v>1239</v>
      </c>
      <c r="FE105">
        <v>26</v>
      </c>
      <c r="FG105" s="24"/>
      <c r="FH105">
        <v>8411</v>
      </c>
      <c r="FI105">
        <v>8698</v>
      </c>
      <c r="FJ105">
        <v>8412</v>
      </c>
      <c r="FK105">
        <v>2061544</v>
      </c>
      <c r="FL105">
        <v>436</v>
      </c>
      <c r="FN105" s="24"/>
      <c r="FO105">
        <v>20801</v>
      </c>
      <c r="FP105">
        <v>21371</v>
      </c>
      <c r="FQ105">
        <v>21349</v>
      </c>
      <c r="FR105">
        <v>93459</v>
      </c>
      <c r="FS105">
        <v>82</v>
      </c>
      <c r="FU105" s="24"/>
      <c r="FV105">
        <v>24633</v>
      </c>
      <c r="FW105">
        <v>25006</v>
      </c>
      <c r="FX105">
        <v>24725</v>
      </c>
      <c r="FY105">
        <v>299725</v>
      </c>
      <c r="FZ105">
        <v>1285</v>
      </c>
      <c r="GB105" s="24"/>
      <c r="GC105">
        <v>100001200</v>
      </c>
      <c r="GD105">
        <v>107912605</v>
      </c>
      <c r="GE105">
        <v>103421763</v>
      </c>
      <c r="GF105">
        <v>57</v>
      </c>
      <c r="GG105">
        <v>42</v>
      </c>
      <c r="GI105" s="24"/>
      <c r="GJ105">
        <v>25500001</v>
      </c>
      <c r="GK105">
        <v>25500016</v>
      </c>
      <c r="GL105">
        <v>25500010</v>
      </c>
      <c r="GM105">
        <v>224</v>
      </c>
      <c r="GN105">
        <v>54</v>
      </c>
      <c r="GP105" s="24"/>
      <c r="GQ105">
        <v>95</v>
      </c>
      <c r="GR105">
        <v>99</v>
      </c>
      <c r="GS105">
        <v>95</v>
      </c>
      <c r="GT105">
        <v>146944187</v>
      </c>
      <c r="GU105">
        <v>164</v>
      </c>
      <c r="GW105" s="24"/>
      <c r="GX105">
        <v>346</v>
      </c>
      <c r="GY105">
        <v>369</v>
      </c>
      <c r="GZ105">
        <v>368</v>
      </c>
      <c r="HA105">
        <v>48145311</v>
      </c>
      <c r="HB105">
        <v>234</v>
      </c>
      <c r="HD105" s="24"/>
      <c r="HE105">
        <v>5530</v>
      </c>
      <c r="HF105">
        <v>5581</v>
      </c>
      <c r="HG105">
        <v>5581</v>
      </c>
      <c r="HH105">
        <v>18456895</v>
      </c>
      <c r="HI105">
        <v>277</v>
      </c>
      <c r="HK105" s="24"/>
      <c r="HL105">
        <v>98500000</v>
      </c>
      <c r="HM105">
        <v>102998599</v>
      </c>
      <c r="HN105">
        <v>100918674</v>
      </c>
      <c r="HO105">
        <v>90</v>
      </c>
      <c r="HP105">
        <v>67</v>
      </c>
      <c r="HR105" s="24"/>
      <c r="HS105">
        <v>8471</v>
      </c>
      <c r="HT105">
        <v>8770</v>
      </c>
      <c r="HU105">
        <v>8471</v>
      </c>
      <c r="HV105">
        <v>936344</v>
      </c>
      <c r="HW105">
        <v>158</v>
      </c>
      <c r="HY105" s="24"/>
      <c r="HZ105">
        <v>7799</v>
      </c>
      <c r="IA105">
        <v>8270</v>
      </c>
      <c r="IB105">
        <v>7899</v>
      </c>
      <c r="IC105">
        <v>2107539</v>
      </c>
      <c r="ID105">
        <v>539</v>
      </c>
      <c r="IF105" s="24"/>
      <c r="IG105">
        <v>2568</v>
      </c>
      <c r="IH105">
        <v>2568</v>
      </c>
      <c r="II105">
        <v>2568</v>
      </c>
      <c r="IJ105">
        <v>2298551</v>
      </c>
      <c r="IK105">
        <v>160</v>
      </c>
      <c r="IM105" s="24"/>
      <c r="IN105">
        <v>97906001</v>
      </c>
      <c r="IO105">
        <v>105298998</v>
      </c>
      <c r="IP105">
        <v>101503000</v>
      </c>
      <c r="IQ105">
        <v>112</v>
      </c>
      <c r="IR105">
        <v>73</v>
      </c>
      <c r="IT105" s="24"/>
      <c r="IU105">
        <v>7410</v>
      </c>
      <c r="IV105">
        <v>7597</v>
      </c>
      <c r="IW105">
        <v>7580</v>
      </c>
      <c r="IX105">
        <v>1001997</v>
      </c>
      <c r="IY105">
        <v>142</v>
      </c>
      <c r="JA105" s="24"/>
      <c r="JB105">
        <v>100700000</v>
      </c>
      <c r="JC105">
        <v>103200000</v>
      </c>
      <c r="JD105">
        <v>102000000</v>
      </c>
      <c r="JE105">
        <v>101</v>
      </c>
      <c r="JF105">
        <v>71</v>
      </c>
      <c r="JH105" s="24"/>
      <c r="JI105">
        <v>101504000</v>
      </c>
      <c r="JJ105">
        <v>105999998</v>
      </c>
      <c r="JK105">
        <v>103778115</v>
      </c>
      <c r="JL105">
        <v>33</v>
      </c>
      <c r="JM105">
        <v>29</v>
      </c>
      <c r="JO105" s="24"/>
      <c r="JP105">
        <v>71</v>
      </c>
      <c r="JQ105">
        <v>73</v>
      </c>
      <c r="JR105">
        <v>72</v>
      </c>
      <c r="JS105">
        <v>171236666</v>
      </c>
      <c r="JT105">
        <v>112</v>
      </c>
      <c r="JV105" s="24"/>
      <c r="JW105">
        <v>73</v>
      </c>
      <c r="JX105">
        <v>75</v>
      </c>
      <c r="JY105">
        <v>75</v>
      </c>
      <c r="JZ105">
        <v>157439142</v>
      </c>
      <c r="KA105">
        <v>143</v>
      </c>
      <c r="KC105" s="24"/>
      <c r="KD105">
        <v>23</v>
      </c>
      <c r="KE105">
        <v>23</v>
      </c>
      <c r="KF105">
        <v>23</v>
      </c>
      <c r="KG105">
        <v>67206725</v>
      </c>
      <c r="KH105">
        <v>325</v>
      </c>
      <c r="KJ105" s="24"/>
      <c r="KK105">
        <v>73</v>
      </c>
      <c r="KL105">
        <v>75</v>
      </c>
      <c r="KM105">
        <v>73</v>
      </c>
      <c r="KN105">
        <v>135692627</v>
      </c>
      <c r="KO105">
        <v>141</v>
      </c>
      <c r="KQ105" s="24"/>
      <c r="KR105">
        <v>83250</v>
      </c>
      <c r="KS105">
        <v>83526</v>
      </c>
      <c r="KT105">
        <v>83252</v>
      </c>
      <c r="KU105">
        <v>89465</v>
      </c>
      <c r="KV105">
        <v>629</v>
      </c>
      <c r="KX105" s="24"/>
      <c r="KY105">
        <v>598</v>
      </c>
      <c r="KZ105">
        <v>599</v>
      </c>
      <c r="LA105">
        <v>598</v>
      </c>
      <c r="LB105">
        <v>3920495</v>
      </c>
      <c r="LC105">
        <v>165</v>
      </c>
      <c r="LE105" s="24"/>
      <c r="LF105">
        <v>195003</v>
      </c>
      <c r="LG105">
        <v>199490</v>
      </c>
      <c r="LH105">
        <v>195085</v>
      </c>
      <c r="LI105">
        <v>97011</v>
      </c>
      <c r="LJ105">
        <v>921</v>
      </c>
      <c r="LL105" s="24"/>
      <c r="LM105">
        <v>79286</v>
      </c>
      <c r="LN105">
        <v>80250</v>
      </c>
      <c r="LO105">
        <v>79288</v>
      </c>
      <c r="LP105">
        <v>324198</v>
      </c>
      <c r="LQ105">
        <v>1319</v>
      </c>
      <c r="LS105" s="24"/>
      <c r="LT105">
        <v>305</v>
      </c>
      <c r="LU105">
        <v>305</v>
      </c>
      <c r="LV105">
        <v>305</v>
      </c>
      <c r="LW105">
        <v>75653648</v>
      </c>
      <c r="LX105">
        <v>329</v>
      </c>
      <c r="LZ105" s="24"/>
      <c r="MA105">
        <v>96269</v>
      </c>
      <c r="MB105">
        <v>98882</v>
      </c>
      <c r="MC105">
        <v>98862</v>
      </c>
      <c r="MD105">
        <v>533116</v>
      </c>
      <c r="ME105">
        <v>70</v>
      </c>
    </row>
    <row r="106" spans="2:343" x14ac:dyDescent="0.25">
      <c r="B106" s="24"/>
      <c r="C106">
        <v>3</v>
      </c>
      <c r="D106">
        <v>3</v>
      </c>
      <c r="E106">
        <v>3</v>
      </c>
      <c r="F106">
        <v>20910747723</v>
      </c>
      <c r="G106">
        <v>2831</v>
      </c>
      <c r="I106" s="24"/>
      <c r="J106">
        <v>4</v>
      </c>
      <c r="K106">
        <v>5</v>
      </c>
      <c r="L106">
        <v>4</v>
      </c>
      <c r="M106">
        <v>4376492014</v>
      </c>
      <c r="N106">
        <v>1919</v>
      </c>
      <c r="P106" s="24"/>
      <c r="Q106">
        <v>28</v>
      </c>
      <c r="R106">
        <v>29</v>
      </c>
      <c r="S106">
        <v>28</v>
      </c>
      <c r="T106">
        <v>1674748897</v>
      </c>
      <c r="U106">
        <v>1853</v>
      </c>
      <c r="W106" s="24"/>
      <c r="X106">
        <v>73</v>
      </c>
      <c r="Y106">
        <v>76</v>
      </c>
      <c r="Z106">
        <v>74</v>
      </c>
      <c r="AA106">
        <v>329071034</v>
      </c>
      <c r="AB106">
        <v>1379</v>
      </c>
      <c r="AD106" s="24"/>
      <c r="AE106">
        <v>520</v>
      </c>
      <c r="AF106">
        <v>537</v>
      </c>
      <c r="AG106">
        <v>521</v>
      </c>
      <c r="AH106">
        <v>90403530</v>
      </c>
      <c r="AI106">
        <v>1582</v>
      </c>
      <c r="AK106" s="24"/>
      <c r="AL106">
        <v>961</v>
      </c>
      <c r="AM106">
        <v>988</v>
      </c>
      <c r="AN106">
        <v>965</v>
      </c>
      <c r="AO106">
        <v>39427330</v>
      </c>
      <c r="AP106">
        <v>1188</v>
      </c>
      <c r="AR106" s="24"/>
      <c r="AS106">
        <v>2778</v>
      </c>
      <c r="AT106">
        <v>2875</v>
      </c>
      <c r="AU106">
        <v>2849</v>
      </c>
      <c r="AV106">
        <v>16353113</v>
      </c>
      <c r="AW106">
        <v>1198</v>
      </c>
      <c r="AY106" s="24"/>
      <c r="AZ106">
        <v>351202100</v>
      </c>
      <c r="BA106">
        <v>356979698</v>
      </c>
      <c r="BB106">
        <v>355550200</v>
      </c>
      <c r="BC106">
        <v>2089</v>
      </c>
      <c r="BD106">
        <v>1368</v>
      </c>
      <c r="BF106" s="24"/>
      <c r="BG106">
        <v>26783</v>
      </c>
      <c r="BH106">
        <v>27600</v>
      </c>
      <c r="BI106">
        <v>26784</v>
      </c>
      <c r="BJ106">
        <v>434913</v>
      </c>
      <c r="BK106">
        <v>142</v>
      </c>
      <c r="BM106" s="24"/>
      <c r="BN106">
        <v>6600000</v>
      </c>
      <c r="BO106">
        <v>6609900</v>
      </c>
      <c r="BP106">
        <v>6606003</v>
      </c>
      <c r="BQ106">
        <v>10280</v>
      </c>
      <c r="BR106">
        <v>329</v>
      </c>
      <c r="BT106" s="24"/>
      <c r="BU106">
        <v>2068</v>
      </c>
      <c r="BV106">
        <v>2069</v>
      </c>
      <c r="BW106">
        <v>2068</v>
      </c>
      <c r="BX106">
        <v>24456565</v>
      </c>
      <c r="BY106">
        <v>278</v>
      </c>
      <c r="CA106" s="24"/>
      <c r="CB106">
        <v>317</v>
      </c>
      <c r="CC106">
        <v>318</v>
      </c>
      <c r="CD106">
        <v>317</v>
      </c>
      <c r="CE106">
        <v>65058552</v>
      </c>
      <c r="CF106">
        <v>310</v>
      </c>
      <c r="CH106" s="24"/>
      <c r="CI106">
        <v>25451</v>
      </c>
      <c r="CJ106">
        <v>26300</v>
      </c>
      <c r="CK106">
        <v>26300</v>
      </c>
      <c r="CL106">
        <v>400205</v>
      </c>
      <c r="CM106">
        <v>130</v>
      </c>
      <c r="CO106" s="24"/>
      <c r="CP106">
        <v>8025</v>
      </c>
      <c r="CQ106">
        <v>8539</v>
      </c>
      <c r="CR106">
        <v>8499</v>
      </c>
      <c r="CS106">
        <v>864917</v>
      </c>
      <c r="CT106">
        <v>381</v>
      </c>
      <c r="CV106" s="24"/>
      <c r="CW106">
        <v>1365001</v>
      </c>
      <c r="CX106">
        <v>1399877</v>
      </c>
      <c r="CY106">
        <v>1399876</v>
      </c>
      <c r="CZ106">
        <v>7173</v>
      </c>
      <c r="DA106">
        <v>42</v>
      </c>
      <c r="DC106" s="24"/>
      <c r="DD106">
        <v>375</v>
      </c>
      <c r="DE106">
        <v>395</v>
      </c>
      <c r="DF106">
        <v>390</v>
      </c>
      <c r="DG106">
        <v>37817139</v>
      </c>
      <c r="DH106">
        <v>178</v>
      </c>
      <c r="DJ106" s="24"/>
      <c r="DK106">
        <v>35463007</v>
      </c>
      <c r="DL106">
        <v>35468006</v>
      </c>
      <c r="DM106">
        <v>35468003</v>
      </c>
      <c r="DN106">
        <v>376</v>
      </c>
      <c r="DO106">
        <v>104</v>
      </c>
      <c r="DQ106" s="24"/>
      <c r="DR106">
        <v>1800015</v>
      </c>
      <c r="DS106">
        <v>1899998</v>
      </c>
      <c r="DT106">
        <v>1841789</v>
      </c>
      <c r="DU106">
        <v>4940</v>
      </c>
      <c r="DV106">
        <v>221</v>
      </c>
      <c r="DX106" s="24"/>
      <c r="DY106">
        <v>16100041</v>
      </c>
      <c r="DZ106">
        <v>19694999</v>
      </c>
      <c r="EA106">
        <v>17999999</v>
      </c>
      <c r="EB106">
        <v>339</v>
      </c>
      <c r="EC106">
        <v>98</v>
      </c>
      <c r="EE106" s="24"/>
      <c r="EF106">
        <v>163</v>
      </c>
      <c r="EG106">
        <v>168</v>
      </c>
      <c r="EH106">
        <v>166</v>
      </c>
      <c r="EI106">
        <v>143798844</v>
      </c>
      <c r="EJ106">
        <v>232</v>
      </c>
      <c r="EL106" s="24"/>
      <c r="EM106">
        <v>46273</v>
      </c>
      <c r="EN106">
        <v>47000</v>
      </c>
      <c r="EO106">
        <v>46275</v>
      </c>
      <c r="EP106">
        <v>81930</v>
      </c>
      <c r="EQ106">
        <v>647</v>
      </c>
      <c r="ES106" s="24"/>
      <c r="ET106">
        <v>425</v>
      </c>
      <c r="EU106">
        <v>444</v>
      </c>
      <c r="EV106">
        <v>430</v>
      </c>
      <c r="EW106">
        <v>48374243</v>
      </c>
      <c r="EX106">
        <v>649</v>
      </c>
      <c r="EZ106" s="24"/>
      <c r="FA106">
        <v>3504007</v>
      </c>
      <c r="FB106">
        <v>3936744</v>
      </c>
      <c r="FC106">
        <v>3933743</v>
      </c>
      <c r="FD106">
        <v>669</v>
      </c>
      <c r="FE106">
        <v>17</v>
      </c>
      <c r="FG106" s="24"/>
      <c r="FH106">
        <v>8411</v>
      </c>
      <c r="FI106">
        <v>8687</v>
      </c>
      <c r="FJ106">
        <v>8649</v>
      </c>
      <c r="FK106">
        <v>1542344</v>
      </c>
      <c r="FL106">
        <v>502</v>
      </c>
      <c r="FN106" s="24"/>
      <c r="FO106">
        <v>21371</v>
      </c>
      <c r="FP106">
        <v>21371</v>
      </c>
      <c r="FQ106">
        <v>21371</v>
      </c>
      <c r="FR106">
        <v>73709</v>
      </c>
      <c r="FS106">
        <v>72</v>
      </c>
      <c r="FU106" s="24"/>
      <c r="FV106">
        <v>25007</v>
      </c>
      <c r="FW106">
        <v>25012</v>
      </c>
      <c r="FX106">
        <v>25011</v>
      </c>
      <c r="FY106">
        <v>390412</v>
      </c>
      <c r="FZ106">
        <v>1242</v>
      </c>
      <c r="GB106" s="24"/>
      <c r="GC106">
        <v>101005800</v>
      </c>
      <c r="GD106">
        <v>107879400</v>
      </c>
      <c r="GE106">
        <v>105861303</v>
      </c>
      <c r="GF106">
        <v>56</v>
      </c>
      <c r="GG106">
        <v>47</v>
      </c>
      <c r="GI106" s="24"/>
      <c r="GJ106">
        <v>25500300</v>
      </c>
      <c r="GK106">
        <v>25500303</v>
      </c>
      <c r="GL106">
        <v>25500301</v>
      </c>
      <c r="GM106">
        <v>340</v>
      </c>
      <c r="GN106">
        <v>62</v>
      </c>
      <c r="GP106" s="24"/>
      <c r="GQ106">
        <v>92</v>
      </c>
      <c r="GR106">
        <v>98</v>
      </c>
      <c r="GS106">
        <v>98</v>
      </c>
      <c r="GT106">
        <v>165650031</v>
      </c>
      <c r="GU106">
        <v>161</v>
      </c>
      <c r="GW106" s="24"/>
      <c r="GX106">
        <v>359</v>
      </c>
      <c r="GY106">
        <v>365</v>
      </c>
      <c r="GZ106">
        <v>364</v>
      </c>
      <c r="HA106">
        <v>58108393</v>
      </c>
      <c r="HB106">
        <v>327</v>
      </c>
      <c r="HD106" s="24"/>
      <c r="HE106">
        <v>5480</v>
      </c>
      <c r="HF106">
        <v>5610</v>
      </c>
      <c r="HG106">
        <v>5581</v>
      </c>
      <c r="HH106">
        <v>15232669</v>
      </c>
      <c r="HI106">
        <v>263</v>
      </c>
      <c r="HK106" s="24"/>
      <c r="HL106">
        <v>102699399</v>
      </c>
      <c r="HM106">
        <v>105888599</v>
      </c>
      <c r="HN106">
        <v>103753182</v>
      </c>
      <c r="HO106">
        <v>68</v>
      </c>
      <c r="HP106">
        <v>52</v>
      </c>
      <c r="HR106" s="24"/>
      <c r="HS106">
        <v>8450</v>
      </c>
      <c r="HT106">
        <v>8788</v>
      </c>
      <c r="HU106">
        <v>8749</v>
      </c>
      <c r="HV106">
        <v>1069006</v>
      </c>
      <c r="HW106">
        <v>190</v>
      </c>
      <c r="HY106" s="24"/>
      <c r="HZ106">
        <v>7930</v>
      </c>
      <c r="IA106">
        <v>8294</v>
      </c>
      <c r="IB106">
        <v>8189</v>
      </c>
      <c r="IC106">
        <v>1809384</v>
      </c>
      <c r="ID106">
        <v>537</v>
      </c>
      <c r="IF106" s="24"/>
      <c r="IG106">
        <v>2568</v>
      </c>
      <c r="IH106">
        <v>2589</v>
      </c>
      <c r="II106">
        <v>2568</v>
      </c>
      <c r="IJ106">
        <v>2692417</v>
      </c>
      <c r="IK106">
        <v>175</v>
      </c>
      <c r="IM106" s="24"/>
      <c r="IN106">
        <v>98500000</v>
      </c>
      <c r="IO106">
        <v>100996800</v>
      </c>
      <c r="IP106">
        <v>100448482</v>
      </c>
      <c r="IQ106">
        <v>73</v>
      </c>
      <c r="IR106">
        <v>58</v>
      </c>
      <c r="IT106" s="24"/>
      <c r="IU106">
        <v>7597</v>
      </c>
      <c r="IV106">
        <v>7762</v>
      </c>
      <c r="IW106">
        <v>7651</v>
      </c>
      <c r="IX106">
        <v>1778289</v>
      </c>
      <c r="IY106">
        <v>153</v>
      </c>
      <c r="JA106" s="24"/>
      <c r="JB106">
        <v>103099999</v>
      </c>
      <c r="JC106">
        <v>103999700</v>
      </c>
      <c r="JD106">
        <v>103315980</v>
      </c>
      <c r="JE106">
        <v>56</v>
      </c>
      <c r="JF106">
        <v>39</v>
      </c>
      <c r="JH106" s="24"/>
      <c r="JI106">
        <v>101505200</v>
      </c>
      <c r="JJ106">
        <v>105997000</v>
      </c>
      <c r="JK106">
        <v>104544489</v>
      </c>
      <c r="JL106">
        <v>33</v>
      </c>
      <c r="JM106">
        <v>28</v>
      </c>
      <c r="JO106" s="24"/>
      <c r="JP106">
        <v>71</v>
      </c>
      <c r="JQ106">
        <v>73</v>
      </c>
      <c r="JR106">
        <v>71</v>
      </c>
      <c r="JS106">
        <v>109021610</v>
      </c>
      <c r="JT106">
        <v>99</v>
      </c>
      <c r="JV106" s="24"/>
      <c r="JW106">
        <v>71</v>
      </c>
      <c r="JX106">
        <v>75</v>
      </c>
      <c r="JY106">
        <v>75</v>
      </c>
      <c r="JZ106">
        <v>140293630</v>
      </c>
      <c r="KA106">
        <v>135</v>
      </c>
      <c r="KC106" s="24"/>
      <c r="KD106">
        <v>21</v>
      </c>
      <c r="KE106">
        <v>23</v>
      </c>
      <c r="KF106">
        <v>23</v>
      </c>
      <c r="KG106">
        <v>50057257</v>
      </c>
      <c r="KH106">
        <v>333</v>
      </c>
      <c r="KJ106" s="24"/>
      <c r="KK106">
        <v>72</v>
      </c>
      <c r="KL106">
        <v>75</v>
      </c>
      <c r="KM106">
        <v>72</v>
      </c>
      <c r="KN106">
        <v>233831661</v>
      </c>
      <c r="KO106">
        <v>141</v>
      </c>
      <c r="KQ106" s="24"/>
      <c r="KR106">
        <v>83533</v>
      </c>
      <c r="KS106">
        <v>85997</v>
      </c>
      <c r="KT106">
        <v>83547</v>
      </c>
      <c r="KU106">
        <v>67995</v>
      </c>
      <c r="KV106">
        <v>600</v>
      </c>
      <c r="KX106" s="24"/>
      <c r="KY106">
        <v>580</v>
      </c>
      <c r="KZ106">
        <v>599</v>
      </c>
      <c r="LA106">
        <v>598</v>
      </c>
      <c r="LB106">
        <v>6484880</v>
      </c>
      <c r="LC106">
        <v>215</v>
      </c>
      <c r="LE106" s="24"/>
      <c r="LF106">
        <v>194611</v>
      </c>
      <c r="LG106">
        <v>196301</v>
      </c>
      <c r="LH106">
        <v>195205</v>
      </c>
      <c r="LI106">
        <v>122254</v>
      </c>
      <c r="LJ106">
        <v>868</v>
      </c>
      <c r="LL106" s="24"/>
      <c r="LM106">
        <v>79306</v>
      </c>
      <c r="LN106">
        <v>80001</v>
      </c>
      <c r="LO106">
        <v>79337</v>
      </c>
      <c r="LP106">
        <v>451545</v>
      </c>
      <c r="LQ106">
        <v>1274</v>
      </c>
      <c r="LS106" s="24"/>
      <c r="LT106">
        <v>296</v>
      </c>
      <c r="LU106">
        <v>306</v>
      </c>
      <c r="LV106">
        <v>306</v>
      </c>
      <c r="LW106">
        <v>102435833</v>
      </c>
      <c r="LX106">
        <v>334</v>
      </c>
      <c r="LZ106" s="24"/>
      <c r="MA106">
        <v>95207</v>
      </c>
      <c r="MB106">
        <v>98802</v>
      </c>
      <c r="MC106">
        <v>98801</v>
      </c>
      <c r="MD106">
        <v>492789</v>
      </c>
      <c r="ME106">
        <v>79</v>
      </c>
    </row>
    <row r="107" spans="2:343" x14ac:dyDescent="0.25">
      <c r="B107" s="24"/>
      <c r="C107">
        <v>3</v>
      </c>
      <c r="D107">
        <v>3</v>
      </c>
      <c r="E107">
        <v>3</v>
      </c>
      <c r="F107">
        <v>21786756256</v>
      </c>
      <c r="G107">
        <v>2761</v>
      </c>
      <c r="I107" s="24"/>
      <c r="J107">
        <v>4</v>
      </c>
      <c r="K107">
        <v>4</v>
      </c>
      <c r="L107">
        <v>4</v>
      </c>
      <c r="M107">
        <v>4227929068</v>
      </c>
      <c r="N107">
        <v>1933</v>
      </c>
      <c r="P107" s="24"/>
      <c r="Q107">
        <v>28</v>
      </c>
      <c r="R107">
        <v>29</v>
      </c>
      <c r="S107">
        <v>29</v>
      </c>
      <c r="T107">
        <v>1344025737</v>
      </c>
      <c r="U107">
        <v>1819</v>
      </c>
      <c r="W107" s="24"/>
      <c r="X107">
        <v>73</v>
      </c>
      <c r="Y107">
        <v>75</v>
      </c>
      <c r="Z107">
        <v>74</v>
      </c>
      <c r="AA107">
        <v>260024789</v>
      </c>
      <c r="AB107">
        <v>1346</v>
      </c>
      <c r="AD107" s="24"/>
      <c r="AE107">
        <v>517</v>
      </c>
      <c r="AF107">
        <v>536</v>
      </c>
      <c r="AG107">
        <v>533</v>
      </c>
      <c r="AH107">
        <v>70361167</v>
      </c>
      <c r="AI107">
        <v>1542</v>
      </c>
      <c r="AK107" s="24"/>
      <c r="AL107">
        <v>965</v>
      </c>
      <c r="AM107">
        <v>997</v>
      </c>
      <c r="AN107">
        <v>980</v>
      </c>
      <c r="AO107">
        <v>27590816</v>
      </c>
      <c r="AP107">
        <v>1182</v>
      </c>
      <c r="AR107" s="24"/>
      <c r="AS107">
        <v>2730</v>
      </c>
      <c r="AT107">
        <v>2879</v>
      </c>
      <c r="AU107">
        <v>2794</v>
      </c>
      <c r="AV107">
        <v>11355746</v>
      </c>
      <c r="AW107">
        <v>1183</v>
      </c>
      <c r="AY107" s="24"/>
      <c r="AZ107">
        <v>353790000</v>
      </c>
      <c r="BA107">
        <v>361000000</v>
      </c>
      <c r="BB107">
        <v>359698998</v>
      </c>
      <c r="BC107">
        <v>2118</v>
      </c>
      <c r="BD107">
        <v>1443</v>
      </c>
      <c r="BF107" s="24"/>
      <c r="BG107">
        <v>29000</v>
      </c>
      <c r="BH107">
        <v>30000</v>
      </c>
      <c r="BI107">
        <v>30000</v>
      </c>
      <c r="BJ107">
        <v>459542</v>
      </c>
      <c r="BK107">
        <v>171</v>
      </c>
      <c r="BM107" s="24"/>
      <c r="BN107">
        <v>6652000</v>
      </c>
      <c r="BO107">
        <v>6780010</v>
      </c>
      <c r="BP107">
        <v>6655010</v>
      </c>
      <c r="BQ107">
        <v>8589</v>
      </c>
      <c r="BR107">
        <v>288</v>
      </c>
      <c r="BT107" s="24"/>
      <c r="BU107">
        <v>2183</v>
      </c>
      <c r="BV107">
        <v>2294</v>
      </c>
      <c r="BW107">
        <v>2185</v>
      </c>
      <c r="BX107">
        <v>12232048</v>
      </c>
      <c r="BY107">
        <v>217</v>
      </c>
      <c r="CA107" s="24"/>
      <c r="CB107">
        <v>319</v>
      </c>
      <c r="CC107">
        <v>340</v>
      </c>
      <c r="CD107">
        <v>331</v>
      </c>
      <c r="CE107">
        <v>96725532</v>
      </c>
      <c r="CF107">
        <v>278</v>
      </c>
      <c r="CH107" s="24"/>
      <c r="CI107">
        <v>25401</v>
      </c>
      <c r="CJ107">
        <v>25402</v>
      </c>
      <c r="CK107">
        <v>25401</v>
      </c>
      <c r="CL107">
        <v>270273</v>
      </c>
      <c r="CM107">
        <v>144</v>
      </c>
      <c r="CO107" s="24"/>
      <c r="CP107">
        <v>8028</v>
      </c>
      <c r="CQ107">
        <v>8598</v>
      </c>
      <c r="CR107">
        <v>8034</v>
      </c>
      <c r="CS107">
        <v>2369011</v>
      </c>
      <c r="CT107">
        <v>412</v>
      </c>
      <c r="CV107" s="24"/>
      <c r="CW107">
        <v>1300010</v>
      </c>
      <c r="CX107">
        <v>1368786</v>
      </c>
      <c r="CY107">
        <v>1300041</v>
      </c>
      <c r="CZ107">
        <v>5168</v>
      </c>
      <c r="DA107">
        <v>27</v>
      </c>
      <c r="DC107" s="24"/>
      <c r="DD107">
        <v>399</v>
      </c>
      <c r="DE107">
        <v>413</v>
      </c>
      <c r="DF107">
        <v>404</v>
      </c>
      <c r="DG107">
        <v>42263244</v>
      </c>
      <c r="DH107">
        <v>174</v>
      </c>
      <c r="DJ107" s="24"/>
      <c r="DK107">
        <v>35463150</v>
      </c>
      <c r="DL107">
        <v>36129000</v>
      </c>
      <c r="DM107">
        <v>35463151</v>
      </c>
      <c r="DN107">
        <v>338</v>
      </c>
      <c r="DO107">
        <v>113</v>
      </c>
      <c r="DQ107" s="24"/>
      <c r="DR107">
        <v>1800039</v>
      </c>
      <c r="DS107">
        <v>1897865</v>
      </c>
      <c r="DT107">
        <v>1800047</v>
      </c>
      <c r="DU107">
        <v>5726</v>
      </c>
      <c r="DV107">
        <v>204</v>
      </c>
      <c r="DX107" s="24"/>
      <c r="DY107">
        <v>17700006</v>
      </c>
      <c r="DZ107">
        <v>18950000</v>
      </c>
      <c r="EA107">
        <v>17700014</v>
      </c>
      <c r="EB107">
        <v>332</v>
      </c>
      <c r="EC107">
        <v>120</v>
      </c>
      <c r="EE107" s="24"/>
      <c r="EF107">
        <v>162</v>
      </c>
      <c r="EG107">
        <v>168</v>
      </c>
      <c r="EH107">
        <v>168</v>
      </c>
      <c r="EI107">
        <v>120554853</v>
      </c>
      <c r="EJ107">
        <v>190</v>
      </c>
      <c r="EL107" s="24"/>
      <c r="EM107">
        <v>46274</v>
      </c>
      <c r="EN107">
        <v>46276</v>
      </c>
      <c r="EO107">
        <v>46275</v>
      </c>
      <c r="EP107">
        <v>76341</v>
      </c>
      <c r="EQ107">
        <v>697</v>
      </c>
      <c r="ES107" s="24"/>
      <c r="ET107">
        <v>435</v>
      </c>
      <c r="EU107">
        <v>442</v>
      </c>
      <c r="EV107">
        <v>441</v>
      </c>
      <c r="EW107">
        <v>36848932</v>
      </c>
      <c r="EX107">
        <v>571</v>
      </c>
      <c r="EZ107" s="24"/>
      <c r="FA107">
        <v>3505008</v>
      </c>
      <c r="FB107">
        <v>3771099</v>
      </c>
      <c r="FC107">
        <v>3505008</v>
      </c>
      <c r="FD107">
        <v>1510</v>
      </c>
      <c r="FE107">
        <v>17</v>
      </c>
      <c r="FG107" s="24"/>
      <c r="FH107">
        <v>8377</v>
      </c>
      <c r="FI107">
        <v>8698</v>
      </c>
      <c r="FJ107">
        <v>8688</v>
      </c>
      <c r="FK107">
        <v>1985099</v>
      </c>
      <c r="FL107">
        <v>467</v>
      </c>
      <c r="FN107" s="24"/>
      <c r="FO107">
        <v>21393</v>
      </c>
      <c r="FP107">
        <v>21393</v>
      </c>
      <c r="FQ107">
        <v>21393</v>
      </c>
      <c r="FR107">
        <v>129159</v>
      </c>
      <c r="FS107">
        <v>69</v>
      </c>
      <c r="FU107" s="24"/>
      <c r="FV107">
        <v>25027</v>
      </c>
      <c r="FW107">
        <v>25035</v>
      </c>
      <c r="FX107">
        <v>25032</v>
      </c>
      <c r="FY107">
        <v>375620</v>
      </c>
      <c r="FZ107">
        <v>1301</v>
      </c>
      <c r="GB107" s="24"/>
      <c r="GC107">
        <v>104000400</v>
      </c>
      <c r="GD107">
        <v>107494099</v>
      </c>
      <c r="GE107">
        <v>105456830</v>
      </c>
      <c r="GF107">
        <v>67</v>
      </c>
      <c r="GG107">
        <v>46</v>
      </c>
      <c r="GI107" s="24"/>
      <c r="GJ107">
        <v>25500317</v>
      </c>
      <c r="GK107">
        <v>26888997</v>
      </c>
      <c r="GL107">
        <v>26689999</v>
      </c>
      <c r="GM107">
        <v>319</v>
      </c>
      <c r="GN107">
        <v>84</v>
      </c>
      <c r="GP107" s="24"/>
      <c r="GQ107">
        <v>96</v>
      </c>
      <c r="GR107">
        <v>98</v>
      </c>
      <c r="GS107">
        <v>97</v>
      </c>
      <c r="GT107">
        <v>59723751</v>
      </c>
      <c r="GU107">
        <v>109</v>
      </c>
      <c r="GW107" s="24"/>
      <c r="GX107">
        <v>363</v>
      </c>
      <c r="GY107">
        <v>364</v>
      </c>
      <c r="GZ107">
        <v>363</v>
      </c>
      <c r="HA107">
        <v>82202653</v>
      </c>
      <c r="HB107">
        <v>237</v>
      </c>
      <c r="HD107" s="24"/>
      <c r="HE107">
        <v>5501</v>
      </c>
      <c r="HF107">
        <v>5641</v>
      </c>
      <c r="HG107">
        <v>5612</v>
      </c>
      <c r="HH107">
        <v>11930254</v>
      </c>
      <c r="HI107">
        <v>257</v>
      </c>
      <c r="HK107" s="24"/>
      <c r="HL107">
        <v>105000000</v>
      </c>
      <c r="HM107">
        <v>106500000</v>
      </c>
      <c r="HN107">
        <v>105211000</v>
      </c>
      <c r="HO107">
        <v>101</v>
      </c>
      <c r="HP107">
        <v>67</v>
      </c>
      <c r="HR107" s="24"/>
      <c r="HS107">
        <v>8400</v>
      </c>
      <c r="HT107">
        <v>8564</v>
      </c>
      <c r="HU107">
        <v>8450</v>
      </c>
      <c r="HV107">
        <v>488081</v>
      </c>
      <c r="HW107">
        <v>143</v>
      </c>
      <c r="HY107" s="24"/>
      <c r="HZ107">
        <v>8296</v>
      </c>
      <c r="IA107">
        <v>8500</v>
      </c>
      <c r="IB107">
        <v>8475</v>
      </c>
      <c r="IC107">
        <v>2202308</v>
      </c>
      <c r="ID107">
        <v>525</v>
      </c>
      <c r="IF107" s="24"/>
      <c r="IG107">
        <v>2724</v>
      </c>
      <c r="IH107">
        <v>2799</v>
      </c>
      <c r="II107">
        <v>2725</v>
      </c>
      <c r="IJ107">
        <v>1137533</v>
      </c>
      <c r="IK107">
        <v>121</v>
      </c>
      <c r="IM107" s="24"/>
      <c r="IN107">
        <v>103000000</v>
      </c>
      <c r="IO107">
        <v>105290800</v>
      </c>
      <c r="IP107">
        <v>103573633</v>
      </c>
      <c r="IQ107">
        <v>65</v>
      </c>
      <c r="IR107">
        <v>46</v>
      </c>
      <c r="IT107" s="24"/>
      <c r="IU107">
        <v>7500</v>
      </c>
      <c r="IV107">
        <v>7761</v>
      </c>
      <c r="IW107">
        <v>7761</v>
      </c>
      <c r="IX107">
        <v>1204696</v>
      </c>
      <c r="IY107">
        <v>133</v>
      </c>
      <c r="JA107" s="24"/>
      <c r="JB107">
        <v>102100000</v>
      </c>
      <c r="JC107">
        <v>106000000</v>
      </c>
      <c r="JD107">
        <v>104510606</v>
      </c>
      <c r="JE107">
        <v>95</v>
      </c>
      <c r="JF107">
        <v>73</v>
      </c>
      <c r="JH107" s="24"/>
      <c r="JI107">
        <v>103600200</v>
      </c>
      <c r="JJ107">
        <v>105897400</v>
      </c>
      <c r="JK107">
        <v>104077278</v>
      </c>
      <c r="JL107">
        <v>46</v>
      </c>
      <c r="JM107">
        <v>30</v>
      </c>
      <c r="JO107" s="24"/>
      <c r="JP107">
        <v>71</v>
      </c>
      <c r="JQ107">
        <v>73</v>
      </c>
      <c r="JR107">
        <v>73</v>
      </c>
      <c r="JS107">
        <v>98933293</v>
      </c>
      <c r="JT107">
        <v>105</v>
      </c>
      <c r="JV107" s="24"/>
      <c r="JW107">
        <v>70</v>
      </c>
      <c r="JX107">
        <v>75</v>
      </c>
      <c r="JY107">
        <v>74</v>
      </c>
      <c r="JZ107">
        <v>105812457</v>
      </c>
      <c r="KA107">
        <v>124</v>
      </c>
      <c r="KC107" s="24"/>
      <c r="KD107">
        <v>21</v>
      </c>
      <c r="KE107">
        <v>23</v>
      </c>
      <c r="KF107">
        <v>23</v>
      </c>
      <c r="KG107">
        <v>46529159</v>
      </c>
      <c r="KH107">
        <v>319</v>
      </c>
      <c r="KJ107" s="24"/>
      <c r="KK107">
        <v>72</v>
      </c>
      <c r="KL107">
        <v>75</v>
      </c>
      <c r="KM107">
        <v>75</v>
      </c>
      <c r="KN107">
        <v>69569958</v>
      </c>
      <c r="KO107">
        <v>112</v>
      </c>
      <c r="KQ107" s="24"/>
      <c r="KR107">
        <v>83762</v>
      </c>
      <c r="KS107">
        <v>85898</v>
      </c>
      <c r="KT107">
        <v>84001</v>
      </c>
      <c r="KU107">
        <v>71288</v>
      </c>
      <c r="KV107">
        <v>658</v>
      </c>
      <c r="KX107" s="24"/>
      <c r="KY107">
        <v>536</v>
      </c>
      <c r="KZ107">
        <v>599</v>
      </c>
      <c r="LA107">
        <v>571</v>
      </c>
      <c r="LB107">
        <v>9129177</v>
      </c>
      <c r="LC107">
        <v>198</v>
      </c>
      <c r="LE107" s="24"/>
      <c r="LF107">
        <v>195008</v>
      </c>
      <c r="LG107">
        <v>195036</v>
      </c>
      <c r="LH107">
        <v>195012</v>
      </c>
      <c r="LI107">
        <v>95792</v>
      </c>
      <c r="LJ107">
        <v>910</v>
      </c>
      <c r="LL107" s="24"/>
      <c r="LM107">
        <v>79341</v>
      </c>
      <c r="LN107">
        <v>79358</v>
      </c>
      <c r="LO107">
        <v>79347</v>
      </c>
      <c r="LP107">
        <v>324075</v>
      </c>
      <c r="LQ107">
        <v>1341</v>
      </c>
      <c r="LS107" s="24"/>
      <c r="LT107">
        <v>306</v>
      </c>
      <c r="LU107">
        <v>306</v>
      </c>
      <c r="LV107">
        <v>306</v>
      </c>
      <c r="LW107">
        <v>78044822</v>
      </c>
      <c r="LX107">
        <v>259</v>
      </c>
      <c r="LZ107" s="24"/>
      <c r="MA107">
        <v>96387</v>
      </c>
      <c r="MB107">
        <v>98688</v>
      </c>
      <c r="MC107">
        <v>98686</v>
      </c>
      <c r="MD107">
        <v>535716</v>
      </c>
      <c r="ME107">
        <v>64</v>
      </c>
    </row>
    <row r="108" spans="2:343" x14ac:dyDescent="0.25">
      <c r="B108" s="24"/>
      <c r="C108">
        <v>3</v>
      </c>
      <c r="D108">
        <v>3</v>
      </c>
      <c r="E108">
        <v>3</v>
      </c>
      <c r="F108">
        <v>26194434486</v>
      </c>
      <c r="G108">
        <v>2695</v>
      </c>
      <c r="I108" s="24"/>
      <c r="J108">
        <v>4</v>
      </c>
      <c r="K108">
        <v>5</v>
      </c>
      <c r="L108">
        <v>4</v>
      </c>
      <c r="M108">
        <v>7835332820</v>
      </c>
      <c r="N108">
        <v>1849</v>
      </c>
      <c r="P108" s="24"/>
      <c r="Q108">
        <v>28</v>
      </c>
      <c r="R108">
        <v>29</v>
      </c>
      <c r="S108">
        <v>28</v>
      </c>
      <c r="T108">
        <v>1932150736</v>
      </c>
      <c r="U108">
        <v>1738</v>
      </c>
      <c r="W108" s="24"/>
      <c r="X108">
        <v>73</v>
      </c>
      <c r="Y108">
        <v>75</v>
      </c>
      <c r="Z108">
        <v>75</v>
      </c>
      <c r="AA108">
        <v>319872328</v>
      </c>
      <c r="AB108">
        <v>1328</v>
      </c>
      <c r="AD108" s="24"/>
      <c r="AE108">
        <v>535</v>
      </c>
      <c r="AF108">
        <v>547</v>
      </c>
      <c r="AG108">
        <v>544</v>
      </c>
      <c r="AH108">
        <v>92588578</v>
      </c>
      <c r="AI108">
        <v>1467</v>
      </c>
      <c r="AK108" s="24"/>
      <c r="AL108">
        <v>963</v>
      </c>
      <c r="AM108">
        <v>1005</v>
      </c>
      <c r="AN108">
        <v>968</v>
      </c>
      <c r="AO108">
        <v>33601230</v>
      </c>
      <c r="AP108">
        <v>1182</v>
      </c>
      <c r="AR108" s="24"/>
      <c r="AS108">
        <v>2760</v>
      </c>
      <c r="AT108">
        <v>2863</v>
      </c>
      <c r="AU108">
        <v>2763</v>
      </c>
      <c r="AV108">
        <v>12945733</v>
      </c>
      <c r="AW108">
        <v>1155</v>
      </c>
      <c r="AY108" s="24"/>
      <c r="AZ108">
        <v>363000005</v>
      </c>
      <c r="BA108">
        <v>369899899</v>
      </c>
      <c r="BB108">
        <v>368999999</v>
      </c>
      <c r="BC108">
        <v>2280</v>
      </c>
      <c r="BD108">
        <v>1378</v>
      </c>
      <c r="BF108" s="24"/>
      <c r="BG108">
        <v>27801</v>
      </c>
      <c r="BH108">
        <v>27900</v>
      </c>
      <c r="BI108">
        <v>27900</v>
      </c>
      <c r="BJ108">
        <v>2320434</v>
      </c>
      <c r="BK108">
        <v>182</v>
      </c>
      <c r="BM108" s="24"/>
      <c r="BN108">
        <v>6667768</v>
      </c>
      <c r="BO108">
        <v>6674267</v>
      </c>
      <c r="BP108">
        <v>6669129</v>
      </c>
      <c r="BQ108">
        <v>9486</v>
      </c>
      <c r="BR108">
        <v>239</v>
      </c>
      <c r="BT108" s="24"/>
      <c r="BU108">
        <v>2124</v>
      </c>
      <c r="BV108">
        <v>2230</v>
      </c>
      <c r="BW108">
        <v>2170</v>
      </c>
      <c r="BX108">
        <v>22776181</v>
      </c>
      <c r="BY108">
        <v>257</v>
      </c>
      <c r="CA108" s="24"/>
      <c r="CB108">
        <v>345</v>
      </c>
      <c r="CC108">
        <v>358</v>
      </c>
      <c r="CD108">
        <v>350</v>
      </c>
      <c r="CE108">
        <v>49367133</v>
      </c>
      <c r="CF108">
        <v>232</v>
      </c>
      <c r="CH108" s="24"/>
      <c r="CI108">
        <v>25406</v>
      </c>
      <c r="CJ108">
        <v>26978</v>
      </c>
      <c r="CK108">
        <v>26789</v>
      </c>
      <c r="CL108">
        <v>504526</v>
      </c>
      <c r="CM108">
        <v>163</v>
      </c>
      <c r="CO108" s="24"/>
      <c r="CP108">
        <v>8274</v>
      </c>
      <c r="CQ108">
        <v>8598</v>
      </c>
      <c r="CR108">
        <v>8500</v>
      </c>
      <c r="CS108">
        <v>1282552</v>
      </c>
      <c r="CT108">
        <v>345</v>
      </c>
      <c r="CV108" s="24"/>
      <c r="CW108">
        <v>1368000</v>
      </c>
      <c r="CX108">
        <v>1368784</v>
      </c>
      <c r="CY108">
        <v>1368783</v>
      </c>
      <c r="CZ108">
        <v>6385</v>
      </c>
      <c r="DA108">
        <v>41</v>
      </c>
      <c r="DC108" s="24"/>
      <c r="DD108">
        <v>389</v>
      </c>
      <c r="DE108">
        <v>417</v>
      </c>
      <c r="DF108">
        <v>396</v>
      </c>
      <c r="DG108">
        <v>52213493</v>
      </c>
      <c r="DH108">
        <v>207</v>
      </c>
      <c r="DJ108" s="24"/>
      <c r="DK108">
        <v>35463373</v>
      </c>
      <c r="DL108">
        <v>35463452</v>
      </c>
      <c r="DM108">
        <v>35463376</v>
      </c>
      <c r="DN108">
        <v>247</v>
      </c>
      <c r="DO108">
        <v>68</v>
      </c>
      <c r="DQ108" s="24"/>
      <c r="DR108">
        <v>1651498</v>
      </c>
      <c r="DS108">
        <v>1721498</v>
      </c>
      <c r="DT108">
        <v>1651599</v>
      </c>
      <c r="DU108">
        <v>4385</v>
      </c>
      <c r="DV108">
        <v>166</v>
      </c>
      <c r="DX108" s="24"/>
      <c r="DY108">
        <v>17700035</v>
      </c>
      <c r="DZ108">
        <v>18999999</v>
      </c>
      <c r="EA108">
        <v>17700040</v>
      </c>
      <c r="EB108">
        <v>458</v>
      </c>
      <c r="EC108">
        <v>111</v>
      </c>
      <c r="EE108" s="24"/>
      <c r="EF108">
        <v>162</v>
      </c>
      <c r="EG108">
        <v>166</v>
      </c>
      <c r="EH108">
        <v>163</v>
      </c>
      <c r="EI108">
        <v>95359285</v>
      </c>
      <c r="EJ108">
        <v>209</v>
      </c>
      <c r="EL108" s="24"/>
      <c r="EM108">
        <v>47262</v>
      </c>
      <c r="EN108">
        <v>48099</v>
      </c>
      <c r="EO108">
        <v>47263</v>
      </c>
      <c r="EP108">
        <v>80768</v>
      </c>
      <c r="EQ108">
        <v>616</v>
      </c>
      <c r="ES108" s="24"/>
      <c r="ET108">
        <v>435</v>
      </c>
      <c r="EU108">
        <v>445</v>
      </c>
      <c r="EV108">
        <v>443</v>
      </c>
      <c r="EW108">
        <v>26904517</v>
      </c>
      <c r="EX108">
        <v>510</v>
      </c>
      <c r="EZ108" s="24"/>
      <c r="FA108">
        <v>3505009</v>
      </c>
      <c r="FB108">
        <v>3771099</v>
      </c>
      <c r="FC108">
        <v>3771099</v>
      </c>
      <c r="FD108">
        <v>1467</v>
      </c>
      <c r="FE108">
        <v>30</v>
      </c>
      <c r="FG108" s="24"/>
      <c r="FH108">
        <v>8400</v>
      </c>
      <c r="FI108">
        <v>8699</v>
      </c>
      <c r="FJ108">
        <v>8668</v>
      </c>
      <c r="FK108">
        <v>2334236</v>
      </c>
      <c r="FL108">
        <v>501</v>
      </c>
      <c r="FN108" s="24"/>
      <c r="FO108">
        <v>21393</v>
      </c>
      <c r="FP108">
        <v>21393</v>
      </c>
      <c r="FQ108">
        <v>21393</v>
      </c>
      <c r="FR108">
        <v>93124</v>
      </c>
      <c r="FS108">
        <v>79</v>
      </c>
      <c r="FU108" s="24"/>
      <c r="FV108">
        <v>24650</v>
      </c>
      <c r="FW108">
        <v>25101</v>
      </c>
      <c r="FX108">
        <v>25075</v>
      </c>
      <c r="FY108">
        <v>293122</v>
      </c>
      <c r="FZ108">
        <v>1116</v>
      </c>
      <c r="GB108" s="24"/>
      <c r="GC108">
        <v>103000200</v>
      </c>
      <c r="GD108">
        <v>105496599</v>
      </c>
      <c r="GE108">
        <v>104349755</v>
      </c>
      <c r="GF108">
        <v>80</v>
      </c>
      <c r="GG108">
        <v>54</v>
      </c>
      <c r="GI108" s="24"/>
      <c r="GJ108">
        <v>25602410</v>
      </c>
      <c r="GK108">
        <v>25611484</v>
      </c>
      <c r="GL108">
        <v>25610412</v>
      </c>
      <c r="GM108">
        <v>161</v>
      </c>
      <c r="GN108">
        <v>55</v>
      </c>
      <c r="GP108" s="24"/>
      <c r="GQ108">
        <v>92</v>
      </c>
      <c r="GR108">
        <v>96</v>
      </c>
      <c r="GS108">
        <v>94</v>
      </c>
      <c r="GT108">
        <v>125270433</v>
      </c>
      <c r="GU108">
        <v>142</v>
      </c>
      <c r="GW108" s="24"/>
      <c r="GX108">
        <v>370</v>
      </c>
      <c r="GY108">
        <v>390</v>
      </c>
      <c r="GZ108">
        <v>389</v>
      </c>
      <c r="HA108">
        <v>54396224</v>
      </c>
      <c r="HB108">
        <v>161</v>
      </c>
      <c r="HD108" s="24"/>
      <c r="HE108">
        <v>5434</v>
      </c>
      <c r="HF108">
        <v>5635</v>
      </c>
      <c r="HG108">
        <v>5631</v>
      </c>
      <c r="HH108">
        <v>13227669</v>
      </c>
      <c r="HI108">
        <v>306</v>
      </c>
      <c r="HK108" s="24"/>
      <c r="HL108">
        <v>104500400</v>
      </c>
      <c r="HM108">
        <v>107783600</v>
      </c>
      <c r="HN108">
        <v>105581675</v>
      </c>
      <c r="HO108">
        <v>76</v>
      </c>
      <c r="HP108">
        <v>59</v>
      </c>
      <c r="HR108" s="24"/>
      <c r="HS108">
        <v>8101</v>
      </c>
      <c r="HT108">
        <v>8373</v>
      </c>
      <c r="HU108">
        <v>8102</v>
      </c>
      <c r="HV108">
        <v>982306</v>
      </c>
      <c r="HW108">
        <v>147</v>
      </c>
      <c r="HY108" s="24"/>
      <c r="HZ108">
        <v>8155</v>
      </c>
      <c r="IA108">
        <v>8649</v>
      </c>
      <c r="IB108">
        <v>8479</v>
      </c>
      <c r="IC108">
        <v>2466127</v>
      </c>
      <c r="ID108">
        <v>507</v>
      </c>
      <c r="IF108" s="24"/>
      <c r="IG108">
        <v>2718</v>
      </c>
      <c r="IH108">
        <v>2724</v>
      </c>
      <c r="II108">
        <v>2720</v>
      </c>
      <c r="IJ108">
        <v>1603618</v>
      </c>
      <c r="IK108">
        <v>118</v>
      </c>
      <c r="IM108" s="24"/>
      <c r="IN108">
        <v>100000002</v>
      </c>
      <c r="IO108">
        <v>102999000</v>
      </c>
      <c r="IP108">
        <v>101198388</v>
      </c>
      <c r="IQ108">
        <v>81</v>
      </c>
      <c r="IR108">
        <v>64</v>
      </c>
      <c r="IT108" s="24"/>
      <c r="IU108">
        <v>7439</v>
      </c>
      <c r="IV108">
        <v>7699</v>
      </c>
      <c r="IW108">
        <v>7460</v>
      </c>
      <c r="IX108">
        <v>1304785</v>
      </c>
      <c r="IY108">
        <v>151</v>
      </c>
      <c r="JA108" s="24"/>
      <c r="JB108">
        <v>100000000</v>
      </c>
      <c r="JC108">
        <v>102749999</v>
      </c>
      <c r="JD108">
        <v>100800000</v>
      </c>
      <c r="JE108">
        <v>145</v>
      </c>
      <c r="JF108">
        <v>80</v>
      </c>
      <c r="JH108" s="24"/>
      <c r="JI108">
        <v>100033000</v>
      </c>
      <c r="JJ108">
        <v>105894000</v>
      </c>
      <c r="JK108">
        <v>101754000</v>
      </c>
      <c r="JL108">
        <v>116</v>
      </c>
      <c r="JM108">
        <v>61</v>
      </c>
      <c r="JO108" s="24"/>
      <c r="JP108">
        <v>70</v>
      </c>
      <c r="JQ108">
        <v>73</v>
      </c>
      <c r="JR108">
        <v>73</v>
      </c>
      <c r="JS108">
        <v>83191028</v>
      </c>
      <c r="JT108">
        <v>108</v>
      </c>
      <c r="JV108" s="24"/>
      <c r="JW108">
        <v>71</v>
      </c>
      <c r="JX108">
        <v>73</v>
      </c>
      <c r="JY108">
        <v>73</v>
      </c>
      <c r="JZ108">
        <v>108715425</v>
      </c>
      <c r="KA108">
        <v>111</v>
      </c>
      <c r="KC108" s="24"/>
      <c r="KD108">
        <v>23</v>
      </c>
      <c r="KE108">
        <v>24</v>
      </c>
      <c r="KF108">
        <v>23</v>
      </c>
      <c r="KG108">
        <v>46242989</v>
      </c>
      <c r="KH108">
        <v>280</v>
      </c>
      <c r="KJ108" s="24"/>
      <c r="KK108">
        <v>72</v>
      </c>
      <c r="KL108">
        <v>74</v>
      </c>
      <c r="KM108">
        <v>74</v>
      </c>
      <c r="KN108">
        <v>82165643</v>
      </c>
      <c r="KO108">
        <v>101</v>
      </c>
      <c r="KQ108" s="24"/>
      <c r="KR108">
        <v>84303</v>
      </c>
      <c r="KS108">
        <v>85749</v>
      </c>
      <c r="KT108">
        <v>84500</v>
      </c>
      <c r="KU108">
        <v>46839</v>
      </c>
      <c r="KV108">
        <v>559</v>
      </c>
      <c r="KX108" s="24"/>
      <c r="KY108">
        <v>502</v>
      </c>
      <c r="KZ108">
        <v>599</v>
      </c>
      <c r="LA108">
        <v>556</v>
      </c>
      <c r="LB108">
        <v>8126477</v>
      </c>
      <c r="LC108">
        <v>196</v>
      </c>
      <c r="LE108" s="24"/>
      <c r="LF108">
        <v>195035</v>
      </c>
      <c r="LG108">
        <v>195137</v>
      </c>
      <c r="LH108">
        <v>195132</v>
      </c>
      <c r="LI108">
        <v>105067</v>
      </c>
      <c r="LJ108">
        <v>819</v>
      </c>
      <c r="LL108" s="24"/>
      <c r="LM108">
        <v>80016</v>
      </c>
      <c r="LN108">
        <v>80100</v>
      </c>
      <c r="LO108">
        <v>80019</v>
      </c>
      <c r="LP108">
        <v>326559</v>
      </c>
      <c r="LQ108">
        <v>1142</v>
      </c>
      <c r="LS108" s="24"/>
      <c r="LT108">
        <v>306</v>
      </c>
      <c r="LU108">
        <v>306</v>
      </c>
      <c r="LV108">
        <v>306</v>
      </c>
      <c r="LW108">
        <v>90200176</v>
      </c>
      <c r="LX108">
        <v>288</v>
      </c>
      <c r="LZ108" s="24"/>
      <c r="MA108">
        <v>98617</v>
      </c>
      <c r="MB108">
        <v>98617</v>
      </c>
      <c r="MC108">
        <v>98617</v>
      </c>
      <c r="MD108">
        <v>515302</v>
      </c>
      <c r="ME108">
        <v>49</v>
      </c>
    </row>
    <row r="109" spans="2:343" x14ac:dyDescent="0.25">
      <c r="B109" s="24"/>
      <c r="C109">
        <v>3</v>
      </c>
      <c r="D109">
        <v>3</v>
      </c>
      <c r="E109">
        <v>3</v>
      </c>
      <c r="F109">
        <v>32256078558</v>
      </c>
      <c r="G109">
        <v>2826</v>
      </c>
      <c r="I109" s="24"/>
      <c r="J109">
        <v>4</v>
      </c>
      <c r="K109">
        <v>4</v>
      </c>
      <c r="L109">
        <v>4</v>
      </c>
      <c r="M109">
        <v>5880033650</v>
      </c>
      <c r="N109">
        <v>1970</v>
      </c>
      <c r="P109" s="24"/>
      <c r="Q109">
        <v>27</v>
      </c>
      <c r="R109">
        <v>28</v>
      </c>
      <c r="S109">
        <v>28</v>
      </c>
      <c r="T109">
        <v>1722934570</v>
      </c>
      <c r="U109">
        <v>1795</v>
      </c>
      <c r="W109" s="24"/>
      <c r="X109">
        <v>72</v>
      </c>
      <c r="Y109">
        <v>73</v>
      </c>
      <c r="Z109">
        <v>72</v>
      </c>
      <c r="AA109">
        <v>397959905</v>
      </c>
      <c r="AB109">
        <v>1392</v>
      </c>
      <c r="AD109" s="24"/>
      <c r="AE109">
        <v>524</v>
      </c>
      <c r="AF109">
        <v>546</v>
      </c>
      <c r="AG109">
        <v>539</v>
      </c>
      <c r="AH109">
        <v>108283625</v>
      </c>
      <c r="AI109">
        <v>1584</v>
      </c>
      <c r="AK109" s="24"/>
      <c r="AL109">
        <v>942</v>
      </c>
      <c r="AM109">
        <v>990</v>
      </c>
      <c r="AN109">
        <v>963</v>
      </c>
      <c r="AO109">
        <v>44481670</v>
      </c>
      <c r="AP109">
        <v>1299</v>
      </c>
      <c r="AR109" s="24"/>
      <c r="AS109">
        <v>2689</v>
      </c>
      <c r="AT109">
        <v>2818</v>
      </c>
      <c r="AU109">
        <v>2758</v>
      </c>
      <c r="AV109">
        <v>16061113</v>
      </c>
      <c r="AW109">
        <v>1180</v>
      </c>
      <c r="AY109" s="24"/>
      <c r="AZ109">
        <v>362880850</v>
      </c>
      <c r="BA109">
        <v>369799000</v>
      </c>
      <c r="BB109">
        <v>366611050</v>
      </c>
      <c r="BC109">
        <v>2158</v>
      </c>
      <c r="BD109">
        <v>1453</v>
      </c>
      <c r="BF109" s="24"/>
      <c r="BG109">
        <v>27900</v>
      </c>
      <c r="BH109">
        <v>27900</v>
      </c>
      <c r="BI109">
        <v>27900</v>
      </c>
      <c r="BJ109">
        <v>1556930</v>
      </c>
      <c r="BK109">
        <v>192</v>
      </c>
      <c r="BM109" s="24"/>
      <c r="BN109">
        <v>6674120</v>
      </c>
      <c r="BO109">
        <v>6849998</v>
      </c>
      <c r="BP109">
        <v>6700000</v>
      </c>
      <c r="BQ109">
        <v>8543</v>
      </c>
      <c r="BR109">
        <v>282</v>
      </c>
      <c r="BT109" s="24"/>
      <c r="BU109">
        <v>2091</v>
      </c>
      <c r="BV109">
        <v>2149</v>
      </c>
      <c r="BW109">
        <v>2142</v>
      </c>
      <c r="BX109">
        <v>16962915</v>
      </c>
      <c r="BY109">
        <v>224</v>
      </c>
      <c r="CA109" s="24"/>
      <c r="CB109">
        <v>339</v>
      </c>
      <c r="CC109">
        <v>358</v>
      </c>
      <c r="CD109">
        <v>350</v>
      </c>
      <c r="CE109">
        <v>67767462</v>
      </c>
      <c r="CF109">
        <v>289</v>
      </c>
      <c r="CH109" s="24"/>
      <c r="CI109">
        <v>25500</v>
      </c>
      <c r="CJ109">
        <v>25505</v>
      </c>
      <c r="CK109">
        <v>25501</v>
      </c>
      <c r="CL109">
        <v>1147179</v>
      </c>
      <c r="CM109">
        <v>186</v>
      </c>
      <c r="CO109" s="24"/>
      <c r="CP109">
        <v>8032</v>
      </c>
      <c r="CQ109">
        <v>8299</v>
      </c>
      <c r="CR109">
        <v>8274</v>
      </c>
      <c r="CS109">
        <v>1107511</v>
      </c>
      <c r="CT109">
        <v>408</v>
      </c>
      <c r="CV109" s="24"/>
      <c r="CW109">
        <v>1350000</v>
      </c>
      <c r="CX109">
        <v>1399786</v>
      </c>
      <c r="CY109">
        <v>1378485</v>
      </c>
      <c r="CZ109">
        <v>12519</v>
      </c>
      <c r="DA109">
        <v>60</v>
      </c>
      <c r="DC109" s="24"/>
      <c r="DD109">
        <v>370</v>
      </c>
      <c r="DE109">
        <v>389</v>
      </c>
      <c r="DF109">
        <v>389</v>
      </c>
      <c r="DG109">
        <v>42129625</v>
      </c>
      <c r="DH109">
        <v>242</v>
      </c>
      <c r="DJ109" s="24"/>
      <c r="DK109">
        <v>33002223</v>
      </c>
      <c r="DL109">
        <v>35299999</v>
      </c>
      <c r="DM109">
        <v>33002233</v>
      </c>
      <c r="DN109">
        <v>238</v>
      </c>
      <c r="DO109">
        <v>78</v>
      </c>
      <c r="DQ109" s="24"/>
      <c r="DR109">
        <v>1600006</v>
      </c>
      <c r="DS109">
        <v>1699999</v>
      </c>
      <c r="DT109">
        <v>1699189</v>
      </c>
      <c r="DU109">
        <v>5329</v>
      </c>
      <c r="DV109">
        <v>237</v>
      </c>
      <c r="DX109" s="24"/>
      <c r="DY109">
        <v>17800001</v>
      </c>
      <c r="DZ109">
        <v>17800001</v>
      </c>
      <c r="EA109">
        <v>17800001</v>
      </c>
      <c r="EB109">
        <v>357</v>
      </c>
      <c r="EC109">
        <v>88</v>
      </c>
      <c r="EE109" s="24"/>
      <c r="EF109">
        <v>157</v>
      </c>
      <c r="EG109">
        <v>166</v>
      </c>
      <c r="EH109">
        <v>158</v>
      </c>
      <c r="EI109">
        <v>96550785</v>
      </c>
      <c r="EJ109">
        <v>227</v>
      </c>
      <c r="EL109" s="24"/>
      <c r="EM109">
        <v>43002</v>
      </c>
      <c r="EN109">
        <v>47000</v>
      </c>
      <c r="EO109">
        <v>44400</v>
      </c>
      <c r="EP109">
        <v>130569</v>
      </c>
      <c r="EQ109">
        <v>670</v>
      </c>
      <c r="ES109" s="24"/>
      <c r="ET109">
        <v>428</v>
      </c>
      <c r="EU109">
        <v>432</v>
      </c>
      <c r="EV109">
        <v>431</v>
      </c>
      <c r="EW109">
        <v>47860662</v>
      </c>
      <c r="EX109">
        <v>726</v>
      </c>
      <c r="EZ109" s="24"/>
      <c r="FA109">
        <v>3927898</v>
      </c>
      <c r="FB109">
        <v>3927998</v>
      </c>
      <c r="FC109">
        <v>3927900</v>
      </c>
      <c r="FD109">
        <v>1876</v>
      </c>
      <c r="FE109">
        <v>32</v>
      </c>
      <c r="FG109" s="24"/>
      <c r="FH109">
        <v>8383</v>
      </c>
      <c r="FI109">
        <v>8659</v>
      </c>
      <c r="FJ109">
        <v>8400</v>
      </c>
      <c r="FK109">
        <v>2258379</v>
      </c>
      <c r="FL109">
        <v>506</v>
      </c>
      <c r="FN109" s="24"/>
      <c r="FO109">
        <v>21393</v>
      </c>
      <c r="FP109">
        <v>21393</v>
      </c>
      <c r="FQ109">
        <v>21393</v>
      </c>
      <c r="FR109">
        <v>119431</v>
      </c>
      <c r="FS109">
        <v>74</v>
      </c>
      <c r="FU109" s="24"/>
      <c r="FV109">
        <v>23500</v>
      </c>
      <c r="FW109">
        <v>24753</v>
      </c>
      <c r="FX109">
        <v>24750</v>
      </c>
      <c r="FY109">
        <v>440043</v>
      </c>
      <c r="FZ109">
        <v>1235</v>
      </c>
      <c r="GB109" s="24"/>
      <c r="GC109">
        <v>101008008</v>
      </c>
      <c r="GD109">
        <v>104999800</v>
      </c>
      <c r="GE109">
        <v>104908200</v>
      </c>
      <c r="GF109">
        <v>103</v>
      </c>
      <c r="GG109">
        <v>81</v>
      </c>
      <c r="GI109" s="24"/>
      <c r="GJ109">
        <v>25700002</v>
      </c>
      <c r="GK109">
        <v>26899999</v>
      </c>
      <c r="GL109">
        <v>25810000</v>
      </c>
      <c r="GM109">
        <v>310</v>
      </c>
      <c r="GN109">
        <v>74</v>
      </c>
      <c r="GP109" s="24"/>
      <c r="GQ109">
        <v>90</v>
      </c>
      <c r="GR109">
        <v>95</v>
      </c>
      <c r="GS109">
        <v>91</v>
      </c>
      <c r="GT109">
        <v>116804994</v>
      </c>
      <c r="GU109">
        <v>147</v>
      </c>
      <c r="GW109" s="24"/>
      <c r="GX109">
        <v>375</v>
      </c>
      <c r="GY109">
        <v>394</v>
      </c>
      <c r="GZ109">
        <v>394</v>
      </c>
      <c r="HA109">
        <v>47482976</v>
      </c>
      <c r="HB109">
        <v>280</v>
      </c>
      <c r="HD109" s="24"/>
      <c r="HE109">
        <v>5444</v>
      </c>
      <c r="HF109">
        <v>5624</v>
      </c>
      <c r="HG109">
        <v>5603</v>
      </c>
      <c r="HH109">
        <v>12072721</v>
      </c>
      <c r="HI109">
        <v>291</v>
      </c>
      <c r="HK109" s="24"/>
      <c r="HL109">
        <v>101580004</v>
      </c>
      <c r="HM109">
        <v>107780999</v>
      </c>
      <c r="HN109">
        <v>104551937</v>
      </c>
      <c r="HO109">
        <v>72</v>
      </c>
      <c r="HP109">
        <v>59</v>
      </c>
      <c r="HR109" s="24"/>
      <c r="HS109">
        <v>8051</v>
      </c>
      <c r="HT109">
        <v>8369</v>
      </c>
      <c r="HU109">
        <v>8051</v>
      </c>
      <c r="HV109">
        <v>1000121</v>
      </c>
      <c r="HW109">
        <v>176</v>
      </c>
      <c r="HY109" s="24"/>
      <c r="HZ109">
        <v>8025</v>
      </c>
      <c r="IA109">
        <v>8364</v>
      </c>
      <c r="IB109">
        <v>8249</v>
      </c>
      <c r="IC109">
        <v>2370907</v>
      </c>
      <c r="ID109">
        <v>541</v>
      </c>
      <c r="IF109" s="24"/>
      <c r="IG109">
        <v>2604</v>
      </c>
      <c r="IH109">
        <v>2716</v>
      </c>
      <c r="II109">
        <v>2715</v>
      </c>
      <c r="IJ109">
        <v>1412236</v>
      </c>
      <c r="IK109">
        <v>135</v>
      </c>
      <c r="IM109" s="24"/>
      <c r="IN109">
        <v>99109400</v>
      </c>
      <c r="IO109">
        <v>102999999</v>
      </c>
      <c r="IP109">
        <v>101552823</v>
      </c>
      <c r="IQ109">
        <v>84</v>
      </c>
      <c r="IR109">
        <v>71</v>
      </c>
      <c r="IT109" s="24"/>
      <c r="IU109">
        <v>7434</v>
      </c>
      <c r="IV109">
        <v>7596</v>
      </c>
      <c r="IW109">
        <v>7573</v>
      </c>
      <c r="IX109">
        <v>2026625</v>
      </c>
      <c r="IY109">
        <v>162</v>
      </c>
      <c r="JA109" s="24"/>
      <c r="JB109">
        <v>92008025</v>
      </c>
      <c r="JC109">
        <v>100999987</v>
      </c>
      <c r="JD109">
        <v>98000000</v>
      </c>
      <c r="JE109">
        <v>151</v>
      </c>
      <c r="JF109">
        <v>97</v>
      </c>
      <c r="JH109" s="24"/>
      <c r="JI109">
        <v>95000002</v>
      </c>
      <c r="JJ109">
        <v>104101551</v>
      </c>
      <c r="JK109">
        <v>99563309</v>
      </c>
      <c r="JL109">
        <v>62</v>
      </c>
      <c r="JM109">
        <v>46</v>
      </c>
      <c r="JO109" s="24"/>
      <c r="JP109">
        <v>70</v>
      </c>
      <c r="JQ109">
        <v>72</v>
      </c>
      <c r="JR109">
        <v>71</v>
      </c>
      <c r="JS109">
        <v>108975252</v>
      </c>
      <c r="JT109">
        <v>121</v>
      </c>
      <c r="JV109" s="24"/>
      <c r="JW109">
        <v>71</v>
      </c>
      <c r="JX109">
        <v>73</v>
      </c>
      <c r="JY109">
        <v>72</v>
      </c>
      <c r="JZ109">
        <v>104479602</v>
      </c>
      <c r="KA109">
        <v>126</v>
      </c>
      <c r="KC109" s="24"/>
      <c r="KD109">
        <v>22</v>
      </c>
      <c r="KE109">
        <v>25</v>
      </c>
      <c r="KF109">
        <v>25</v>
      </c>
      <c r="KG109">
        <v>48936439</v>
      </c>
      <c r="KH109">
        <v>330</v>
      </c>
      <c r="KJ109" s="24"/>
      <c r="KK109">
        <v>72</v>
      </c>
      <c r="KL109">
        <v>73</v>
      </c>
      <c r="KM109">
        <v>72</v>
      </c>
      <c r="KN109">
        <v>144080733</v>
      </c>
      <c r="KO109">
        <v>156</v>
      </c>
      <c r="KQ109" s="24"/>
      <c r="KR109">
        <v>84750</v>
      </c>
      <c r="KS109">
        <v>84750</v>
      </c>
      <c r="KT109">
        <v>84750</v>
      </c>
      <c r="KU109">
        <v>73045</v>
      </c>
      <c r="KV109">
        <v>587</v>
      </c>
      <c r="KX109" s="24"/>
      <c r="KY109">
        <v>553</v>
      </c>
      <c r="KZ109">
        <v>599</v>
      </c>
      <c r="LA109">
        <v>589</v>
      </c>
      <c r="LB109">
        <v>4717904</v>
      </c>
      <c r="LC109">
        <v>175</v>
      </c>
      <c r="LE109" s="24"/>
      <c r="LF109">
        <v>194601</v>
      </c>
      <c r="LG109">
        <v>194603</v>
      </c>
      <c r="LH109">
        <v>194602</v>
      </c>
      <c r="LI109">
        <v>115918</v>
      </c>
      <c r="LJ109">
        <v>853</v>
      </c>
      <c r="LL109" s="24"/>
      <c r="LM109">
        <v>74000</v>
      </c>
      <c r="LN109">
        <v>80019</v>
      </c>
      <c r="LO109">
        <v>78979</v>
      </c>
      <c r="LP109">
        <v>464887</v>
      </c>
      <c r="LQ109">
        <v>1227</v>
      </c>
      <c r="LS109" s="24"/>
      <c r="LT109">
        <v>285</v>
      </c>
      <c r="LU109">
        <v>307</v>
      </c>
      <c r="LV109">
        <v>305</v>
      </c>
      <c r="LW109">
        <v>94930727</v>
      </c>
      <c r="LX109">
        <v>386</v>
      </c>
      <c r="LZ109" s="24"/>
      <c r="MA109">
        <v>96549</v>
      </c>
      <c r="MB109">
        <v>98617</v>
      </c>
      <c r="MC109">
        <v>96549</v>
      </c>
      <c r="MD109">
        <v>967778</v>
      </c>
      <c r="ME109">
        <v>58</v>
      </c>
    </row>
    <row r="110" spans="2:343" x14ac:dyDescent="0.25">
      <c r="B110" s="24"/>
      <c r="C110">
        <v>3</v>
      </c>
      <c r="D110">
        <v>3</v>
      </c>
      <c r="E110">
        <v>3</v>
      </c>
      <c r="F110">
        <v>40828536407</v>
      </c>
      <c r="G110">
        <v>3428</v>
      </c>
      <c r="I110" s="24"/>
      <c r="J110">
        <v>5</v>
      </c>
      <c r="K110">
        <v>5</v>
      </c>
      <c r="L110">
        <v>5</v>
      </c>
      <c r="M110">
        <v>8738143048</v>
      </c>
      <c r="N110">
        <v>2302</v>
      </c>
      <c r="P110" s="24"/>
      <c r="Q110">
        <v>28</v>
      </c>
      <c r="R110">
        <v>29</v>
      </c>
      <c r="S110">
        <v>28</v>
      </c>
      <c r="T110">
        <v>2403005657</v>
      </c>
      <c r="U110">
        <v>2181</v>
      </c>
      <c r="W110" s="24"/>
      <c r="X110">
        <v>72</v>
      </c>
      <c r="Y110">
        <v>73</v>
      </c>
      <c r="Z110">
        <v>73</v>
      </c>
      <c r="AA110">
        <v>373579415</v>
      </c>
      <c r="AB110">
        <v>1615</v>
      </c>
      <c r="AD110" s="24"/>
      <c r="AE110">
        <v>535</v>
      </c>
      <c r="AF110">
        <v>547</v>
      </c>
      <c r="AG110">
        <v>544</v>
      </c>
      <c r="AH110">
        <v>116168078</v>
      </c>
      <c r="AI110">
        <v>1682</v>
      </c>
      <c r="AK110" s="24"/>
      <c r="AL110">
        <v>962</v>
      </c>
      <c r="AM110">
        <v>978</v>
      </c>
      <c r="AN110">
        <v>973</v>
      </c>
      <c r="AO110">
        <v>34016259</v>
      </c>
      <c r="AP110">
        <v>1338</v>
      </c>
      <c r="AR110" s="24"/>
      <c r="AS110">
        <v>2750</v>
      </c>
      <c r="AT110">
        <v>2786</v>
      </c>
      <c r="AU110">
        <v>2785</v>
      </c>
      <c r="AV110">
        <v>15515230</v>
      </c>
      <c r="AW110">
        <v>1280</v>
      </c>
      <c r="AY110" s="24"/>
      <c r="AZ110">
        <v>356100005</v>
      </c>
      <c r="BA110">
        <v>361999999</v>
      </c>
      <c r="BB110">
        <v>358999998</v>
      </c>
      <c r="BC110">
        <v>2033</v>
      </c>
      <c r="BD110">
        <v>1461</v>
      </c>
      <c r="BF110" s="24"/>
      <c r="BG110">
        <v>26225</v>
      </c>
      <c r="BH110">
        <v>26300</v>
      </c>
      <c r="BI110">
        <v>26228</v>
      </c>
      <c r="BJ110">
        <v>2421335</v>
      </c>
      <c r="BK110">
        <v>214</v>
      </c>
      <c r="BM110" s="24"/>
      <c r="BN110">
        <v>6753000</v>
      </c>
      <c r="BO110">
        <v>6898998</v>
      </c>
      <c r="BP110">
        <v>6781003</v>
      </c>
      <c r="BQ110">
        <v>17111</v>
      </c>
      <c r="BR110">
        <v>408</v>
      </c>
      <c r="BT110" s="24"/>
      <c r="BU110">
        <v>2141</v>
      </c>
      <c r="BV110">
        <v>2142</v>
      </c>
      <c r="BW110">
        <v>2141</v>
      </c>
      <c r="BX110">
        <v>24631329</v>
      </c>
      <c r="BY110">
        <v>242</v>
      </c>
      <c r="CA110" s="24"/>
      <c r="CB110">
        <v>346</v>
      </c>
      <c r="CC110">
        <v>353</v>
      </c>
      <c r="CD110">
        <v>349</v>
      </c>
      <c r="CE110">
        <v>102901671</v>
      </c>
      <c r="CF110">
        <v>332</v>
      </c>
      <c r="CH110" s="24"/>
      <c r="CI110">
        <v>24509</v>
      </c>
      <c r="CJ110">
        <v>24701</v>
      </c>
      <c r="CK110">
        <v>24510</v>
      </c>
      <c r="CL110">
        <v>990066</v>
      </c>
      <c r="CM110">
        <v>155</v>
      </c>
      <c r="CO110" s="24"/>
      <c r="CP110">
        <v>8299</v>
      </c>
      <c r="CQ110">
        <v>8625</v>
      </c>
      <c r="CR110">
        <v>8534</v>
      </c>
      <c r="CS110">
        <v>1121829</v>
      </c>
      <c r="CT110">
        <v>470</v>
      </c>
      <c r="CV110" s="24"/>
      <c r="CW110">
        <v>1399877</v>
      </c>
      <c r="CX110">
        <v>1399877</v>
      </c>
      <c r="CY110">
        <v>1399877</v>
      </c>
      <c r="CZ110">
        <v>10967</v>
      </c>
      <c r="DA110">
        <v>45</v>
      </c>
      <c r="DC110" s="24"/>
      <c r="DD110">
        <v>398</v>
      </c>
      <c r="DE110">
        <v>437</v>
      </c>
      <c r="DF110">
        <v>414</v>
      </c>
      <c r="DG110">
        <v>57750245</v>
      </c>
      <c r="DH110">
        <v>225</v>
      </c>
      <c r="DJ110" s="24"/>
      <c r="DK110">
        <v>33005036</v>
      </c>
      <c r="DL110">
        <v>34705000</v>
      </c>
      <c r="DM110">
        <v>34000003</v>
      </c>
      <c r="DN110">
        <v>345</v>
      </c>
      <c r="DO110">
        <v>94</v>
      </c>
      <c r="DQ110" s="24"/>
      <c r="DR110">
        <v>1600042</v>
      </c>
      <c r="DS110">
        <v>1743998</v>
      </c>
      <c r="DT110">
        <v>1700010</v>
      </c>
      <c r="DU110">
        <v>4726</v>
      </c>
      <c r="DV110">
        <v>287</v>
      </c>
      <c r="DX110" s="24"/>
      <c r="DY110">
        <v>17900051</v>
      </c>
      <c r="DZ110">
        <v>19335249</v>
      </c>
      <c r="EA110">
        <v>18000043</v>
      </c>
      <c r="EB110">
        <v>365</v>
      </c>
      <c r="EC110">
        <v>127</v>
      </c>
      <c r="EE110" s="24"/>
      <c r="EF110">
        <v>159</v>
      </c>
      <c r="EG110">
        <v>164</v>
      </c>
      <c r="EH110">
        <v>159</v>
      </c>
      <c r="EI110">
        <v>129993633</v>
      </c>
      <c r="EJ110">
        <v>246</v>
      </c>
      <c r="EL110" s="24"/>
      <c r="EM110">
        <v>44012</v>
      </c>
      <c r="EN110">
        <v>46000</v>
      </c>
      <c r="EO110">
        <v>44014</v>
      </c>
      <c r="EP110">
        <v>62157</v>
      </c>
      <c r="EQ110">
        <v>725</v>
      </c>
      <c r="ES110" s="24"/>
      <c r="ET110">
        <v>410</v>
      </c>
      <c r="EU110">
        <v>444</v>
      </c>
      <c r="EV110">
        <v>435</v>
      </c>
      <c r="EW110">
        <v>58848539</v>
      </c>
      <c r="EX110">
        <v>808</v>
      </c>
      <c r="EZ110" s="24"/>
      <c r="FA110">
        <v>3900000</v>
      </c>
      <c r="FB110">
        <v>3937689</v>
      </c>
      <c r="FC110">
        <v>3937689</v>
      </c>
      <c r="FD110">
        <v>1806</v>
      </c>
      <c r="FE110">
        <v>25</v>
      </c>
      <c r="FG110" s="24"/>
      <c r="FH110">
        <v>8455</v>
      </c>
      <c r="FI110">
        <v>8651</v>
      </c>
      <c r="FJ110">
        <v>8629</v>
      </c>
      <c r="FK110">
        <v>3646133</v>
      </c>
      <c r="FL110">
        <v>661</v>
      </c>
      <c r="FN110" s="24"/>
      <c r="FO110">
        <v>21393</v>
      </c>
      <c r="FP110">
        <v>21394</v>
      </c>
      <c r="FQ110">
        <v>21393</v>
      </c>
      <c r="FR110">
        <v>343605</v>
      </c>
      <c r="FS110">
        <v>109</v>
      </c>
      <c r="FU110" s="24"/>
      <c r="FV110">
        <v>23504</v>
      </c>
      <c r="FW110">
        <v>24001</v>
      </c>
      <c r="FX110">
        <v>23505</v>
      </c>
      <c r="FY110">
        <v>351404</v>
      </c>
      <c r="FZ110">
        <v>1436</v>
      </c>
      <c r="GB110" s="24"/>
      <c r="GC110">
        <v>101008008</v>
      </c>
      <c r="GD110">
        <v>103999999</v>
      </c>
      <c r="GE110">
        <v>102437236</v>
      </c>
      <c r="GF110">
        <v>89</v>
      </c>
      <c r="GG110">
        <v>61</v>
      </c>
      <c r="GI110" s="24"/>
      <c r="GJ110">
        <v>25841019</v>
      </c>
      <c r="GK110">
        <v>28399999</v>
      </c>
      <c r="GL110">
        <v>25850040</v>
      </c>
      <c r="GM110">
        <v>393</v>
      </c>
      <c r="GN110">
        <v>95</v>
      </c>
      <c r="GP110" s="24"/>
      <c r="GQ110">
        <v>90</v>
      </c>
      <c r="GR110">
        <v>94</v>
      </c>
      <c r="GS110">
        <v>91</v>
      </c>
      <c r="GT110">
        <v>110971930</v>
      </c>
      <c r="GU110">
        <v>191</v>
      </c>
      <c r="GW110" s="24"/>
      <c r="GX110">
        <v>380</v>
      </c>
      <c r="GY110">
        <v>394</v>
      </c>
      <c r="GZ110">
        <v>388</v>
      </c>
      <c r="HA110">
        <v>92652915</v>
      </c>
      <c r="HB110">
        <v>282</v>
      </c>
      <c r="HD110" s="24"/>
      <c r="HE110">
        <v>5598</v>
      </c>
      <c r="HF110">
        <v>5598</v>
      </c>
      <c r="HG110">
        <v>5598</v>
      </c>
      <c r="HH110">
        <v>14659737</v>
      </c>
      <c r="HI110">
        <v>271</v>
      </c>
      <c r="HK110" s="24"/>
      <c r="HL110">
        <v>102500000</v>
      </c>
      <c r="HM110">
        <v>106500000</v>
      </c>
      <c r="HN110">
        <v>104472234</v>
      </c>
      <c r="HO110">
        <v>93</v>
      </c>
      <c r="HP110">
        <v>64</v>
      </c>
      <c r="HR110" s="24"/>
      <c r="HS110">
        <v>7997</v>
      </c>
      <c r="HT110">
        <v>8099</v>
      </c>
      <c r="HU110">
        <v>8051</v>
      </c>
      <c r="HV110">
        <v>1263651</v>
      </c>
      <c r="HW110">
        <v>186</v>
      </c>
      <c r="HY110" s="24"/>
      <c r="HZ110">
        <v>8020</v>
      </c>
      <c r="IA110">
        <v>8329</v>
      </c>
      <c r="IB110">
        <v>8198</v>
      </c>
      <c r="IC110">
        <v>2494998</v>
      </c>
      <c r="ID110">
        <v>628</v>
      </c>
      <c r="IF110" s="24"/>
      <c r="IG110">
        <v>2709</v>
      </c>
      <c r="IH110">
        <v>2713</v>
      </c>
      <c r="II110">
        <v>2711</v>
      </c>
      <c r="IJ110">
        <v>1656959</v>
      </c>
      <c r="IK110">
        <v>135</v>
      </c>
      <c r="IM110" s="24"/>
      <c r="IN110">
        <v>99113200</v>
      </c>
      <c r="IO110">
        <v>103494590</v>
      </c>
      <c r="IP110">
        <v>100800222</v>
      </c>
      <c r="IQ110">
        <v>97</v>
      </c>
      <c r="IR110">
        <v>62</v>
      </c>
      <c r="IT110" s="24"/>
      <c r="IU110">
        <v>7422</v>
      </c>
      <c r="IV110">
        <v>7593</v>
      </c>
      <c r="IW110">
        <v>7592</v>
      </c>
      <c r="IX110">
        <v>1377792</v>
      </c>
      <c r="IY110">
        <v>175</v>
      </c>
      <c r="JA110" s="24"/>
      <c r="JB110">
        <v>100999992</v>
      </c>
      <c r="JC110">
        <v>103991000</v>
      </c>
      <c r="JD110">
        <v>101000600</v>
      </c>
      <c r="JE110">
        <v>109</v>
      </c>
      <c r="JF110">
        <v>79</v>
      </c>
      <c r="JH110" s="24"/>
      <c r="JI110">
        <v>94100004</v>
      </c>
      <c r="JJ110">
        <v>101499999</v>
      </c>
      <c r="JK110">
        <v>98843678</v>
      </c>
      <c r="JL110">
        <v>54</v>
      </c>
      <c r="JM110">
        <v>44</v>
      </c>
      <c r="JO110" s="24"/>
      <c r="JP110">
        <v>68</v>
      </c>
      <c r="JQ110">
        <v>72</v>
      </c>
      <c r="JR110">
        <v>70</v>
      </c>
      <c r="JS110">
        <v>106152129</v>
      </c>
      <c r="JT110">
        <v>120</v>
      </c>
      <c r="JV110" s="24"/>
      <c r="JW110">
        <v>68</v>
      </c>
      <c r="JX110">
        <v>71</v>
      </c>
      <c r="JY110">
        <v>70</v>
      </c>
      <c r="JZ110">
        <v>150917769</v>
      </c>
      <c r="KA110">
        <v>124</v>
      </c>
      <c r="KC110" s="24"/>
      <c r="KD110">
        <v>22</v>
      </c>
      <c r="KE110">
        <v>24</v>
      </c>
      <c r="KF110">
        <v>24</v>
      </c>
      <c r="KG110">
        <v>61498962</v>
      </c>
      <c r="KH110">
        <v>382</v>
      </c>
      <c r="KJ110" s="24"/>
      <c r="KK110">
        <v>69</v>
      </c>
      <c r="KL110">
        <v>74</v>
      </c>
      <c r="KM110">
        <v>72</v>
      </c>
      <c r="KN110">
        <v>154748698</v>
      </c>
      <c r="KO110">
        <v>137</v>
      </c>
      <c r="KQ110" s="24"/>
      <c r="KR110">
        <v>82002</v>
      </c>
      <c r="KS110">
        <v>85505</v>
      </c>
      <c r="KT110">
        <v>83750</v>
      </c>
      <c r="KU110">
        <v>64657</v>
      </c>
      <c r="KV110">
        <v>734</v>
      </c>
      <c r="KX110" s="24"/>
      <c r="KY110">
        <v>560</v>
      </c>
      <c r="KZ110">
        <v>589</v>
      </c>
      <c r="LA110">
        <v>584</v>
      </c>
      <c r="LB110">
        <v>7027152</v>
      </c>
      <c r="LC110">
        <v>218</v>
      </c>
      <c r="LE110" s="24"/>
      <c r="LF110">
        <v>191005</v>
      </c>
      <c r="LG110">
        <v>192026</v>
      </c>
      <c r="LH110">
        <v>192000</v>
      </c>
      <c r="LI110">
        <v>119044</v>
      </c>
      <c r="LJ110">
        <v>1043</v>
      </c>
      <c r="LL110" s="24"/>
      <c r="LM110">
        <v>75010</v>
      </c>
      <c r="LN110">
        <v>76010</v>
      </c>
      <c r="LO110">
        <v>75019</v>
      </c>
      <c r="LP110">
        <v>320176</v>
      </c>
      <c r="LQ110">
        <v>1406</v>
      </c>
      <c r="LS110" s="24"/>
      <c r="LT110">
        <v>288</v>
      </c>
      <c r="LU110">
        <v>301</v>
      </c>
      <c r="LV110">
        <v>299</v>
      </c>
      <c r="LW110">
        <v>106524935</v>
      </c>
      <c r="LX110">
        <v>372</v>
      </c>
      <c r="LZ110" s="24"/>
      <c r="MA110">
        <v>96530</v>
      </c>
      <c r="MB110">
        <v>98842</v>
      </c>
      <c r="MC110">
        <v>98617</v>
      </c>
      <c r="MD110">
        <v>887607</v>
      </c>
      <c r="ME110">
        <v>111</v>
      </c>
    </row>
    <row r="111" spans="2:343" x14ac:dyDescent="0.25">
      <c r="B111" s="24"/>
      <c r="C111">
        <v>3</v>
      </c>
      <c r="D111">
        <v>3</v>
      </c>
      <c r="E111">
        <v>3</v>
      </c>
      <c r="F111">
        <v>42998506256</v>
      </c>
      <c r="G111">
        <v>3692</v>
      </c>
      <c r="I111" s="24"/>
      <c r="J111">
        <v>4</v>
      </c>
      <c r="K111">
        <v>5</v>
      </c>
      <c r="L111">
        <v>5</v>
      </c>
      <c r="M111">
        <v>10065727886</v>
      </c>
      <c r="N111">
        <v>2581</v>
      </c>
      <c r="P111" s="24"/>
      <c r="Q111">
        <v>28</v>
      </c>
      <c r="R111">
        <v>29</v>
      </c>
      <c r="S111">
        <v>29</v>
      </c>
      <c r="T111">
        <v>3118078803</v>
      </c>
      <c r="U111">
        <v>2514</v>
      </c>
      <c r="W111" s="24"/>
      <c r="X111">
        <v>72</v>
      </c>
      <c r="Y111">
        <v>78</v>
      </c>
      <c r="Z111">
        <v>75</v>
      </c>
      <c r="AA111">
        <v>744168491</v>
      </c>
      <c r="AB111">
        <v>1877</v>
      </c>
      <c r="AD111" s="24"/>
      <c r="AE111">
        <v>536</v>
      </c>
      <c r="AF111">
        <v>547</v>
      </c>
      <c r="AG111">
        <v>543</v>
      </c>
      <c r="AH111">
        <v>144190624</v>
      </c>
      <c r="AI111">
        <v>1939</v>
      </c>
      <c r="AK111" s="24"/>
      <c r="AL111">
        <v>960</v>
      </c>
      <c r="AM111">
        <v>990</v>
      </c>
      <c r="AN111">
        <v>979</v>
      </c>
      <c r="AO111">
        <v>59382143</v>
      </c>
      <c r="AP111">
        <v>1522</v>
      </c>
      <c r="AR111" s="24"/>
      <c r="AS111">
        <v>2750</v>
      </c>
      <c r="AT111">
        <v>2822</v>
      </c>
      <c r="AU111">
        <v>2754</v>
      </c>
      <c r="AV111">
        <v>21343669</v>
      </c>
      <c r="AW111">
        <v>1418</v>
      </c>
      <c r="AY111" s="24"/>
      <c r="AZ111">
        <v>353600000</v>
      </c>
      <c r="BA111">
        <v>359000000</v>
      </c>
      <c r="BB111">
        <v>356659000</v>
      </c>
      <c r="BC111">
        <v>2202</v>
      </c>
      <c r="BD111">
        <v>1429</v>
      </c>
      <c r="BF111" s="24"/>
      <c r="BG111">
        <v>26216</v>
      </c>
      <c r="BH111">
        <v>27997</v>
      </c>
      <c r="BI111">
        <v>26501</v>
      </c>
      <c r="BJ111">
        <v>1299125</v>
      </c>
      <c r="BK111">
        <v>210</v>
      </c>
      <c r="BM111" s="24"/>
      <c r="BN111">
        <v>6781004</v>
      </c>
      <c r="BO111">
        <v>6783086</v>
      </c>
      <c r="BP111">
        <v>6781066</v>
      </c>
      <c r="BQ111">
        <v>14257</v>
      </c>
      <c r="BR111">
        <v>343</v>
      </c>
      <c r="BT111" s="24"/>
      <c r="BU111">
        <v>2180</v>
      </c>
      <c r="BV111">
        <v>2350</v>
      </c>
      <c r="BW111">
        <v>2292</v>
      </c>
      <c r="BX111">
        <v>39590696</v>
      </c>
      <c r="BY111">
        <v>258</v>
      </c>
      <c r="CA111" s="24"/>
      <c r="CB111">
        <v>331</v>
      </c>
      <c r="CC111">
        <v>339</v>
      </c>
      <c r="CD111">
        <v>338</v>
      </c>
      <c r="CE111">
        <v>90828901</v>
      </c>
      <c r="CF111">
        <v>321</v>
      </c>
      <c r="CH111" s="24"/>
      <c r="CI111">
        <v>25000</v>
      </c>
      <c r="CJ111">
        <v>25390</v>
      </c>
      <c r="CK111">
        <v>25000</v>
      </c>
      <c r="CL111">
        <v>740800</v>
      </c>
      <c r="CM111">
        <v>195</v>
      </c>
      <c r="CO111" s="24"/>
      <c r="CP111">
        <v>8300</v>
      </c>
      <c r="CQ111">
        <v>8644</v>
      </c>
      <c r="CR111">
        <v>8599</v>
      </c>
      <c r="CS111">
        <v>1350584</v>
      </c>
      <c r="CT111">
        <v>430</v>
      </c>
      <c r="CV111" s="24"/>
      <c r="CW111">
        <v>1390000</v>
      </c>
      <c r="CX111">
        <v>1399989</v>
      </c>
      <c r="CY111">
        <v>1390020</v>
      </c>
      <c r="CZ111">
        <v>13380</v>
      </c>
      <c r="DA111">
        <v>43</v>
      </c>
      <c r="DC111" s="24"/>
      <c r="DD111">
        <v>402</v>
      </c>
      <c r="DE111">
        <v>429</v>
      </c>
      <c r="DF111">
        <v>404</v>
      </c>
      <c r="DG111">
        <v>47699838</v>
      </c>
      <c r="DH111">
        <v>176</v>
      </c>
      <c r="DJ111" s="24"/>
      <c r="DK111">
        <v>35000090</v>
      </c>
      <c r="DL111">
        <v>36989989</v>
      </c>
      <c r="DM111">
        <v>35337998</v>
      </c>
      <c r="DN111">
        <v>450</v>
      </c>
      <c r="DO111">
        <v>117</v>
      </c>
      <c r="DQ111" s="24"/>
      <c r="DR111">
        <v>1600237</v>
      </c>
      <c r="DS111">
        <v>1744998</v>
      </c>
      <c r="DT111">
        <v>1625152</v>
      </c>
      <c r="DU111">
        <v>5047</v>
      </c>
      <c r="DV111">
        <v>283</v>
      </c>
      <c r="DX111" s="24"/>
      <c r="DY111">
        <v>18000066</v>
      </c>
      <c r="DZ111">
        <v>19450000</v>
      </c>
      <c r="EA111">
        <v>19300000</v>
      </c>
      <c r="EB111">
        <v>649</v>
      </c>
      <c r="EC111">
        <v>125</v>
      </c>
      <c r="EE111" s="24"/>
      <c r="EF111">
        <v>167</v>
      </c>
      <c r="EG111">
        <v>169</v>
      </c>
      <c r="EH111">
        <v>168</v>
      </c>
      <c r="EI111">
        <v>100731764</v>
      </c>
      <c r="EJ111">
        <v>217</v>
      </c>
      <c r="EL111" s="24"/>
      <c r="EM111">
        <v>46303</v>
      </c>
      <c r="EN111">
        <v>48998</v>
      </c>
      <c r="EO111">
        <v>46510</v>
      </c>
      <c r="EP111">
        <v>89531</v>
      </c>
      <c r="EQ111">
        <v>817</v>
      </c>
      <c r="ES111" s="24"/>
      <c r="ET111">
        <v>401</v>
      </c>
      <c r="EU111">
        <v>447</v>
      </c>
      <c r="EV111">
        <v>440</v>
      </c>
      <c r="EW111">
        <v>66695417</v>
      </c>
      <c r="EX111">
        <v>834</v>
      </c>
      <c r="EZ111" s="24"/>
      <c r="FA111">
        <v>3890000</v>
      </c>
      <c r="FB111">
        <v>3939896</v>
      </c>
      <c r="FC111">
        <v>3890000</v>
      </c>
      <c r="FD111">
        <v>1738</v>
      </c>
      <c r="FE111">
        <v>25</v>
      </c>
      <c r="FG111" s="24"/>
      <c r="FH111">
        <v>8508</v>
      </c>
      <c r="FI111">
        <v>8799</v>
      </c>
      <c r="FJ111">
        <v>8750</v>
      </c>
      <c r="FK111">
        <v>2187373</v>
      </c>
      <c r="FL111">
        <v>578</v>
      </c>
      <c r="FN111" s="24"/>
      <c r="FO111">
        <v>23488</v>
      </c>
      <c r="FP111">
        <v>23499</v>
      </c>
      <c r="FQ111">
        <v>23488</v>
      </c>
      <c r="FR111">
        <v>201268</v>
      </c>
      <c r="FS111">
        <v>89</v>
      </c>
      <c r="FU111" s="24"/>
      <c r="FV111">
        <v>24003</v>
      </c>
      <c r="FW111">
        <v>24698</v>
      </c>
      <c r="FX111">
        <v>24006</v>
      </c>
      <c r="FY111">
        <v>419909</v>
      </c>
      <c r="FZ111">
        <v>1469</v>
      </c>
      <c r="GB111" s="24"/>
      <c r="GC111">
        <v>101008008</v>
      </c>
      <c r="GD111">
        <v>103999200</v>
      </c>
      <c r="GE111">
        <v>101009000</v>
      </c>
      <c r="GF111">
        <v>121</v>
      </c>
      <c r="GG111">
        <v>81</v>
      </c>
      <c r="GI111" s="24"/>
      <c r="GJ111">
        <v>25890006</v>
      </c>
      <c r="GK111">
        <v>28496997</v>
      </c>
      <c r="GL111">
        <v>27999998</v>
      </c>
      <c r="GM111">
        <v>442</v>
      </c>
      <c r="GN111">
        <v>83</v>
      </c>
      <c r="GP111" s="24"/>
      <c r="GQ111">
        <v>89</v>
      </c>
      <c r="GR111">
        <v>93</v>
      </c>
      <c r="GS111">
        <v>90</v>
      </c>
      <c r="GT111">
        <v>222353022</v>
      </c>
      <c r="GU111">
        <v>164</v>
      </c>
      <c r="GW111" s="24"/>
      <c r="GX111">
        <v>390</v>
      </c>
      <c r="GY111">
        <v>395</v>
      </c>
      <c r="GZ111">
        <v>395</v>
      </c>
      <c r="HA111">
        <v>45126377</v>
      </c>
      <c r="HB111">
        <v>260</v>
      </c>
      <c r="HD111" s="24"/>
      <c r="HE111">
        <v>5607</v>
      </c>
      <c r="HF111">
        <v>5750</v>
      </c>
      <c r="HG111">
        <v>5629</v>
      </c>
      <c r="HH111">
        <v>21577866</v>
      </c>
      <c r="HI111">
        <v>290</v>
      </c>
      <c r="HK111" s="24"/>
      <c r="HL111">
        <v>101581030</v>
      </c>
      <c r="HM111">
        <v>105996784</v>
      </c>
      <c r="HN111">
        <v>103341023</v>
      </c>
      <c r="HO111">
        <v>94</v>
      </c>
      <c r="HP111">
        <v>73</v>
      </c>
      <c r="HR111" s="24"/>
      <c r="HS111">
        <v>7577</v>
      </c>
      <c r="HT111">
        <v>7891</v>
      </c>
      <c r="HU111">
        <v>7578</v>
      </c>
      <c r="HV111">
        <v>829455</v>
      </c>
      <c r="HW111">
        <v>156</v>
      </c>
      <c r="HY111" s="24"/>
      <c r="HZ111">
        <v>7955</v>
      </c>
      <c r="IA111">
        <v>8287</v>
      </c>
      <c r="IB111">
        <v>8100</v>
      </c>
      <c r="IC111">
        <v>2735110</v>
      </c>
      <c r="ID111">
        <v>590</v>
      </c>
      <c r="IF111" s="24"/>
      <c r="IG111">
        <v>2691</v>
      </c>
      <c r="IH111">
        <v>2710</v>
      </c>
      <c r="II111">
        <v>2710</v>
      </c>
      <c r="IJ111">
        <v>2318616</v>
      </c>
      <c r="IK111">
        <v>163</v>
      </c>
      <c r="IM111" s="24"/>
      <c r="IN111">
        <v>101000000</v>
      </c>
      <c r="IO111">
        <v>104999800</v>
      </c>
      <c r="IP111">
        <v>102592105</v>
      </c>
      <c r="IQ111">
        <v>78</v>
      </c>
      <c r="IR111">
        <v>70</v>
      </c>
      <c r="IT111" s="24"/>
      <c r="IU111">
        <v>7591</v>
      </c>
      <c r="IV111">
        <v>7592</v>
      </c>
      <c r="IW111">
        <v>7591</v>
      </c>
      <c r="IX111">
        <v>1988745</v>
      </c>
      <c r="IY111">
        <v>179</v>
      </c>
      <c r="JA111" s="24"/>
      <c r="JB111">
        <v>98000000</v>
      </c>
      <c r="JC111">
        <v>103990000</v>
      </c>
      <c r="JD111">
        <v>102500000</v>
      </c>
      <c r="JE111">
        <v>111</v>
      </c>
      <c r="JF111">
        <v>96</v>
      </c>
      <c r="JH111" s="24"/>
      <c r="JI111">
        <v>101999999</v>
      </c>
      <c r="JJ111">
        <v>104100998</v>
      </c>
      <c r="JK111">
        <v>103281207</v>
      </c>
      <c r="JL111">
        <v>83</v>
      </c>
      <c r="JM111">
        <v>61</v>
      </c>
      <c r="JO111" s="24"/>
      <c r="JP111">
        <v>67</v>
      </c>
      <c r="JQ111">
        <v>70</v>
      </c>
      <c r="JR111">
        <v>68</v>
      </c>
      <c r="JS111">
        <v>137579754</v>
      </c>
      <c r="JT111">
        <v>128</v>
      </c>
      <c r="JV111" s="24"/>
      <c r="JW111">
        <v>68</v>
      </c>
      <c r="JX111">
        <v>70</v>
      </c>
      <c r="JY111">
        <v>70</v>
      </c>
      <c r="JZ111">
        <v>149096584</v>
      </c>
      <c r="KA111">
        <v>123</v>
      </c>
      <c r="KC111" s="24"/>
      <c r="KD111">
        <v>22</v>
      </c>
      <c r="KE111">
        <v>23</v>
      </c>
      <c r="KF111">
        <v>22</v>
      </c>
      <c r="KG111">
        <v>63272882</v>
      </c>
      <c r="KH111">
        <v>349</v>
      </c>
      <c r="KJ111" s="24"/>
      <c r="KK111">
        <v>73</v>
      </c>
      <c r="KL111">
        <v>74</v>
      </c>
      <c r="KM111">
        <v>74</v>
      </c>
      <c r="KN111">
        <v>167934850</v>
      </c>
      <c r="KO111">
        <v>143</v>
      </c>
      <c r="KQ111" s="24"/>
      <c r="KR111">
        <v>73115</v>
      </c>
      <c r="KS111">
        <v>83003</v>
      </c>
      <c r="KT111">
        <v>80000</v>
      </c>
      <c r="KU111">
        <v>97620</v>
      </c>
      <c r="KV111">
        <v>771</v>
      </c>
      <c r="KX111" s="24"/>
      <c r="KY111">
        <v>502</v>
      </c>
      <c r="KZ111">
        <v>589</v>
      </c>
      <c r="LA111">
        <v>570</v>
      </c>
      <c r="LB111">
        <v>9740429</v>
      </c>
      <c r="LC111">
        <v>192</v>
      </c>
      <c r="LE111" s="24"/>
      <c r="LF111">
        <v>192055</v>
      </c>
      <c r="LG111">
        <v>198055</v>
      </c>
      <c r="LH111">
        <v>193502</v>
      </c>
      <c r="LI111">
        <v>122479</v>
      </c>
      <c r="LJ111">
        <v>1104</v>
      </c>
      <c r="LL111" s="24"/>
      <c r="LM111">
        <v>76205</v>
      </c>
      <c r="LN111">
        <v>78594</v>
      </c>
      <c r="LO111">
        <v>76235</v>
      </c>
      <c r="LP111">
        <v>430329</v>
      </c>
      <c r="LQ111">
        <v>1529</v>
      </c>
      <c r="LS111" s="24"/>
      <c r="LT111">
        <v>298</v>
      </c>
      <c r="LU111">
        <v>299</v>
      </c>
      <c r="LV111">
        <v>299</v>
      </c>
      <c r="LW111">
        <v>117991321</v>
      </c>
      <c r="LX111">
        <v>419</v>
      </c>
      <c r="LZ111" s="24"/>
      <c r="MA111">
        <v>98990</v>
      </c>
      <c r="MB111">
        <v>100773</v>
      </c>
      <c r="MC111">
        <v>99265</v>
      </c>
      <c r="MD111">
        <v>1679158</v>
      </c>
      <c r="ME111">
        <v>98</v>
      </c>
    </row>
    <row r="112" spans="2:343" x14ac:dyDescent="0.25">
      <c r="B112" s="24"/>
      <c r="C112">
        <v>3</v>
      </c>
      <c r="D112">
        <v>3</v>
      </c>
      <c r="E112">
        <v>3</v>
      </c>
      <c r="F112">
        <v>33544676581</v>
      </c>
      <c r="G112">
        <v>3016</v>
      </c>
      <c r="I112" s="24"/>
      <c r="J112">
        <v>4</v>
      </c>
      <c r="K112">
        <v>5</v>
      </c>
      <c r="L112">
        <v>4</v>
      </c>
      <c r="M112">
        <v>6838552140</v>
      </c>
      <c r="N112">
        <v>2128</v>
      </c>
      <c r="P112" s="24"/>
      <c r="Q112">
        <v>29</v>
      </c>
      <c r="R112">
        <v>29</v>
      </c>
      <c r="S112">
        <v>29</v>
      </c>
      <c r="T112">
        <v>2234246952</v>
      </c>
      <c r="U112">
        <v>1988</v>
      </c>
      <c r="W112" s="24"/>
      <c r="X112">
        <v>77</v>
      </c>
      <c r="Y112">
        <v>82</v>
      </c>
      <c r="Z112">
        <v>80</v>
      </c>
      <c r="AA112">
        <v>559417782</v>
      </c>
      <c r="AB112">
        <v>1541</v>
      </c>
      <c r="AD112" s="24"/>
      <c r="AE112">
        <v>530</v>
      </c>
      <c r="AF112">
        <v>538</v>
      </c>
      <c r="AG112">
        <v>533</v>
      </c>
      <c r="AH112">
        <v>166727428</v>
      </c>
      <c r="AI112">
        <v>1642</v>
      </c>
      <c r="AK112" s="24"/>
      <c r="AL112">
        <v>940</v>
      </c>
      <c r="AM112">
        <v>977</v>
      </c>
      <c r="AN112">
        <v>955</v>
      </c>
      <c r="AO112">
        <v>46770290</v>
      </c>
      <c r="AP112">
        <v>1214</v>
      </c>
      <c r="AR112" s="24"/>
      <c r="AS112">
        <v>2740</v>
      </c>
      <c r="AT112">
        <v>2798</v>
      </c>
      <c r="AU112">
        <v>2742</v>
      </c>
      <c r="AV112">
        <v>17194697</v>
      </c>
      <c r="AW112">
        <v>1133</v>
      </c>
      <c r="AY112" s="24"/>
      <c r="AZ112">
        <v>356601000</v>
      </c>
      <c r="BA112">
        <v>363299999</v>
      </c>
      <c r="BB112">
        <v>359099997</v>
      </c>
      <c r="BC112">
        <v>1915</v>
      </c>
      <c r="BD112">
        <v>1387</v>
      </c>
      <c r="BF112" s="24"/>
      <c r="BG112">
        <v>26501</v>
      </c>
      <c r="BH112">
        <v>26501</v>
      </c>
      <c r="BI112">
        <v>26501</v>
      </c>
      <c r="BJ112">
        <v>2775805</v>
      </c>
      <c r="BK112">
        <v>202</v>
      </c>
      <c r="BM112" s="24"/>
      <c r="BN112">
        <v>6786888</v>
      </c>
      <c r="BO112">
        <v>6799079</v>
      </c>
      <c r="BP112">
        <v>6787009</v>
      </c>
      <c r="BQ112">
        <v>9346</v>
      </c>
      <c r="BR112">
        <v>315</v>
      </c>
      <c r="BT112" s="24"/>
      <c r="BU112">
        <v>2124</v>
      </c>
      <c r="BV112">
        <v>2274</v>
      </c>
      <c r="BW112">
        <v>2183</v>
      </c>
      <c r="BX112">
        <v>48611204</v>
      </c>
      <c r="BY112">
        <v>354</v>
      </c>
      <c r="CA112" s="24"/>
      <c r="CB112">
        <v>324</v>
      </c>
      <c r="CC112">
        <v>326</v>
      </c>
      <c r="CD112">
        <v>326</v>
      </c>
      <c r="CE112">
        <v>59062296</v>
      </c>
      <c r="CF112">
        <v>274</v>
      </c>
      <c r="CH112" s="24"/>
      <c r="CI112">
        <v>25004</v>
      </c>
      <c r="CJ112">
        <v>25010</v>
      </c>
      <c r="CK112">
        <v>25004</v>
      </c>
      <c r="CL112">
        <v>749244</v>
      </c>
      <c r="CM112">
        <v>148</v>
      </c>
      <c r="CO112" s="24"/>
      <c r="CP112">
        <v>8400</v>
      </c>
      <c r="CQ112">
        <v>8748</v>
      </c>
      <c r="CR112">
        <v>8723</v>
      </c>
      <c r="CS112">
        <v>1238153</v>
      </c>
      <c r="CT112">
        <v>442</v>
      </c>
      <c r="CV112" s="24"/>
      <c r="CW112">
        <v>1449004</v>
      </c>
      <c r="CX112">
        <v>1449007</v>
      </c>
      <c r="CY112">
        <v>1449006</v>
      </c>
      <c r="CZ112">
        <v>5920</v>
      </c>
      <c r="DA112">
        <v>34</v>
      </c>
      <c r="DC112" s="24"/>
      <c r="DD112">
        <v>400</v>
      </c>
      <c r="DE112">
        <v>427</v>
      </c>
      <c r="DF112">
        <v>421</v>
      </c>
      <c r="DG112">
        <v>38896022</v>
      </c>
      <c r="DH112">
        <v>182</v>
      </c>
      <c r="DJ112" s="24"/>
      <c r="DK112">
        <v>35505000</v>
      </c>
      <c r="DL112">
        <v>36199999</v>
      </c>
      <c r="DM112">
        <v>35505010</v>
      </c>
      <c r="DN112">
        <v>455</v>
      </c>
      <c r="DO112">
        <v>89</v>
      </c>
      <c r="DQ112" s="24"/>
      <c r="DR112">
        <v>1627167</v>
      </c>
      <c r="DS112">
        <v>1627256</v>
      </c>
      <c r="DT112">
        <v>1627175</v>
      </c>
      <c r="DU112">
        <v>6018</v>
      </c>
      <c r="DV112">
        <v>224</v>
      </c>
      <c r="DX112" s="24"/>
      <c r="DY112">
        <v>18600000</v>
      </c>
      <c r="DZ112">
        <v>18600999</v>
      </c>
      <c r="EA112">
        <v>18600000</v>
      </c>
      <c r="EB112">
        <v>447</v>
      </c>
      <c r="EC112">
        <v>120</v>
      </c>
      <c r="EE112" s="24"/>
      <c r="EF112">
        <v>166</v>
      </c>
      <c r="EG112">
        <v>170</v>
      </c>
      <c r="EH112">
        <v>167</v>
      </c>
      <c r="EI112">
        <v>79498894</v>
      </c>
      <c r="EJ112">
        <v>167</v>
      </c>
      <c r="EL112" s="24"/>
      <c r="EM112">
        <v>48008</v>
      </c>
      <c r="EN112">
        <v>50000</v>
      </c>
      <c r="EO112">
        <v>48524</v>
      </c>
      <c r="EP112">
        <v>79752</v>
      </c>
      <c r="EQ112">
        <v>705</v>
      </c>
      <c r="ES112" s="24"/>
      <c r="ET112">
        <v>444</v>
      </c>
      <c r="EU112">
        <v>446</v>
      </c>
      <c r="EV112">
        <v>445</v>
      </c>
      <c r="EW112">
        <v>29288701</v>
      </c>
      <c r="EX112">
        <v>632</v>
      </c>
      <c r="EZ112" s="24"/>
      <c r="FA112">
        <v>3870000</v>
      </c>
      <c r="FB112">
        <v>5499988</v>
      </c>
      <c r="FC112">
        <v>3988888</v>
      </c>
      <c r="FD112">
        <v>1620</v>
      </c>
      <c r="FE112">
        <v>39</v>
      </c>
      <c r="FG112" s="24"/>
      <c r="FH112">
        <v>8387</v>
      </c>
      <c r="FI112">
        <v>8809</v>
      </c>
      <c r="FJ112">
        <v>8509</v>
      </c>
      <c r="FK112">
        <v>1845430</v>
      </c>
      <c r="FL112">
        <v>499</v>
      </c>
      <c r="FN112" s="24"/>
      <c r="FO112">
        <v>23488</v>
      </c>
      <c r="FP112">
        <v>23488</v>
      </c>
      <c r="FQ112">
        <v>23488</v>
      </c>
      <c r="FR112">
        <v>90258</v>
      </c>
      <c r="FS112">
        <v>76</v>
      </c>
      <c r="FU112" s="24"/>
      <c r="FV112">
        <v>24029</v>
      </c>
      <c r="FW112">
        <v>24300</v>
      </c>
      <c r="FX112">
        <v>24032</v>
      </c>
      <c r="FY112">
        <v>340893</v>
      </c>
      <c r="FZ112">
        <v>1225</v>
      </c>
      <c r="GB112" s="24"/>
      <c r="GC112">
        <v>95170001</v>
      </c>
      <c r="GD112">
        <v>104998149</v>
      </c>
      <c r="GE112">
        <v>101530480</v>
      </c>
      <c r="GF112">
        <v>67</v>
      </c>
      <c r="GG112">
        <v>57</v>
      </c>
      <c r="GI112" s="24"/>
      <c r="GJ112">
        <v>26000020</v>
      </c>
      <c r="GK112">
        <v>26000101</v>
      </c>
      <c r="GL112">
        <v>26000100</v>
      </c>
      <c r="GM112">
        <v>409</v>
      </c>
      <c r="GN112">
        <v>67</v>
      </c>
      <c r="GP112" s="24"/>
      <c r="GQ112">
        <v>83</v>
      </c>
      <c r="GR112">
        <v>89</v>
      </c>
      <c r="GS112">
        <v>86</v>
      </c>
      <c r="GT112">
        <v>102423235</v>
      </c>
      <c r="GU112">
        <v>143</v>
      </c>
      <c r="GW112" s="24"/>
      <c r="GX112">
        <v>395</v>
      </c>
      <c r="GY112">
        <v>396</v>
      </c>
      <c r="GZ112">
        <v>396</v>
      </c>
      <c r="HA112">
        <v>43507504</v>
      </c>
      <c r="HB112">
        <v>198</v>
      </c>
      <c r="HD112" s="24"/>
      <c r="HE112">
        <v>5620</v>
      </c>
      <c r="HF112">
        <v>5792</v>
      </c>
      <c r="HG112">
        <v>5621</v>
      </c>
      <c r="HH112">
        <v>17859021</v>
      </c>
      <c r="HI112">
        <v>281</v>
      </c>
      <c r="HK112" s="24"/>
      <c r="HL112">
        <v>98520006</v>
      </c>
      <c r="HM112">
        <v>104995180</v>
      </c>
      <c r="HN112">
        <v>102229817</v>
      </c>
      <c r="HO112">
        <v>79</v>
      </c>
      <c r="HP112">
        <v>61</v>
      </c>
      <c r="HR112" s="24"/>
      <c r="HS112">
        <v>7791</v>
      </c>
      <c r="HT112">
        <v>7873</v>
      </c>
      <c r="HU112">
        <v>7869</v>
      </c>
      <c r="HV112">
        <v>1014189</v>
      </c>
      <c r="HW112">
        <v>179</v>
      </c>
      <c r="HY112" s="24"/>
      <c r="HZ112">
        <v>7750</v>
      </c>
      <c r="IA112">
        <v>8070</v>
      </c>
      <c r="IB112">
        <v>8000</v>
      </c>
      <c r="IC112">
        <v>1883718</v>
      </c>
      <c r="ID112">
        <v>533</v>
      </c>
      <c r="IF112" s="24"/>
      <c r="IG112">
        <v>2699</v>
      </c>
      <c r="IH112">
        <v>2699</v>
      </c>
      <c r="II112">
        <v>2699</v>
      </c>
      <c r="IJ112">
        <v>2445662</v>
      </c>
      <c r="IK112">
        <v>136</v>
      </c>
      <c r="IM112" s="24"/>
      <c r="IN112">
        <v>99116000</v>
      </c>
      <c r="IO112">
        <v>104999200</v>
      </c>
      <c r="IP112">
        <v>102467767</v>
      </c>
      <c r="IQ112">
        <v>68</v>
      </c>
      <c r="IR112">
        <v>51</v>
      </c>
      <c r="IT112" s="24"/>
      <c r="IU112">
        <v>7468</v>
      </c>
      <c r="IV112">
        <v>7588</v>
      </c>
      <c r="IW112">
        <v>7586</v>
      </c>
      <c r="IX112">
        <v>1194955</v>
      </c>
      <c r="IY112">
        <v>147</v>
      </c>
      <c r="JA112" s="24"/>
      <c r="JB112">
        <v>97006800</v>
      </c>
      <c r="JC112">
        <v>102997600</v>
      </c>
      <c r="JD112">
        <v>97169033</v>
      </c>
      <c r="JE112">
        <v>104</v>
      </c>
      <c r="JF112">
        <v>71</v>
      </c>
      <c r="JH112" s="24"/>
      <c r="JI112">
        <v>102000800</v>
      </c>
      <c r="JJ112">
        <v>104999200</v>
      </c>
      <c r="JK112">
        <v>102684942</v>
      </c>
      <c r="JL112">
        <v>55</v>
      </c>
      <c r="JM112">
        <v>41</v>
      </c>
      <c r="JO112" s="24"/>
      <c r="JP112">
        <v>67</v>
      </c>
      <c r="JQ112">
        <v>70</v>
      </c>
      <c r="JR112">
        <v>69</v>
      </c>
      <c r="JS112">
        <v>72728865</v>
      </c>
      <c r="JT112">
        <v>95</v>
      </c>
      <c r="JV112" s="24"/>
      <c r="JW112">
        <v>68</v>
      </c>
      <c r="JX112">
        <v>70</v>
      </c>
      <c r="JY112">
        <v>68</v>
      </c>
      <c r="JZ112">
        <v>109359744</v>
      </c>
      <c r="KA112">
        <v>83</v>
      </c>
      <c r="KC112" s="24"/>
      <c r="KD112">
        <v>22</v>
      </c>
      <c r="KE112">
        <v>24</v>
      </c>
      <c r="KF112">
        <v>23</v>
      </c>
      <c r="KG112">
        <v>36677075</v>
      </c>
      <c r="KH112">
        <v>356</v>
      </c>
      <c r="KJ112" s="24"/>
      <c r="KK112">
        <v>70</v>
      </c>
      <c r="KL112">
        <v>74</v>
      </c>
      <c r="KM112">
        <v>70</v>
      </c>
      <c r="KN112">
        <v>125779732</v>
      </c>
      <c r="KO112">
        <v>119</v>
      </c>
      <c r="KQ112" s="24"/>
      <c r="KR112">
        <v>76005</v>
      </c>
      <c r="KS112">
        <v>76600</v>
      </c>
      <c r="KT112">
        <v>76526</v>
      </c>
      <c r="KU112">
        <v>51706</v>
      </c>
      <c r="KV112">
        <v>610</v>
      </c>
      <c r="KX112" s="24"/>
      <c r="KY112">
        <v>569</v>
      </c>
      <c r="KZ112">
        <v>569</v>
      </c>
      <c r="LA112">
        <v>569</v>
      </c>
      <c r="LB112">
        <v>3767701</v>
      </c>
      <c r="LC112">
        <v>193</v>
      </c>
      <c r="LE112" s="24"/>
      <c r="LF112">
        <v>192091</v>
      </c>
      <c r="LG112">
        <v>195001</v>
      </c>
      <c r="LH112">
        <v>193600</v>
      </c>
      <c r="LI112">
        <v>97682</v>
      </c>
      <c r="LJ112">
        <v>885</v>
      </c>
      <c r="LL112" s="24"/>
      <c r="LM112">
        <v>77152</v>
      </c>
      <c r="LN112">
        <v>77887</v>
      </c>
      <c r="LO112">
        <v>77529</v>
      </c>
      <c r="LP112">
        <v>327516</v>
      </c>
      <c r="LQ112">
        <v>1226</v>
      </c>
      <c r="LS112" s="24"/>
      <c r="LT112">
        <v>304</v>
      </c>
      <c r="LU112">
        <v>311</v>
      </c>
      <c r="LV112">
        <v>305</v>
      </c>
      <c r="LW112">
        <v>106345366</v>
      </c>
      <c r="LX112">
        <v>393</v>
      </c>
      <c r="LZ112" s="24"/>
      <c r="MA112">
        <v>99288</v>
      </c>
      <c r="MB112">
        <v>103948</v>
      </c>
      <c r="MC112">
        <v>102005</v>
      </c>
      <c r="MD112">
        <v>613362</v>
      </c>
      <c r="ME112">
        <v>77</v>
      </c>
    </row>
    <row r="113" spans="2:343" x14ac:dyDescent="0.25">
      <c r="B113" s="24"/>
      <c r="C113">
        <v>3</v>
      </c>
      <c r="D113">
        <v>3</v>
      </c>
      <c r="E113">
        <v>3</v>
      </c>
      <c r="F113">
        <v>26352849254</v>
      </c>
      <c r="G113">
        <v>2756</v>
      </c>
      <c r="I113" s="24"/>
      <c r="J113">
        <v>4</v>
      </c>
      <c r="K113">
        <v>4</v>
      </c>
      <c r="L113">
        <v>4</v>
      </c>
      <c r="M113">
        <v>5607054574</v>
      </c>
      <c r="N113">
        <v>1912</v>
      </c>
      <c r="P113" s="24"/>
      <c r="Q113">
        <v>28</v>
      </c>
      <c r="R113">
        <v>29</v>
      </c>
      <c r="S113">
        <v>29</v>
      </c>
      <c r="T113">
        <v>1793008667</v>
      </c>
      <c r="U113">
        <v>1795</v>
      </c>
      <c r="W113" s="24"/>
      <c r="X113">
        <v>79</v>
      </c>
      <c r="Y113">
        <v>82</v>
      </c>
      <c r="Z113">
        <v>81</v>
      </c>
      <c r="AA113">
        <v>405130292</v>
      </c>
      <c r="AB113">
        <v>1481</v>
      </c>
      <c r="AD113" s="24"/>
      <c r="AE113">
        <v>515</v>
      </c>
      <c r="AF113">
        <v>537</v>
      </c>
      <c r="AG113">
        <v>520</v>
      </c>
      <c r="AH113">
        <v>107317426</v>
      </c>
      <c r="AI113">
        <v>1598</v>
      </c>
      <c r="AK113" s="24"/>
      <c r="AL113">
        <v>974</v>
      </c>
      <c r="AM113">
        <v>980</v>
      </c>
      <c r="AN113">
        <v>974</v>
      </c>
      <c r="AO113">
        <v>29769957</v>
      </c>
      <c r="AP113">
        <v>1183</v>
      </c>
      <c r="AR113" s="24"/>
      <c r="AS113">
        <v>2725</v>
      </c>
      <c r="AT113">
        <v>2798</v>
      </c>
      <c r="AU113">
        <v>2779</v>
      </c>
      <c r="AV113">
        <v>14351496</v>
      </c>
      <c r="AW113">
        <v>1167</v>
      </c>
      <c r="AY113" s="24"/>
      <c r="AZ113">
        <v>355800000</v>
      </c>
      <c r="BA113">
        <v>361999999</v>
      </c>
      <c r="BB113">
        <v>357999989</v>
      </c>
      <c r="BC113">
        <v>2116</v>
      </c>
      <c r="BD113">
        <v>1496</v>
      </c>
      <c r="BF113" s="24"/>
      <c r="BG113">
        <v>26500</v>
      </c>
      <c r="BH113">
        <v>27499</v>
      </c>
      <c r="BI113">
        <v>26500</v>
      </c>
      <c r="BJ113">
        <v>1536590</v>
      </c>
      <c r="BK113">
        <v>180</v>
      </c>
      <c r="BM113" s="24"/>
      <c r="BN113">
        <v>6810004</v>
      </c>
      <c r="BO113">
        <v>6825017</v>
      </c>
      <c r="BP113">
        <v>6811010</v>
      </c>
      <c r="BQ113">
        <v>5848</v>
      </c>
      <c r="BR113">
        <v>274</v>
      </c>
      <c r="BT113" s="24"/>
      <c r="BU113">
        <v>2120</v>
      </c>
      <c r="BV113">
        <v>2192</v>
      </c>
      <c r="BW113">
        <v>2191</v>
      </c>
      <c r="BX113">
        <v>15315269</v>
      </c>
      <c r="BY113">
        <v>245</v>
      </c>
      <c r="CA113" s="24"/>
      <c r="CB113">
        <v>322</v>
      </c>
      <c r="CC113">
        <v>326</v>
      </c>
      <c r="CD113">
        <v>325</v>
      </c>
      <c r="CE113">
        <v>70792696</v>
      </c>
      <c r="CF113">
        <v>298</v>
      </c>
      <c r="CH113" s="24"/>
      <c r="CI113">
        <v>25010</v>
      </c>
      <c r="CJ113">
        <v>26500</v>
      </c>
      <c r="CK113">
        <v>26399</v>
      </c>
      <c r="CL113">
        <v>486365</v>
      </c>
      <c r="CM113">
        <v>143</v>
      </c>
      <c r="CO113" s="24"/>
      <c r="CP113">
        <v>8561</v>
      </c>
      <c r="CQ113">
        <v>8914</v>
      </c>
      <c r="CR113">
        <v>8850</v>
      </c>
      <c r="CS113">
        <v>1159495</v>
      </c>
      <c r="CT113">
        <v>404</v>
      </c>
      <c r="CV113" s="24"/>
      <c r="CW113">
        <v>1352500</v>
      </c>
      <c r="CX113">
        <v>1433998</v>
      </c>
      <c r="CY113">
        <v>1369117</v>
      </c>
      <c r="CZ113">
        <v>11615</v>
      </c>
      <c r="DA113">
        <v>52</v>
      </c>
      <c r="DC113" s="24"/>
      <c r="DD113">
        <v>400</v>
      </c>
      <c r="DE113">
        <v>420</v>
      </c>
      <c r="DF113">
        <v>419</v>
      </c>
      <c r="DG113">
        <v>37253947</v>
      </c>
      <c r="DH113">
        <v>200</v>
      </c>
      <c r="DJ113" s="24"/>
      <c r="DK113">
        <v>35507067</v>
      </c>
      <c r="DL113">
        <v>36500000</v>
      </c>
      <c r="DM113">
        <v>35507093</v>
      </c>
      <c r="DN113">
        <v>331</v>
      </c>
      <c r="DO113">
        <v>80</v>
      </c>
      <c r="DQ113" s="24"/>
      <c r="DR113">
        <v>1628001</v>
      </c>
      <c r="DS113">
        <v>1699994</v>
      </c>
      <c r="DT113">
        <v>1679498</v>
      </c>
      <c r="DU113">
        <v>6286</v>
      </c>
      <c r="DV113">
        <v>233</v>
      </c>
      <c r="DX113" s="24"/>
      <c r="DY113">
        <v>18001012</v>
      </c>
      <c r="DZ113">
        <v>18849999</v>
      </c>
      <c r="EA113">
        <v>18010022</v>
      </c>
      <c r="EB113">
        <v>588</v>
      </c>
      <c r="EC113">
        <v>126</v>
      </c>
      <c r="EE113" s="24"/>
      <c r="EF113">
        <v>165</v>
      </c>
      <c r="EG113">
        <v>170</v>
      </c>
      <c r="EH113">
        <v>170</v>
      </c>
      <c r="EI113">
        <v>90868532</v>
      </c>
      <c r="EJ113">
        <v>188</v>
      </c>
      <c r="EL113" s="24"/>
      <c r="EM113">
        <v>50001</v>
      </c>
      <c r="EN113">
        <v>51998</v>
      </c>
      <c r="EO113">
        <v>50500</v>
      </c>
      <c r="EP113">
        <v>86616</v>
      </c>
      <c r="EQ113">
        <v>642</v>
      </c>
      <c r="ES113" s="24"/>
      <c r="ET113">
        <v>429</v>
      </c>
      <c r="EU113">
        <v>445</v>
      </c>
      <c r="EV113">
        <v>442</v>
      </c>
      <c r="EW113">
        <v>52782145</v>
      </c>
      <c r="EX113">
        <v>600</v>
      </c>
      <c r="EZ113" s="24"/>
      <c r="FA113">
        <v>3824001</v>
      </c>
      <c r="FB113">
        <v>4800000</v>
      </c>
      <c r="FC113">
        <v>4300001</v>
      </c>
      <c r="FD113">
        <v>1426</v>
      </c>
      <c r="FE113">
        <v>43</v>
      </c>
      <c r="FG113" s="24"/>
      <c r="FH113">
        <v>8000</v>
      </c>
      <c r="FI113">
        <v>8387</v>
      </c>
      <c r="FJ113">
        <v>8210</v>
      </c>
      <c r="FK113">
        <v>1835560</v>
      </c>
      <c r="FL113">
        <v>486</v>
      </c>
      <c r="FN113" s="24"/>
      <c r="FO113">
        <v>22504</v>
      </c>
      <c r="FP113">
        <v>23387</v>
      </c>
      <c r="FQ113">
        <v>23386</v>
      </c>
      <c r="FR113">
        <v>111421</v>
      </c>
      <c r="FS113">
        <v>81</v>
      </c>
      <c r="FU113" s="24"/>
      <c r="FV113">
        <v>23510</v>
      </c>
      <c r="FW113">
        <v>23516</v>
      </c>
      <c r="FX113">
        <v>23511</v>
      </c>
      <c r="FY113">
        <v>328363</v>
      </c>
      <c r="FZ113">
        <v>1176</v>
      </c>
      <c r="GB113" s="24"/>
      <c r="GC113">
        <v>102000200</v>
      </c>
      <c r="GD113">
        <v>104495000</v>
      </c>
      <c r="GE113">
        <v>102898015</v>
      </c>
      <c r="GF113">
        <v>77</v>
      </c>
      <c r="GG113">
        <v>54</v>
      </c>
      <c r="GI113" s="24"/>
      <c r="GJ113">
        <v>26000350</v>
      </c>
      <c r="GK113">
        <v>27000000</v>
      </c>
      <c r="GL113">
        <v>26500001</v>
      </c>
      <c r="GM113">
        <v>342</v>
      </c>
      <c r="GN113">
        <v>69</v>
      </c>
      <c r="GP113" s="24"/>
      <c r="GQ113">
        <v>84</v>
      </c>
      <c r="GR113">
        <v>89</v>
      </c>
      <c r="GS113">
        <v>88</v>
      </c>
      <c r="GT113">
        <v>101501744</v>
      </c>
      <c r="GU113">
        <v>147</v>
      </c>
      <c r="GW113" s="24"/>
      <c r="GX113">
        <v>372</v>
      </c>
      <c r="GY113">
        <v>395</v>
      </c>
      <c r="GZ113">
        <v>387</v>
      </c>
      <c r="HA113">
        <v>63138422</v>
      </c>
      <c r="HB113">
        <v>254</v>
      </c>
      <c r="HD113" s="24"/>
      <c r="HE113">
        <v>5770</v>
      </c>
      <c r="HF113">
        <v>5776</v>
      </c>
      <c r="HG113">
        <v>5770</v>
      </c>
      <c r="HH113">
        <v>15533929</v>
      </c>
      <c r="HI113">
        <v>252</v>
      </c>
      <c r="HK113" s="24"/>
      <c r="HL113">
        <v>101600400</v>
      </c>
      <c r="HM113">
        <v>103495190</v>
      </c>
      <c r="HN113">
        <v>102248954</v>
      </c>
      <c r="HO113">
        <v>75</v>
      </c>
      <c r="HP113">
        <v>52</v>
      </c>
      <c r="HR113" s="24"/>
      <c r="HS113">
        <v>7580</v>
      </c>
      <c r="HT113">
        <v>7873</v>
      </c>
      <c r="HU113">
        <v>7873</v>
      </c>
      <c r="HV113">
        <v>1312574</v>
      </c>
      <c r="HW113">
        <v>156</v>
      </c>
      <c r="HY113" s="24"/>
      <c r="HZ113">
        <v>7750</v>
      </c>
      <c r="IA113">
        <v>8065</v>
      </c>
      <c r="IB113">
        <v>8025</v>
      </c>
      <c r="IC113">
        <v>1830340</v>
      </c>
      <c r="ID113">
        <v>500</v>
      </c>
      <c r="IF113" s="24"/>
      <c r="IG113">
        <v>2803</v>
      </c>
      <c r="IH113">
        <v>3120</v>
      </c>
      <c r="II113">
        <v>3000</v>
      </c>
      <c r="IJ113">
        <v>1899303</v>
      </c>
      <c r="IK113">
        <v>130</v>
      </c>
      <c r="IM113" s="24"/>
      <c r="IN113">
        <v>100000000</v>
      </c>
      <c r="IO113">
        <v>106200200</v>
      </c>
      <c r="IP113">
        <v>104000400</v>
      </c>
      <c r="IQ113">
        <v>146</v>
      </c>
      <c r="IR113">
        <v>93</v>
      </c>
      <c r="IT113" s="24"/>
      <c r="IU113">
        <v>7470</v>
      </c>
      <c r="IV113">
        <v>7549</v>
      </c>
      <c r="IW113">
        <v>7549</v>
      </c>
      <c r="IX113">
        <v>1592310</v>
      </c>
      <c r="IY113">
        <v>155</v>
      </c>
      <c r="JA113" s="24"/>
      <c r="JB113">
        <v>98200001</v>
      </c>
      <c r="JC113">
        <v>102200400</v>
      </c>
      <c r="JD113">
        <v>100695774</v>
      </c>
      <c r="JE113">
        <v>97</v>
      </c>
      <c r="JF113">
        <v>72</v>
      </c>
      <c r="JH113" s="24"/>
      <c r="JI113">
        <v>102001201</v>
      </c>
      <c r="JJ113">
        <v>104663380</v>
      </c>
      <c r="JK113">
        <v>103100794</v>
      </c>
      <c r="JL113">
        <v>56</v>
      </c>
      <c r="JM113">
        <v>39</v>
      </c>
      <c r="JO113" s="24"/>
      <c r="JP113">
        <v>69</v>
      </c>
      <c r="JQ113">
        <v>69</v>
      </c>
      <c r="JR113">
        <v>69</v>
      </c>
      <c r="JS113">
        <v>90869079</v>
      </c>
      <c r="JT113">
        <v>93</v>
      </c>
      <c r="JV113" s="24"/>
      <c r="JW113">
        <v>68</v>
      </c>
      <c r="JX113">
        <v>70</v>
      </c>
      <c r="JY113">
        <v>70</v>
      </c>
      <c r="JZ113">
        <v>131054626</v>
      </c>
      <c r="KA113">
        <v>124</v>
      </c>
      <c r="KC113" s="24"/>
      <c r="KD113">
        <v>22</v>
      </c>
      <c r="KE113">
        <v>24</v>
      </c>
      <c r="KF113">
        <v>24</v>
      </c>
      <c r="KG113">
        <v>43786698</v>
      </c>
      <c r="KH113">
        <v>317</v>
      </c>
      <c r="KJ113" s="24"/>
      <c r="KK113">
        <v>70</v>
      </c>
      <c r="KL113">
        <v>73</v>
      </c>
      <c r="KM113">
        <v>72</v>
      </c>
      <c r="KN113">
        <v>152557438</v>
      </c>
      <c r="KO113">
        <v>139</v>
      </c>
      <c r="KQ113" s="24"/>
      <c r="KR113">
        <v>77021</v>
      </c>
      <c r="KS113">
        <v>83092</v>
      </c>
      <c r="KT113">
        <v>79999</v>
      </c>
      <c r="KU113">
        <v>95649</v>
      </c>
      <c r="KV113">
        <v>626</v>
      </c>
      <c r="KX113" s="24"/>
      <c r="KY113">
        <v>569</v>
      </c>
      <c r="KZ113">
        <v>579</v>
      </c>
      <c r="LA113">
        <v>569</v>
      </c>
      <c r="LB113">
        <v>6149337</v>
      </c>
      <c r="LC113">
        <v>187</v>
      </c>
      <c r="LE113" s="24"/>
      <c r="LF113">
        <v>192506</v>
      </c>
      <c r="LG113">
        <v>194503</v>
      </c>
      <c r="LH113">
        <v>193300</v>
      </c>
      <c r="LI113">
        <v>92072</v>
      </c>
      <c r="LJ113">
        <v>872</v>
      </c>
      <c r="LL113" s="24"/>
      <c r="LM113">
        <v>77535</v>
      </c>
      <c r="LN113">
        <v>80500</v>
      </c>
      <c r="LO113">
        <v>80000</v>
      </c>
      <c r="LP113">
        <v>353187</v>
      </c>
      <c r="LQ113">
        <v>1236</v>
      </c>
      <c r="LS113" s="24"/>
      <c r="LT113">
        <v>311</v>
      </c>
      <c r="LU113">
        <v>311</v>
      </c>
      <c r="LV113">
        <v>311</v>
      </c>
      <c r="LW113">
        <v>66988731</v>
      </c>
      <c r="LX113">
        <v>298</v>
      </c>
      <c r="LZ113" s="24"/>
      <c r="MA113">
        <v>100022</v>
      </c>
      <c r="MB113">
        <v>103489</v>
      </c>
      <c r="MC113">
        <v>102003</v>
      </c>
      <c r="MD113">
        <v>1086437</v>
      </c>
      <c r="ME113">
        <v>138</v>
      </c>
    </row>
    <row r="114" spans="2:343" x14ac:dyDescent="0.25">
      <c r="B114" s="24"/>
      <c r="C114">
        <v>3</v>
      </c>
      <c r="D114">
        <v>3</v>
      </c>
      <c r="E114">
        <v>3</v>
      </c>
      <c r="F114">
        <v>29655965469</v>
      </c>
      <c r="G114">
        <v>2838</v>
      </c>
      <c r="I114" s="24"/>
      <c r="J114">
        <v>4</v>
      </c>
      <c r="K114">
        <v>4</v>
      </c>
      <c r="L114">
        <v>4</v>
      </c>
      <c r="M114">
        <v>8442480512</v>
      </c>
      <c r="N114">
        <v>1898</v>
      </c>
      <c r="P114" s="24"/>
      <c r="Q114">
        <v>29</v>
      </c>
      <c r="R114">
        <v>29</v>
      </c>
      <c r="S114">
        <v>29</v>
      </c>
      <c r="T114">
        <v>2908442563</v>
      </c>
      <c r="U114">
        <v>1808</v>
      </c>
      <c r="W114" s="24"/>
      <c r="X114">
        <v>82</v>
      </c>
      <c r="Y114">
        <v>84</v>
      </c>
      <c r="Z114">
        <v>82</v>
      </c>
      <c r="AA114">
        <v>422888009</v>
      </c>
      <c r="AB114">
        <v>1473</v>
      </c>
      <c r="AD114" s="24"/>
      <c r="AE114">
        <v>526</v>
      </c>
      <c r="AF114">
        <v>545</v>
      </c>
      <c r="AG114">
        <v>540</v>
      </c>
      <c r="AH114">
        <v>93349135</v>
      </c>
      <c r="AI114">
        <v>1472</v>
      </c>
      <c r="AK114" s="24"/>
      <c r="AL114">
        <v>958</v>
      </c>
      <c r="AM114">
        <v>989</v>
      </c>
      <c r="AN114">
        <v>975</v>
      </c>
      <c r="AO114">
        <v>25989655</v>
      </c>
      <c r="AP114">
        <v>1112</v>
      </c>
      <c r="AR114" s="24"/>
      <c r="AS114">
        <v>2718</v>
      </c>
      <c r="AT114">
        <v>2820</v>
      </c>
      <c r="AU114">
        <v>2725</v>
      </c>
      <c r="AV114">
        <v>15525357</v>
      </c>
      <c r="AW114">
        <v>1148</v>
      </c>
      <c r="AY114" s="24"/>
      <c r="AZ114">
        <v>356100001</v>
      </c>
      <c r="BA114">
        <v>362409799</v>
      </c>
      <c r="BB114">
        <v>360999999</v>
      </c>
      <c r="BC114">
        <v>1897</v>
      </c>
      <c r="BD114">
        <v>1321</v>
      </c>
      <c r="BF114" s="24"/>
      <c r="BG114">
        <v>25505</v>
      </c>
      <c r="BH114">
        <v>26000</v>
      </c>
      <c r="BI114">
        <v>25602</v>
      </c>
      <c r="BJ114">
        <v>1864310</v>
      </c>
      <c r="BK114">
        <v>198</v>
      </c>
      <c r="BM114" s="24"/>
      <c r="BN114">
        <v>6825028</v>
      </c>
      <c r="BO114">
        <v>6825220</v>
      </c>
      <c r="BP114">
        <v>6825218</v>
      </c>
      <c r="BQ114">
        <v>7540</v>
      </c>
      <c r="BR114">
        <v>246</v>
      </c>
      <c r="BT114" s="24"/>
      <c r="BU114">
        <v>2151</v>
      </c>
      <c r="BV114">
        <v>2177</v>
      </c>
      <c r="BW114">
        <v>2175</v>
      </c>
      <c r="BX114">
        <v>31873799</v>
      </c>
      <c r="BY114">
        <v>290</v>
      </c>
      <c r="CA114" s="24"/>
      <c r="CB114">
        <v>344</v>
      </c>
      <c r="CC114">
        <v>345</v>
      </c>
      <c r="CD114">
        <v>344</v>
      </c>
      <c r="CE114">
        <v>66422965</v>
      </c>
      <c r="CF114">
        <v>288</v>
      </c>
      <c r="CH114" s="24"/>
      <c r="CI114">
        <v>26000</v>
      </c>
      <c r="CJ114">
        <v>26000</v>
      </c>
      <c r="CK114">
        <v>26000</v>
      </c>
      <c r="CL114">
        <v>475677</v>
      </c>
      <c r="CM114">
        <v>136</v>
      </c>
      <c r="CO114" s="24"/>
      <c r="CP114">
        <v>8566</v>
      </c>
      <c r="CQ114">
        <v>9190</v>
      </c>
      <c r="CR114">
        <v>9150</v>
      </c>
      <c r="CS114">
        <v>1038722</v>
      </c>
      <c r="CT114">
        <v>349</v>
      </c>
      <c r="CV114" s="24"/>
      <c r="CW114">
        <v>1300000</v>
      </c>
      <c r="CX114">
        <v>1390554</v>
      </c>
      <c r="CY114">
        <v>1350000</v>
      </c>
      <c r="CZ114">
        <v>9596</v>
      </c>
      <c r="DA114">
        <v>49</v>
      </c>
      <c r="DC114" s="24"/>
      <c r="DD114">
        <v>419</v>
      </c>
      <c r="DE114">
        <v>423</v>
      </c>
      <c r="DF114">
        <v>420</v>
      </c>
      <c r="DG114">
        <v>57496107</v>
      </c>
      <c r="DH114">
        <v>203</v>
      </c>
      <c r="DJ114" s="24"/>
      <c r="DK114">
        <v>36009302</v>
      </c>
      <c r="DL114">
        <v>37549998</v>
      </c>
      <c r="DM114">
        <v>36300000</v>
      </c>
      <c r="DN114">
        <v>304</v>
      </c>
      <c r="DO114">
        <v>77</v>
      </c>
      <c r="DQ114" s="24"/>
      <c r="DR114">
        <v>1629002</v>
      </c>
      <c r="DS114">
        <v>1679493</v>
      </c>
      <c r="DT114">
        <v>1678999</v>
      </c>
      <c r="DU114">
        <v>6531</v>
      </c>
      <c r="DV114">
        <v>266</v>
      </c>
      <c r="DX114" s="24"/>
      <c r="DY114">
        <v>18500000</v>
      </c>
      <c r="DZ114">
        <v>19450998</v>
      </c>
      <c r="EA114">
        <v>19001000</v>
      </c>
      <c r="EB114">
        <v>322</v>
      </c>
      <c r="EC114">
        <v>96</v>
      </c>
      <c r="EE114" s="24"/>
      <c r="EF114">
        <v>165</v>
      </c>
      <c r="EG114">
        <v>170</v>
      </c>
      <c r="EH114">
        <v>170</v>
      </c>
      <c r="EI114">
        <v>98007209</v>
      </c>
      <c r="EJ114">
        <v>161</v>
      </c>
      <c r="EL114" s="24"/>
      <c r="EM114">
        <v>51000</v>
      </c>
      <c r="EN114">
        <v>51001</v>
      </c>
      <c r="EO114">
        <v>51001</v>
      </c>
      <c r="EP114">
        <v>124074</v>
      </c>
      <c r="EQ114">
        <v>615</v>
      </c>
      <c r="ES114" s="24"/>
      <c r="ET114">
        <v>426</v>
      </c>
      <c r="EU114">
        <v>444</v>
      </c>
      <c r="EV114">
        <v>438</v>
      </c>
      <c r="EW114">
        <v>38057004</v>
      </c>
      <c r="EX114">
        <v>572</v>
      </c>
      <c r="EZ114" s="24"/>
      <c r="FA114">
        <v>3830003</v>
      </c>
      <c r="FB114">
        <v>3830103</v>
      </c>
      <c r="FC114">
        <v>3830100</v>
      </c>
      <c r="FD114">
        <v>1154</v>
      </c>
      <c r="FE114">
        <v>27</v>
      </c>
      <c r="FG114" s="24"/>
      <c r="FH114">
        <v>8150</v>
      </c>
      <c r="FI114">
        <v>8395</v>
      </c>
      <c r="FJ114">
        <v>8200</v>
      </c>
      <c r="FK114">
        <v>1928273</v>
      </c>
      <c r="FL114">
        <v>403</v>
      </c>
      <c r="FN114" s="24"/>
      <c r="FO114">
        <v>23387</v>
      </c>
      <c r="FP114">
        <v>23387</v>
      </c>
      <c r="FQ114">
        <v>23387</v>
      </c>
      <c r="FR114">
        <v>136184</v>
      </c>
      <c r="FS114">
        <v>64</v>
      </c>
      <c r="FU114" s="24"/>
      <c r="FV114">
        <v>23517</v>
      </c>
      <c r="FW114">
        <v>23525</v>
      </c>
      <c r="FX114">
        <v>23522</v>
      </c>
      <c r="FY114">
        <v>315320</v>
      </c>
      <c r="FZ114">
        <v>1133</v>
      </c>
      <c r="GB114" s="24"/>
      <c r="GC114">
        <v>101000400</v>
      </c>
      <c r="GD114">
        <v>104493600</v>
      </c>
      <c r="GE114">
        <v>102750000</v>
      </c>
      <c r="GF114">
        <v>114</v>
      </c>
      <c r="GG114">
        <v>80</v>
      </c>
      <c r="GI114" s="24"/>
      <c r="GJ114">
        <v>26000452</v>
      </c>
      <c r="GK114">
        <v>27194998</v>
      </c>
      <c r="GL114">
        <v>26000507</v>
      </c>
      <c r="GM114">
        <v>362</v>
      </c>
      <c r="GN114">
        <v>74</v>
      </c>
      <c r="GP114" s="24"/>
      <c r="GQ114">
        <v>84</v>
      </c>
      <c r="GR114">
        <v>87</v>
      </c>
      <c r="GS114">
        <v>87</v>
      </c>
      <c r="GT114">
        <v>122853412</v>
      </c>
      <c r="GU114">
        <v>127</v>
      </c>
      <c r="GW114" s="24"/>
      <c r="GX114">
        <v>370</v>
      </c>
      <c r="GY114">
        <v>394</v>
      </c>
      <c r="GZ114">
        <v>388</v>
      </c>
      <c r="HA114">
        <v>66913296</v>
      </c>
      <c r="HB114">
        <v>245</v>
      </c>
      <c r="HD114" s="24"/>
      <c r="HE114">
        <v>5660</v>
      </c>
      <c r="HF114">
        <v>5769</v>
      </c>
      <c r="HG114">
        <v>5769</v>
      </c>
      <c r="HH114">
        <v>14628346</v>
      </c>
      <c r="HI114">
        <v>236</v>
      </c>
      <c r="HK114" s="24"/>
      <c r="HL114">
        <v>101500700</v>
      </c>
      <c r="HM114">
        <v>104799799</v>
      </c>
      <c r="HN114">
        <v>103000200</v>
      </c>
      <c r="HO114">
        <v>161</v>
      </c>
      <c r="HP114">
        <v>115</v>
      </c>
      <c r="HR114" s="24"/>
      <c r="HS114">
        <v>7869</v>
      </c>
      <c r="HT114">
        <v>8029</v>
      </c>
      <c r="HU114">
        <v>8029</v>
      </c>
      <c r="HV114">
        <v>1074232</v>
      </c>
      <c r="HW114">
        <v>168</v>
      </c>
      <c r="HY114" s="24"/>
      <c r="HZ114">
        <v>7531</v>
      </c>
      <c r="IA114">
        <v>7998</v>
      </c>
      <c r="IB114">
        <v>7700</v>
      </c>
      <c r="IC114">
        <v>1957555</v>
      </c>
      <c r="ID114">
        <v>465</v>
      </c>
      <c r="IF114" s="24"/>
      <c r="IG114">
        <v>3120</v>
      </c>
      <c r="IH114">
        <v>3120</v>
      </c>
      <c r="II114">
        <v>3120</v>
      </c>
      <c r="IJ114">
        <v>1242755</v>
      </c>
      <c r="IK114">
        <v>120</v>
      </c>
      <c r="IM114" s="24"/>
      <c r="IN114">
        <v>100000400</v>
      </c>
      <c r="IO114">
        <v>104396800</v>
      </c>
      <c r="IP114">
        <v>101600200</v>
      </c>
      <c r="IQ114">
        <v>109</v>
      </c>
      <c r="IR114">
        <v>86</v>
      </c>
      <c r="IT114" s="24"/>
      <c r="IU114">
        <v>7549</v>
      </c>
      <c r="IV114">
        <v>7549</v>
      </c>
      <c r="IW114">
        <v>7549</v>
      </c>
      <c r="IX114">
        <v>1220634</v>
      </c>
      <c r="IY114">
        <v>130</v>
      </c>
      <c r="JA114" s="24"/>
      <c r="JB114">
        <v>95000000</v>
      </c>
      <c r="JC114">
        <v>103999198</v>
      </c>
      <c r="JD114">
        <v>101039037</v>
      </c>
      <c r="JE114">
        <v>92</v>
      </c>
      <c r="JF114">
        <v>73</v>
      </c>
      <c r="JH114" s="24"/>
      <c r="JI114">
        <v>101500200</v>
      </c>
      <c r="JJ114">
        <v>103995800</v>
      </c>
      <c r="JK114">
        <v>102377990</v>
      </c>
      <c r="JL114">
        <v>78</v>
      </c>
      <c r="JM114">
        <v>52</v>
      </c>
      <c r="JO114" s="24"/>
      <c r="JP114">
        <v>69</v>
      </c>
      <c r="JQ114">
        <v>69</v>
      </c>
      <c r="JR114">
        <v>69</v>
      </c>
      <c r="JS114">
        <v>98998640</v>
      </c>
      <c r="JT114">
        <v>86</v>
      </c>
      <c r="JV114" s="24"/>
      <c r="JW114">
        <v>68</v>
      </c>
      <c r="JX114">
        <v>69</v>
      </c>
      <c r="JY114">
        <v>69</v>
      </c>
      <c r="JZ114">
        <v>215876019</v>
      </c>
      <c r="KA114">
        <v>109</v>
      </c>
      <c r="KC114" s="24"/>
      <c r="KD114">
        <v>22</v>
      </c>
      <c r="KE114">
        <v>24</v>
      </c>
      <c r="KF114">
        <v>24</v>
      </c>
      <c r="KG114">
        <v>40887012</v>
      </c>
      <c r="KH114">
        <v>308</v>
      </c>
      <c r="KJ114" s="24"/>
      <c r="KK114">
        <v>73</v>
      </c>
      <c r="KL114">
        <v>73</v>
      </c>
      <c r="KM114">
        <v>73</v>
      </c>
      <c r="KN114">
        <v>146342382</v>
      </c>
      <c r="KO114">
        <v>124</v>
      </c>
      <c r="KQ114" s="24"/>
      <c r="KR114">
        <v>77107</v>
      </c>
      <c r="KS114">
        <v>83001</v>
      </c>
      <c r="KT114">
        <v>77111</v>
      </c>
      <c r="KU114">
        <v>85781</v>
      </c>
      <c r="KV114">
        <v>586</v>
      </c>
      <c r="KX114" s="24"/>
      <c r="KY114">
        <v>600</v>
      </c>
      <c r="KZ114">
        <v>750</v>
      </c>
      <c r="LA114">
        <v>602</v>
      </c>
      <c r="LB114">
        <v>9496267</v>
      </c>
      <c r="LC114">
        <v>170</v>
      </c>
      <c r="LE114" s="24"/>
      <c r="LF114">
        <v>193103</v>
      </c>
      <c r="LG114">
        <v>193203</v>
      </c>
      <c r="LH114">
        <v>193201</v>
      </c>
      <c r="LI114">
        <v>102586</v>
      </c>
      <c r="LJ114">
        <v>864</v>
      </c>
      <c r="LL114" s="24"/>
      <c r="LM114">
        <v>77540</v>
      </c>
      <c r="LN114">
        <v>77548</v>
      </c>
      <c r="LO114">
        <v>77542</v>
      </c>
      <c r="LP114">
        <v>350081</v>
      </c>
      <c r="LQ114">
        <v>1203</v>
      </c>
      <c r="LS114" s="24"/>
      <c r="LT114">
        <v>315</v>
      </c>
      <c r="LU114">
        <v>319</v>
      </c>
      <c r="LV114">
        <v>319</v>
      </c>
      <c r="LW114">
        <v>79290636</v>
      </c>
      <c r="LX114">
        <v>342</v>
      </c>
      <c r="LZ114" s="24"/>
      <c r="MA114">
        <v>96019</v>
      </c>
      <c r="MB114">
        <v>99311</v>
      </c>
      <c r="MC114">
        <v>97358</v>
      </c>
      <c r="MD114">
        <v>1769790</v>
      </c>
      <c r="ME114">
        <v>180</v>
      </c>
    </row>
    <row r="115" spans="2:343" x14ac:dyDescent="0.25">
      <c r="B115" s="24"/>
      <c r="C115">
        <v>3</v>
      </c>
      <c r="D115">
        <v>3</v>
      </c>
      <c r="E115">
        <v>3</v>
      </c>
      <c r="F115">
        <v>38365705127</v>
      </c>
      <c r="G115">
        <v>2967</v>
      </c>
      <c r="I115" s="24"/>
      <c r="J115">
        <v>4</v>
      </c>
      <c r="K115">
        <v>4</v>
      </c>
      <c r="L115">
        <v>4</v>
      </c>
      <c r="M115">
        <v>7217338524</v>
      </c>
      <c r="N115">
        <v>2143</v>
      </c>
      <c r="P115" s="24"/>
      <c r="Q115">
        <v>28</v>
      </c>
      <c r="R115">
        <v>29</v>
      </c>
      <c r="S115">
        <v>29</v>
      </c>
      <c r="T115">
        <v>1956392629</v>
      </c>
      <c r="U115">
        <v>1956</v>
      </c>
      <c r="W115" s="24"/>
      <c r="X115">
        <v>83</v>
      </c>
      <c r="Y115">
        <v>89</v>
      </c>
      <c r="Z115">
        <v>83</v>
      </c>
      <c r="AA115">
        <v>578262548</v>
      </c>
      <c r="AB115">
        <v>1632</v>
      </c>
      <c r="AD115" s="24"/>
      <c r="AE115">
        <v>527</v>
      </c>
      <c r="AF115">
        <v>540</v>
      </c>
      <c r="AG115">
        <v>536</v>
      </c>
      <c r="AH115">
        <v>95715457</v>
      </c>
      <c r="AI115">
        <v>1586</v>
      </c>
      <c r="AK115" s="24"/>
      <c r="AL115">
        <v>959</v>
      </c>
      <c r="AM115">
        <v>988</v>
      </c>
      <c r="AN115">
        <v>960</v>
      </c>
      <c r="AO115">
        <v>26745756</v>
      </c>
      <c r="AP115">
        <v>1257</v>
      </c>
      <c r="AR115" s="24"/>
      <c r="AS115">
        <v>2721</v>
      </c>
      <c r="AT115">
        <v>2819</v>
      </c>
      <c r="AU115">
        <v>2721</v>
      </c>
      <c r="AV115">
        <v>12884013</v>
      </c>
      <c r="AW115">
        <v>1271</v>
      </c>
      <c r="AY115" s="24"/>
      <c r="AZ115">
        <v>359500000</v>
      </c>
      <c r="BA115">
        <v>365999450</v>
      </c>
      <c r="BB115">
        <v>362050003</v>
      </c>
      <c r="BC115">
        <v>2093</v>
      </c>
      <c r="BD115">
        <v>1519</v>
      </c>
      <c r="BF115" s="24"/>
      <c r="BG115">
        <v>25506</v>
      </c>
      <c r="BH115">
        <v>26251</v>
      </c>
      <c r="BI115">
        <v>25704</v>
      </c>
      <c r="BJ115">
        <v>4235447</v>
      </c>
      <c r="BK115">
        <v>252</v>
      </c>
      <c r="BM115" s="24"/>
      <c r="BN115">
        <v>6800000</v>
      </c>
      <c r="BO115">
        <v>6800076</v>
      </c>
      <c r="BP115">
        <v>6800001</v>
      </c>
      <c r="BQ115">
        <v>9063</v>
      </c>
      <c r="BR115">
        <v>282</v>
      </c>
      <c r="BT115" s="24"/>
      <c r="BU115">
        <v>2105</v>
      </c>
      <c r="BV115">
        <v>2176</v>
      </c>
      <c r="BW115">
        <v>2111</v>
      </c>
      <c r="BX115">
        <v>23731812</v>
      </c>
      <c r="BY115">
        <v>270</v>
      </c>
      <c r="CA115" s="24"/>
      <c r="CB115">
        <v>328</v>
      </c>
      <c r="CC115">
        <v>352</v>
      </c>
      <c r="CD115">
        <v>351</v>
      </c>
      <c r="CE115">
        <v>54127787</v>
      </c>
      <c r="CF115">
        <v>302</v>
      </c>
      <c r="CH115" s="24"/>
      <c r="CI115">
        <v>26252</v>
      </c>
      <c r="CJ115">
        <v>26351</v>
      </c>
      <c r="CK115">
        <v>26252</v>
      </c>
      <c r="CL115">
        <v>1254954</v>
      </c>
      <c r="CM115">
        <v>185</v>
      </c>
      <c r="CO115" s="24"/>
      <c r="CP115">
        <v>8566</v>
      </c>
      <c r="CQ115">
        <v>9182</v>
      </c>
      <c r="CR115">
        <v>8800</v>
      </c>
      <c r="CS115">
        <v>1045077</v>
      </c>
      <c r="CT115">
        <v>368</v>
      </c>
      <c r="CV115" s="24"/>
      <c r="CW115">
        <v>1300000</v>
      </c>
      <c r="CX115">
        <v>1379567</v>
      </c>
      <c r="CY115">
        <v>1310000</v>
      </c>
      <c r="CZ115">
        <v>5839</v>
      </c>
      <c r="DA115">
        <v>42</v>
      </c>
      <c r="DC115" s="24"/>
      <c r="DD115">
        <v>410</v>
      </c>
      <c r="DE115">
        <v>439</v>
      </c>
      <c r="DF115">
        <v>420</v>
      </c>
      <c r="DG115">
        <v>42845490</v>
      </c>
      <c r="DH115">
        <v>246</v>
      </c>
      <c r="DJ115" s="24"/>
      <c r="DK115">
        <v>36800041</v>
      </c>
      <c r="DL115">
        <v>37899998</v>
      </c>
      <c r="DM115">
        <v>37798159</v>
      </c>
      <c r="DN115">
        <v>394</v>
      </c>
      <c r="DO115">
        <v>98</v>
      </c>
      <c r="DQ115" s="24"/>
      <c r="DR115">
        <v>1630002</v>
      </c>
      <c r="DS115">
        <v>1679490</v>
      </c>
      <c r="DT115">
        <v>1630021</v>
      </c>
      <c r="DU115">
        <v>5379</v>
      </c>
      <c r="DV115">
        <v>246</v>
      </c>
      <c r="DX115" s="24"/>
      <c r="DY115">
        <v>18002002</v>
      </c>
      <c r="DZ115">
        <v>18100000</v>
      </c>
      <c r="EA115">
        <v>18003000</v>
      </c>
      <c r="EB115">
        <v>352</v>
      </c>
      <c r="EC115">
        <v>85</v>
      </c>
      <c r="EE115" s="24"/>
      <c r="EF115">
        <v>165</v>
      </c>
      <c r="EG115">
        <v>165</v>
      </c>
      <c r="EH115">
        <v>165</v>
      </c>
      <c r="EI115">
        <v>127008558</v>
      </c>
      <c r="EJ115">
        <v>207</v>
      </c>
      <c r="EL115" s="24"/>
      <c r="EM115">
        <v>47002</v>
      </c>
      <c r="EN115">
        <v>48000</v>
      </c>
      <c r="EO115">
        <v>47011</v>
      </c>
      <c r="EP115">
        <v>69375</v>
      </c>
      <c r="EQ115">
        <v>626</v>
      </c>
      <c r="ES115" s="24"/>
      <c r="ET115">
        <v>418</v>
      </c>
      <c r="EU115">
        <v>434</v>
      </c>
      <c r="EV115">
        <v>433</v>
      </c>
      <c r="EW115">
        <v>38568394</v>
      </c>
      <c r="EX115">
        <v>638</v>
      </c>
      <c r="EZ115" s="24"/>
      <c r="FA115">
        <v>4000000</v>
      </c>
      <c r="FB115">
        <v>4989998</v>
      </c>
      <c r="FC115">
        <v>4050500</v>
      </c>
      <c r="FD115">
        <v>1799</v>
      </c>
      <c r="FE115">
        <v>43</v>
      </c>
      <c r="FG115" s="24"/>
      <c r="FH115">
        <v>7802</v>
      </c>
      <c r="FI115">
        <v>8036</v>
      </c>
      <c r="FJ115">
        <v>8000</v>
      </c>
      <c r="FK115">
        <v>1438737</v>
      </c>
      <c r="FL115">
        <v>418</v>
      </c>
      <c r="FN115" s="24"/>
      <c r="FO115">
        <v>22450</v>
      </c>
      <c r="FP115">
        <v>23387</v>
      </c>
      <c r="FQ115">
        <v>23387</v>
      </c>
      <c r="FR115">
        <v>215480</v>
      </c>
      <c r="FS115">
        <v>85</v>
      </c>
      <c r="FU115" s="24"/>
      <c r="FV115">
        <v>23530</v>
      </c>
      <c r="FW115">
        <v>23625</v>
      </c>
      <c r="FX115">
        <v>23538</v>
      </c>
      <c r="FY115">
        <v>290950</v>
      </c>
      <c r="FZ115">
        <v>1179</v>
      </c>
      <c r="GB115" s="24"/>
      <c r="GC115">
        <v>100504000</v>
      </c>
      <c r="GD115">
        <v>104999999</v>
      </c>
      <c r="GE115">
        <v>102829577</v>
      </c>
      <c r="GF115">
        <v>79</v>
      </c>
      <c r="GG115">
        <v>54</v>
      </c>
      <c r="GI115" s="24"/>
      <c r="GJ115">
        <v>26101034</v>
      </c>
      <c r="GK115">
        <v>26115000</v>
      </c>
      <c r="GL115">
        <v>26106017</v>
      </c>
      <c r="GM115">
        <v>262</v>
      </c>
      <c r="GN115">
        <v>69</v>
      </c>
      <c r="GP115" s="24"/>
      <c r="GQ115">
        <v>84</v>
      </c>
      <c r="GR115">
        <v>85</v>
      </c>
      <c r="GS115">
        <v>85</v>
      </c>
      <c r="GT115">
        <v>112570044</v>
      </c>
      <c r="GU115">
        <v>166</v>
      </c>
      <c r="GW115" s="24"/>
      <c r="GX115">
        <v>379</v>
      </c>
      <c r="GY115">
        <v>393</v>
      </c>
      <c r="GZ115">
        <v>393</v>
      </c>
      <c r="HA115">
        <v>39562578</v>
      </c>
      <c r="HB115">
        <v>239</v>
      </c>
      <c r="HD115" s="24"/>
      <c r="HE115">
        <v>5769</v>
      </c>
      <c r="HF115">
        <v>5769</v>
      </c>
      <c r="HG115">
        <v>5769</v>
      </c>
      <c r="HH115">
        <v>11323548</v>
      </c>
      <c r="HI115">
        <v>250</v>
      </c>
      <c r="HK115" s="24"/>
      <c r="HL115">
        <v>100001000</v>
      </c>
      <c r="HM115">
        <v>102999189</v>
      </c>
      <c r="HN115">
        <v>101664372</v>
      </c>
      <c r="HO115">
        <v>89</v>
      </c>
      <c r="HP115">
        <v>56</v>
      </c>
      <c r="HR115" s="24"/>
      <c r="HS115">
        <v>7580</v>
      </c>
      <c r="HT115">
        <v>8172</v>
      </c>
      <c r="HU115">
        <v>8099</v>
      </c>
      <c r="HV115">
        <v>857276</v>
      </c>
      <c r="HW115">
        <v>123</v>
      </c>
      <c r="HY115" s="24"/>
      <c r="HZ115">
        <v>7531</v>
      </c>
      <c r="IA115">
        <v>7893</v>
      </c>
      <c r="IB115">
        <v>7707</v>
      </c>
      <c r="IC115">
        <v>1729830</v>
      </c>
      <c r="ID115">
        <v>439</v>
      </c>
      <c r="IF115" s="24"/>
      <c r="IG115">
        <v>2752</v>
      </c>
      <c r="IH115">
        <v>3118</v>
      </c>
      <c r="II115">
        <v>3118</v>
      </c>
      <c r="IJ115">
        <v>737303</v>
      </c>
      <c r="IK115">
        <v>129</v>
      </c>
      <c r="IM115" s="24"/>
      <c r="IN115">
        <v>100002000</v>
      </c>
      <c r="IO115">
        <v>104198399</v>
      </c>
      <c r="IP115">
        <v>102805203</v>
      </c>
      <c r="IQ115">
        <v>85</v>
      </c>
      <c r="IR115">
        <v>62</v>
      </c>
      <c r="IT115" s="24"/>
      <c r="IU115">
        <v>7405</v>
      </c>
      <c r="IV115">
        <v>7548</v>
      </c>
      <c r="IW115">
        <v>7547</v>
      </c>
      <c r="IX115">
        <v>963733</v>
      </c>
      <c r="IY115">
        <v>145</v>
      </c>
      <c r="JA115" s="24"/>
      <c r="JB115">
        <v>101201000</v>
      </c>
      <c r="JC115">
        <v>103996800</v>
      </c>
      <c r="JD115">
        <v>101601000</v>
      </c>
      <c r="JE115">
        <v>106</v>
      </c>
      <c r="JF115">
        <v>66</v>
      </c>
      <c r="JH115" s="24"/>
      <c r="JI115">
        <v>99071001</v>
      </c>
      <c r="JJ115">
        <v>102999199</v>
      </c>
      <c r="JK115">
        <v>100949507</v>
      </c>
      <c r="JL115">
        <v>61</v>
      </c>
      <c r="JM115">
        <v>44</v>
      </c>
      <c r="JO115" s="24"/>
      <c r="JP115">
        <v>69</v>
      </c>
      <c r="JQ115">
        <v>69</v>
      </c>
      <c r="JR115">
        <v>69</v>
      </c>
      <c r="JS115">
        <v>54649629</v>
      </c>
      <c r="JT115">
        <v>101</v>
      </c>
      <c r="JV115" s="24"/>
      <c r="JW115">
        <v>68</v>
      </c>
      <c r="JX115">
        <v>69</v>
      </c>
      <c r="JY115">
        <v>69</v>
      </c>
      <c r="JZ115">
        <v>81254864</v>
      </c>
      <c r="KA115">
        <v>130</v>
      </c>
      <c r="KC115" s="24"/>
      <c r="KD115">
        <v>22</v>
      </c>
      <c r="KE115">
        <v>24</v>
      </c>
      <c r="KF115">
        <v>22</v>
      </c>
      <c r="KG115">
        <v>52360169</v>
      </c>
      <c r="KH115">
        <v>327</v>
      </c>
      <c r="KJ115" s="24"/>
      <c r="KK115">
        <v>70</v>
      </c>
      <c r="KL115">
        <v>73</v>
      </c>
      <c r="KM115">
        <v>70</v>
      </c>
      <c r="KN115">
        <v>83215100</v>
      </c>
      <c r="KO115">
        <v>135</v>
      </c>
      <c r="KQ115" s="24"/>
      <c r="KR115">
        <v>78107</v>
      </c>
      <c r="KS115">
        <v>82999</v>
      </c>
      <c r="KT115">
        <v>78211</v>
      </c>
      <c r="KU115">
        <v>66609</v>
      </c>
      <c r="KV115">
        <v>610</v>
      </c>
      <c r="KX115" s="24"/>
      <c r="KY115">
        <v>719</v>
      </c>
      <c r="KZ115">
        <v>785</v>
      </c>
      <c r="LA115">
        <v>773</v>
      </c>
      <c r="LB115">
        <v>4793893</v>
      </c>
      <c r="LC115">
        <v>199</v>
      </c>
      <c r="LE115" s="24"/>
      <c r="LF115">
        <v>195000</v>
      </c>
      <c r="LG115">
        <v>195042</v>
      </c>
      <c r="LH115">
        <v>195010</v>
      </c>
      <c r="LI115">
        <v>109200</v>
      </c>
      <c r="LJ115">
        <v>891</v>
      </c>
      <c r="LL115" s="24"/>
      <c r="LM115">
        <v>77549</v>
      </c>
      <c r="LN115">
        <v>77587</v>
      </c>
      <c r="LO115">
        <v>77566</v>
      </c>
      <c r="LP115">
        <v>304493</v>
      </c>
      <c r="LQ115">
        <v>1239</v>
      </c>
      <c r="LS115" s="24"/>
      <c r="LT115">
        <v>292</v>
      </c>
      <c r="LU115">
        <v>318</v>
      </c>
      <c r="LV115">
        <v>311</v>
      </c>
      <c r="LW115">
        <v>72302976</v>
      </c>
      <c r="LX115">
        <v>342</v>
      </c>
      <c r="LZ115" s="24"/>
      <c r="MA115">
        <v>94086</v>
      </c>
      <c r="MB115">
        <v>96799</v>
      </c>
      <c r="MC115">
        <v>95509</v>
      </c>
      <c r="MD115">
        <v>1571315</v>
      </c>
      <c r="ME115">
        <v>160</v>
      </c>
    </row>
    <row r="116" spans="2:343" x14ac:dyDescent="0.25">
      <c r="B116" s="24"/>
      <c r="C116">
        <v>3</v>
      </c>
      <c r="D116">
        <v>3</v>
      </c>
      <c r="E116">
        <v>3</v>
      </c>
      <c r="F116">
        <v>36941644896</v>
      </c>
      <c r="G116">
        <v>2892</v>
      </c>
      <c r="I116" s="24"/>
      <c r="J116">
        <v>4</v>
      </c>
      <c r="K116">
        <v>4</v>
      </c>
      <c r="L116">
        <v>4</v>
      </c>
      <c r="M116">
        <v>8139624741</v>
      </c>
      <c r="N116">
        <v>2142</v>
      </c>
      <c r="P116" s="24"/>
      <c r="Q116">
        <v>27</v>
      </c>
      <c r="R116">
        <v>28</v>
      </c>
      <c r="S116">
        <v>28</v>
      </c>
      <c r="T116">
        <v>1908680505</v>
      </c>
      <c r="U116">
        <v>1979</v>
      </c>
      <c r="W116" s="24"/>
      <c r="X116">
        <v>76</v>
      </c>
      <c r="Y116">
        <v>81</v>
      </c>
      <c r="Z116">
        <v>78</v>
      </c>
      <c r="AA116">
        <v>490522672</v>
      </c>
      <c r="AB116">
        <v>1587</v>
      </c>
      <c r="AD116" s="24"/>
      <c r="AE116">
        <v>526</v>
      </c>
      <c r="AF116">
        <v>538</v>
      </c>
      <c r="AG116">
        <v>527</v>
      </c>
      <c r="AH116">
        <v>113954008</v>
      </c>
      <c r="AI116">
        <v>1607</v>
      </c>
      <c r="AK116" s="24"/>
      <c r="AL116">
        <v>945</v>
      </c>
      <c r="AM116">
        <v>972</v>
      </c>
      <c r="AN116">
        <v>955</v>
      </c>
      <c r="AO116">
        <v>34962186</v>
      </c>
      <c r="AP116">
        <v>1247</v>
      </c>
      <c r="AR116" s="24"/>
      <c r="AS116">
        <v>2735</v>
      </c>
      <c r="AT116">
        <v>2813</v>
      </c>
      <c r="AU116">
        <v>2752</v>
      </c>
      <c r="AV116">
        <v>14596161</v>
      </c>
      <c r="AW116">
        <v>1187</v>
      </c>
      <c r="AY116" s="24"/>
      <c r="AZ116">
        <v>357100126</v>
      </c>
      <c r="BA116">
        <v>365809679</v>
      </c>
      <c r="BB116">
        <v>362499999</v>
      </c>
      <c r="BC116">
        <v>1995</v>
      </c>
      <c r="BD116">
        <v>1461</v>
      </c>
      <c r="BF116" s="24"/>
      <c r="BG116">
        <v>25506</v>
      </c>
      <c r="BH116">
        <v>25750</v>
      </c>
      <c r="BI116">
        <v>25600</v>
      </c>
      <c r="BJ116">
        <v>2415371</v>
      </c>
      <c r="BK116">
        <v>261</v>
      </c>
      <c r="BM116" s="24"/>
      <c r="BN116">
        <v>6800501</v>
      </c>
      <c r="BO116">
        <v>6800505</v>
      </c>
      <c r="BP116">
        <v>6800501</v>
      </c>
      <c r="BQ116">
        <v>10238</v>
      </c>
      <c r="BR116">
        <v>289</v>
      </c>
      <c r="BT116" s="24"/>
      <c r="BU116">
        <v>2104</v>
      </c>
      <c r="BV116">
        <v>2169</v>
      </c>
      <c r="BW116">
        <v>2164</v>
      </c>
      <c r="BX116">
        <v>30489184</v>
      </c>
      <c r="BY116">
        <v>278</v>
      </c>
      <c r="CA116" s="24"/>
      <c r="CB116">
        <v>334</v>
      </c>
      <c r="CC116">
        <v>350</v>
      </c>
      <c r="CD116">
        <v>350</v>
      </c>
      <c r="CE116">
        <v>71093766</v>
      </c>
      <c r="CF116">
        <v>323</v>
      </c>
      <c r="CH116" s="24"/>
      <c r="CI116">
        <v>25048</v>
      </c>
      <c r="CJ116">
        <v>25048</v>
      </c>
      <c r="CK116">
        <v>25048</v>
      </c>
      <c r="CL116">
        <v>925041</v>
      </c>
      <c r="CM116">
        <v>138</v>
      </c>
      <c r="CO116" s="24"/>
      <c r="CP116">
        <v>8561</v>
      </c>
      <c r="CQ116">
        <v>9124</v>
      </c>
      <c r="CR116">
        <v>9099</v>
      </c>
      <c r="CS116">
        <v>875964</v>
      </c>
      <c r="CT116">
        <v>363</v>
      </c>
      <c r="CV116" s="24"/>
      <c r="CW116">
        <v>1310050</v>
      </c>
      <c r="CX116">
        <v>1360010</v>
      </c>
      <c r="CY116">
        <v>1360010</v>
      </c>
      <c r="CZ116">
        <v>3851</v>
      </c>
      <c r="DA116">
        <v>16</v>
      </c>
      <c r="DC116" s="24"/>
      <c r="DD116">
        <v>406</v>
      </c>
      <c r="DE116">
        <v>433</v>
      </c>
      <c r="DF116">
        <v>413</v>
      </c>
      <c r="DG116">
        <v>54422939</v>
      </c>
      <c r="DH116">
        <v>218</v>
      </c>
      <c r="DJ116" s="24"/>
      <c r="DK116">
        <v>37008039</v>
      </c>
      <c r="DL116">
        <v>37065000</v>
      </c>
      <c r="DM116">
        <v>37058039</v>
      </c>
      <c r="DN116">
        <v>308</v>
      </c>
      <c r="DO116">
        <v>110</v>
      </c>
      <c r="DQ116" s="24"/>
      <c r="DR116">
        <v>1426000</v>
      </c>
      <c r="DS116">
        <v>1669999</v>
      </c>
      <c r="DT116">
        <v>1499998</v>
      </c>
      <c r="DU116">
        <v>8040</v>
      </c>
      <c r="DV116">
        <v>269</v>
      </c>
      <c r="DX116" s="24"/>
      <c r="DY116">
        <v>18005002</v>
      </c>
      <c r="DZ116">
        <v>19099999</v>
      </c>
      <c r="EA116">
        <v>18005002</v>
      </c>
      <c r="EB116">
        <v>544</v>
      </c>
      <c r="EC116">
        <v>129</v>
      </c>
      <c r="EE116" s="24"/>
      <c r="EF116">
        <v>160</v>
      </c>
      <c r="EG116">
        <v>163</v>
      </c>
      <c r="EH116">
        <v>163</v>
      </c>
      <c r="EI116">
        <v>98805571</v>
      </c>
      <c r="EJ116">
        <v>182</v>
      </c>
      <c r="EL116" s="24"/>
      <c r="EM116">
        <v>47087</v>
      </c>
      <c r="EN116">
        <v>48998</v>
      </c>
      <c r="EO116">
        <v>47250</v>
      </c>
      <c r="EP116">
        <v>128825</v>
      </c>
      <c r="EQ116">
        <v>676</v>
      </c>
      <c r="ES116" s="24"/>
      <c r="ET116">
        <v>414</v>
      </c>
      <c r="EU116">
        <v>432</v>
      </c>
      <c r="EV116">
        <v>431</v>
      </c>
      <c r="EW116">
        <v>42342842</v>
      </c>
      <c r="EX116">
        <v>656</v>
      </c>
      <c r="EZ116" s="24"/>
      <c r="FA116">
        <v>3830005</v>
      </c>
      <c r="FB116">
        <v>3832000</v>
      </c>
      <c r="FC116">
        <v>3832000</v>
      </c>
      <c r="FD116">
        <v>1886</v>
      </c>
      <c r="FE116">
        <v>29</v>
      </c>
      <c r="FG116" s="24"/>
      <c r="FH116">
        <v>7699</v>
      </c>
      <c r="FI116">
        <v>8000</v>
      </c>
      <c r="FJ116">
        <v>7995</v>
      </c>
      <c r="FK116">
        <v>1336787</v>
      </c>
      <c r="FL116">
        <v>462</v>
      </c>
      <c r="FN116" s="24"/>
      <c r="FO116">
        <v>23387</v>
      </c>
      <c r="FP116">
        <v>23387</v>
      </c>
      <c r="FQ116">
        <v>23387</v>
      </c>
      <c r="FR116">
        <v>120530</v>
      </c>
      <c r="FS116">
        <v>76</v>
      </c>
      <c r="FU116" s="24"/>
      <c r="FV116">
        <v>23760</v>
      </c>
      <c r="FW116">
        <v>24499</v>
      </c>
      <c r="FX116">
        <v>23763</v>
      </c>
      <c r="FY116">
        <v>394353</v>
      </c>
      <c r="FZ116">
        <v>1243</v>
      </c>
      <c r="GB116" s="24"/>
      <c r="GC116">
        <v>100504000</v>
      </c>
      <c r="GD116">
        <v>103999000</v>
      </c>
      <c r="GE116">
        <v>100505000</v>
      </c>
      <c r="GF116">
        <v>115</v>
      </c>
      <c r="GG116">
        <v>85</v>
      </c>
      <c r="GI116" s="24"/>
      <c r="GJ116">
        <v>26117107</v>
      </c>
      <c r="GK116">
        <v>27847999</v>
      </c>
      <c r="GL116">
        <v>26118000</v>
      </c>
      <c r="GM116">
        <v>430</v>
      </c>
      <c r="GN116">
        <v>100</v>
      </c>
      <c r="GP116" s="24"/>
      <c r="GQ116">
        <v>81</v>
      </c>
      <c r="GR116">
        <v>84</v>
      </c>
      <c r="GS116">
        <v>84</v>
      </c>
      <c r="GT116">
        <v>161109250</v>
      </c>
      <c r="GU116">
        <v>146</v>
      </c>
      <c r="GW116" s="24"/>
      <c r="GX116">
        <v>384</v>
      </c>
      <c r="GY116">
        <v>390</v>
      </c>
      <c r="GZ116">
        <v>389</v>
      </c>
      <c r="HA116">
        <v>43290123</v>
      </c>
      <c r="HB116">
        <v>258</v>
      </c>
      <c r="HD116" s="24"/>
      <c r="HE116">
        <v>5686</v>
      </c>
      <c r="HF116">
        <v>5767</v>
      </c>
      <c r="HG116">
        <v>5765</v>
      </c>
      <c r="HH116">
        <v>15044030</v>
      </c>
      <c r="HI116">
        <v>297</v>
      </c>
      <c r="HK116" s="24"/>
      <c r="HL116">
        <v>101000400</v>
      </c>
      <c r="HM116">
        <v>102998989</v>
      </c>
      <c r="HN116">
        <v>102799800</v>
      </c>
      <c r="HO116">
        <v>146</v>
      </c>
      <c r="HP116">
        <v>76</v>
      </c>
      <c r="HR116" s="24"/>
      <c r="HS116">
        <v>8074</v>
      </c>
      <c r="HT116">
        <v>8171</v>
      </c>
      <c r="HU116">
        <v>8100</v>
      </c>
      <c r="HV116">
        <v>593844</v>
      </c>
      <c r="HW116">
        <v>154</v>
      </c>
      <c r="HY116" s="24"/>
      <c r="HZ116">
        <v>7531</v>
      </c>
      <c r="IA116">
        <v>7894</v>
      </c>
      <c r="IB116">
        <v>7879</v>
      </c>
      <c r="IC116">
        <v>1601145</v>
      </c>
      <c r="ID116">
        <v>524</v>
      </c>
      <c r="IF116" s="24"/>
      <c r="IG116">
        <v>3115</v>
      </c>
      <c r="IH116">
        <v>3115</v>
      </c>
      <c r="II116">
        <v>3115</v>
      </c>
      <c r="IJ116">
        <v>1082264</v>
      </c>
      <c r="IK116">
        <v>124</v>
      </c>
      <c r="IM116" s="24"/>
      <c r="IN116">
        <v>101500200</v>
      </c>
      <c r="IO116">
        <v>103499800</v>
      </c>
      <c r="IP116">
        <v>103499590</v>
      </c>
      <c r="IQ116">
        <v>149</v>
      </c>
      <c r="IR116">
        <v>76</v>
      </c>
      <c r="IT116" s="24"/>
      <c r="IU116">
        <v>7314</v>
      </c>
      <c r="IV116">
        <v>7547</v>
      </c>
      <c r="IW116">
        <v>7545</v>
      </c>
      <c r="IX116">
        <v>1813999</v>
      </c>
      <c r="IY116">
        <v>150</v>
      </c>
      <c r="JA116" s="24"/>
      <c r="JB116">
        <v>99006300</v>
      </c>
      <c r="JC116">
        <v>102000000</v>
      </c>
      <c r="JD116">
        <v>100000000</v>
      </c>
      <c r="JE116">
        <v>119</v>
      </c>
      <c r="JF116">
        <v>75</v>
      </c>
      <c r="JH116" s="24"/>
      <c r="JI116">
        <v>99074000</v>
      </c>
      <c r="JJ116">
        <v>102999199</v>
      </c>
      <c r="JK116">
        <v>102749499</v>
      </c>
      <c r="JL116">
        <v>110</v>
      </c>
      <c r="JM116">
        <v>57</v>
      </c>
      <c r="JO116" s="24"/>
      <c r="JP116">
        <v>67</v>
      </c>
      <c r="JQ116">
        <v>69</v>
      </c>
      <c r="JR116">
        <v>68</v>
      </c>
      <c r="JS116">
        <v>186035059</v>
      </c>
      <c r="JT116">
        <v>103</v>
      </c>
      <c r="JV116" s="24"/>
      <c r="JW116">
        <v>68</v>
      </c>
      <c r="JX116">
        <v>69</v>
      </c>
      <c r="JY116">
        <v>68</v>
      </c>
      <c r="JZ116">
        <v>155311610</v>
      </c>
      <c r="KA116">
        <v>127</v>
      </c>
      <c r="KC116" s="24"/>
      <c r="KD116">
        <v>22</v>
      </c>
      <c r="KE116">
        <v>24</v>
      </c>
      <c r="KF116">
        <v>24</v>
      </c>
      <c r="KG116">
        <v>45556713</v>
      </c>
      <c r="KH116">
        <v>299</v>
      </c>
      <c r="KJ116" s="24"/>
      <c r="KK116">
        <v>70</v>
      </c>
      <c r="KL116">
        <v>73</v>
      </c>
      <c r="KM116">
        <v>73</v>
      </c>
      <c r="KN116">
        <v>129669623</v>
      </c>
      <c r="KO116">
        <v>128</v>
      </c>
      <c r="KQ116" s="24"/>
      <c r="KR116">
        <v>78216</v>
      </c>
      <c r="KS116">
        <v>81000</v>
      </c>
      <c r="KT116">
        <v>80000</v>
      </c>
      <c r="KU116">
        <v>134049</v>
      </c>
      <c r="KV116">
        <v>622</v>
      </c>
      <c r="KX116" s="24"/>
      <c r="KY116">
        <v>613</v>
      </c>
      <c r="KZ116">
        <v>744</v>
      </c>
      <c r="LA116">
        <v>700</v>
      </c>
      <c r="LB116">
        <v>6617230</v>
      </c>
      <c r="LC116">
        <v>173</v>
      </c>
      <c r="LE116" s="24"/>
      <c r="LF116">
        <v>195053</v>
      </c>
      <c r="LG116">
        <v>197000</v>
      </c>
      <c r="LH116">
        <v>195250</v>
      </c>
      <c r="LI116">
        <v>144765</v>
      </c>
      <c r="LJ116">
        <v>879</v>
      </c>
      <c r="LL116" s="24"/>
      <c r="LM116">
        <v>77761</v>
      </c>
      <c r="LN116">
        <v>78302</v>
      </c>
      <c r="LO116">
        <v>77762</v>
      </c>
      <c r="LP116">
        <v>468493</v>
      </c>
      <c r="LQ116">
        <v>1238</v>
      </c>
      <c r="LS116" s="24"/>
      <c r="LT116">
        <v>309</v>
      </c>
      <c r="LU116">
        <v>309</v>
      </c>
      <c r="LV116">
        <v>309</v>
      </c>
      <c r="LW116">
        <v>80600072</v>
      </c>
      <c r="LX116">
        <v>290</v>
      </c>
      <c r="LZ116" s="24"/>
      <c r="MA116">
        <v>93916</v>
      </c>
      <c r="MB116">
        <v>94985</v>
      </c>
      <c r="MC116">
        <v>94985</v>
      </c>
      <c r="MD116">
        <v>1147100</v>
      </c>
      <c r="ME116">
        <v>109</v>
      </c>
    </row>
    <row r="117" spans="2:343" x14ac:dyDescent="0.25">
      <c r="B117" s="24"/>
      <c r="C117">
        <v>3</v>
      </c>
      <c r="D117">
        <v>3</v>
      </c>
      <c r="E117">
        <v>3</v>
      </c>
      <c r="F117">
        <v>27757120573</v>
      </c>
      <c r="G117">
        <v>3179</v>
      </c>
      <c r="I117" s="24"/>
      <c r="J117">
        <v>4</v>
      </c>
      <c r="K117">
        <v>4</v>
      </c>
      <c r="L117">
        <v>4</v>
      </c>
      <c r="M117">
        <v>5639427873</v>
      </c>
      <c r="N117">
        <v>2217</v>
      </c>
      <c r="P117" s="24"/>
      <c r="Q117">
        <v>28</v>
      </c>
      <c r="R117">
        <v>29</v>
      </c>
      <c r="S117">
        <v>28</v>
      </c>
      <c r="T117">
        <v>1960005504</v>
      </c>
      <c r="U117">
        <v>2144</v>
      </c>
      <c r="W117" s="24"/>
      <c r="X117">
        <v>73</v>
      </c>
      <c r="Y117">
        <v>78</v>
      </c>
      <c r="Z117">
        <v>76</v>
      </c>
      <c r="AA117">
        <v>460079630</v>
      </c>
      <c r="AB117">
        <v>1746</v>
      </c>
      <c r="AD117" s="24"/>
      <c r="AE117">
        <v>510</v>
      </c>
      <c r="AF117">
        <v>530</v>
      </c>
      <c r="AG117">
        <v>520</v>
      </c>
      <c r="AH117">
        <v>125772851</v>
      </c>
      <c r="AI117">
        <v>1726</v>
      </c>
      <c r="AK117" s="24"/>
      <c r="AL117">
        <v>944</v>
      </c>
      <c r="AM117">
        <v>968</v>
      </c>
      <c r="AN117">
        <v>946</v>
      </c>
      <c r="AO117">
        <v>65229053</v>
      </c>
      <c r="AP117">
        <v>1415</v>
      </c>
      <c r="AR117" s="24"/>
      <c r="AS117">
        <v>2662</v>
      </c>
      <c r="AT117">
        <v>2778</v>
      </c>
      <c r="AU117">
        <v>2700</v>
      </c>
      <c r="AV117">
        <v>20860108</v>
      </c>
      <c r="AW117">
        <v>1395</v>
      </c>
      <c r="AY117" s="24"/>
      <c r="AZ117">
        <v>359000005</v>
      </c>
      <c r="BA117">
        <v>365998973</v>
      </c>
      <c r="BB117">
        <v>362500000</v>
      </c>
      <c r="BC117">
        <v>2279</v>
      </c>
      <c r="BD117">
        <v>1625</v>
      </c>
      <c r="BF117" s="24"/>
      <c r="BG117">
        <v>25684</v>
      </c>
      <c r="BH117">
        <v>26200</v>
      </c>
      <c r="BI117">
        <v>26005</v>
      </c>
      <c r="BJ117">
        <v>2110193</v>
      </c>
      <c r="BK117">
        <v>234</v>
      </c>
      <c r="BM117" s="24"/>
      <c r="BN117">
        <v>6799077</v>
      </c>
      <c r="BO117">
        <v>6799085</v>
      </c>
      <c r="BP117">
        <v>6799078</v>
      </c>
      <c r="BQ117">
        <v>9423</v>
      </c>
      <c r="BR117">
        <v>282</v>
      </c>
      <c r="BT117" s="24"/>
      <c r="BU117">
        <v>2174</v>
      </c>
      <c r="BV117">
        <v>2176</v>
      </c>
      <c r="BW117">
        <v>2175</v>
      </c>
      <c r="BX117">
        <v>20389222</v>
      </c>
      <c r="BY117">
        <v>272</v>
      </c>
      <c r="CA117" s="24"/>
      <c r="CB117">
        <v>350</v>
      </c>
      <c r="CC117">
        <v>350</v>
      </c>
      <c r="CD117">
        <v>350</v>
      </c>
      <c r="CE117">
        <v>75863801</v>
      </c>
      <c r="CF117">
        <v>319</v>
      </c>
      <c r="CH117" s="24"/>
      <c r="CI117">
        <v>25500</v>
      </c>
      <c r="CJ117">
        <v>25500</v>
      </c>
      <c r="CK117">
        <v>25500</v>
      </c>
      <c r="CL117">
        <v>2058793</v>
      </c>
      <c r="CM117">
        <v>201</v>
      </c>
      <c r="CO117" s="24"/>
      <c r="CP117">
        <v>8647</v>
      </c>
      <c r="CQ117">
        <v>8999</v>
      </c>
      <c r="CR117">
        <v>8987</v>
      </c>
      <c r="CS117">
        <v>970883</v>
      </c>
      <c r="CT117">
        <v>431</v>
      </c>
      <c r="CV117" s="24"/>
      <c r="CW117">
        <v>1335776</v>
      </c>
      <c r="CX117">
        <v>1359998</v>
      </c>
      <c r="CY117">
        <v>1359996</v>
      </c>
      <c r="CZ117">
        <v>9112</v>
      </c>
      <c r="DA117">
        <v>52</v>
      </c>
      <c r="DC117" s="24"/>
      <c r="DD117">
        <v>401</v>
      </c>
      <c r="DE117">
        <v>429</v>
      </c>
      <c r="DF117">
        <v>417</v>
      </c>
      <c r="DG117">
        <v>49984165</v>
      </c>
      <c r="DH117">
        <v>252</v>
      </c>
      <c r="DJ117" s="24"/>
      <c r="DK117">
        <v>37066000</v>
      </c>
      <c r="DL117">
        <v>37075000</v>
      </c>
      <c r="DM117">
        <v>37067000</v>
      </c>
      <c r="DN117">
        <v>379</v>
      </c>
      <c r="DO117">
        <v>110</v>
      </c>
      <c r="DQ117" s="24"/>
      <c r="DR117">
        <v>1520003</v>
      </c>
      <c r="DS117">
        <v>1669998</v>
      </c>
      <c r="DT117">
        <v>1566999</v>
      </c>
      <c r="DU117">
        <v>5391</v>
      </c>
      <c r="DV117">
        <v>293</v>
      </c>
      <c r="DX117" s="24"/>
      <c r="DY117">
        <v>18100001</v>
      </c>
      <c r="DZ117">
        <v>19400000</v>
      </c>
      <c r="EA117">
        <v>18150000</v>
      </c>
      <c r="EB117">
        <v>461</v>
      </c>
      <c r="EC117">
        <v>144</v>
      </c>
      <c r="EE117" s="24"/>
      <c r="EF117">
        <v>156</v>
      </c>
      <c r="EG117">
        <v>163</v>
      </c>
      <c r="EH117">
        <v>163</v>
      </c>
      <c r="EI117">
        <v>125379490</v>
      </c>
      <c r="EJ117">
        <v>231</v>
      </c>
      <c r="EL117" s="24"/>
      <c r="EM117">
        <v>45000</v>
      </c>
      <c r="EN117">
        <v>46201</v>
      </c>
      <c r="EO117">
        <v>46000</v>
      </c>
      <c r="EP117">
        <v>73209</v>
      </c>
      <c r="EQ117">
        <v>746</v>
      </c>
      <c r="ES117" s="24"/>
      <c r="ET117">
        <v>414</v>
      </c>
      <c r="EU117">
        <v>439</v>
      </c>
      <c r="EV117">
        <v>431</v>
      </c>
      <c r="EW117">
        <v>49266153</v>
      </c>
      <c r="EX117">
        <v>792</v>
      </c>
      <c r="EZ117" s="24"/>
      <c r="FA117">
        <v>3660000</v>
      </c>
      <c r="FB117">
        <v>3897997</v>
      </c>
      <c r="FC117">
        <v>3830003</v>
      </c>
      <c r="FD117">
        <v>1560</v>
      </c>
      <c r="FE117">
        <v>33</v>
      </c>
      <c r="FG117" s="24"/>
      <c r="FH117">
        <v>7650</v>
      </c>
      <c r="FI117">
        <v>7896</v>
      </c>
      <c r="FJ117">
        <v>7824</v>
      </c>
      <c r="FK117">
        <v>1543352</v>
      </c>
      <c r="FL117">
        <v>465</v>
      </c>
      <c r="FN117" s="24"/>
      <c r="FO117">
        <v>23387</v>
      </c>
      <c r="FP117">
        <v>23387</v>
      </c>
      <c r="FQ117">
        <v>23387</v>
      </c>
      <c r="FR117">
        <v>151648</v>
      </c>
      <c r="FS117">
        <v>93</v>
      </c>
      <c r="FU117" s="24"/>
      <c r="FV117">
        <v>23000</v>
      </c>
      <c r="FW117">
        <v>26807</v>
      </c>
      <c r="FX117">
        <v>24101</v>
      </c>
      <c r="FY117">
        <v>537513</v>
      </c>
      <c r="FZ117">
        <v>1430</v>
      </c>
      <c r="GB117" s="24"/>
      <c r="GC117">
        <v>98003600</v>
      </c>
      <c r="GD117">
        <v>104999600</v>
      </c>
      <c r="GE117">
        <v>104250050</v>
      </c>
      <c r="GF117">
        <v>104</v>
      </c>
      <c r="GG117">
        <v>78</v>
      </c>
      <c r="GI117" s="24"/>
      <c r="GJ117">
        <v>26117117</v>
      </c>
      <c r="GK117">
        <v>26118000</v>
      </c>
      <c r="GL117">
        <v>26117126</v>
      </c>
      <c r="GM117">
        <v>330</v>
      </c>
      <c r="GN117">
        <v>76</v>
      </c>
      <c r="GP117" s="24"/>
      <c r="GQ117">
        <v>81</v>
      </c>
      <c r="GR117">
        <v>85</v>
      </c>
      <c r="GS117">
        <v>82</v>
      </c>
      <c r="GT117">
        <v>209182827</v>
      </c>
      <c r="GU117">
        <v>209</v>
      </c>
      <c r="GW117" s="24"/>
      <c r="GX117">
        <v>375</v>
      </c>
      <c r="GY117">
        <v>385</v>
      </c>
      <c r="GZ117">
        <v>380</v>
      </c>
      <c r="HA117">
        <v>56129268</v>
      </c>
      <c r="HB117">
        <v>270</v>
      </c>
      <c r="HD117" s="24"/>
      <c r="HE117">
        <v>5765</v>
      </c>
      <c r="HF117">
        <v>5769</v>
      </c>
      <c r="HG117">
        <v>5766</v>
      </c>
      <c r="HH117">
        <v>16033611</v>
      </c>
      <c r="HI117">
        <v>340</v>
      </c>
      <c r="HK117" s="24"/>
      <c r="HL117">
        <v>102000001</v>
      </c>
      <c r="HM117">
        <v>106997580</v>
      </c>
      <c r="HN117">
        <v>104485030</v>
      </c>
      <c r="HO117">
        <v>98</v>
      </c>
      <c r="HP117">
        <v>72</v>
      </c>
      <c r="HR117" s="24"/>
      <c r="HS117">
        <v>7810</v>
      </c>
      <c r="HT117">
        <v>8250</v>
      </c>
      <c r="HU117">
        <v>8101</v>
      </c>
      <c r="HV117">
        <v>960394</v>
      </c>
      <c r="HW117">
        <v>190</v>
      </c>
      <c r="HY117" s="24"/>
      <c r="HZ117">
        <v>7533</v>
      </c>
      <c r="IA117">
        <v>7997</v>
      </c>
      <c r="IB117">
        <v>7900</v>
      </c>
      <c r="IC117">
        <v>1958016</v>
      </c>
      <c r="ID117">
        <v>581</v>
      </c>
      <c r="IF117" s="24"/>
      <c r="IG117">
        <v>3077</v>
      </c>
      <c r="IH117">
        <v>3115</v>
      </c>
      <c r="II117">
        <v>3109</v>
      </c>
      <c r="IJ117">
        <v>1926946</v>
      </c>
      <c r="IK117">
        <v>135</v>
      </c>
      <c r="IM117" s="24"/>
      <c r="IN117">
        <v>101079036</v>
      </c>
      <c r="IO117">
        <v>108394780</v>
      </c>
      <c r="IP117">
        <v>101090400</v>
      </c>
      <c r="IQ117">
        <v>138</v>
      </c>
      <c r="IR117">
        <v>82</v>
      </c>
      <c r="IT117" s="24"/>
      <c r="IU117">
        <v>7399</v>
      </c>
      <c r="IV117">
        <v>7400</v>
      </c>
      <c r="IW117">
        <v>7399</v>
      </c>
      <c r="IX117">
        <v>2120865</v>
      </c>
      <c r="IY117">
        <v>184</v>
      </c>
      <c r="JA117" s="24"/>
      <c r="JB117">
        <v>102004400</v>
      </c>
      <c r="JC117">
        <v>104999990</v>
      </c>
      <c r="JD117">
        <v>102499999</v>
      </c>
      <c r="JE117">
        <v>101</v>
      </c>
      <c r="JF117">
        <v>77</v>
      </c>
      <c r="JH117" s="24"/>
      <c r="JI117">
        <v>100000000</v>
      </c>
      <c r="JJ117">
        <v>107082370</v>
      </c>
      <c r="JK117">
        <v>105902335</v>
      </c>
      <c r="JL117">
        <v>36</v>
      </c>
      <c r="JM117">
        <v>36</v>
      </c>
      <c r="JO117" s="24"/>
      <c r="JP117">
        <v>67</v>
      </c>
      <c r="JQ117">
        <v>69</v>
      </c>
      <c r="JR117">
        <v>68</v>
      </c>
      <c r="JS117">
        <v>139757270</v>
      </c>
      <c r="JT117">
        <v>114</v>
      </c>
      <c r="JV117" s="24"/>
      <c r="JW117">
        <v>66</v>
      </c>
      <c r="JX117">
        <v>69</v>
      </c>
      <c r="JY117">
        <v>68</v>
      </c>
      <c r="JZ117">
        <v>144076059</v>
      </c>
      <c r="KA117">
        <v>127</v>
      </c>
      <c r="KC117" s="24"/>
      <c r="KD117">
        <v>21</v>
      </c>
      <c r="KE117">
        <v>24</v>
      </c>
      <c r="KF117">
        <v>24</v>
      </c>
      <c r="KG117">
        <v>54701329</v>
      </c>
      <c r="KH117">
        <v>343</v>
      </c>
      <c r="KJ117" s="24"/>
      <c r="KK117">
        <v>72</v>
      </c>
      <c r="KL117">
        <v>73</v>
      </c>
      <c r="KM117">
        <v>73</v>
      </c>
      <c r="KN117">
        <v>165888088</v>
      </c>
      <c r="KO117">
        <v>152</v>
      </c>
      <c r="KQ117" s="24"/>
      <c r="KR117">
        <v>79010</v>
      </c>
      <c r="KS117">
        <v>82600</v>
      </c>
      <c r="KT117">
        <v>80000</v>
      </c>
      <c r="KU117">
        <v>85993</v>
      </c>
      <c r="KV117">
        <v>739</v>
      </c>
      <c r="KX117" s="24"/>
      <c r="KY117">
        <v>743</v>
      </c>
      <c r="KZ117">
        <v>743</v>
      </c>
      <c r="LA117">
        <v>743</v>
      </c>
      <c r="LB117">
        <v>9182503</v>
      </c>
      <c r="LC117">
        <v>235</v>
      </c>
      <c r="LE117" s="24"/>
      <c r="LF117">
        <v>196000</v>
      </c>
      <c r="LG117">
        <v>199698</v>
      </c>
      <c r="LH117">
        <v>196090</v>
      </c>
      <c r="LI117">
        <v>128026</v>
      </c>
      <c r="LJ117">
        <v>1060</v>
      </c>
      <c r="LL117" s="24"/>
      <c r="LM117">
        <v>78334</v>
      </c>
      <c r="LN117">
        <v>79000</v>
      </c>
      <c r="LO117">
        <v>78337</v>
      </c>
      <c r="LP117">
        <v>435116</v>
      </c>
      <c r="LQ117">
        <v>1507</v>
      </c>
      <c r="LS117" s="24"/>
      <c r="LT117">
        <v>308</v>
      </c>
      <c r="LU117">
        <v>309</v>
      </c>
      <c r="LV117">
        <v>309</v>
      </c>
      <c r="LW117">
        <v>93529058</v>
      </c>
      <c r="LX117">
        <v>342</v>
      </c>
      <c r="LZ117" s="24"/>
      <c r="MA117">
        <v>95327</v>
      </c>
      <c r="MB117">
        <v>99879</v>
      </c>
      <c r="MC117">
        <v>95899</v>
      </c>
      <c r="MD117">
        <v>1139774</v>
      </c>
      <c r="ME117">
        <v>114</v>
      </c>
    </row>
    <row r="118" spans="2:343" x14ac:dyDescent="0.25">
      <c r="B118" s="24"/>
      <c r="C118">
        <v>3</v>
      </c>
      <c r="D118">
        <v>3</v>
      </c>
      <c r="E118">
        <v>3</v>
      </c>
      <c r="F118">
        <v>35056477175</v>
      </c>
      <c r="G118">
        <v>3452</v>
      </c>
      <c r="I118" s="24"/>
      <c r="J118">
        <v>4</v>
      </c>
      <c r="K118">
        <v>4</v>
      </c>
      <c r="L118">
        <v>4</v>
      </c>
      <c r="M118">
        <v>8112251211</v>
      </c>
      <c r="N118">
        <v>2467</v>
      </c>
      <c r="P118" s="24"/>
      <c r="Q118">
        <v>27</v>
      </c>
      <c r="R118">
        <v>29</v>
      </c>
      <c r="S118">
        <v>28</v>
      </c>
      <c r="T118">
        <v>2273315560</v>
      </c>
      <c r="U118">
        <v>2303</v>
      </c>
      <c r="W118" s="24"/>
      <c r="X118">
        <v>73</v>
      </c>
      <c r="Y118">
        <v>75</v>
      </c>
      <c r="Z118">
        <v>74</v>
      </c>
      <c r="AA118">
        <v>460772964</v>
      </c>
      <c r="AB118">
        <v>1808</v>
      </c>
      <c r="AD118" s="24"/>
      <c r="AE118">
        <v>517</v>
      </c>
      <c r="AF118">
        <v>529</v>
      </c>
      <c r="AG118">
        <v>523</v>
      </c>
      <c r="AH118">
        <v>140634022</v>
      </c>
      <c r="AI118">
        <v>1897</v>
      </c>
      <c r="AK118" s="24"/>
      <c r="AL118">
        <v>940</v>
      </c>
      <c r="AM118">
        <v>967</v>
      </c>
      <c r="AN118">
        <v>950</v>
      </c>
      <c r="AO118">
        <v>52014989</v>
      </c>
      <c r="AP118">
        <v>1514</v>
      </c>
      <c r="AR118" s="24"/>
      <c r="AS118">
        <v>2567</v>
      </c>
      <c r="AT118">
        <v>2679</v>
      </c>
      <c r="AU118">
        <v>2605</v>
      </c>
      <c r="AV118">
        <v>22172548</v>
      </c>
      <c r="AW118">
        <v>1532</v>
      </c>
      <c r="AY118" s="24"/>
      <c r="AZ118">
        <v>360000005</v>
      </c>
      <c r="BA118">
        <v>368499884</v>
      </c>
      <c r="BB118">
        <v>366000000</v>
      </c>
      <c r="BC118">
        <v>2335</v>
      </c>
      <c r="BD118">
        <v>1580</v>
      </c>
      <c r="BF118" s="24"/>
      <c r="BG118">
        <v>26007</v>
      </c>
      <c r="BH118">
        <v>27000</v>
      </c>
      <c r="BI118">
        <v>26009</v>
      </c>
      <c r="BJ118">
        <v>2005313</v>
      </c>
      <c r="BK118">
        <v>231</v>
      </c>
      <c r="BM118" s="24"/>
      <c r="BN118">
        <v>6350000</v>
      </c>
      <c r="BO118">
        <v>6600000</v>
      </c>
      <c r="BP118">
        <v>6502006</v>
      </c>
      <c r="BQ118">
        <v>8457</v>
      </c>
      <c r="BR118">
        <v>297</v>
      </c>
      <c r="BT118" s="24"/>
      <c r="BU118">
        <v>2169</v>
      </c>
      <c r="BV118">
        <v>2171</v>
      </c>
      <c r="BW118">
        <v>2171</v>
      </c>
      <c r="BX118">
        <v>30002287</v>
      </c>
      <c r="BY118">
        <v>306</v>
      </c>
      <c r="CA118" s="24"/>
      <c r="CB118">
        <v>335</v>
      </c>
      <c r="CC118">
        <v>350</v>
      </c>
      <c r="CD118">
        <v>349</v>
      </c>
      <c r="CE118">
        <v>88796142</v>
      </c>
      <c r="CF118">
        <v>331</v>
      </c>
      <c r="CH118" s="24"/>
      <c r="CI118">
        <v>25101</v>
      </c>
      <c r="CJ118">
        <v>25103</v>
      </c>
      <c r="CK118">
        <v>25102</v>
      </c>
      <c r="CL118">
        <v>899468</v>
      </c>
      <c r="CM118">
        <v>183</v>
      </c>
      <c r="CO118" s="24"/>
      <c r="CP118">
        <v>8800</v>
      </c>
      <c r="CQ118">
        <v>8983</v>
      </c>
      <c r="CR118">
        <v>8943</v>
      </c>
      <c r="CS118">
        <v>1046172</v>
      </c>
      <c r="CT118">
        <v>426</v>
      </c>
      <c r="CV118" s="24"/>
      <c r="CW118">
        <v>1300001</v>
      </c>
      <c r="CX118">
        <v>1359887</v>
      </c>
      <c r="CY118">
        <v>1358450</v>
      </c>
      <c r="CZ118">
        <v>11299</v>
      </c>
      <c r="DA118">
        <v>53</v>
      </c>
      <c r="DC118" s="24"/>
      <c r="DD118">
        <v>414</v>
      </c>
      <c r="DE118">
        <v>415</v>
      </c>
      <c r="DF118">
        <v>414</v>
      </c>
      <c r="DG118">
        <v>44431715</v>
      </c>
      <c r="DH118">
        <v>210</v>
      </c>
      <c r="DJ118" s="24"/>
      <c r="DK118">
        <v>37600004</v>
      </c>
      <c r="DL118">
        <v>37600112</v>
      </c>
      <c r="DM118">
        <v>37600037</v>
      </c>
      <c r="DN118">
        <v>269</v>
      </c>
      <c r="DO118">
        <v>91</v>
      </c>
      <c r="DQ118" s="24"/>
      <c r="DR118">
        <v>1590000</v>
      </c>
      <c r="DS118">
        <v>1699998</v>
      </c>
      <c r="DT118">
        <v>1649998</v>
      </c>
      <c r="DU118">
        <v>5865</v>
      </c>
      <c r="DV118">
        <v>290</v>
      </c>
      <c r="DX118" s="24"/>
      <c r="DY118">
        <v>17004019</v>
      </c>
      <c r="DZ118">
        <v>19889900</v>
      </c>
      <c r="EA118">
        <v>18100000</v>
      </c>
      <c r="EB118">
        <v>437</v>
      </c>
      <c r="EC118">
        <v>110</v>
      </c>
      <c r="EE118" s="24"/>
      <c r="EF118">
        <v>157</v>
      </c>
      <c r="EG118">
        <v>163</v>
      </c>
      <c r="EH118">
        <v>163</v>
      </c>
      <c r="EI118">
        <v>114615467</v>
      </c>
      <c r="EJ118">
        <v>189</v>
      </c>
      <c r="EL118" s="24"/>
      <c r="EM118">
        <v>40008</v>
      </c>
      <c r="EN118">
        <v>48899</v>
      </c>
      <c r="EO118">
        <v>45100</v>
      </c>
      <c r="EP118">
        <v>136368</v>
      </c>
      <c r="EQ118">
        <v>780</v>
      </c>
      <c r="ES118" s="24"/>
      <c r="ET118">
        <v>419</v>
      </c>
      <c r="EU118">
        <v>439</v>
      </c>
      <c r="EV118">
        <v>437</v>
      </c>
      <c r="EW118">
        <v>43659683</v>
      </c>
      <c r="EX118">
        <v>745</v>
      </c>
      <c r="EZ118" s="24"/>
      <c r="FA118">
        <v>3651008</v>
      </c>
      <c r="FB118">
        <v>3797000</v>
      </c>
      <c r="FC118">
        <v>3651008</v>
      </c>
      <c r="FD118">
        <v>2206</v>
      </c>
      <c r="FE118">
        <v>29</v>
      </c>
      <c r="FG118" s="24"/>
      <c r="FH118">
        <v>7999</v>
      </c>
      <c r="FI118">
        <v>8300</v>
      </c>
      <c r="FJ118">
        <v>8194</v>
      </c>
      <c r="FK118">
        <v>2469397</v>
      </c>
      <c r="FL118">
        <v>555</v>
      </c>
      <c r="FN118" s="24"/>
      <c r="FO118">
        <v>23387</v>
      </c>
      <c r="FP118">
        <v>23387</v>
      </c>
      <c r="FQ118">
        <v>23387</v>
      </c>
      <c r="FR118">
        <v>163005</v>
      </c>
      <c r="FS118">
        <v>82</v>
      </c>
      <c r="FU118" s="24"/>
      <c r="FV118">
        <v>22000</v>
      </c>
      <c r="FW118">
        <v>22598</v>
      </c>
      <c r="FX118">
        <v>22000</v>
      </c>
      <c r="FY118">
        <v>398223</v>
      </c>
      <c r="FZ118">
        <v>1386</v>
      </c>
      <c r="GB118" s="24"/>
      <c r="GC118">
        <v>104995299</v>
      </c>
      <c r="GD118">
        <v>104997600</v>
      </c>
      <c r="GE118">
        <v>104996000</v>
      </c>
      <c r="GF118">
        <v>135</v>
      </c>
      <c r="GG118">
        <v>80</v>
      </c>
      <c r="GI118" s="24"/>
      <c r="GJ118">
        <v>27000005</v>
      </c>
      <c r="GK118">
        <v>28349999</v>
      </c>
      <c r="GL118">
        <v>28349997</v>
      </c>
      <c r="GM118">
        <v>383</v>
      </c>
      <c r="GN118">
        <v>77</v>
      </c>
      <c r="GP118" s="24"/>
      <c r="GQ118">
        <v>81</v>
      </c>
      <c r="GR118">
        <v>84</v>
      </c>
      <c r="GS118">
        <v>81</v>
      </c>
      <c r="GT118">
        <v>165998269</v>
      </c>
      <c r="GU118">
        <v>164</v>
      </c>
      <c r="GW118" s="24"/>
      <c r="GX118">
        <v>375</v>
      </c>
      <c r="GY118">
        <v>384</v>
      </c>
      <c r="GZ118">
        <v>384</v>
      </c>
      <c r="HA118">
        <v>52569553</v>
      </c>
      <c r="HB118">
        <v>265</v>
      </c>
      <c r="HD118" s="24"/>
      <c r="HE118">
        <v>5763</v>
      </c>
      <c r="HF118">
        <v>5766</v>
      </c>
      <c r="HG118">
        <v>5765</v>
      </c>
      <c r="HH118">
        <v>21036900</v>
      </c>
      <c r="HI118">
        <v>305</v>
      </c>
      <c r="HK118" s="24"/>
      <c r="HL118">
        <v>101002200</v>
      </c>
      <c r="HM118">
        <v>106994990</v>
      </c>
      <c r="HN118">
        <v>101933049</v>
      </c>
      <c r="HO118">
        <v>100</v>
      </c>
      <c r="HP118">
        <v>73</v>
      </c>
      <c r="HR118" s="24"/>
      <c r="HS118">
        <v>7801</v>
      </c>
      <c r="HT118">
        <v>8199</v>
      </c>
      <c r="HU118">
        <v>8044</v>
      </c>
      <c r="HV118">
        <v>914780</v>
      </c>
      <c r="HW118">
        <v>196</v>
      </c>
      <c r="HY118" s="24"/>
      <c r="HZ118">
        <v>7511</v>
      </c>
      <c r="IA118">
        <v>7992</v>
      </c>
      <c r="IB118">
        <v>7989</v>
      </c>
      <c r="IC118">
        <v>2093844</v>
      </c>
      <c r="ID118">
        <v>603</v>
      </c>
      <c r="IF118" s="24"/>
      <c r="IG118">
        <v>2920</v>
      </c>
      <c r="IH118">
        <v>3103</v>
      </c>
      <c r="II118">
        <v>3098</v>
      </c>
      <c r="IJ118">
        <v>2204708</v>
      </c>
      <c r="IK118">
        <v>163</v>
      </c>
      <c r="IM118" s="24"/>
      <c r="IN118">
        <v>96000000</v>
      </c>
      <c r="IO118">
        <v>102999199</v>
      </c>
      <c r="IP118">
        <v>100000802</v>
      </c>
      <c r="IQ118">
        <v>128</v>
      </c>
      <c r="IR118">
        <v>84</v>
      </c>
      <c r="IT118" s="24"/>
      <c r="IU118">
        <v>7545</v>
      </c>
      <c r="IV118">
        <v>7546</v>
      </c>
      <c r="IW118">
        <v>7545</v>
      </c>
      <c r="IX118">
        <v>1171677</v>
      </c>
      <c r="IY118">
        <v>132</v>
      </c>
      <c r="JA118" s="24"/>
      <c r="JB118">
        <v>102001600</v>
      </c>
      <c r="JC118">
        <v>103999988</v>
      </c>
      <c r="JD118">
        <v>102004400</v>
      </c>
      <c r="JE118">
        <v>101</v>
      </c>
      <c r="JF118">
        <v>75</v>
      </c>
      <c r="JH118" s="24"/>
      <c r="JI118">
        <v>100010102</v>
      </c>
      <c r="JJ118">
        <v>107063400</v>
      </c>
      <c r="JK118">
        <v>104598497</v>
      </c>
      <c r="JL118">
        <v>40</v>
      </c>
      <c r="JM118">
        <v>39</v>
      </c>
      <c r="JO118" s="24"/>
      <c r="JP118">
        <v>67</v>
      </c>
      <c r="JQ118">
        <v>69</v>
      </c>
      <c r="JR118">
        <v>69</v>
      </c>
      <c r="JS118">
        <v>92061212</v>
      </c>
      <c r="JT118">
        <v>100</v>
      </c>
      <c r="JV118" s="24"/>
      <c r="JW118">
        <v>68</v>
      </c>
      <c r="JX118">
        <v>68</v>
      </c>
      <c r="JY118">
        <v>68</v>
      </c>
      <c r="JZ118">
        <v>171840856</v>
      </c>
      <c r="KA118">
        <v>146</v>
      </c>
      <c r="KC118" s="24"/>
      <c r="KD118">
        <v>21</v>
      </c>
      <c r="KE118">
        <v>23</v>
      </c>
      <c r="KF118">
        <v>21</v>
      </c>
      <c r="KG118">
        <v>56762051</v>
      </c>
      <c r="KH118">
        <v>329</v>
      </c>
      <c r="KJ118" s="24"/>
      <c r="KK118">
        <v>71</v>
      </c>
      <c r="KL118">
        <v>73</v>
      </c>
      <c r="KM118">
        <v>73</v>
      </c>
      <c r="KN118">
        <v>133867929</v>
      </c>
      <c r="KO118">
        <v>167</v>
      </c>
      <c r="KQ118" s="24"/>
      <c r="KR118">
        <v>80000</v>
      </c>
      <c r="KS118">
        <v>82499</v>
      </c>
      <c r="KT118">
        <v>80101</v>
      </c>
      <c r="KU118">
        <v>62556</v>
      </c>
      <c r="KV118">
        <v>712</v>
      </c>
      <c r="KX118" s="24"/>
      <c r="KY118">
        <v>720</v>
      </c>
      <c r="KZ118">
        <v>742</v>
      </c>
      <c r="LA118">
        <v>741</v>
      </c>
      <c r="LB118">
        <v>5408747</v>
      </c>
      <c r="LC118">
        <v>202</v>
      </c>
      <c r="LE118" s="24"/>
      <c r="LF118">
        <v>193257</v>
      </c>
      <c r="LG118">
        <v>194000</v>
      </c>
      <c r="LH118">
        <v>193257</v>
      </c>
      <c r="LI118">
        <v>104427</v>
      </c>
      <c r="LJ118">
        <v>1002</v>
      </c>
      <c r="LL118" s="24"/>
      <c r="LM118">
        <v>78339</v>
      </c>
      <c r="LN118">
        <v>78505</v>
      </c>
      <c r="LO118">
        <v>78366</v>
      </c>
      <c r="LP118">
        <v>395839</v>
      </c>
      <c r="LQ118">
        <v>1486</v>
      </c>
      <c r="LS118" s="24"/>
      <c r="LT118">
        <v>295</v>
      </c>
      <c r="LU118">
        <v>309</v>
      </c>
      <c r="LV118">
        <v>308</v>
      </c>
      <c r="LW118">
        <v>105373510</v>
      </c>
      <c r="LX118">
        <v>390</v>
      </c>
      <c r="LZ118" s="24"/>
      <c r="MA118">
        <v>95988</v>
      </c>
      <c r="MB118">
        <v>97999</v>
      </c>
      <c r="MC118">
        <v>97000</v>
      </c>
      <c r="MD118">
        <v>522000</v>
      </c>
      <c r="ME118">
        <v>69</v>
      </c>
    </row>
    <row r="119" spans="2:343" x14ac:dyDescent="0.25">
      <c r="B119" s="24"/>
      <c r="C119">
        <v>3</v>
      </c>
      <c r="D119">
        <v>3</v>
      </c>
      <c r="E119">
        <v>3</v>
      </c>
      <c r="F119">
        <v>34904783429</v>
      </c>
      <c r="G119">
        <v>2972</v>
      </c>
      <c r="I119" s="24"/>
      <c r="J119">
        <v>4</v>
      </c>
      <c r="K119">
        <v>4</v>
      </c>
      <c r="L119">
        <v>4</v>
      </c>
      <c r="M119">
        <v>5786857361</v>
      </c>
      <c r="N119">
        <v>2034</v>
      </c>
      <c r="P119" s="24"/>
      <c r="Q119">
        <v>27</v>
      </c>
      <c r="R119">
        <v>28</v>
      </c>
      <c r="S119">
        <v>28</v>
      </c>
      <c r="T119">
        <v>1884419128</v>
      </c>
      <c r="U119">
        <v>1853</v>
      </c>
      <c r="W119" s="24"/>
      <c r="X119">
        <v>72</v>
      </c>
      <c r="Y119">
        <v>73</v>
      </c>
      <c r="Z119">
        <v>73</v>
      </c>
      <c r="AA119">
        <v>400013583</v>
      </c>
      <c r="AB119">
        <v>1472</v>
      </c>
      <c r="AD119" s="24"/>
      <c r="AE119">
        <v>517</v>
      </c>
      <c r="AF119">
        <v>523</v>
      </c>
      <c r="AG119">
        <v>520</v>
      </c>
      <c r="AH119">
        <v>133437580</v>
      </c>
      <c r="AI119">
        <v>1506</v>
      </c>
      <c r="AK119" s="24"/>
      <c r="AL119">
        <v>943</v>
      </c>
      <c r="AM119">
        <v>963</v>
      </c>
      <c r="AN119">
        <v>963</v>
      </c>
      <c r="AO119">
        <v>34002504</v>
      </c>
      <c r="AP119">
        <v>1221</v>
      </c>
      <c r="AR119" s="24"/>
      <c r="AS119">
        <v>2590</v>
      </c>
      <c r="AT119">
        <v>2664</v>
      </c>
      <c r="AU119">
        <v>2605</v>
      </c>
      <c r="AV119">
        <v>17538735</v>
      </c>
      <c r="AW119">
        <v>1240</v>
      </c>
      <c r="AY119" s="24"/>
      <c r="AZ119">
        <v>367000000</v>
      </c>
      <c r="BA119">
        <v>374000000</v>
      </c>
      <c r="BB119">
        <v>370000000</v>
      </c>
      <c r="BC119">
        <v>2097</v>
      </c>
      <c r="BD119">
        <v>1436</v>
      </c>
      <c r="BF119" s="24"/>
      <c r="BG119">
        <v>25556</v>
      </c>
      <c r="BH119">
        <v>25703</v>
      </c>
      <c r="BI119">
        <v>25702</v>
      </c>
      <c r="BJ119">
        <v>938676</v>
      </c>
      <c r="BK119">
        <v>185</v>
      </c>
      <c r="BM119" s="24"/>
      <c r="BN119">
        <v>6520000</v>
      </c>
      <c r="BO119">
        <v>6670000</v>
      </c>
      <c r="BP119">
        <v>6572149</v>
      </c>
      <c r="BQ119">
        <v>8563</v>
      </c>
      <c r="BR119">
        <v>320</v>
      </c>
      <c r="BT119" s="24"/>
      <c r="BU119">
        <v>2103</v>
      </c>
      <c r="BV119">
        <v>2169</v>
      </c>
      <c r="BW119">
        <v>2109</v>
      </c>
      <c r="BX119">
        <v>23474959</v>
      </c>
      <c r="BY119">
        <v>268</v>
      </c>
      <c r="CA119" s="24"/>
      <c r="CB119">
        <v>341</v>
      </c>
      <c r="CC119">
        <v>351</v>
      </c>
      <c r="CD119">
        <v>349</v>
      </c>
      <c r="CE119">
        <v>85722142</v>
      </c>
      <c r="CF119">
        <v>267</v>
      </c>
      <c r="CH119" s="24"/>
      <c r="CI119">
        <v>25500</v>
      </c>
      <c r="CJ119">
        <v>25800</v>
      </c>
      <c r="CK119">
        <v>25800</v>
      </c>
      <c r="CL119">
        <v>2627661</v>
      </c>
      <c r="CM119">
        <v>199</v>
      </c>
      <c r="CO119" s="24"/>
      <c r="CP119">
        <v>8507</v>
      </c>
      <c r="CQ119">
        <v>8989</v>
      </c>
      <c r="CR119">
        <v>8865</v>
      </c>
      <c r="CS119">
        <v>917903</v>
      </c>
      <c r="CT119">
        <v>354</v>
      </c>
      <c r="CV119" s="24"/>
      <c r="CW119">
        <v>1350758</v>
      </c>
      <c r="CX119">
        <v>1358450</v>
      </c>
      <c r="CY119">
        <v>1358447</v>
      </c>
      <c r="CZ119">
        <v>9086</v>
      </c>
      <c r="DA119">
        <v>51</v>
      </c>
      <c r="DC119" s="24"/>
      <c r="DD119">
        <v>391</v>
      </c>
      <c r="DE119">
        <v>414</v>
      </c>
      <c r="DF119">
        <v>409</v>
      </c>
      <c r="DG119">
        <v>37828290</v>
      </c>
      <c r="DH119">
        <v>185</v>
      </c>
      <c r="DJ119" s="24"/>
      <c r="DK119">
        <v>37606001</v>
      </c>
      <c r="DL119">
        <v>37606003</v>
      </c>
      <c r="DM119">
        <v>37606001</v>
      </c>
      <c r="DN119">
        <v>409</v>
      </c>
      <c r="DO119">
        <v>95</v>
      </c>
      <c r="DQ119" s="24"/>
      <c r="DR119">
        <v>1620069</v>
      </c>
      <c r="DS119">
        <v>1800000</v>
      </c>
      <c r="DT119">
        <v>1779800</v>
      </c>
      <c r="DU119">
        <v>6729</v>
      </c>
      <c r="DV119">
        <v>226</v>
      </c>
      <c r="DX119" s="24"/>
      <c r="DY119">
        <v>18000005</v>
      </c>
      <c r="DZ119">
        <v>19488887</v>
      </c>
      <c r="EA119">
        <v>18000021</v>
      </c>
      <c r="EB119">
        <v>326</v>
      </c>
      <c r="EC119">
        <v>104</v>
      </c>
      <c r="EE119" s="24"/>
      <c r="EF119">
        <v>156</v>
      </c>
      <c r="EG119">
        <v>163</v>
      </c>
      <c r="EH119">
        <v>163</v>
      </c>
      <c r="EI119">
        <v>102901789</v>
      </c>
      <c r="EJ119">
        <v>204</v>
      </c>
      <c r="EL119" s="24"/>
      <c r="EM119">
        <v>46999</v>
      </c>
      <c r="EN119">
        <v>48999</v>
      </c>
      <c r="EO119">
        <v>47900</v>
      </c>
      <c r="EP119">
        <v>105587</v>
      </c>
      <c r="EQ119">
        <v>660</v>
      </c>
      <c r="ES119" s="24"/>
      <c r="ET119">
        <v>420</v>
      </c>
      <c r="EU119">
        <v>437</v>
      </c>
      <c r="EV119">
        <v>437</v>
      </c>
      <c r="EW119">
        <v>45248689</v>
      </c>
      <c r="EX119">
        <v>641</v>
      </c>
      <c r="EZ119" s="24"/>
      <c r="FA119">
        <v>3651006</v>
      </c>
      <c r="FB119">
        <v>3651008</v>
      </c>
      <c r="FC119">
        <v>3651006</v>
      </c>
      <c r="FD119">
        <v>1893</v>
      </c>
      <c r="FE119">
        <v>32</v>
      </c>
      <c r="FG119" s="24"/>
      <c r="FH119">
        <v>7880</v>
      </c>
      <c r="FI119">
        <v>8298</v>
      </c>
      <c r="FJ119">
        <v>8194</v>
      </c>
      <c r="FK119">
        <v>1621297</v>
      </c>
      <c r="FL119">
        <v>471</v>
      </c>
      <c r="FN119" s="24"/>
      <c r="FO119">
        <v>23387</v>
      </c>
      <c r="FP119">
        <v>23387</v>
      </c>
      <c r="FQ119">
        <v>23387</v>
      </c>
      <c r="FR119">
        <v>134163</v>
      </c>
      <c r="FS119">
        <v>95</v>
      </c>
      <c r="FU119" s="24"/>
      <c r="FV119">
        <v>21611</v>
      </c>
      <c r="FW119">
        <v>22000</v>
      </c>
      <c r="FX119">
        <v>21656</v>
      </c>
      <c r="FY119">
        <v>342537</v>
      </c>
      <c r="FZ119">
        <v>1226</v>
      </c>
      <c r="GB119" s="24"/>
      <c r="GC119">
        <v>105750000</v>
      </c>
      <c r="GD119">
        <v>111396199</v>
      </c>
      <c r="GE119">
        <v>108224216</v>
      </c>
      <c r="GF119">
        <v>87</v>
      </c>
      <c r="GG119">
        <v>62</v>
      </c>
      <c r="GI119" s="24"/>
      <c r="GJ119">
        <v>27001000</v>
      </c>
      <c r="GK119">
        <v>28390019</v>
      </c>
      <c r="GL119">
        <v>27001018</v>
      </c>
      <c r="GM119">
        <v>353</v>
      </c>
      <c r="GN119">
        <v>86</v>
      </c>
      <c r="GP119" s="24"/>
      <c r="GQ119">
        <v>81</v>
      </c>
      <c r="GR119">
        <v>84</v>
      </c>
      <c r="GS119">
        <v>84</v>
      </c>
      <c r="GT119">
        <v>151926554</v>
      </c>
      <c r="GU119">
        <v>150</v>
      </c>
      <c r="GW119" s="24"/>
      <c r="GX119">
        <v>354</v>
      </c>
      <c r="GY119">
        <v>378</v>
      </c>
      <c r="GZ119">
        <v>375</v>
      </c>
      <c r="HA119">
        <v>75788469</v>
      </c>
      <c r="HB119">
        <v>264</v>
      </c>
      <c r="HD119" s="24"/>
      <c r="HE119">
        <v>5636</v>
      </c>
      <c r="HF119">
        <v>5764</v>
      </c>
      <c r="HG119">
        <v>5762</v>
      </c>
      <c r="HH119">
        <v>15115160</v>
      </c>
      <c r="HI119">
        <v>280</v>
      </c>
      <c r="HK119" s="24"/>
      <c r="HL119">
        <v>98520015</v>
      </c>
      <c r="HM119">
        <v>106422599</v>
      </c>
      <c r="HN119">
        <v>103743356</v>
      </c>
      <c r="HO119">
        <v>80</v>
      </c>
      <c r="HP119">
        <v>72</v>
      </c>
      <c r="HR119" s="24"/>
      <c r="HS119">
        <v>7800</v>
      </c>
      <c r="HT119">
        <v>8100</v>
      </c>
      <c r="HU119">
        <v>8094</v>
      </c>
      <c r="HV119">
        <v>750648</v>
      </c>
      <c r="HW119">
        <v>137</v>
      </c>
      <c r="HY119" s="24"/>
      <c r="HZ119">
        <v>7512</v>
      </c>
      <c r="IA119">
        <v>7950</v>
      </c>
      <c r="IB119">
        <v>7892</v>
      </c>
      <c r="IC119">
        <v>1601370</v>
      </c>
      <c r="ID119">
        <v>463</v>
      </c>
      <c r="IF119" s="24"/>
      <c r="IG119">
        <v>2702</v>
      </c>
      <c r="IH119">
        <v>3052</v>
      </c>
      <c r="II119">
        <v>2900</v>
      </c>
      <c r="IJ119">
        <v>2241345</v>
      </c>
      <c r="IK119">
        <v>165</v>
      </c>
      <c r="IM119" s="24"/>
      <c r="IN119">
        <v>89003001</v>
      </c>
      <c r="IO119">
        <v>101895999</v>
      </c>
      <c r="IP119">
        <v>98000001</v>
      </c>
      <c r="IQ119">
        <v>147</v>
      </c>
      <c r="IR119">
        <v>92</v>
      </c>
      <c r="IT119" s="24"/>
      <c r="IU119">
        <v>7488</v>
      </c>
      <c r="IV119">
        <v>7545</v>
      </c>
      <c r="IW119">
        <v>7500</v>
      </c>
      <c r="IX119">
        <v>1252281</v>
      </c>
      <c r="IY119">
        <v>165</v>
      </c>
      <c r="JA119" s="24"/>
      <c r="JB119">
        <v>102000001</v>
      </c>
      <c r="JC119">
        <v>105987999</v>
      </c>
      <c r="JD119">
        <v>105980900</v>
      </c>
      <c r="JE119">
        <v>106</v>
      </c>
      <c r="JF119">
        <v>82</v>
      </c>
      <c r="JH119" s="24"/>
      <c r="JI119">
        <v>102002200</v>
      </c>
      <c r="JJ119">
        <v>107055999</v>
      </c>
      <c r="JK119">
        <v>104774440</v>
      </c>
      <c r="JL119">
        <v>74</v>
      </c>
      <c r="JM119">
        <v>46</v>
      </c>
      <c r="JO119" s="24"/>
      <c r="JP119">
        <v>69</v>
      </c>
      <c r="JQ119">
        <v>69</v>
      </c>
      <c r="JR119">
        <v>69</v>
      </c>
      <c r="JS119">
        <v>63989487</v>
      </c>
      <c r="JT119">
        <v>92</v>
      </c>
      <c r="JV119" s="24"/>
      <c r="JW119">
        <v>65</v>
      </c>
      <c r="JX119">
        <v>68</v>
      </c>
      <c r="JY119">
        <v>68</v>
      </c>
      <c r="JZ119">
        <v>84230986</v>
      </c>
      <c r="KA119">
        <v>104</v>
      </c>
      <c r="KC119" s="24"/>
      <c r="KD119">
        <v>22</v>
      </c>
      <c r="KE119">
        <v>23</v>
      </c>
      <c r="KF119">
        <v>23</v>
      </c>
      <c r="KG119">
        <v>53840778</v>
      </c>
      <c r="KH119">
        <v>321</v>
      </c>
      <c r="KJ119" s="24"/>
      <c r="KK119">
        <v>71</v>
      </c>
      <c r="KL119">
        <v>71</v>
      </c>
      <c r="KM119">
        <v>71</v>
      </c>
      <c r="KN119">
        <v>159715465</v>
      </c>
      <c r="KO119">
        <v>125</v>
      </c>
      <c r="KQ119" s="24"/>
      <c r="KR119">
        <v>80500</v>
      </c>
      <c r="KS119">
        <v>83998</v>
      </c>
      <c r="KT119">
        <v>80525</v>
      </c>
      <c r="KU119">
        <v>69163</v>
      </c>
      <c r="KV119">
        <v>639</v>
      </c>
      <c r="KX119" s="24"/>
      <c r="KY119">
        <v>715</v>
      </c>
      <c r="KZ119">
        <v>719</v>
      </c>
      <c r="LA119">
        <v>717</v>
      </c>
      <c r="LB119">
        <v>5944361</v>
      </c>
      <c r="LC119">
        <v>218</v>
      </c>
      <c r="LE119" s="24"/>
      <c r="LF119">
        <v>193005</v>
      </c>
      <c r="LG119">
        <v>193155</v>
      </c>
      <c r="LH119">
        <v>193151</v>
      </c>
      <c r="LI119">
        <v>97739</v>
      </c>
      <c r="LJ119">
        <v>901</v>
      </c>
      <c r="LL119" s="24"/>
      <c r="LM119">
        <v>78615</v>
      </c>
      <c r="LN119">
        <v>79017</v>
      </c>
      <c r="LO119">
        <v>78675</v>
      </c>
      <c r="LP119">
        <v>349243</v>
      </c>
      <c r="LQ119">
        <v>1302</v>
      </c>
      <c r="LS119" s="24"/>
      <c r="LT119">
        <v>304</v>
      </c>
      <c r="LU119">
        <v>307</v>
      </c>
      <c r="LV119">
        <v>306</v>
      </c>
      <c r="LW119">
        <v>89680553</v>
      </c>
      <c r="LX119">
        <v>354</v>
      </c>
      <c r="LZ119" s="24"/>
      <c r="MA119">
        <v>93120</v>
      </c>
      <c r="MB119">
        <v>96997</v>
      </c>
      <c r="MC119">
        <v>95478</v>
      </c>
      <c r="MD119">
        <v>1186771</v>
      </c>
      <c r="ME119">
        <v>137</v>
      </c>
    </row>
    <row r="120" spans="2:343" x14ac:dyDescent="0.25">
      <c r="B120" s="24"/>
      <c r="C120">
        <v>3</v>
      </c>
      <c r="D120">
        <v>3</v>
      </c>
      <c r="E120">
        <v>3</v>
      </c>
      <c r="F120">
        <v>33068330717</v>
      </c>
      <c r="G120">
        <v>2682</v>
      </c>
      <c r="I120" s="24"/>
      <c r="J120">
        <v>4</v>
      </c>
      <c r="K120">
        <v>4</v>
      </c>
      <c r="L120">
        <v>4</v>
      </c>
      <c r="M120">
        <v>5660677263</v>
      </c>
      <c r="N120">
        <v>1851</v>
      </c>
      <c r="P120" s="24"/>
      <c r="Q120">
        <v>27</v>
      </c>
      <c r="R120">
        <v>28</v>
      </c>
      <c r="S120">
        <v>28</v>
      </c>
      <c r="T120">
        <v>2081537275</v>
      </c>
      <c r="U120">
        <v>1714</v>
      </c>
      <c r="W120" s="24"/>
      <c r="X120">
        <v>73</v>
      </c>
      <c r="Y120">
        <v>74</v>
      </c>
      <c r="Z120">
        <v>74</v>
      </c>
      <c r="AA120">
        <v>461076411</v>
      </c>
      <c r="AB120">
        <v>1381</v>
      </c>
      <c r="AD120" s="24"/>
      <c r="AE120">
        <v>514</v>
      </c>
      <c r="AF120">
        <v>534</v>
      </c>
      <c r="AG120">
        <v>523</v>
      </c>
      <c r="AH120">
        <v>114905251</v>
      </c>
      <c r="AI120">
        <v>1495</v>
      </c>
      <c r="AK120" s="24"/>
      <c r="AL120">
        <v>938</v>
      </c>
      <c r="AM120">
        <v>968</v>
      </c>
      <c r="AN120">
        <v>950</v>
      </c>
      <c r="AO120">
        <v>44408094</v>
      </c>
      <c r="AP120">
        <v>1281</v>
      </c>
      <c r="AR120" s="24"/>
      <c r="AS120">
        <v>2581</v>
      </c>
      <c r="AT120">
        <v>2659</v>
      </c>
      <c r="AU120">
        <v>2620</v>
      </c>
      <c r="AV120">
        <v>19876827</v>
      </c>
      <c r="AW120">
        <v>1194</v>
      </c>
      <c r="AY120" s="24"/>
      <c r="AZ120">
        <v>366250000</v>
      </c>
      <c r="BA120">
        <v>374894999</v>
      </c>
      <c r="BB120">
        <v>371889980</v>
      </c>
      <c r="BC120">
        <v>1965</v>
      </c>
      <c r="BD120">
        <v>1356</v>
      </c>
      <c r="BF120" s="24"/>
      <c r="BG120">
        <v>25707</v>
      </c>
      <c r="BH120">
        <v>25809</v>
      </c>
      <c r="BI120">
        <v>25809</v>
      </c>
      <c r="BJ120">
        <v>1644168</v>
      </c>
      <c r="BK120">
        <v>165</v>
      </c>
      <c r="BM120" s="24"/>
      <c r="BN120">
        <v>6731009</v>
      </c>
      <c r="BO120">
        <v>6898000</v>
      </c>
      <c r="BP120">
        <v>6731014</v>
      </c>
      <c r="BQ120">
        <v>12152</v>
      </c>
      <c r="BR120">
        <v>353</v>
      </c>
      <c r="BT120" s="24"/>
      <c r="BU120">
        <v>2065</v>
      </c>
      <c r="BV120">
        <v>2146</v>
      </c>
      <c r="BW120">
        <v>2115</v>
      </c>
      <c r="BX120">
        <v>13441079</v>
      </c>
      <c r="BY120">
        <v>215</v>
      </c>
      <c r="CA120" s="24"/>
      <c r="CB120">
        <v>335</v>
      </c>
      <c r="CC120">
        <v>350</v>
      </c>
      <c r="CD120">
        <v>345</v>
      </c>
      <c r="CE120">
        <v>78864981</v>
      </c>
      <c r="CF120">
        <v>294</v>
      </c>
      <c r="CH120" s="24"/>
      <c r="CI120">
        <v>26061</v>
      </c>
      <c r="CJ120">
        <v>26062</v>
      </c>
      <c r="CK120">
        <v>26062</v>
      </c>
      <c r="CL120">
        <v>2103617</v>
      </c>
      <c r="CM120">
        <v>155</v>
      </c>
      <c r="CO120" s="24"/>
      <c r="CP120">
        <v>8266</v>
      </c>
      <c r="CQ120">
        <v>8787</v>
      </c>
      <c r="CR120">
        <v>8599</v>
      </c>
      <c r="CS120">
        <v>999221</v>
      </c>
      <c r="CT120">
        <v>357</v>
      </c>
      <c r="CV120" s="24"/>
      <c r="CW120">
        <v>1300000</v>
      </c>
      <c r="CX120">
        <v>1358446</v>
      </c>
      <c r="CY120">
        <v>1301001</v>
      </c>
      <c r="CZ120">
        <v>8323</v>
      </c>
      <c r="DA120">
        <v>37</v>
      </c>
      <c r="DC120" s="24"/>
      <c r="DD120">
        <v>399</v>
      </c>
      <c r="DE120">
        <v>408</v>
      </c>
      <c r="DF120">
        <v>404</v>
      </c>
      <c r="DG120">
        <v>44588693</v>
      </c>
      <c r="DH120">
        <v>199</v>
      </c>
      <c r="DJ120" s="24"/>
      <c r="DK120">
        <v>37608000</v>
      </c>
      <c r="DL120">
        <v>37698997</v>
      </c>
      <c r="DM120">
        <v>37639000</v>
      </c>
      <c r="DN120">
        <v>700</v>
      </c>
      <c r="DO120">
        <v>98</v>
      </c>
      <c r="DQ120" s="24"/>
      <c r="DR120">
        <v>1620101</v>
      </c>
      <c r="DS120">
        <v>1710113</v>
      </c>
      <c r="DT120">
        <v>1625027</v>
      </c>
      <c r="DU120">
        <v>4143</v>
      </c>
      <c r="DV120">
        <v>200</v>
      </c>
      <c r="DX120" s="24"/>
      <c r="DY120">
        <v>18000023</v>
      </c>
      <c r="DZ120">
        <v>19200024</v>
      </c>
      <c r="EA120">
        <v>18200020</v>
      </c>
      <c r="EB120">
        <v>331</v>
      </c>
      <c r="EC120">
        <v>85</v>
      </c>
      <c r="EE120" s="24"/>
      <c r="EF120">
        <v>159</v>
      </c>
      <c r="EG120">
        <v>168</v>
      </c>
      <c r="EH120">
        <v>168</v>
      </c>
      <c r="EI120">
        <v>106516163</v>
      </c>
      <c r="EJ120">
        <v>202</v>
      </c>
      <c r="EL120" s="24"/>
      <c r="EM120">
        <v>50005</v>
      </c>
      <c r="EN120">
        <v>50899</v>
      </c>
      <c r="EO120">
        <v>50044</v>
      </c>
      <c r="EP120">
        <v>90690</v>
      </c>
      <c r="EQ120">
        <v>645</v>
      </c>
      <c r="ES120" s="24"/>
      <c r="ET120">
        <v>415</v>
      </c>
      <c r="EU120">
        <v>437</v>
      </c>
      <c r="EV120">
        <v>432</v>
      </c>
      <c r="EW120">
        <v>52243089</v>
      </c>
      <c r="EX120">
        <v>622</v>
      </c>
      <c r="EZ120" s="24"/>
      <c r="FA120">
        <v>3610000</v>
      </c>
      <c r="FB120">
        <v>3749699</v>
      </c>
      <c r="FC120">
        <v>3747698</v>
      </c>
      <c r="FD120">
        <v>419</v>
      </c>
      <c r="FE120">
        <v>11</v>
      </c>
      <c r="FG120" s="24"/>
      <c r="FH120">
        <v>7895</v>
      </c>
      <c r="FI120">
        <v>8050</v>
      </c>
      <c r="FJ120">
        <v>7900</v>
      </c>
      <c r="FK120">
        <v>1627858</v>
      </c>
      <c r="FL120">
        <v>433</v>
      </c>
      <c r="FN120" s="24"/>
      <c r="FO120">
        <v>23387</v>
      </c>
      <c r="FP120">
        <v>23488</v>
      </c>
      <c r="FQ120">
        <v>23488</v>
      </c>
      <c r="FR120">
        <v>243609</v>
      </c>
      <c r="FS120">
        <v>64</v>
      </c>
      <c r="FU120" s="24"/>
      <c r="FV120">
        <v>22305</v>
      </c>
      <c r="FW120">
        <v>22998</v>
      </c>
      <c r="FX120">
        <v>22310</v>
      </c>
      <c r="FY120">
        <v>349228</v>
      </c>
      <c r="FZ120">
        <v>1106</v>
      </c>
      <c r="GB120" s="24"/>
      <c r="GC120">
        <v>104000200</v>
      </c>
      <c r="GD120">
        <v>111378999</v>
      </c>
      <c r="GE120">
        <v>107179759</v>
      </c>
      <c r="GF120">
        <v>97</v>
      </c>
      <c r="GG120">
        <v>48</v>
      </c>
      <c r="GI120" s="24"/>
      <c r="GJ120">
        <v>27000998</v>
      </c>
      <c r="GK120">
        <v>28398017</v>
      </c>
      <c r="GL120">
        <v>27001010</v>
      </c>
      <c r="GM120">
        <v>312</v>
      </c>
      <c r="GN120">
        <v>53</v>
      </c>
      <c r="GP120" s="24"/>
      <c r="GQ120">
        <v>81</v>
      </c>
      <c r="GR120">
        <v>81</v>
      </c>
      <c r="GS120">
        <v>81</v>
      </c>
      <c r="GT120">
        <v>277896489</v>
      </c>
      <c r="GU120">
        <v>141</v>
      </c>
      <c r="GW120" s="24"/>
      <c r="GX120">
        <v>382</v>
      </c>
      <c r="GY120">
        <v>383</v>
      </c>
      <c r="GZ120">
        <v>383</v>
      </c>
      <c r="HA120">
        <v>43424003</v>
      </c>
      <c r="HB120">
        <v>234</v>
      </c>
      <c r="HD120" s="24"/>
      <c r="HE120">
        <v>5632</v>
      </c>
      <c r="HF120">
        <v>5761</v>
      </c>
      <c r="HG120">
        <v>5751</v>
      </c>
      <c r="HH120">
        <v>13546813</v>
      </c>
      <c r="HI120">
        <v>241</v>
      </c>
      <c r="HK120" s="24"/>
      <c r="HL120">
        <v>98509601</v>
      </c>
      <c r="HM120">
        <v>104944600</v>
      </c>
      <c r="HN120">
        <v>101762490</v>
      </c>
      <c r="HO120">
        <v>76</v>
      </c>
      <c r="HP120">
        <v>61</v>
      </c>
      <c r="HR120" s="24"/>
      <c r="HS120">
        <v>7800</v>
      </c>
      <c r="HT120">
        <v>8182</v>
      </c>
      <c r="HU120">
        <v>8097</v>
      </c>
      <c r="HV120">
        <v>850962</v>
      </c>
      <c r="HW120">
        <v>141</v>
      </c>
      <c r="HY120" s="24"/>
      <c r="HZ120">
        <v>7520</v>
      </c>
      <c r="IA120">
        <v>7892</v>
      </c>
      <c r="IB120">
        <v>7882</v>
      </c>
      <c r="IC120">
        <v>1370633</v>
      </c>
      <c r="ID120">
        <v>415</v>
      </c>
      <c r="IF120" s="24"/>
      <c r="IG120">
        <v>3024</v>
      </c>
      <c r="IH120">
        <v>3049</v>
      </c>
      <c r="II120">
        <v>3049</v>
      </c>
      <c r="IJ120">
        <v>575409</v>
      </c>
      <c r="IK120">
        <v>111</v>
      </c>
      <c r="IM120" s="24"/>
      <c r="IN120">
        <v>94101000</v>
      </c>
      <c r="IO120">
        <v>100999999</v>
      </c>
      <c r="IP120">
        <v>97633819</v>
      </c>
      <c r="IQ120">
        <v>63</v>
      </c>
      <c r="IR120">
        <v>47</v>
      </c>
      <c r="IT120" s="24"/>
      <c r="IU120">
        <v>7479</v>
      </c>
      <c r="IV120">
        <v>7479</v>
      </c>
      <c r="IW120">
        <v>7479</v>
      </c>
      <c r="IX120">
        <v>755829</v>
      </c>
      <c r="IY120">
        <v>100</v>
      </c>
      <c r="JA120" s="24"/>
      <c r="JB120">
        <v>101005200</v>
      </c>
      <c r="JC120">
        <v>105978400</v>
      </c>
      <c r="JD120">
        <v>104024888</v>
      </c>
      <c r="JE120">
        <v>57</v>
      </c>
      <c r="JF120">
        <v>53</v>
      </c>
      <c r="JH120" s="24"/>
      <c r="JI120">
        <v>103001200</v>
      </c>
      <c r="JJ120">
        <v>107047700</v>
      </c>
      <c r="JK120">
        <v>104148855</v>
      </c>
      <c r="JL120">
        <v>41</v>
      </c>
      <c r="JM120">
        <v>31</v>
      </c>
      <c r="JO120" s="24"/>
      <c r="JP120">
        <v>64</v>
      </c>
      <c r="JQ120">
        <v>69</v>
      </c>
      <c r="JR120">
        <v>67</v>
      </c>
      <c r="JS120">
        <v>179439303</v>
      </c>
      <c r="JT120">
        <v>122</v>
      </c>
      <c r="JV120" s="24"/>
      <c r="JW120">
        <v>65</v>
      </c>
      <c r="JX120">
        <v>68</v>
      </c>
      <c r="JY120">
        <v>68</v>
      </c>
      <c r="JZ120">
        <v>182596257</v>
      </c>
      <c r="KA120">
        <v>136</v>
      </c>
      <c r="KC120" s="24"/>
      <c r="KD120">
        <v>22</v>
      </c>
      <c r="KE120">
        <v>23</v>
      </c>
      <c r="KF120">
        <v>23</v>
      </c>
      <c r="KG120">
        <v>50373944</v>
      </c>
      <c r="KH120">
        <v>301</v>
      </c>
      <c r="KJ120" s="24"/>
      <c r="KK120">
        <v>70</v>
      </c>
      <c r="KL120">
        <v>73</v>
      </c>
      <c r="KM120">
        <v>73</v>
      </c>
      <c r="KN120">
        <v>185227754</v>
      </c>
      <c r="KO120">
        <v>126</v>
      </c>
      <c r="KQ120" s="24"/>
      <c r="KR120">
        <v>80525</v>
      </c>
      <c r="KS120">
        <v>83251</v>
      </c>
      <c r="KT120">
        <v>83000</v>
      </c>
      <c r="KU120">
        <v>55841</v>
      </c>
      <c r="KV120">
        <v>560</v>
      </c>
      <c r="KX120" s="24"/>
      <c r="KY120">
        <v>658</v>
      </c>
      <c r="KZ120">
        <v>709</v>
      </c>
      <c r="LA120">
        <v>709</v>
      </c>
      <c r="LB120">
        <v>4763230</v>
      </c>
      <c r="LC120">
        <v>155</v>
      </c>
      <c r="LE120" s="24"/>
      <c r="LF120">
        <v>193500</v>
      </c>
      <c r="LG120">
        <v>194000</v>
      </c>
      <c r="LH120">
        <v>193502</v>
      </c>
      <c r="LI120">
        <v>110221</v>
      </c>
      <c r="LJ120">
        <v>813</v>
      </c>
      <c r="LL120" s="24"/>
      <c r="LM120">
        <v>79026</v>
      </c>
      <c r="LN120">
        <v>79510</v>
      </c>
      <c r="LO120">
        <v>79208</v>
      </c>
      <c r="LP120">
        <v>347689</v>
      </c>
      <c r="LQ120">
        <v>1142</v>
      </c>
      <c r="LS120" s="24"/>
      <c r="LT120">
        <v>306</v>
      </c>
      <c r="LU120">
        <v>307</v>
      </c>
      <c r="LV120">
        <v>306</v>
      </c>
      <c r="LW120">
        <v>75339581</v>
      </c>
      <c r="LX120">
        <v>317</v>
      </c>
      <c r="LZ120" s="24"/>
      <c r="MA120">
        <v>93999</v>
      </c>
      <c r="MB120">
        <v>99970</v>
      </c>
      <c r="MC120">
        <v>97969</v>
      </c>
      <c r="MD120">
        <v>1171872</v>
      </c>
      <c r="ME120">
        <v>106</v>
      </c>
    </row>
    <row r="121" spans="2:343" x14ac:dyDescent="0.25">
      <c r="B121" s="24"/>
      <c r="C121">
        <v>3</v>
      </c>
      <c r="D121">
        <v>3</v>
      </c>
      <c r="E121">
        <v>3</v>
      </c>
      <c r="F121">
        <v>31028620415</v>
      </c>
      <c r="G121">
        <v>2877</v>
      </c>
      <c r="I121" s="24"/>
      <c r="J121">
        <v>4</v>
      </c>
      <c r="K121">
        <v>4</v>
      </c>
      <c r="L121">
        <v>4</v>
      </c>
      <c r="M121">
        <v>5570123362</v>
      </c>
      <c r="N121">
        <v>2044</v>
      </c>
      <c r="P121" s="24"/>
      <c r="Q121">
        <v>28</v>
      </c>
      <c r="R121">
        <v>29</v>
      </c>
      <c r="S121">
        <v>28</v>
      </c>
      <c r="T121">
        <v>1612851585</v>
      </c>
      <c r="U121">
        <v>1891</v>
      </c>
      <c r="W121" s="24"/>
      <c r="X121">
        <v>75</v>
      </c>
      <c r="Y121">
        <v>76</v>
      </c>
      <c r="Z121">
        <v>76</v>
      </c>
      <c r="AA121">
        <v>372023850</v>
      </c>
      <c r="AB121">
        <v>1500</v>
      </c>
      <c r="AD121" s="24"/>
      <c r="AE121">
        <v>521</v>
      </c>
      <c r="AF121">
        <v>534</v>
      </c>
      <c r="AG121">
        <v>533</v>
      </c>
      <c r="AH121">
        <v>81526083</v>
      </c>
      <c r="AI121">
        <v>1516</v>
      </c>
      <c r="AK121" s="24"/>
      <c r="AL121">
        <v>940</v>
      </c>
      <c r="AM121">
        <v>968</v>
      </c>
      <c r="AN121">
        <v>957</v>
      </c>
      <c r="AO121">
        <v>33794390</v>
      </c>
      <c r="AP121">
        <v>1356</v>
      </c>
      <c r="AR121" s="24"/>
      <c r="AS121">
        <v>2600</v>
      </c>
      <c r="AT121">
        <v>2674</v>
      </c>
      <c r="AU121">
        <v>2620</v>
      </c>
      <c r="AV121">
        <v>14860219</v>
      </c>
      <c r="AW121">
        <v>1268</v>
      </c>
      <c r="AY121" s="24"/>
      <c r="AZ121">
        <v>365611000</v>
      </c>
      <c r="BA121">
        <v>377150000</v>
      </c>
      <c r="BB121">
        <v>371000000</v>
      </c>
      <c r="BC121">
        <v>2200</v>
      </c>
      <c r="BD121">
        <v>1611</v>
      </c>
      <c r="BF121" s="24"/>
      <c r="BG121">
        <v>25810</v>
      </c>
      <c r="BH121">
        <v>25901</v>
      </c>
      <c r="BI121">
        <v>25901</v>
      </c>
      <c r="BJ121">
        <v>1883586</v>
      </c>
      <c r="BK121">
        <v>198</v>
      </c>
      <c r="BM121" s="24"/>
      <c r="BN121">
        <v>6731055</v>
      </c>
      <c r="BO121">
        <v>6915000</v>
      </c>
      <c r="BP121">
        <v>6732003</v>
      </c>
      <c r="BQ121">
        <v>12741</v>
      </c>
      <c r="BR121">
        <v>349</v>
      </c>
      <c r="BT121" s="24"/>
      <c r="BU121">
        <v>2087</v>
      </c>
      <c r="BV121">
        <v>2134</v>
      </c>
      <c r="BW121">
        <v>2134</v>
      </c>
      <c r="BX121">
        <v>21095020</v>
      </c>
      <c r="BY121">
        <v>235</v>
      </c>
      <c r="CA121" s="24"/>
      <c r="CB121">
        <v>351</v>
      </c>
      <c r="CC121">
        <v>351</v>
      </c>
      <c r="CD121">
        <v>351</v>
      </c>
      <c r="CE121">
        <v>49799631</v>
      </c>
      <c r="CF121">
        <v>241</v>
      </c>
      <c r="CH121" s="24"/>
      <c r="CI121">
        <v>26109</v>
      </c>
      <c r="CJ121">
        <v>26109</v>
      </c>
      <c r="CK121">
        <v>26109</v>
      </c>
      <c r="CL121">
        <v>1524143</v>
      </c>
      <c r="CM121">
        <v>178</v>
      </c>
      <c r="CO121" s="24"/>
      <c r="CP121">
        <v>8307</v>
      </c>
      <c r="CQ121">
        <v>8767</v>
      </c>
      <c r="CR121">
        <v>8698</v>
      </c>
      <c r="CS121">
        <v>1234582</v>
      </c>
      <c r="CT121">
        <v>409</v>
      </c>
      <c r="CV121" s="24"/>
      <c r="CW121">
        <v>1349775</v>
      </c>
      <c r="CX121">
        <v>1354698</v>
      </c>
      <c r="CY121">
        <v>1353775</v>
      </c>
      <c r="CZ121">
        <v>6168</v>
      </c>
      <c r="DA121">
        <v>35</v>
      </c>
      <c r="DC121" s="24"/>
      <c r="DD121">
        <v>383</v>
      </c>
      <c r="DE121">
        <v>402</v>
      </c>
      <c r="DF121">
        <v>401</v>
      </c>
      <c r="DG121">
        <v>48232613</v>
      </c>
      <c r="DH121">
        <v>191</v>
      </c>
      <c r="DJ121" s="24"/>
      <c r="DK121">
        <v>35270000</v>
      </c>
      <c r="DL121">
        <v>35405000</v>
      </c>
      <c r="DM121">
        <v>35270001</v>
      </c>
      <c r="DN121">
        <v>416</v>
      </c>
      <c r="DO121">
        <v>88</v>
      </c>
      <c r="DQ121" s="24"/>
      <c r="DR121">
        <v>1625033</v>
      </c>
      <c r="DS121">
        <v>1699999</v>
      </c>
      <c r="DT121">
        <v>1699990</v>
      </c>
      <c r="DU121">
        <v>4451</v>
      </c>
      <c r="DV121">
        <v>206</v>
      </c>
      <c r="DX121" s="24"/>
      <c r="DY121">
        <v>18270000</v>
      </c>
      <c r="DZ121">
        <v>19349999</v>
      </c>
      <c r="EA121">
        <v>18271032</v>
      </c>
      <c r="EB121">
        <v>243</v>
      </c>
      <c r="EC121">
        <v>84</v>
      </c>
      <c r="EE121" s="24"/>
      <c r="EF121">
        <v>159</v>
      </c>
      <c r="EG121">
        <v>168</v>
      </c>
      <c r="EH121">
        <v>162</v>
      </c>
      <c r="EI121">
        <v>111513821</v>
      </c>
      <c r="EJ121">
        <v>215</v>
      </c>
      <c r="EL121" s="24"/>
      <c r="EM121">
        <v>52008</v>
      </c>
      <c r="EN121">
        <v>54250</v>
      </c>
      <c r="EO121">
        <v>52998</v>
      </c>
      <c r="EP121">
        <v>90489</v>
      </c>
      <c r="EQ121">
        <v>668</v>
      </c>
      <c r="ES121" s="24"/>
      <c r="ET121">
        <v>415</v>
      </c>
      <c r="EU121">
        <v>429</v>
      </c>
      <c r="EV121">
        <v>427</v>
      </c>
      <c r="EW121">
        <v>47708138</v>
      </c>
      <c r="EX121">
        <v>644</v>
      </c>
      <c r="EZ121" s="24"/>
      <c r="FA121">
        <v>3743599</v>
      </c>
      <c r="FB121">
        <v>3743698</v>
      </c>
      <c r="FC121">
        <v>3743697</v>
      </c>
      <c r="FD121">
        <v>1331</v>
      </c>
      <c r="FE121">
        <v>23</v>
      </c>
      <c r="FG121" s="24"/>
      <c r="FH121">
        <v>7892</v>
      </c>
      <c r="FI121">
        <v>8184</v>
      </c>
      <c r="FJ121">
        <v>7900</v>
      </c>
      <c r="FK121">
        <v>1838637</v>
      </c>
      <c r="FL121">
        <v>481</v>
      </c>
      <c r="FN121" s="24"/>
      <c r="FO121">
        <v>26149</v>
      </c>
      <c r="FP121">
        <v>26150</v>
      </c>
      <c r="FQ121">
        <v>26150</v>
      </c>
      <c r="FR121">
        <v>116304</v>
      </c>
      <c r="FS121">
        <v>74</v>
      </c>
      <c r="FU121" s="24"/>
      <c r="FV121">
        <v>23000</v>
      </c>
      <c r="FW121">
        <v>23032</v>
      </c>
      <c r="FX121">
        <v>23003</v>
      </c>
      <c r="FY121">
        <v>355974</v>
      </c>
      <c r="FZ121">
        <v>1180</v>
      </c>
      <c r="GB121" s="24"/>
      <c r="GC121">
        <v>98040001</v>
      </c>
      <c r="GD121">
        <v>107997593</v>
      </c>
      <c r="GE121">
        <v>103679828</v>
      </c>
      <c r="GF121">
        <v>88</v>
      </c>
      <c r="GG121">
        <v>66</v>
      </c>
      <c r="GI121" s="24"/>
      <c r="GJ121">
        <v>27000261</v>
      </c>
      <c r="GK121">
        <v>29999799</v>
      </c>
      <c r="GL121">
        <v>29999799</v>
      </c>
      <c r="GM121">
        <v>299</v>
      </c>
      <c r="GN121">
        <v>62</v>
      </c>
      <c r="GP121" s="24"/>
      <c r="GQ121">
        <v>80</v>
      </c>
      <c r="GR121">
        <v>83</v>
      </c>
      <c r="GS121">
        <v>81</v>
      </c>
      <c r="GT121">
        <v>145116156</v>
      </c>
      <c r="GU121">
        <v>146</v>
      </c>
      <c r="GW121" s="24"/>
      <c r="GX121">
        <v>381</v>
      </c>
      <c r="GY121">
        <v>381</v>
      </c>
      <c r="GZ121">
        <v>381</v>
      </c>
      <c r="HA121">
        <v>54973010</v>
      </c>
      <c r="HB121">
        <v>204</v>
      </c>
      <c r="HD121" s="24"/>
      <c r="HE121">
        <v>5751</v>
      </c>
      <c r="HF121">
        <v>5752</v>
      </c>
      <c r="HG121">
        <v>5752</v>
      </c>
      <c r="HH121">
        <v>9713984</v>
      </c>
      <c r="HI121">
        <v>248</v>
      </c>
      <c r="HK121" s="24"/>
      <c r="HL121">
        <v>99001200</v>
      </c>
      <c r="HM121">
        <v>103999600</v>
      </c>
      <c r="HN121">
        <v>103998199</v>
      </c>
      <c r="HO121">
        <v>108</v>
      </c>
      <c r="HP121">
        <v>82</v>
      </c>
      <c r="HR121" s="24"/>
      <c r="HS121">
        <v>7807</v>
      </c>
      <c r="HT121">
        <v>8099</v>
      </c>
      <c r="HU121">
        <v>7850</v>
      </c>
      <c r="HV121">
        <v>1222044</v>
      </c>
      <c r="HW121">
        <v>168</v>
      </c>
      <c r="HY121" s="24"/>
      <c r="HZ121">
        <v>7520</v>
      </c>
      <c r="IA121">
        <v>7862</v>
      </c>
      <c r="IB121">
        <v>7798</v>
      </c>
      <c r="IC121">
        <v>2090073</v>
      </c>
      <c r="ID121">
        <v>522</v>
      </c>
      <c r="IF121" s="24"/>
      <c r="IG121">
        <v>2898</v>
      </c>
      <c r="IH121">
        <v>3023</v>
      </c>
      <c r="II121">
        <v>3000</v>
      </c>
      <c r="IJ121">
        <v>1921224</v>
      </c>
      <c r="IK121">
        <v>142</v>
      </c>
      <c r="IM121" s="24"/>
      <c r="IN121">
        <v>101895480</v>
      </c>
      <c r="IO121">
        <v>102004800</v>
      </c>
      <c r="IP121">
        <v>102004400</v>
      </c>
      <c r="IQ121">
        <v>154</v>
      </c>
      <c r="IR121">
        <v>77</v>
      </c>
      <c r="IT121" s="24"/>
      <c r="IU121">
        <v>7467</v>
      </c>
      <c r="IV121">
        <v>7468</v>
      </c>
      <c r="IW121">
        <v>7468</v>
      </c>
      <c r="IX121">
        <v>1178678</v>
      </c>
      <c r="IY121">
        <v>123</v>
      </c>
      <c r="JA121" s="24"/>
      <c r="JB121">
        <v>101006200</v>
      </c>
      <c r="JC121">
        <v>105970599</v>
      </c>
      <c r="JD121">
        <v>104052388</v>
      </c>
      <c r="JE121">
        <v>96</v>
      </c>
      <c r="JF121">
        <v>81</v>
      </c>
      <c r="JH121" s="24"/>
      <c r="JI121">
        <v>103001901</v>
      </c>
      <c r="JJ121">
        <v>107037800</v>
      </c>
      <c r="JK121">
        <v>105170285</v>
      </c>
      <c r="JL121">
        <v>57</v>
      </c>
      <c r="JM121">
        <v>45</v>
      </c>
      <c r="JO121" s="24"/>
      <c r="JP121">
        <v>66</v>
      </c>
      <c r="JQ121">
        <v>69</v>
      </c>
      <c r="JR121">
        <v>69</v>
      </c>
      <c r="JS121">
        <v>74065174</v>
      </c>
      <c r="JT121">
        <v>92</v>
      </c>
      <c r="JV121" s="24"/>
      <c r="JW121">
        <v>68</v>
      </c>
      <c r="JX121">
        <v>69</v>
      </c>
      <c r="JY121">
        <v>68</v>
      </c>
      <c r="JZ121">
        <v>69213731</v>
      </c>
      <c r="KA121">
        <v>77</v>
      </c>
      <c r="KC121" s="24"/>
      <c r="KD121">
        <v>22</v>
      </c>
      <c r="KE121">
        <v>23</v>
      </c>
      <c r="KF121">
        <v>23</v>
      </c>
      <c r="KG121">
        <v>47830517</v>
      </c>
      <c r="KH121">
        <v>325</v>
      </c>
      <c r="KJ121" s="24"/>
      <c r="KK121">
        <v>71</v>
      </c>
      <c r="KL121">
        <v>73</v>
      </c>
      <c r="KM121">
        <v>73</v>
      </c>
      <c r="KN121">
        <v>108667126</v>
      </c>
      <c r="KO121">
        <v>144</v>
      </c>
      <c r="KQ121" s="24"/>
      <c r="KR121">
        <v>81000</v>
      </c>
      <c r="KS121">
        <v>84899</v>
      </c>
      <c r="KT121">
        <v>81007</v>
      </c>
      <c r="KU121">
        <v>67615</v>
      </c>
      <c r="KV121">
        <v>595</v>
      </c>
      <c r="KX121" s="24"/>
      <c r="KY121">
        <v>675</v>
      </c>
      <c r="KZ121">
        <v>708</v>
      </c>
      <c r="LA121">
        <v>693</v>
      </c>
      <c r="LB121">
        <v>6356129</v>
      </c>
      <c r="LC121">
        <v>204</v>
      </c>
      <c r="LE121" s="24"/>
      <c r="LF121">
        <v>194501</v>
      </c>
      <c r="LG121">
        <v>197000</v>
      </c>
      <c r="LH121">
        <v>194619</v>
      </c>
      <c r="LI121">
        <v>111891</v>
      </c>
      <c r="LJ121">
        <v>831</v>
      </c>
      <c r="LL121" s="24"/>
      <c r="LM121">
        <v>80015</v>
      </c>
      <c r="LN121">
        <v>82000</v>
      </c>
      <c r="LO121">
        <v>80500</v>
      </c>
      <c r="LP121">
        <v>409659</v>
      </c>
      <c r="LQ121">
        <v>1259</v>
      </c>
      <c r="LS121" s="24"/>
      <c r="LT121">
        <v>307</v>
      </c>
      <c r="LU121">
        <v>307</v>
      </c>
      <c r="LV121">
        <v>307</v>
      </c>
      <c r="LW121">
        <v>65885375</v>
      </c>
      <c r="LX121">
        <v>312</v>
      </c>
      <c r="LZ121" s="24"/>
      <c r="MA121">
        <v>100999</v>
      </c>
      <c r="MB121">
        <v>101999</v>
      </c>
      <c r="MC121">
        <v>101000</v>
      </c>
      <c r="MD121">
        <v>451828</v>
      </c>
      <c r="ME121">
        <v>58</v>
      </c>
    </row>
    <row r="122" spans="2:343" x14ac:dyDescent="0.25">
      <c r="B122" s="24"/>
      <c r="C122">
        <v>3</v>
      </c>
      <c r="D122">
        <v>3</v>
      </c>
      <c r="E122">
        <v>3</v>
      </c>
      <c r="F122">
        <v>51534268938</v>
      </c>
      <c r="G122">
        <v>2978</v>
      </c>
      <c r="I122" s="24"/>
      <c r="J122">
        <v>4</v>
      </c>
      <c r="K122">
        <v>4</v>
      </c>
      <c r="L122">
        <v>4</v>
      </c>
      <c r="M122">
        <v>6218748590</v>
      </c>
      <c r="N122">
        <v>2074</v>
      </c>
      <c r="P122" s="24"/>
      <c r="Q122">
        <v>27</v>
      </c>
      <c r="R122">
        <v>28</v>
      </c>
      <c r="S122">
        <v>28</v>
      </c>
      <c r="T122">
        <v>1852929691</v>
      </c>
      <c r="U122">
        <v>1869</v>
      </c>
      <c r="W122" s="24"/>
      <c r="X122">
        <v>73</v>
      </c>
      <c r="Y122">
        <v>77</v>
      </c>
      <c r="Z122">
        <v>76</v>
      </c>
      <c r="AA122">
        <v>558549200</v>
      </c>
      <c r="AB122">
        <v>1565</v>
      </c>
      <c r="AD122" s="24"/>
      <c r="AE122">
        <v>530</v>
      </c>
      <c r="AF122">
        <v>536</v>
      </c>
      <c r="AG122">
        <v>533</v>
      </c>
      <c r="AH122">
        <v>112635564</v>
      </c>
      <c r="AI122">
        <v>1638</v>
      </c>
      <c r="AK122" s="24"/>
      <c r="AL122">
        <v>951</v>
      </c>
      <c r="AM122">
        <v>993</v>
      </c>
      <c r="AN122">
        <v>977</v>
      </c>
      <c r="AO122">
        <v>36762808</v>
      </c>
      <c r="AP122">
        <v>1370</v>
      </c>
      <c r="AR122" s="24"/>
      <c r="AS122">
        <v>2600</v>
      </c>
      <c r="AT122">
        <v>2664</v>
      </c>
      <c r="AU122">
        <v>2639</v>
      </c>
      <c r="AV122">
        <v>12928427</v>
      </c>
      <c r="AW122">
        <v>1179</v>
      </c>
      <c r="AY122" s="24"/>
      <c r="AZ122">
        <v>365024631</v>
      </c>
      <c r="BA122">
        <v>374989986</v>
      </c>
      <c r="BB122">
        <v>370779517</v>
      </c>
      <c r="BC122">
        <v>2209</v>
      </c>
      <c r="BD122">
        <v>1512</v>
      </c>
      <c r="BF122" s="24"/>
      <c r="BG122">
        <v>25811</v>
      </c>
      <c r="BH122">
        <v>25816</v>
      </c>
      <c r="BI122">
        <v>25811</v>
      </c>
      <c r="BJ122">
        <v>1224190</v>
      </c>
      <c r="BK122">
        <v>163</v>
      </c>
      <c r="BM122" s="24"/>
      <c r="BN122">
        <v>6623320</v>
      </c>
      <c r="BO122">
        <v>6631003</v>
      </c>
      <c r="BP122">
        <v>6630013</v>
      </c>
      <c r="BQ122">
        <v>9261</v>
      </c>
      <c r="BR122">
        <v>268</v>
      </c>
      <c r="BT122" s="24"/>
      <c r="BU122">
        <v>2133</v>
      </c>
      <c r="BV122">
        <v>2133</v>
      </c>
      <c r="BW122">
        <v>2133</v>
      </c>
      <c r="BX122">
        <v>18649655</v>
      </c>
      <c r="BY122">
        <v>190</v>
      </c>
      <c r="CA122" s="24"/>
      <c r="CB122">
        <v>332</v>
      </c>
      <c r="CC122">
        <v>351</v>
      </c>
      <c r="CD122">
        <v>337</v>
      </c>
      <c r="CE122">
        <v>77862950</v>
      </c>
      <c r="CF122">
        <v>268</v>
      </c>
      <c r="CH122" s="24"/>
      <c r="CI122">
        <v>25072</v>
      </c>
      <c r="CJ122">
        <v>25403</v>
      </c>
      <c r="CK122">
        <v>25400</v>
      </c>
      <c r="CL122">
        <v>1074629</v>
      </c>
      <c r="CM122">
        <v>149</v>
      </c>
      <c r="CO122" s="24"/>
      <c r="CP122">
        <v>8365</v>
      </c>
      <c r="CQ122">
        <v>8739</v>
      </c>
      <c r="CR122">
        <v>8737</v>
      </c>
      <c r="CS122">
        <v>1135170</v>
      </c>
      <c r="CT122">
        <v>387</v>
      </c>
      <c r="CV122" s="24"/>
      <c r="CW122">
        <v>1330000</v>
      </c>
      <c r="CX122">
        <v>1338449</v>
      </c>
      <c r="CY122">
        <v>1337998</v>
      </c>
      <c r="CZ122">
        <v>6564</v>
      </c>
      <c r="DA122">
        <v>37</v>
      </c>
      <c r="DC122" s="24"/>
      <c r="DD122">
        <v>387</v>
      </c>
      <c r="DE122">
        <v>399</v>
      </c>
      <c r="DF122">
        <v>387</v>
      </c>
      <c r="DG122">
        <v>72193716</v>
      </c>
      <c r="DH122">
        <v>210</v>
      </c>
      <c r="DJ122" s="24"/>
      <c r="DK122">
        <v>36800009</v>
      </c>
      <c r="DL122">
        <v>37999666</v>
      </c>
      <c r="DM122">
        <v>36949999</v>
      </c>
      <c r="DN122">
        <v>296</v>
      </c>
      <c r="DO122">
        <v>96</v>
      </c>
      <c r="DQ122" s="24"/>
      <c r="DR122">
        <v>1627010</v>
      </c>
      <c r="DS122">
        <v>1699999</v>
      </c>
      <c r="DT122">
        <v>1627012</v>
      </c>
      <c r="DU122">
        <v>5652</v>
      </c>
      <c r="DV122">
        <v>242</v>
      </c>
      <c r="DX122" s="24"/>
      <c r="DY122">
        <v>18310003</v>
      </c>
      <c r="DZ122">
        <v>19000000</v>
      </c>
      <c r="EA122">
        <v>18310004</v>
      </c>
      <c r="EB122">
        <v>382</v>
      </c>
      <c r="EC122">
        <v>98</v>
      </c>
      <c r="EE122" s="24"/>
      <c r="EF122">
        <v>161</v>
      </c>
      <c r="EG122">
        <v>167</v>
      </c>
      <c r="EH122">
        <v>161</v>
      </c>
      <c r="EI122">
        <v>106883931</v>
      </c>
      <c r="EJ122">
        <v>211</v>
      </c>
      <c r="EL122" s="24"/>
      <c r="EM122">
        <v>54000</v>
      </c>
      <c r="EN122">
        <v>54005</v>
      </c>
      <c r="EO122">
        <v>54001</v>
      </c>
      <c r="EP122">
        <v>76062</v>
      </c>
      <c r="EQ122">
        <v>668</v>
      </c>
      <c r="ES122" s="24"/>
      <c r="ET122">
        <v>412</v>
      </c>
      <c r="EU122">
        <v>424</v>
      </c>
      <c r="EV122">
        <v>414</v>
      </c>
      <c r="EW122">
        <v>60419388</v>
      </c>
      <c r="EX122">
        <v>620</v>
      </c>
      <c r="EZ122" s="24"/>
      <c r="FA122">
        <v>3550006</v>
      </c>
      <c r="FB122">
        <v>3741698</v>
      </c>
      <c r="FC122">
        <v>3741598</v>
      </c>
      <c r="FD122">
        <v>881</v>
      </c>
      <c r="FE122">
        <v>28</v>
      </c>
      <c r="FG122" s="24"/>
      <c r="FH122">
        <v>7554</v>
      </c>
      <c r="FI122">
        <v>7988</v>
      </c>
      <c r="FJ122">
        <v>7799</v>
      </c>
      <c r="FK122">
        <v>1844464</v>
      </c>
      <c r="FL122">
        <v>410</v>
      </c>
      <c r="FN122" s="24"/>
      <c r="FO122">
        <v>23499</v>
      </c>
      <c r="FP122">
        <v>24000</v>
      </c>
      <c r="FQ122">
        <v>24000</v>
      </c>
      <c r="FR122">
        <v>344387</v>
      </c>
      <c r="FS122">
        <v>99</v>
      </c>
      <c r="FU122" s="24"/>
      <c r="FV122">
        <v>23003</v>
      </c>
      <c r="FW122">
        <v>23005</v>
      </c>
      <c r="FX122">
        <v>23003</v>
      </c>
      <c r="FY122">
        <v>297441</v>
      </c>
      <c r="FZ122">
        <v>1215</v>
      </c>
      <c r="GB122" s="24"/>
      <c r="GC122">
        <v>98100004</v>
      </c>
      <c r="GD122">
        <v>106849800</v>
      </c>
      <c r="GE122">
        <v>103000800</v>
      </c>
      <c r="GF122">
        <v>153</v>
      </c>
      <c r="GG122">
        <v>93</v>
      </c>
      <c r="GI122" s="24"/>
      <c r="GJ122">
        <v>27002003</v>
      </c>
      <c r="GK122">
        <v>28989999</v>
      </c>
      <c r="GL122">
        <v>27003011</v>
      </c>
      <c r="GM122">
        <v>302</v>
      </c>
      <c r="GN122">
        <v>86</v>
      </c>
      <c r="GP122" s="24"/>
      <c r="GQ122">
        <v>78</v>
      </c>
      <c r="GR122">
        <v>81</v>
      </c>
      <c r="GS122">
        <v>79</v>
      </c>
      <c r="GT122">
        <v>210078869</v>
      </c>
      <c r="GU122">
        <v>130</v>
      </c>
      <c r="GW122" s="24"/>
      <c r="GX122">
        <v>372</v>
      </c>
      <c r="GY122">
        <v>381</v>
      </c>
      <c r="GZ122">
        <v>380</v>
      </c>
      <c r="HA122">
        <v>52690994</v>
      </c>
      <c r="HB122">
        <v>221</v>
      </c>
      <c r="HD122" s="24"/>
      <c r="HE122">
        <v>5710</v>
      </c>
      <c r="HF122">
        <v>5752</v>
      </c>
      <c r="HG122">
        <v>5752</v>
      </c>
      <c r="HH122">
        <v>16268123</v>
      </c>
      <c r="HI122">
        <v>260</v>
      </c>
      <c r="HK122" s="24"/>
      <c r="HL122">
        <v>104000000</v>
      </c>
      <c r="HM122">
        <v>104947400</v>
      </c>
      <c r="HN122">
        <v>104165355</v>
      </c>
      <c r="HO122">
        <v>57</v>
      </c>
      <c r="HP122">
        <v>53</v>
      </c>
      <c r="HR122" s="24"/>
      <c r="HS122">
        <v>8199</v>
      </c>
      <c r="HT122">
        <v>8499</v>
      </c>
      <c r="HU122">
        <v>8374</v>
      </c>
      <c r="HV122">
        <v>1076496</v>
      </c>
      <c r="HW122">
        <v>168</v>
      </c>
      <c r="HY122" s="24"/>
      <c r="HZ122">
        <v>7055</v>
      </c>
      <c r="IA122">
        <v>7538</v>
      </c>
      <c r="IB122">
        <v>7401</v>
      </c>
      <c r="IC122">
        <v>1934654</v>
      </c>
      <c r="ID122">
        <v>505</v>
      </c>
      <c r="IF122" s="24"/>
      <c r="IG122">
        <v>2895</v>
      </c>
      <c r="IH122">
        <v>3000</v>
      </c>
      <c r="II122">
        <v>2987</v>
      </c>
      <c r="IJ122">
        <v>1665457</v>
      </c>
      <c r="IK122">
        <v>137</v>
      </c>
      <c r="IM122" s="24"/>
      <c r="IN122">
        <v>102003203</v>
      </c>
      <c r="IO122">
        <v>106990200</v>
      </c>
      <c r="IP122">
        <v>105791267</v>
      </c>
      <c r="IQ122">
        <v>59</v>
      </c>
      <c r="IR122">
        <v>56</v>
      </c>
      <c r="IT122" s="24"/>
      <c r="IU122">
        <v>7465</v>
      </c>
      <c r="IV122">
        <v>7467</v>
      </c>
      <c r="IW122">
        <v>7467</v>
      </c>
      <c r="IX122">
        <v>1401884</v>
      </c>
      <c r="IY122">
        <v>142</v>
      </c>
      <c r="JA122" s="24"/>
      <c r="JB122">
        <v>102001400</v>
      </c>
      <c r="JC122">
        <v>105959799</v>
      </c>
      <c r="JD122">
        <v>105269949</v>
      </c>
      <c r="JE122">
        <v>59</v>
      </c>
      <c r="JF122">
        <v>58</v>
      </c>
      <c r="JH122" s="24"/>
      <c r="JI122">
        <v>101000000</v>
      </c>
      <c r="JJ122">
        <v>106500000</v>
      </c>
      <c r="JK122">
        <v>104057990</v>
      </c>
      <c r="JL122">
        <v>46</v>
      </c>
      <c r="JM122">
        <v>39</v>
      </c>
      <c r="JO122" s="24"/>
      <c r="JP122">
        <v>66</v>
      </c>
      <c r="JQ122">
        <v>68</v>
      </c>
      <c r="JR122">
        <v>68</v>
      </c>
      <c r="JS122">
        <v>135243287</v>
      </c>
      <c r="JT122">
        <v>106</v>
      </c>
      <c r="JV122" s="24"/>
      <c r="JW122">
        <v>67</v>
      </c>
      <c r="JX122">
        <v>69</v>
      </c>
      <c r="JY122">
        <v>67</v>
      </c>
      <c r="JZ122">
        <v>181340153</v>
      </c>
      <c r="KA122">
        <v>134</v>
      </c>
      <c r="KC122" s="24"/>
      <c r="KD122">
        <v>21</v>
      </c>
      <c r="KE122">
        <v>23</v>
      </c>
      <c r="KF122">
        <v>22</v>
      </c>
      <c r="KG122">
        <v>59323369</v>
      </c>
      <c r="KH122">
        <v>300</v>
      </c>
      <c r="KJ122" s="24"/>
      <c r="KK122">
        <v>71</v>
      </c>
      <c r="KL122">
        <v>73</v>
      </c>
      <c r="KM122">
        <v>71</v>
      </c>
      <c r="KN122">
        <v>115617788</v>
      </c>
      <c r="KO122">
        <v>115</v>
      </c>
      <c r="KQ122" s="24"/>
      <c r="KR122">
        <v>81007</v>
      </c>
      <c r="KS122">
        <v>86898</v>
      </c>
      <c r="KT122">
        <v>82000</v>
      </c>
      <c r="KU122">
        <v>86629</v>
      </c>
      <c r="KV122">
        <v>629</v>
      </c>
      <c r="KX122" s="24"/>
      <c r="KY122">
        <v>703</v>
      </c>
      <c r="KZ122">
        <v>707</v>
      </c>
      <c r="LA122">
        <v>705</v>
      </c>
      <c r="LB122">
        <v>4255402</v>
      </c>
      <c r="LC122">
        <v>188</v>
      </c>
      <c r="LE122" s="24"/>
      <c r="LF122">
        <v>195001</v>
      </c>
      <c r="LG122">
        <v>200000</v>
      </c>
      <c r="LH122">
        <v>198799</v>
      </c>
      <c r="LI122">
        <v>203764</v>
      </c>
      <c r="LJ122">
        <v>980</v>
      </c>
      <c r="LL122" s="24"/>
      <c r="LM122">
        <v>80019</v>
      </c>
      <c r="LN122">
        <v>82001</v>
      </c>
      <c r="LO122">
        <v>80020</v>
      </c>
      <c r="LP122">
        <v>347910</v>
      </c>
      <c r="LQ122">
        <v>1300</v>
      </c>
      <c r="LS122" s="24"/>
      <c r="LT122">
        <v>307</v>
      </c>
      <c r="LU122">
        <v>309</v>
      </c>
      <c r="LV122">
        <v>307</v>
      </c>
      <c r="LW122">
        <v>95145053</v>
      </c>
      <c r="LX122">
        <v>319</v>
      </c>
      <c r="LZ122" s="24"/>
      <c r="MA122">
        <v>102958</v>
      </c>
      <c r="MB122">
        <v>102991</v>
      </c>
      <c r="MC122">
        <v>102991</v>
      </c>
      <c r="MD122">
        <v>591928</v>
      </c>
      <c r="ME122">
        <v>77</v>
      </c>
    </row>
    <row r="123" spans="2:343" x14ac:dyDescent="0.25">
      <c r="B123" s="24"/>
      <c r="C123">
        <v>3</v>
      </c>
      <c r="D123">
        <v>3</v>
      </c>
      <c r="E123">
        <v>3</v>
      </c>
      <c r="F123">
        <v>28597939601</v>
      </c>
      <c r="G123">
        <v>2825</v>
      </c>
      <c r="I123" s="24"/>
      <c r="J123">
        <v>4</v>
      </c>
      <c r="K123">
        <v>4</v>
      </c>
      <c r="L123">
        <v>4</v>
      </c>
      <c r="M123">
        <v>4152928323</v>
      </c>
      <c r="N123">
        <v>1950</v>
      </c>
      <c r="P123" s="24"/>
      <c r="Q123">
        <v>27</v>
      </c>
      <c r="R123">
        <v>28</v>
      </c>
      <c r="S123">
        <v>28</v>
      </c>
      <c r="T123">
        <v>1588731399</v>
      </c>
      <c r="U123">
        <v>1799</v>
      </c>
      <c r="W123" s="24"/>
      <c r="X123">
        <v>74</v>
      </c>
      <c r="Y123">
        <v>77</v>
      </c>
      <c r="Z123">
        <v>76</v>
      </c>
      <c r="AA123">
        <v>341259813</v>
      </c>
      <c r="AB123">
        <v>1465</v>
      </c>
      <c r="AD123" s="24"/>
      <c r="AE123">
        <v>526</v>
      </c>
      <c r="AF123">
        <v>544</v>
      </c>
      <c r="AG123">
        <v>540</v>
      </c>
      <c r="AH123">
        <v>87702041</v>
      </c>
      <c r="AI123">
        <v>1535</v>
      </c>
      <c r="AK123" s="24"/>
      <c r="AL123">
        <v>940</v>
      </c>
      <c r="AM123">
        <v>977</v>
      </c>
      <c r="AN123">
        <v>950</v>
      </c>
      <c r="AO123">
        <v>32085130</v>
      </c>
      <c r="AP123">
        <v>1236</v>
      </c>
      <c r="AR123" s="24"/>
      <c r="AS123">
        <v>2575</v>
      </c>
      <c r="AT123">
        <v>2649</v>
      </c>
      <c r="AU123">
        <v>2585</v>
      </c>
      <c r="AV123">
        <v>13567307</v>
      </c>
      <c r="AW123">
        <v>1152</v>
      </c>
      <c r="AY123" s="24"/>
      <c r="AZ123">
        <v>362001000</v>
      </c>
      <c r="BA123">
        <v>368000000</v>
      </c>
      <c r="BB123">
        <v>366100000</v>
      </c>
      <c r="BC123">
        <v>2130</v>
      </c>
      <c r="BD123">
        <v>1450</v>
      </c>
      <c r="BF123" s="24"/>
      <c r="BG123">
        <v>25817</v>
      </c>
      <c r="BH123">
        <v>26000</v>
      </c>
      <c r="BI123">
        <v>25817</v>
      </c>
      <c r="BJ123">
        <v>1844070</v>
      </c>
      <c r="BK123">
        <v>198</v>
      </c>
      <c r="BM123" s="24"/>
      <c r="BN123">
        <v>6450010</v>
      </c>
      <c r="BO123">
        <v>6631005</v>
      </c>
      <c r="BP123">
        <v>6574155</v>
      </c>
      <c r="BQ123">
        <v>12582</v>
      </c>
      <c r="BR123">
        <v>337</v>
      </c>
      <c r="BT123" s="24"/>
      <c r="BU123">
        <v>2102</v>
      </c>
      <c r="BV123">
        <v>2133</v>
      </c>
      <c r="BW123">
        <v>2133</v>
      </c>
      <c r="BX123">
        <v>32072273</v>
      </c>
      <c r="BY123">
        <v>269</v>
      </c>
      <c r="CA123" s="24"/>
      <c r="CB123">
        <v>351</v>
      </c>
      <c r="CC123">
        <v>351</v>
      </c>
      <c r="CD123">
        <v>351</v>
      </c>
      <c r="CE123">
        <v>59584406</v>
      </c>
      <c r="CF123">
        <v>269</v>
      </c>
      <c r="CH123" s="24"/>
      <c r="CI123">
        <v>25406</v>
      </c>
      <c r="CJ123">
        <v>26989</v>
      </c>
      <c r="CK123">
        <v>25625</v>
      </c>
      <c r="CL123">
        <v>701342</v>
      </c>
      <c r="CM123">
        <v>161</v>
      </c>
      <c r="CO123" s="24"/>
      <c r="CP123">
        <v>8651</v>
      </c>
      <c r="CQ123">
        <v>9000</v>
      </c>
      <c r="CR123">
        <v>8899</v>
      </c>
      <c r="CS123">
        <v>838178</v>
      </c>
      <c r="CT123">
        <v>369</v>
      </c>
      <c r="CV123" s="24"/>
      <c r="CW123">
        <v>1300000</v>
      </c>
      <c r="CX123">
        <v>1319999</v>
      </c>
      <c r="CY123">
        <v>1319997</v>
      </c>
      <c r="CZ123">
        <v>7981</v>
      </c>
      <c r="DA123">
        <v>48</v>
      </c>
      <c r="DC123" s="24"/>
      <c r="DD123">
        <v>398</v>
      </c>
      <c r="DE123">
        <v>399</v>
      </c>
      <c r="DF123">
        <v>398</v>
      </c>
      <c r="DG123">
        <v>41279811</v>
      </c>
      <c r="DH123">
        <v>185</v>
      </c>
      <c r="DJ123" s="24"/>
      <c r="DK123">
        <v>36800021</v>
      </c>
      <c r="DL123">
        <v>36800022</v>
      </c>
      <c r="DM123">
        <v>36800021</v>
      </c>
      <c r="DN123">
        <v>446</v>
      </c>
      <c r="DO123">
        <v>85</v>
      </c>
      <c r="DQ123" s="24"/>
      <c r="DR123">
        <v>1680000</v>
      </c>
      <c r="DS123">
        <v>1708749</v>
      </c>
      <c r="DT123">
        <v>1690000</v>
      </c>
      <c r="DU123">
        <v>4660</v>
      </c>
      <c r="DV123">
        <v>254</v>
      </c>
      <c r="DX123" s="24"/>
      <c r="DY123">
        <v>18310004</v>
      </c>
      <c r="DZ123">
        <v>19389000</v>
      </c>
      <c r="EA123">
        <v>18320000</v>
      </c>
      <c r="EB123">
        <v>472</v>
      </c>
      <c r="EC123">
        <v>134</v>
      </c>
      <c r="EE123" s="24"/>
      <c r="EF123">
        <v>161</v>
      </c>
      <c r="EG123">
        <v>167</v>
      </c>
      <c r="EH123">
        <v>166</v>
      </c>
      <c r="EI123">
        <v>165929905</v>
      </c>
      <c r="EJ123">
        <v>232</v>
      </c>
      <c r="EL123" s="24"/>
      <c r="EM123">
        <v>53011</v>
      </c>
      <c r="EN123">
        <v>53020</v>
      </c>
      <c r="EO123">
        <v>53014</v>
      </c>
      <c r="EP123">
        <v>94601</v>
      </c>
      <c r="EQ123">
        <v>667</v>
      </c>
      <c r="ES123" s="24"/>
      <c r="ET123">
        <v>414</v>
      </c>
      <c r="EU123">
        <v>428</v>
      </c>
      <c r="EV123">
        <v>419</v>
      </c>
      <c r="EW123">
        <v>41574171</v>
      </c>
      <c r="EX123">
        <v>592</v>
      </c>
      <c r="EZ123" s="24"/>
      <c r="FA123">
        <v>3600000</v>
      </c>
      <c r="FB123">
        <v>3630000</v>
      </c>
      <c r="FC123">
        <v>3630000</v>
      </c>
      <c r="FD123">
        <v>1175</v>
      </c>
      <c r="FE123">
        <v>37</v>
      </c>
      <c r="FG123" s="24"/>
      <c r="FH123">
        <v>7647</v>
      </c>
      <c r="FI123">
        <v>7759</v>
      </c>
      <c r="FJ123">
        <v>7648</v>
      </c>
      <c r="FK123">
        <v>1566151</v>
      </c>
      <c r="FL123">
        <v>468</v>
      </c>
      <c r="FN123" s="24"/>
      <c r="FO123">
        <v>22428</v>
      </c>
      <c r="FP123">
        <v>24443</v>
      </c>
      <c r="FQ123">
        <v>24442</v>
      </c>
      <c r="FR123">
        <v>161738</v>
      </c>
      <c r="FS123">
        <v>95</v>
      </c>
      <c r="FU123" s="24"/>
      <c r="FV123">
        <v>21025</v>
      </c>
      <c r="FW123">
        <v>23004</v>
      </c>
      <c r="FX123">
        <v>22025</v>
      </c>
      <c r="FY123">
        <v>356448</v>
      </c>
      <c r="FZ123">
        <v>1216</v>
      </c>
      <c r="GB123" s="24"/>
      <c r="GC123">
        <v>98009001</v>
      </c>
      <c r="GD123">
        <v>103999999</v>
      </c>
      <c r="GE123">
        <v>103997599</v>
      </c>
      <c r="GF123">
        <v>122</v>
      </c>
      <c r="GG123">
        <v>62</v>
      </c>
      <c r="GI123" s="24"/>
      <c r="GJ123">
        <v>27077794</v>
      </c>
      <c r="GK123">
        <v>28798999</v>
      </c>
      <c r="GL123">
        <v>28003018</v>
      </c>
      <c r="GM123">
        <v>221</v>
      </c>
      <c r="GN123">
        <v>54</v>
      </c>
      <c r="GP123" s="24"/>
      <c r="GQ123">
        <v>77</v>
      </c>
      <c r="GR123">
        <v>85</v>
      </c>
      <c r="GS123">
        <v>79</v>
      </c>
      <c r="GT123">
        <v>191502063</v>
      </c>
      <c r="GU123">
        <v>161</v>
      </c>
      <c r="GW123" s="24"/>
      <c r="GX123">
        <v>367</v>
      </c>
      <c r="GY123">
        <v>379</v>
      </c>
      <c r="GZ123">
        <v>379</v>
      </c>
      <c r="HA123">
        <v>53503117</v>
      </c>
      <c r="HB123">
        <v>231</v>
      </c>
      <c r="HD123" s="24"/>
      <c r="HE123">
        <v>5690</v>
      </c>
      <c r="HF123">
        <v>5759</v>
      </c>
      <c r="HG123">
        <v>5759</v>
      </c>
      <c r="HH123">
        <v>22355557</v>
      </c>
      <c r="HI123">
        <v>285</v>
      </c>
      <c r="HK123" s="24"/>
      <c r="HL123">
        <v>99520400</v>
      </c>
      <c r="HM123">
        <v>104947000</v>
      </c>
      <c r="HN123">
        <v>103419270</v>
      </c>
      <c r="HO123">
        <v>76</v>
      </c>
      <c r="HP123">
        <v>53</v>
      </c>
      <c r="HR123" s="24"/>
      <c r="HS123">
        <v>8000</v>
      </c>
      <c r="HT123">
        <v>8289</v>
      </c>
      <c r="HU123">
        <v>8005</v>
      </c>
      <c r="HV123">
        <v>795641</v>
      </c>
      <c r="HW123">
        <v>144</v>
      </c>
      <c r="HY123" s="24"/>
      <c r="HZ123">
        <v>7150</v>
      </c>
      <c r="IA123">
        <v>7445</v>
      </c>
      <c r="IB123">
        <v>7387</v>
      </c>
      <c r="IC123">
        <v>1340206</v>
      </c>
      <c r="ID123">
        <v>446</v>
      </c>
      <c r="IF123" s="24"/>
      <c r="IG123">
        <v>2979</v>
      </c>
      <c r="IH123">
        <v>2979</v>
      </c>
      <c r="II123">
        <v>2979</v>
      </c>
      <c r="IJ123">
        <v>1737349</v>
      </c>
      <c r="IK123">
        <v>135</v>
      </c>
      <c r="IM123" s="24"/>
      <c r="IN123">
        <v>103000000</v>
      </c>
      <c r="IO123">
        <v>106984999</v>
      </c>
      <c r="IP123">
        <v>103075433</v>
      </c>
      <c r="IQ123">
        <v>66</v>
      </c>
      <c r="IR123">
        <v>56</v>
      </c>
      <c r="IT123" s="24"/>
      <c r="IU123">
        <v>7467</v>
      </c>
      <c r="IV123">
        <v>7467</v>
      </c>
      <c r="IW123">
        <v>7467</v>
      </c>
      <c r="IX123">
        <v>1011018</v>
      </c>
      <c r="IY123">
        <v>136</v>
      </c>
      <c r="JA123" s="24"/>
      <c r="JB123">
        <v>102002600</v>
      </c>
      <c r="JC123">
        <v>105845000</v>
      </c>
      <c r="JD123">
        <v>105491429</v>
      </c>
      <c r="JE123">
        <v>71</v>
      </c>
      <c r="JF123">
        <v>56</v>
      </c>
      <c r="JH123" s="24"/>
      <c r="JI123">
        <v>100167600</v>
      </c>
      <c r="JJ123">
        <v>104499790</v>
      </c>
      <c r="JK123">
        <v>103392285</v>
      </c>
      <c r="JL123">
        <v>42</v>
      </c>
      <c r="JM123">
        <v>36</v>
      </c>
      <c r="JO123" s="24"/>
      <c r="JP123">
        <v>66</v>
      </c>
      <c r="JQ123">
        <v>68</v>
      </c>
      <c r="JR123">
        <v>68</v>
      </c>
      <c r="JS123">
        <v>105947623</v>
      </c>
      <c r="JT123">
        <v>93</v>
      </c>
      <c r="JV123" s="24"/>
      <c r="JW123">
        <v>65</v>
      </c>
      <c r="JX123">
        <v>68</v>
      </c>
      <c r="JY123">
        <v>68</v>
      </c>
      <c r="JZ123">
        <v>137758579</v>
      </c>
      <c r="KA123">
        <v>129</v>
      </c>
      <c r="KC123" s="24"/>
      <c r="KD123">
        <v>22</v>
      </c>
      <c r="KE123">
        <v>23</v>
      </c>
      <c r="KF123">
        <v>23</v>
      </c>
      <c r="KG123">
        <v>42958805</v>
      </c>
      <c r="KH123">
        <v>257</v>
      </c>
      <c r="KJ123" s="24"/>
      <c r="KK123">
        <v>71</v>
      </c>
      <c r="KL123">
        <v>73</v>
      </c>
      <c r="KM123">
        <v>71</v>
      </c>
      <c r="KN123">
        <v>205721311</v>
      </c>
      <c r="KO123">
        <v>155</v>
      </c>
      <c r="KQ123" s="24"/>
      <c r="KR123">
        <v>82502</v>
      </c>
      <c r="KS123">
        <v>83999</v>
      </c>
      <c r="KT123">
        <v>82509</v>
      </c>
      <c r="KU123">
        <v>67973</v>
      </c>
      <c r="KV123">
        <v>618</v>
      </c>
      <c r="KX123" s="24"/>
      <c r="KY123">
        <v>699</v>
      </c>
      <c r="KZ123">
        <v>703</v>
      </c>
      <c r="LA123">
        <v>700</v>
      </c>
      <c r="LB123">
        <v>6474517</v>
      </c>
      <c r="LC123">
        <v>192</v>
      </c>
      <c r="LE123" s="24"/>
      <c r="LF123">
        <v>195007</v>
      </c>
      <c r="LG123">
        <v>195035</v>
      </c>
      <c r="LH123">
        <v>195025</v>
      </c>
      <c r="LI123">
        <v>104430</v>
      </c>
      <c r="LJ123">
        <v>880</v>
      </c>
      <c r="LL123" s="24"/>
      <c r="LM123">
        <v>80024</v>
      </c>
      <c r="LN123">
        <v>80216</v>
      </c>
      <c r="LO123">
        <v>80213</v>
      </c>
      <c r="LP123">
        <v>337195</v>
      </c>
      <c r="LQ123">
        <v>1270</v>
      </c>
      <c r="LS123" s="24"/>
      <c r="LT123">
        <v>311</v>
      </c>
      <c r="LU123">
        <v>313</v>
      </c>
      <c r="LV123">
        <v>311</v>
      </c>
      <c r="LW123">
        <v>111148442</v>
      </c>
      <c r="LX123">
        <v>312</v>
      </c>
      <c r="LZ123" s="24"/>
      <c r="MA123">
        <v>101286</v>
      </c>
      <c r="MB123">
        <v>104897</v>
      </c>
      <c r="MC123">
        <v>102083</v>
      </c>
      <c r="MD123">
        <v>467763</v>
      </c>
      <c r="ME123">
        <v>79</v>
      </c>
    </row>
    <row r="124" spans="2:343" x14ac:dyDescent="0.25">
      <c r="B124" s="24"/>
      <c r="C124">
        <v>3</v>
      </c>
      <c r="D124">
        <v>3</v>
      </c>
      <c r="E124">
        <v>3</v>
      </c>
      <c r="F124">
        <v>31929576955</v>
      </c>
      <c r="G124">
        <v>3252</v>
      </c>
      <c r="I124" s="24"/>
      <c r="J124">
        <v>4</v>
      </c>
      <c r="K124">
        <v>4</v>
      </c>
      <c r="L124">
        <v>4</v>
      </c>
      <c r="M124">
        <v>6119404383</v>
      </c>
      <c r="N124">
        <v>2332</v>
      </c>
      <c r="P124" s="24"/>
      <c r="Q124">
        <v>28</v>
      </c>
      <c r="R124">
        <v>29</v>
      </c>
      <c r="S124">
        <v>29</v>
      </c>
      <c r="T124">
        <v>2661446667</v>
      </c>
      <c r="U124">
        <v>2148</v>
      </c>
      <c r="W124" s="24"/>
      <c r="X124">
        <v>77</v>
      </c>
      <c r="Y124">
        <v>97</v>
      </c>
      <c r="Z124">
        <v>82</v>
      </c>
      <c r="AA124">
        <v>788032435</v>
      </c>
      <c r="AB124">
        <v>1739</v>
      </c>
      <c r="AD124" s="24"/>
      <c r="AE124">
        <v>532</v>
      </c>
      <c r="AF124">
        <v>549</v>
      </c>
      <c r="AG124">
        <v>547</v>
      </c>
      <c r="AH124">
        <v>115039535</v>
      </c>
      <c r="AI124">
        <v>1750</v>
      </c>
      <c r="AK124" s="24"/>
      <c r="AL124">
        <v>958</v>
      </c>
      <c r="AM124">
        <v>988</v>
      </c>
      <c r="AN124">
        <v>977</v>
      </c>
      <c r="AO124">
        <v>28862512</v>
      </c>
      <c r="AP124">
        <v>1396</v>
      </c>
      <c r="AR124" s="24"/>
      <c r="AS124">
        <v>2645</v>
      </c>
      <c r="AT124">
        <v>2690</v>
      </c>
      <c r="AU124">
        <v>2647</v>
      </c>
      <c r="AV124">
        <v>14488605</v>
      </c>
      <c r="AW124">
        <v>1333</v>
      </c>
      <c r="AY124" s="24"/>
      <c r="AZ124">
        <v>355001004</v>
      </c>
      <c r="BA124">
        <v>365455000</v>
      </c>
      <c r="BB124">
        <v>360499999</v>
      </c>
      <c r="BC124">
        <v>2329</v>
      </c>
      <c r="BD124">
        <v>1682</v>
      </c>
      <c r="BF124" s="24"/>
      <c r="BG124">
        <v>25830</v>
      </c>
      <c r="BH124">
        <v>25840</v>
      </c>
      <c r="BI124">
        <v>25831</v>
      </c>
      <c r="BJ124">
        <v>1218590</v>
      </c>
      <c r="BK124">
        <v>203</v>
      </c>
      <c r="BM124" s="24"/>
      <c r="BN124">
        <v>6450003</v>
      </c>
      <c r="BO124">
        <v>6450029</v>
      </c>
      <c r="BP124">
        <v>6450028</v>
      </c>
      <c r="BQ124">
        <v>9148</v>
      </c>
      <c r="BR124">
        <v>315</v>
      </c>
      <c r="BT124" s="24"/>
      <c r="BU124">
        <v>2135</v>
      </c>
      <c r="BV124">
        <v>2160</v>
      </c>
      <c r="BW124">
        <v>2150</v>
      </c>
      <c r="BX124">
        <v>22954765</v>
      </c>
      <c r="BY124">
        <v>243</v>
      </c>
      <c r="CA124" s="24"/>
      <c r="CB124">
        <v>354</v>
      </c>
      <c r="CC124">
        <v>382</v>
      </c>
      <c r="CD124">
        <v>370</v>
      </c>
      <c r="CE124">
        <v>104788578</v>
      </c>
      <c r="CF124">
        <v>372</v>
      </c>
      <c r="CH124" s="24"/>
      <c r="CI124">
        <v>25200</v>
      </c>
      <c r="CJ124">
        <v>25300</v>
      </c>
      <c r="CK124">
        <v>25201</v>
      </c>
      <c r="CL124">
        <v>1049892</v>
      </c>
      <c r="CM124">
        <v>173</v>
      </c>
      <c r="CO124" s="24"/>
      <c r="CP124">
        <v>8652</v>
      </c>
      <c r="CQ124">
        <v>8950</v>
      </c>
      <c r="CR124">
        <v>8897</v>
      </c>
      <c r="CS124">
        <v>1098480</v>
      </c>
      <c r="CT124">
        <v>423</v>
      </c>
      <c r="CV124" s="24"/>
      <c r="CW124">
        <v>1319998</v>
      </c>
      <c r="CX124">
        <v>1319999</v>
      </c>
      <c r="CY124">
        <v>1319999</v>
      </c>
      <c r="CZ124">
        <v>9229</v>
      </c>
      <c r="DA124">
        <v>32</v>
      </c>
      <c r="DC124" s="24"/>
      <c r="DD124">
        <v>399</v>
      </c>
      <c r="DE124">
        <v>399</v>
      </c>
      <c r="DF124">
        <v>399</v>
      </c>
      <c r="DG124">
        <v>50724619</v>
      </c>
      <c r="DH124">
        <v>183</v>
      </c>
      <c r="DJ124" s="24"/>
      <c r="DK124">
        <v>36800025</v>
      </c>
      <c r="DL124">
        <v>36800026</v>
      </c>
      <c r="DM124">
        <v>36800026</v>
      </c>
      <c r="DN124">
        <v>390</v>
      </c>
      <c r="DO124">
        <v>107</v>
      </c>
      <c r="DQ124" s="24"/>
      <c r="DR124">
        <v>1754790</v>
      </c>
      <c r="DS124">
        <v>1839999</v>
      </c>
      <c r="DT124">
        <v>1755667</v>
      </c>
      <c r="DU124">
        <v>4740</v>
      </c>
      <c r="DV124">
        <v>243</v>
      </c>
      <c r="DX124" s="24"/>
      <c r="DY124">
        <v>17104015</v>
      </c>
      <c r="DZ124">
        <v>19249999</v>
      </c>
      <c r="EA124">
        <v>17899999</v>
      </c>
      <c r="EB124">
        <v>406</v>
      </c>
      <c r="EC124">
        <v>94</v>
      </c>
      <c r="EE124" s="24"/>
      <c r="EF124">
        <v>163</v>
      </c>
      <c r="EG124">
        <v>168</v>
      </c>
      <c r="EH124">
        <v>168</v>
      </c>
      <c r="EI124">
        <v>156648729</v>
      </c>
      <c r="EJ124">
        <v>191</v>
      </c>
      <c r="EL124" s="24"/>
      <c r="EM124">
        <v>42000</v>
      </c>
      <c r="EN124">
        <v>47500</v>
      </c>
      <c r="EO124">
        <v>42100</v>
      </c>
      <c r="EP124">
        <v>60968</v>
      </c>
      <c r="EQ124">
        <v>678</v>
      </c>
      <c r="ES124" s="24"/>
      <c r="ET124">
        <v>407</v>
      </c>
      <c r="EU124">
        <v>426</v>
      </c>
      <c r="EV124">
        <v>424</v>
      </c>
      <c r="EW124">
        <v>35973214</v>
      </c>
      <c r="EX124">
        <v>663</v>
      </c>
      <c r="EZ124" s="24"/>
      <c r="FA124">
        <v>3638999</v>
      </c>
      <c r="FB124">
        <v>3638999</v>
      </c>
      <c r="FC124">
        <v>3638999</v>
      </c>
      <c r="FD124">
        <v>1617</v>
      </c>
      <c r="FE124">
        <v>27</v>
      </c>
      <c r="FG124" s="24"/>
      <c r="FH124">
        <v>7212</v>
      </c>
      <c r="FI124">
        <v>7586</v>
      </c>
      <c r="FJ124">
        <v>7399</v>
      </c>
      <c r="FK124">
        <v>2083653</v>
      </c>
      <c r="FL124">
        <v>531</v>
      </c>
      <c r="FN124" s="24"/>
      <c r="FO124">
        <v>24443</v>
      </c>
      <c r="FP124">
        <v>24443</v>
      </c>
      <c r="FQ124">
        <v>24443</v>
      </c>
      <c r="FR124">
        <v>209308</v>
      </c>
      <c r="FS124">
        <v>103</v>
      </c>
      <c r="FU124" s="24"/>
      <c r="FV124">
        <v>18800</v>
      </c>
      <c r="FW124">
        <v>20499</v>
      </c>
      <c r="FX124">
        <v>20000</v>
      </c>
      <c r="FY124">
        <v>329356</v>
      </c>
      <c r="FZ124">
        <v>1335</v>
      </c>
      <c r="GB124" s="24"/>
      <c r="GC124">
        <v>99003000</v>
      </c>
      <c r="GD124">
        <v>106791000</v>
      </c>
      <c r="GE124">
        <v>106590228</v>
      </c>
      <c r="GF124">
        <v>112</v>
      </c>
      <c r="GG124">
        <v>73</v>
      </c>
      <c r="GI124" s="24"/>
      <c r="GJ124">
        <v>27355555</v>
      </c>
      <c r="GK124">
        <v>27359002</v>
      </c>
      <c r="GL124">
        <v>27358000</v>
      </c>
      <c r="GM124">
        <v>227</v>
      </c>
      <c r="GN124">
        <v>61</v>
      </c>
      <c r="GP124" s="24"/>
      <c r="GQ124">
        <v>77</v>
      </c>
      <c r="GR124">
        <v>81</v>
      </c>
      <c r="GS124">
        <v>77</v>
      </c>
      <c r="GT124">
        <v>280370605</v>
      </c>
      <c r="GU124">
        <v>182</v>
      </c>
      <c r="GW124" s="24"/>
      <c r="GX124">
        <v>381</v>
      </c>
      <c r="GY124">
        <v>399</v>
      </c>
      <c r="GZ124">
        <v>398</v>
      </c>
      <c r="HA124">
        <v>95024160</v>
      </c>
      <c r="HB124">
        <v>276</v>
      </c>
      <c r="HD124" s="24"/>
      <c r="HE124">
        <v>5790</v>
      </c>
      <c r="HF124">
        <v>5950</v>
      </c>
      <c r="HG124">
        <v>5932</v>
      </c>
      <c r="HH124">
        <v>21043213</v>
      </c>
      <c r="HI124">
        <v>372</v>
      </c>
      <c r="HK124" s="24"/>
      <c r="HL124">
        <v>99941200</v>
      </c>
      <c r="HM124">
        <v>106998300</v>
      </c>
      <c r="HN124">
        <v>99941202</v>
      </c>
      <c r="HO124">
        <v>107</v>
      </c>
      <c r="HP124">
        <v>76</v>
      </c>
      <c r="HR124" s="24"/>
      <c r="HS124">
        <v>7913</v>
      </c>
      <c r="HT124">
        <v>8179</v>
      </c>
      <c r="HU124">
        <v>8099</v>
      </c>
      <c r="HV124">
        <v>668935</v>
      </c>
      <c r="HW124">
        <v>150</v>
      </c>
      <c r="HY124" s="24"/>
      <c r="HZ124">
        <v>7056</v>
      </c>
      <c r="IA124">
        <v>7449</v>
      </c>
      <c r="IB124">
        <v>7399</v>
      </c>
      <c r="IC124">
        <v>2057090</v>
      </c>
      <c r="ID124">
        <v>527</v>
      </c>
      <c r="IF124" s="24"/>
      <c r="IG124">
        <v>2979</v>
      </c>
      <c r="IH124">
        <v>2979</v>
      </c>
      <c r="II124">
        <v>2979</v>
      </c>
      <c r="IJ124">
        <v>1808356</v>
      </c>
      <c r="IK124">
        <v>163</v>
      </c>
      <c r="IM124" s="24"/>
      <c r="IN124">
        <v>106972799</v>
      </c>
      <c r="IO124">
        <v>106981999</v>
      </c>
      <c r="IP124">
        <v>106981000</v>
      </c>
      <c r="IQ124">
        <v>129</v>
      </c>
      <c r="IR124">
        <v>89</v>
      </c>
      <c r="IT124" s="24"/>
      <c r="IU124">
        <v>7402</v>
      </c>
      <c r="IV124">
        <v>7488</v>
      </c>
      <c r="IW124">
        <v>7467</v>
      </c>
      <c r="IX124">
        <v>2088573</v>
      </c>
      <c r="IY124">
        <v>192</v>
      </c>
      <c r="JA124" s="24"/>
      <c r="JB124">
        <v>102410009</v>
      </c>
      <c r="JC124">
        <v>107480981</v>
      </c>
      <c r="JD124">
        <v>102412200</v>
      </c>
      <c r="JE124">
        <v>117</v>
      </c>
      <c r="JF124">
        <v>78</v>
      </c>
      <c r="JH124" s="24"/>
      <c r="JI124">
        <v>101668000</v>
      </c>
      <c r="JJ124">
        <v>107038748</v>
      </c>
      <c r="JK124">
        <v>101668000</v>
      </c>
      <c r="JL124">
        <v>134</v>
      </c>
      <c r="JM124">
        <v>72</v>
      </c>
      <c r="JO124" s="24"/>
      <c r="JP124">
        <v>68</v>
      </c>
      <c r="JQ124">
        <v>69</v>
      </c>
      <c r="JR124">
        <v>69</v>
      </c>
      <c r="JS124">
        <v>157520182</v>
      </c>
      <c r="JT124">
        <v>121</v>
      </c>
      <c r="JV124" s="24"/>
      <c r="JW124">
        <v>68</v>
      </c>
      <c r="JX124">
        <v>79</v>
      </c>
      <c r="JY124">
        <v>72</v>
      </c>
      <c r="JZ124">
        <v>317220561</v>
      </c>
      <c r="KA124">
        <v>154</v>
      </c>
      <c r="KC124" s="24"/>
      <c r="KD124">
        <v>21</v>
      </c>
      <c r="KE124">
        <v>23</v>
      </c>
      <c r="KF124">
        <v>23</v>
      </c>
      <c r="KG124">
        <v>42948395</v>
      </c>
      <c r="KH124">
        <v>325</v>
      </c>
      <c r="KJ124" s="24"/>
      <c r="KK124">
        <v>71</v>
      </c>
      <c r="KL124">
        <v>74</v>
      </c>
      <c r="KM124">
        <v>73</v>
      </c>
      <c r="KN124">
        <v>155917212</v>
      </c>
      <c r="KO124">
        <v>171</v>
      </c>
      <c r="KQ124" s="24"/>
      <c r="KR124">
        <v>83003</v>
      </c>
      <c r="KS124">
        <v>85899</v>
      </c>
      <c r="KT124">
        <v>84000</v>
      </c>
      <c r="KU124">
        <v>69922</v>
      </c>
      <c r="KV124">
        <v>657</v>
      </c>
      <c r="KX124" s="24"/>
      <c r="KY124">
        <v>661</v>
      </c>
      <c r="KZ124">
        <v>699</v>
      </c>
      <c r="LA124">
        <v>697</v>
      </c>
      <c r="LB124">
        <v>10175346</v>
      </c>
      <c r="LC124">
        <v>248</v>
      </c>
      <c r="LE124" s="24"/>
      <c r="LF124">
        <v>195056</v>
      </c>
      <c r="LG124">
        <v>198499</v>
      </c>
      <c r="LH124">
        <v>196170</v>
      </c>
      <c r="LI124">
        <v>144670</v>
      </c>
      <c r="LJ124">
        <v>1008</v>
      </c>
      <c r="LL124" s="24"/>
      <c r="LM124">
        <v>70102</v>
      </c>
      <c r="LN124">
        <v>78001</v>
      </c>
      <c r="LO124">
        <v>75000</v>
      </c>
      <c r="LP124">
        <v>373651</v>
      </c>
      <c r="LQ124">
        <v>1421</v>
      </c>
      <c r="LS124" s="24"/>
      <c r="LT124">
        <v>328</v>
      </c>
      <c r="LU124">
        <v>376</v>
      </c>
      <c r="LV124">
        <v>342</v>
      </c>
      <c r="LW124">
        <v>126115315</v>
      </c>
      <c r="LX124">
        <v>442</v>
      </c>
      <c r="LZ124" s="24"/>
      <c r="MA124">
        <v>98000</v>
      </c>
      <c r="MB124">
        <v>100112</v>
      </c>
      <c r="MC124">
        <v>99624</v>
      </c>
      <c r="MD124">
        <v>766091</v>
      </c>
      <c r="ME124">
        <v>107</v>
      </c>
    </row>
    <row r="125" spans="2:343" x14ac:dyDescent="0.25">
      <c r="B125" s="24"/>
      <c r="C125">
        <v>3</v>
      </c>
      <c r="D125">
        <v>3</v>
      </c>
      <c r="E125">
        <v>3</v>
      </c>
      <c r="F125">
        <v>44375547048</v>
      </c>
      <c r="G125">
        <v>3968</v>
      </c>
      <c r="I125" s="24"/>
      <c r="J125">
        <v>4</v>
      </c>
      <c r="K125">
        <v>4</v>
      </c>
      <c r="L125">
        <v>4</v>
      </c>
      <c r="M125">
        <v>9694937264</v>
      </c>
      <c r="N125">
        <v>2725</v>
      </c>
      <c r="P125" s="24"/>
      <c r="Q125">
        <v>28</v>
      </c>
      <c r="R125">
        <v>29</v>
      </c>
      <c r="S125">
        <v>29</v>
      </c>
      <c r="T125">
        <v>2584898587</v>
      </c>
      <c r="U125">
        <v>2381</v>
      </c>
      <c r="W125" s="24"/>
      <c r="X125">
        <v>79</v>
      </c>
      <c r="Y125">
        <v>87</v>
      </c>
      <c r="Z125">
        <v>82</v>
      </c>
      <c r="AA125">
        <v>521765678</v>
      </c>
      <c r="AB125">
        <v>1952</v>
      </c>
      <c r="AD125" s="24"/>
      <c r="AE125">
        <v>537</v>
      </c>
      <c r="AF125">
        <v>554</v>
      </c>
      <c r="AG125">
        <v>548</v>
      </c>
      <c r="AH125">
        <v>149624409</v>
      </c>
      <c r="AI125">
        <v>1979</v>
      </c>
      <c r="AK125" s="24"/>
      <c r="AL125">
        <v>965</v>
      </c>
      <c r="AM125">
        <v>988</v>
      </c>
      <c r="AN125">
        <v>978</v>
      </c>
      <c r="AO125">
        <v>40990926</v>
      </c>
      <c r="AP125">
        <v>1581</v>
      </c>
      <c r="AR125" s="24"/>
      <c r="AS125">
        <v>2777</v>
      </c>
      <c r="AT125">
        <v>2850</v>
      </c>
      <c r="AU125">
        <v>2795</v>
      </c>
      <c r="AV125">
        <v>18087271</v>
      </c>
      <c r="AW125">
        <v>1542</v>
      </c>
      <c r="AY125" s="24"/>
      <c r="AZ125">
        <v>357999999</v>
      </c>
      <c r="BA125">
        <v>367977079</v>
      </c>
      <c r="BB125">
        <v>361120009</v>
      </c>
      <c r="BC125">
        <v>2035</v>
      </c>
      <c r="BD125">
        <v>1523</v>
      </c>
      <c r="BF125" s="24"/>
      <c r="BG125">
        <v>26154</v>
      </c>
      <c r="BH125">
        <v>26854</v>
      </c>
      <c r="BI125">
        <v>26455</v>
      </c>
      <c r="BJ125">
        <v>1708848</v>
      </c>
      <c r="BK125">
        <v>220</v>
      </c>
      <c r="BM125" s="24"/>
      <c r="BN125">
        <v>6200000</v>
      </c>
      <c r="BO125">
        <v>6450000</v>
      </c>
      <c r="BP125">
        <v>6250000</v>
      </c>
      <c r="BQ125">
        <v>10205</v>
      </c>
      <c r="BR125">
        <v>387</v>
      </c>
      <c r="BT125" s="24"/>
      <c r="BU125">
        <v>2122</v>
      </c>
      <c r="BV125">
        <v>2164</v>
      </c>
      <c r="BW125">
        <v>2159</v>
      </c>
      <c r="BX125">
        <v>30649956</v>
      </c>
      <c r="BY125">
        <v>273</v>
      </c>
      <c r="CA125" s="24"/>
      <c r="CB125">
        <v>357</v>
      </c>
      <c r="CC125">
        <v>379</v>
      </c>
      <c r="CD125">
        <v>373</v>
      </c>
      <c r="CE125">
        <v>76499109</v>
      </c>
      <c r="CF125">
        <v>366</v>
      </c>
      <c r="CH125" s="24"/>
      <c r="CI125">
        <v>25201</v>
      </c>
      <c r="CJ125">
        <v>25548</v>
      </c>
      <c r="CK125">
        <v>25201</v>
      </c>
      <c r="CL125">
        <v>1527070</v>
      </c>
      <c r="CM125">
        <v>192</v>
      </c>
      <c r="CO125" s="24"/>
      <c r="CP125">
        <v>8481</v>
      </c>
      <c r="CQ125">
        <v>8898</v>
      </c>
      <c r="CR125">
        <v>8481</v>
      </c>
      <c r="CS125">
        <v>1572574</v>
      </c>
      <c r="CT125">
        <v>473</v>
      </c>
      <c r="CV125" s="24"/>
      <c r="CW125">
        <v>1250000</v>
      </c>
      <c r="CX125">
        <v>1280000</v>
      </c>
      <c r="CY125">
        <v>1250001</v>
      </c>
      <c r="CZ125">
        <v>7600</v>
      </c>
      <c r="DA125">
        <v>55</v>
      </c>
      <c r="DC125" s="24"/>
      <c r="DD125">
        <v>393</v>
      </c>
      <c r="DE125">
        <v>404</v>
      </c>
      <c r="DF125">
        <v>404</v>
      </c>
      <c r="DG125">
        <v>33434784</v>
      </c>
      <c r="DH125">
        <v>215</v>
      </c>
      <c r="DJ125" s="24"/>
      <c r="DK125">
        <v>35415079</v>
      </c>
      <c r="DL125">
        <v>36415029</v>
      </c>
      <c r="DM125">
        <v>35415081</v>
      </c>
      <c r="DN125">
        <v>406</v>
      </c>
      <c r="DO125">
        <v>88</v>
      </c>
      <c r="DQ125" s="24"/>
      <c r="DR125">
        <v>1693007</v>
      </c>
      <c r="DS125">
        <v>1749995</v>
      </c>
      <c r="DT125">
        <v>1694335</v>
      </c>
      <c r="DU125">
        <v>4784</v>
      </c>
      <c r="DV125">
        <v>234</v>
      </c>
      <c r="DX125" s="24"/>
      <c r="DY125">
        <v>17104024</v>
      </c>
      <c r="DZ125">
        <v>18600004</v>
      </c>
      <c r="EA125">
        <v>17500023</v>
      </c>
      <c r="EB125">
        <v>310</v>
      </c>
      <c r="EC125">
        <v>105</v>
      </c>
      <c r="EE125" s="24"/>
      <c r="EF125">
        <v>163</v>
      </c>
      <c r="EG125">
        <v>168</v>
      </c>
      <c r="EH125">
        <v>164</v>
      </c>
      <c r="EI125">
        <v>100354634</v>
      </c>
      <c r="EJ125">
        <v>181</v>
      </c>
      <c r="EL125" s="24"/>
      <c r="EM125">
        <v>44007</v>
      </c>
      <c r="EN125">
        <v>47999</v>
      </c>
      <c r="EO125">
        <v>45100</v>
      </c>
      <c r="EP125">
        <v>119937</v>
      </c>
      <c r="EQ125">
        <v>774</v>
      </c>
      <c r="ES125" s="24"/>
      <c r="ET125">
        <v>422</v>
      </c>
      <c r="EU125">
        <v>423</v>
      </c>
      <c r="EV125">
        <v>423</v>
      </c>
      <c r="EW125">
        <v>50597450</v>
      </c>
      <c r="EX125">
        <v>734</v>
      </c>
      <c r="EZ125" s="24"/>
      <c r="FA125">
        <v>3600000</v>
      </c>
      <c r="FB125">
        <v>3600000</v>
      </c>
      <c r="FC125">
        <v>3600000</v>
      </c>
      <c r="FD125">
        <v>3212</v>
      </c>
      <c r="FE125">
        <v>34</v>
      </c>
      <c r="FG125" s="24"/>
      <c r="FH125">
        <v>7213</v>
      </c>
      <c r="FI125">
        <v>7495</v>
      </c>
      <c r="FJ125">
        <v>7452</v>
      </c>
      <c r="FK125">
        <v>2323754</v>
      </c>
      <c r="FL125">
        <v>534</v>
      </c>
      <c r="FN125" s="24"/>
      <c r="FO125">
        <v>24430</v>
      </c>
      <c r="FP125">
        <v>24443</v>
      </c>
      <c r="FQ125">
        <v>24442</v>
      </c>
      <c r="FR125">
        <v>198863</v>
      </c>
      <c r="FS125">
        <v>107</v>
      </c>
      <c r="FU125" s="24"/>
      <c r="FV125">
        <v>19506</v>
      </c>
      <c r="FW125">
        <v>20699</v>
      </c>
      <c r="FX125">
        <v>20250</v>
      </c>
      <c r="FY125">
        <v>467425</v>
      </c>
      <c r="FZ125">
        <v>1494</v>
      </c>
      <c r="GB125" s="24"/>
      <c r="GC125">
        <v>99204400</v>
      </c>
      <c r="GD125">
        <v>106769000</v>
      </c>
      <c r="GE125">
        <v>103821434</v>
      </c>
      <c r="GF125">
        <v>69</v>
      </c>
      <c r="GG125">
        <v>59</v>
      </c>
      <c r="GI125" s="24"/>
      <c r="GJ125">
        <v>27361000</v>
      </c>
      <c r="GK125">
        <v>29999998</v>
      </c>
      <c r="GL125">
        <v>27361021</v>
      </c>
      <c r="GM125">
        <v>330</v>
      </c>
      <c r="GN125">
        <v>83</v>
      </c>
      <c r="GP125" s="24"/>
      <c r="GQ125">
        <v>78</v>
      </c>
      <c r="GR125">
        <v>79</v>
      </c>
      <c r="GS125">
        <v>79</v>
      </c>
      <c r="GT125">
        <v>175798877</v>
      </c>
      <c r="GU125">
        <v>157</v>
      </c>
      <c r="GW125" s="24"/>
      <c r="GX125">
        <v>395</v>
      </c>
      <c r="GY125">
        <v>439</v>
      </c>
      <c r="GZ125">
        <v>419</v>
      </c>
      <c r="HA125">
        <v>65096558</v>
      </c>
      <c r="HB125">
        <v>346</v>
      </c>
      <c r="HD125" s="24"/>
      <c r="HE125">
        <v>5817</v>
      </c>
      <c r="HF125">
        <v>5946</v>
      </c>
      <c r="HG125">
        <v>5944</v>
      </c>
      <c r="HH125">
        <v>14263957</v>
      </c>
      <c r="HI125">
        <v>331</v>
      </c>
      <c r="HK125" s="24"/>
      <c r="HL125">
        <v>99942000</v>
      </c>
      <c r="HM125">
        <v>106997499</v>
      </c>
      <c r="HN125">
        <v>104361241</v>
      </c>
      <c r="HO125">
        <v>62</v>
      </c>
      <c r="HP125">
        <v>53</v>
      </c>
      <c r="HR125" s="24"/>
      <c r="HS125">
        <v>7919</v>
      </c>
      <c r="HT125">
        <v>8231</v>
      </c>
      <c r="HU125">
        <v>7920</v>
      </c>
      <c r="HV125">
        <v>1144859</v>
      </c>
      <c r="HW125">
        <v>209</v>
      </c>
      <c r="HY125" s="24"/>
      <c r="HZ125">
        <v>6799</v>
      </c>
      <c r="IA125">
        <v>7341</v>
      </c>
      <c r="IB125">
        <v>6970</v>
      </c>
      <c r="IC125">
        <v>2558148</v>
      </c>
      <c r="ID125">
        <v>570</v>
      </c>
      <c r="IF125" s="24"/>
      <c r="IG125">
        <v>2901</v>
      </c>
      <c r="IH125">
        <v>2976</v>
      </c>
      <c r="II125">
        <v>2902</v>
      </c>
      <c r="IJ125">
        <v>2382355</v>
      </c>
      <c r="IK125">
        <v>170</v>
      </c>
      <c r="IM125" s="24"/>
      <c r="IN125">
        <v>97000804</v>
      </c>
      <c r="IO125">
        <v>106971396</v>
      </c>
      <c r="IP125">
        <v>103189728</v>
      </c>
      <c r="IQ125">
        <v>47</v>
      </c>
      <c r="IR125">
        <v>46</v>
      </c>
      <c r="IT125" s="24"/>
      <c r="IU125">
        <v>7414</v>
      </c>
      <c r="IV125">
        <v>7759</v>
      </c>
      <c r="IW125">
        <v>7755</v>
      </c>
      <c r="IX125">
        <v>1875977</v>
      </c>
      <c r="IY125">
        <v>189</v>
      </c>
      <c r="JA125" s="24"/>
      <c r="JB125">
        <v>103420200</v>
      </c>
      <c r="JC125">
        <v>109772385</v>
      </c>
      <c r="JD125">
        <v>106096645</v>
      </c>
      <c r="JE125">
        <v>77</v>
      </c>
      <c r="JF125">
        <v>62</v>
      </c>
      <c r="JH125" s="24"/>
      <c r="JI125">
        <v>101667415</v>
      </c>
      <c r="JJ125">
        <v>107036800</v>
      </c>
      <c r="JK125">
        <v>105410346</v>
      </c>
      <c r="JL125">
        <v>39</v>
      </c>
      <c r="JM125">
        <v>38</v>
      </c>
      <c r="JO125" s="24"/>
      <c r="JP125">
        <v>68</v>
      </c>
      <c r="JQ125">
        <v>69</v>
      </c>
      <c r="JR125">
        <v>69</v>
      </c>
      <c r="JS125">
        <v>91616070</v>
      </c>
      <c r="JT125">
        <v>108</v>
      </c>
      <c r="JV125" s="24"/>
      <c r="JW125">
        <v>70</v>
      </c>
      <c r="JX125">
        <v>75</v>
      </c>
      <c r="JY125">
        <v>75</v>
      </c>
      <c r="JZ125">
        <v>223392390</v>
      </c>
      <c r="KA125">
        <v>140</v>
      </c>
      <c r="KC125" s="24"/>
      <c r="KD125">
        <v>21</v>
      </c>
      <c r="KE125">
        <v>23</v>
      </c>
      <c r="KF125">
        <v>23</v>
      </c>
      <c r="KG125">
        <v>109090155</v>
      </c>
      <c r="KH125">
        <v>397</v>
      </c>
      <c r="KJ125" s="24"/>
      <c r="KK125">
        <v>72</v>
      </c>
      <c r="KL125">
        <v>74</v>
      </c>
      <c r="KM125">
        <v>73</v>
      </c>
      <c r="KN125">
        <v>143511550</v>
      </c>
      <c r="KO125">
        <v>155</v>
      </c>
      <c r="KQ125" s="24"/>
      <c r="KR125">
        <v>83034</v>
      </c>
      <c r="KS125">
        <v>84000</v>
      </c>
      <c r="KT125">
        <v>84000</v>
      </c>
      <c r="KU125">
        <v>72085</v>
      </c>
      <c r="KV125">
        <v>756</v>
      </c>
      <c r="KX125" s="24"/>
      <c r="KY125">
        <v>623</v>
      </c>
      <c r="KZ125">
        <v>697</v>
      </c>
      <c r="LA125">
        <v>662</v>
      </c>
      <c r="LB125">
        <v>5818197</v>
      </c>
      <c r="LC125">
        <v>212</v>
      </c>
      <c r="LE125" s="24"/>
      <c r="LF125">
        <v>196200</v>
      </c>
      <c r="LG125">
        <v>197000</v>
      </c>
      <c r="LH125">
        <v>196250</v>
      </c>
      <c r="LI125">
        <v>157461</v>
      </c>
      <c r="LJ125">
        <v>1122</v>
      </c>
      <c r="LL125" s="24"/>
      <c r="LM125">
        <v>74243</v>
      </c>
      <c r="LN125">
        <v>76459</v>
      </c>
      <c r="LO125">
        <v>76010</v>
      </c>
      <c r="LP125">
        <v>464261</v>
      </c>
      <c r="LQ125">
        <v>1540</v>
      </c>
      <c r="LS125" s="24"/>
      <c r="LT125">
        <v>319</v>
      </c>
      <c r="LU125">
        <v>341</v>
      </c>
      <c r="LV125">
        <v>329</v>
      </c>
      <c r="LW125">
        <v>98387579</v>
      </c>
      <c r="LX125">
        <v>416</v>
      </c>
      <c r="LZ125" s="24"/>
      <c r="MA125">
        <v>99261</v>
      </c>
      <c r="MB125">
        <v>104173</v>
      </c>
      <c r="MC125">
        <v>103000</v>
      </c>
      <c r="MD125">
        <v>979467</v>
      </c>
      <c r="ME125">
        <v>110</v>
      </c>
    </row>
    <row r="126" spans="2:343" x14ac:dyDescent="0.25">
      <c r="B126" s="24"/>
      <c r="C126">
        <v>3</v>
      </c>
      <c r="D126">
        <v>3</v>
      </c>
      <c r="E126">
        <v>3</v>
      </c>
      <c r="F126">
        <v>28767516430</v>
      </c>
      <c r="G126">
        <v>3193</v>
      </c>
      <c r="I126" s="24"/>
      <c r="J126">
        <v>4</v>
      </c>
      <c r="K126">
        <v>5</v>
      </c>
      <c r="L126">
        <v>5</v>
      </c>
      <c r="M126">
        <v>5055302484</v>
      </c>
      <c r="N126">
        <v>2222</v>
      </c>
      <c r="P126" s="24"/>
      <c r="Q126">
        <v>29</v>
      </c>
      <c r="R126">
        <v>29</v>
      </c>
      <c r="S126">
        <v>29</v>
      </c>
      <c r="T126">
        <v>2493043095</v>
      </c>
      <c r="U126">
        <v>1976</v>
      </c>
      <c r="W126" s="24"/>
      <c r="X126">
        <v>81</v>
      </c>
      <c r="Y126">
        <v>83</v>
      </c>
      <c r="Z126">
        <v>82</v>
      </c>
      <c r="AA126">
        <v>396587016</v>
      </c>
      <c r="AB126">
        <v>1582</v>
      </c>
      <c r="AD126" s="24"/>
      <c r="AE126">
        <v>540</v>
      </c>
      <c r="AF126">
        <v>556</v>
      </c>
      <c r="AG126">
        <v>541</v>
      </c>
      <c r="AH126">
        <v>119462360</v>
      </c>
      <c r="AI126">
        <v>1649</v>
      </c>
      <c r="AK126" s="24"/>
      <c r="AL126">
        <v>966</v>
      </c>
      <c r="AM126">
        <v>987</v>
      </c>
      <c r="AN126">
        <v>979</v>
      </c>
      <c r="AO126">
        <v>48443447</v>
      </c>
      <c r="AP126">
        <v>1301</v>
      </c>
      <c r="AR126" s="24"/>
      <c r="AS126">
        <v>2699</v>
      </c>
      <c r="AT126">
        <v>2795</v>
      </c>
      <c r="AU126">
        <v>2788</v>
      </c>
      <c r="AV126">
        <v>15567802</v>
      </c>
      <c r="AW126">
        <v>1286</v>
      </c>
      <c r="AY126" s="24"/>
      <c r="AZ126">
        <v>360000000</v>
      </c>
      <c r="BA126">
        <v>367857200</v>
      </c>
      <c r="BB126">
        <v>364000012</v>
      </c>
      <c r="BC126">
        <v>2024</v>
      </c>
      <c r="BD126">
        <v>1453</v>
      </c>
      <c r="BF126" s="24"/>
      <c r="BG126">
        <v>27008</v>
      </c>
      <c r="BH126">
        <v>28700</v>
      </c>
      <c r="BI126">
        <v>27748</v>
      </c>
      <c r="BJ126">
        <v>1062326</v>
      </c>
      <c r="BK126">
        <v>190</v>
      </c>
      <c r="BM126" s="24"/>
      <c r="BN126">
        <v>6167006</v>
      </c>
      <c r="BO126">
        <v>6202000</v>
      </c>
      <c r="BP126">
        <v>6201111</v>
      </c>
      <c r="BQ126">
        <v>10245</v>
      </c>
      <c r="BR126">
        <v>322</v>
      </c>
      <c r="BT126" s="24"/>
      <c r="BU126">
        <v>2159</v>
      </c>
      <c r="BV126">
        <v>2164</v>
      </c>
      <c r="BW126">
        <v>2164</v>
      </c>
      <c r="BX126">
        <v>18717092</v>
      </c>
      <c r="BY126">
        <v>226</v>
      </c>
      <c r="CA126" s="24"/>
      <c r="CB126">
        <v>368</v>
      </c>
      <c r="CC126">
        <v>368</v>
      </c>
      <c r="CD126">
        <v>368</v>
      </c>
      <c r="CE126">
        <v>76052778</v>
      </c>
      <c r="CF126">
        <v>281</v>
      </c>
      <c r="CH126" s="24"/>
      <c r="CI126">
        <v>26001</v>
      </c>
      <c r="CJ126">
        <v>26001</v>
      </c>
      <c r="CK126">
        <v>26001</v>
      </c>
      <c r="CL126">
        <v>467144</v>
      </c>
      <c r="CM126">
        <v>163</v>
      </c>
      <c r="CO126" s="24"/>
      <c r="CP126">
        <v>8369</v>
      </c>
      <c r="CQ126">
        <v>8820</v>
      </c>
      <c r="CR126">
        <v>8500</v>
      </c>
      <c r="CS126">
        <v>1429743</v>
      </c>
      <c r="CT126">
        <v>385</v>
      </c>
      <c r="CV126" s="24"/>
      <c r="CW126">
        <v>1250211</v>
      </c>
      <c r="CX126">
        <v>1338449</v>
      </c>
      <c r="CY126">
        <v>1310000</v>
      </c>
      <c r="CZ126">
        <v>7623</v>
      </c>
      <c r="DA126">
        <v>59</v>
      </c>
      <c r="DC126" s="24"/>
      <c r="DD126">
        <v>377</v>
      </c>
      <c r="DE126">
        <v>398</v>
      </c>
      <c r="DF126">
        <v>385</v>
      </c>
      <c r="DG126">
        <v>51791678</v>
      </c>
      <c r="DH126">
        <v>200</v>
      </c>
      <c r="DJ126" s="24"/>
      <c r="DK126">
        <v>35415090</v>
      </c>
      <c r="DL126">
        <v>36000003</v>
      </c>
      <c r="DM126">
        <v>35415145</v>
      </c>
      <c r="DN126">
        <v>242</v>
      </c>
      <c r="DO126">
        <v>87</v>
      </c>
      <c r="DQ126" s="24"/>
      <c r="DR126">
        <v>1694335</v>
      </c>
      <c r="DS126">
        <v>1743998</v>
      </c>
      <c r="DT126">
        <v>1694337</v>
      </c>
      <c r="DU126">
        <v>7092</v>
      </c>
      <c r="DV126">
        <v>212</v>
      </c>
      <c r="DX126" s="24"/>
      <c r="DY126">
        <v>17800219</v>
      </c>
      <c r="DZ126">
        <v>19497998</v>
      </c>
      <c r="EA126">
        <v>18310016</v>
      </c>
      <c r="EB126">
        <v>435</v>
      </c>
      <c r="EC126">
        <v>124</v>
      </c>
      <c r="EE126" s="24"/>
      <c r="EF126">
        <v>164</v>
      </c>
      <c r="EG126">
        <v>167</v>
      </c>
      <c r="EH126">
        <v>165</v>
      </c>
      <c r="EI126">
        <v>114168345</v>
      </c>
      <c r="EJ126">
        <v>190</v>
      </c>
      <c r="EL126" s="24"/>
      <c r="EM126">
        <v>45007</v>
      </c>
      <c r="EN126">
        <v>48898</v>
      </c>
      <c r="EO126">
        <v>45009</v>
      </c>
      <c r="EP126">
        <v>73475</v>
      </c>
      <c r="EQ126">
        <v>644</v>
      </c>
      <c r="ES126" s="24"/>
      <c r="ET126">
        <v>416</v>
      </c>
      <c r="EU126">
        <v>426</v>
      </c>
      <c r="EV126">
        <v>426</v>
      </c>
      <c r="EW126">
        <v>42136978</v>
      </c>
      <c r="EX126">
        <v>570</v>
      </c>
      <c r="EZ126" s="24"/>
      <c r="FA126">
        <v>3570000</v>
      </c>
      <c r="FB126">
        <v>3650000</v>
      </c>
      <c r="FC126">
        <v>3570000</v>
      </c>
      <c r="FD126">
        <v>1125</v>
      </c>
      <c r="FE126">
        <v>29</v>
      </c>
      <c r="FG126" s="24"/>
      <c r="FH126">
        <v>7215</v>
      </c>
      <c r="FI126">
        <v>7491</v>
      </c>
      <c r="FJ126">
        <v>7343</v>
      </c>
      <c r="FK126">
        <v>1965304</v>
      </c>
      <c r="FL126">
        <v>472</v>
      </c>
      <c r="FN126" s="24"/>
      <c r="FO126">
        <v>23750</v>
      </c>
      <c r="FP126">
        <v>24430</v>
      </c>
      <c r="FQ126">
        <v>24426</v>
      </c>
      <c r="FR126">
        <v>162327</v>
      </c>
      <c r="FS126">
        <v>95</v>
      </c>
      <c r="FU126" s="24"/>
      <c r="FV126">
        <v>19825</v>
      </c>
      <c r="FW126">
        <v>20250</v>
      </c>
      <c r="FX126">
        <v>19850</v>
      </c>
      <c r="FY126">
        <v>344433</v>
      </c>
      <c r="FZ126">
        <v>1220</v>
      </c>
      <c r="GB126" s="24"/>
      <c r="GC126">
        <v>103502602</v>
      </c>
      <c r="GD126">
        <v>106765800</v>
      </c>
      <c r="GE126">
        <v>105100936</v>
      </c>
      <c r="GF126">
        <v>64</v>
      </c>
      <c r="GG126">
        <v>45</v>
      </c>
      <c r="GI126" s="24"/>
      <c r="GJ126">
        <v>27361019</v>
      </c>
      <c r="GK126">
        <v>27369004</v>
      </c>
      <c r="GL126">
        <v>27361019</v>
      </c>
      <c r="GM126">
        <v>297</v>
      </c>
      <c r="GN126">
        <v>70</v>
      </c>
      <c r="GP126" s="24"/>
      <c r="GQ126">
        <v>78</v>
      </c>
      <c r="GR126">
        <v>79</v>
      </c>
      <c r="GS126">
        <v>78</v>
      </c>
      <c r="GT126">
        <v>141775742</v>
      </c>
      <c r="GU126">
        <v>150</v>
      </c>
      <c r="GW126" s="24"/>
      <c r="GX126">
        <v>388</v>
      </c>
      <c r="GY126">
        <v>404</v>
      </c>
      <c r="GZ126">
        <v>396</v>
      </c>
      <c r="HA126">
        <v>50365844</v>
      </c>
      <c r="HB126">
        <v>276</v>
      </c>
      <c r="HD126" s="24"/>
      <c r="HE126">
        <v>5835</v>
      </c>
      <c r="HF126">
        <v>5939</v>
      </c>
      <c r="HG126">
        <v>5897</v>
      </c>
      <c r="HH126">
        <v>13441579</v>
      </c>
      <c r="HI126">
        <v>260</v>
      </c>
      <c r="HK126" s="24"/>
      <c r="HL126">
        <v>103508300</v>
      </c>
      <c r="HM126">
        <v>106997799</v>
      </c>
      <c r="HN126">
        <v>105732981</v>
      </c>
      <c r="HO126">
        <v>54</v>
      </c>
      <c r="HP126">
        <v>43</v>
      </c>
      <c r="HR126" s="24"/>
      <c r="HS126">
        <v>7997</v>
      </c>
      <c r="HT126">
        <v>8050</v>
      </c>
      <c r="HU126">
        <v>8000</v>
      </c>
      <c r="HV126">
        <v>670901</v>
      </c>
      <c r="HW126">
        <v>135</v>
      </c>
      <c r="HY126" s="24"/>
      <c r="HZ126">
        <v>6825</v>
      </c>
      <c r="IA126">
        <v>7139</v>
      </c>
      <c r="IB126">
        <v>7047</v>
      </c>
      <c r="IC126">
        <v>1574389</v>
      </c>
      <c r="ID126">
        <v>429</v>
      </c>
      <c r="IF126" s="24"/>
      <c r="IG126">
        <v>2900</v>
      </c>
      <c r="IH126">
        <v>2972</v>
      </c>
      <c r="II126">
        <v>2970</v>
      </c>
      <c r="IJ126">
        <v>818151</v>
      </c>
      <c r="IK126">
        <v>130</v>
      </c>
      <c r="IM126" s="24"/>
      <c r="IN126">
        <v>104001800</v>
      </c>
      <c r="IO126">
        <v>106599979</v>
      </c>
      <c r="IP126">
        <v>105028304</v>
      </c>
      <c r="IQ126">
        <v>75</v>
      </c>
      <c r="IR126">
        <v>53</v>
      </c>
      <c r="IT126" s="24"/>
      <c r="IU126">
        <v>7426</v>
      </c>
      <c r="IV126">
        <v>7699</v>
      </c>
      <c r="IW126">
        <v>7427</v>
      </c>
      <c r="IX126">
        <v>1167824</v>
      </c>
      <c r="IY126">
        <v>141</v>
      </c>
      <c r="JA126" s="24"/>
      <c r="JB126">
        <v>103421000</v>
      </c>
      <c r="JC126">
        <v>108599600</v>
      </c>
      <c r="JD126">
        <v>105876382</v>
      </c>
      <c r="JE126">
        <v>88</v>
      </c>
      <c r="JF126">
        <v>70</v>
      </c>
      <c r="JH126" s="24"/>
      <c r="JI126">
        <v>104000600</v>
      </c>
      <c r="JJ126">
        <v>107031400</v>
      </c>
      <c r="JK126">
        <v>105411607</v>
      </c>
      <c r="JL126">
        <v>58</v>
      </c>
      <c r="JM126">
        <v>32</v>
      </c>
      <c r="JO126" s="24"/>
      <c r="JP126">
        <v>68</v>
      </c>
      <c r="JQ126">
        <v>72</v>
      </c>
      <c r="JR126">
        <v>70</v>
      </c>
      <c r="JS126">
        <v>93893223</v>
      </c>
      <c r="JT126">
        <v>93</v>
      </c>
      <c r="JV126" s="24"/>
      <c r="JW126">
        <v>70</v>
      </c>
      <c r="JX126">
        <v>70</v>
      </c>
      <c r="JY126">
        <v>70</v>
      </c>
      <c r="JZ126">
        <v>153256908</v>
      </c>
      <c r="KA126">
        <v>117</v>
      </c>
      <c r="KC126" s="24"/>
      <c r="KD126">
        <v>21</v>
      </c>
      <c r="KE126">
        <v>23</v>
      </c>
      <c r="KF126">
        <v>23</v>
      </c>
      <c r="KG126">
        <v>32926810</v>
      </c>
      <c r="KH126">
        <v>291</v>
      </c>
      <c r="KJ126" s="24"/>
      <c r="KK126">
        <v>72</v>
      </c>
      <c r="KL126">
        <v>73</v>
      </c>
      <c r="KM126">
        <v>72</v>
      </c>
      <c r="KN126">
        <v>167363282</v>
      </c>
      <c r="KO126">
        <v>146</v>
      </c>
      <c r="KQ126" s="24"/>
      <c r="KR126">
        <v>83500</v>
      </c>
      <c r="KS126">
        <v>83526</v>
      </c>
      <c r="KT126">
        <v>83502</v>
      </c>
      <c r="KU126">
        <v>82636</v>
      </c>
      <c r="KV126">
        <v>642</v>
      </c>
      <c r="KX126" s="24"/>
      <c r="KY126">
        <v>641</v>
      </c>
      <c r="KZ126">
        <v>652</v>
      </c>
      <c r="LA126">
        <v>643</v>
      </c>
      <c r="LB126">
        <v>4992346</v>
      </c>
      <c r="LC126">
        <v>189</v>
      </c>
      <c r="LE126" s="24"/>
      <c r="LF126">
        <v>193000</v>
      </c>
      <c r="LG126">
        <v>193010</v>
      </c>
      <c r="LH126">
        <v>193001</v>
      </c>
      <c r="LI126">
        <v>93732</v>
      </c>
      <c r="LJ126">
        <v>879</v>
      </c>
      <c r="LL126" s="24"/>
      <c r="LM126">
        <v>75001</v>
      </c>
      <c r="LN126">
        <v>76999</v>
      </c>
      <c r="LO126">
        <v>75025</v>
      </c>
      <c r="LP126">
        <v>383458</v>
      </c>
      <c r="LQ126">
        <v>1241</v>
      </c>
      <c r="LS126" s="24"/>
      <c r="LT126">
        <v>324</v>
      </c>
      <c r="LU126">
        <v>330</v>
      </c>
      <c r="LV126">
        <v>328</v>
      </c>
      <c r="LW126">
        <v>78459835</v>
      </c>
      <c r="LX126">
        <v>327</v>
      </c>
      <c r="LZ126" s="24"/>
      <c r="MA126">
        <v>103493</v>
      </c>
      <c r="MB126">
        <v>104174</v>
      </c>
      <c r="MC126">
        <v>104166</v>
      </c>
      <c r="MD126">
        <v>690408</v>
      </c>
      <c r="ME126">
        <v>74</v>
      </c>
    </row>
    <row r="127" spans="2:343" x14ac:dyDescent="0.25">
      <c r="B127" s="24"/>
      <c r="C127">
        <v>3</v>
      </c>
      <c r="D127">
        <v>3</v>
      </c>
      <c r="E127">
        <v>3</v>
      </c>
      <c r="F127">
        <v>32722259996</v>
      </c>
      <c r="G127">
        <v>3142</v>
      </c>
      <c r="I127" s="24"/>
      <c r="J127">
        <v>4</v>
      </c>
      <c r="K127">
        <v>4</v>
      </c>
      <c r="L127">
        <v>4</v>
      </c>
      <c r="M127">
        <v>5859430575</v>
      </c>
      <c r="N127">
        <v>2083</v>
      </c>
      <c r="P127" s="24"/>
      <c r="Q127">
        <v>29</v>
      </c>
      <c r="R127">
        <v>29</v>
      </c>
      <c r="S127">
        <v>29</v>
      </c>
      <c r="T127">
        <v>1679040273</v>
      </c>
      <c r="U127">
        <v>1939</v>
      </c>
      <c r="W127" s="24"/>
      <c r="X127">
        <v>87</v>
      </c>
      <c r="Y127">
        <v>96</v>
      </c>
      <c r="Z127">
        <v>90</v>
      </c>
      <c r="AA127">
        <v>386736113</v>
      </c>
      <c r="AB127">
        <v>1508</v>
      </c>
      <c r="AD127" s="24"/>
      <c r="AE127">
        <v>544</v>
      </c>
      <c r="AF127">
        <v>557</v>
      </c>
      <c r="AG127">
        <v>556</v>
      </c>
      <c r="AH127">
        <v>68120364</v>
      </c>
      <c r="AI127">
        <v>1530</v>
      </c>
      <c r="AK127" s="24"/>
      <c r="AL127">
        <v>967</v>
      </c>
      <c r="AM127">
        <v>992</v>
      </c>
      <c r="AN127">
        <v>972</v>
      </c>
      <c r="AO127">
        <v>32221780</v>
      </c>
      <c r="AP127">
        <v>1191</v>
      </c>
      <c r="AR127" s="24"/>
      <c r="AS127">
        <v>2687</v>
      </c>
      <c r="AT127">
        <v>2737</v>
      </c>
      <c r="AU127">
        <v>2697</v>
      </c>
      <c r="AV127">
        <v>10390247</v>
      </c>
      <c r="AW127">
        <v>1164</v>
      </c>
      <c r="AY127" s="24"/>
      <c r="AZ127">
        <v>360600004</v>
      </c>
      <c r="BA127">
        <v>369000000</v>
      </c>
      <c r="BB127">
        <v>365989998</v>
      </c>
      <c r="BC127">
        <v>1913</v>
      </c>
      <c r="BD127">
        <v>1370</v>
      </c>
      <c r="BF127" s="24"/>
      <c r="BG127">
        <v>27015</v>
      </c>
      <c r="BH127">
        <v>27017</v>
      </c>
      <c r="BI127">
        <v>27017</v>
      </c>
      <c r="BJ127">
        <v>2507871</v>
      </c>
      <c r="BK127">
        <v>207</v>
      </c>
      <c r="BM127" s="24"/>
      <c r="BN127">
        <v>6200000</v>
      </c>
      <c r="BO127">
        <v>6200002</v>
      </c>
      <c r="BP127">
        <v>6200002</v>
      </c>
      <c r="BQ127">
        <v>9290</v>
      </c>
      <c r="BR127">
        <v>309</v>
      </c>
      <c r="BT127" s="24"/>
      <c r="BU127">
        <v>2139</v>
      </c>
      <c r="BV127">
        <v>2168</v>
      </c>
      <c r="BW127">
        <v>2168</v>
      </c>
      <c r="BX127">
        <v>20724382</v>
      </c>
      <c r="BY127">
        <v>198</v>
      </c>
      <c r="CA127" s="24"/>
      <c r="CB127">
        <v>359</v>
      </c>
      <c r="CC127">
        <v>368</v>
      </c>
      <c r="CD127">
        <v>359</v>
      </c>
      <c r="CE127">
        <v>56551044</v>
      </c>
      <c r="CF127">
        <v>255</v>
      </c>
      <c r="CH127" s="24"/>
      <c r="CI127">
        <v>26008</v>
      </c>
      <c r="CJ127">
        <v>26010</v>
      </c>
      <c r="CK127">
        <v>26010</v>
      </c>
      <c r="CL127">
        <v>1512951</v>
      </c>
      <c r="CM127">
        <v>181</v>
      </c>
      <c r="CO127" s="24"/>
      <c r="CP127">
        <v>8430</v>
      </c>
      <c r="CQ127">
        <v>8821</v>
      </c>
      <c r="CR127">
        <v>8799</v>
      </c>
      <c r="CS127">
        <v>1259870</v>
      </c>
      <c r="CT127">
        <v>351</v>
      </c>
      <c r="CV127" s="24"/>
      <c r="CW127">
        <v>1338444</v>
      </c>
      <c r="CX127">
        <v>1353697</v>
      </c>
      <c r="CY127">
        <v>1338450</v>
      </c>
      <c r="CZ127">
        <v>6953</v>
      </c>
      <c r="DA127">
        <v>32</v>
      </c>
      <c r="DC127" s="24"/>
      <c r="DD127">
        <v>379</v>
      </c>
      <c r="DE127">
        <v>396</v>
      </c>
      <c r="DF127">
        <v>390</v>
      </c>
      <c r="DG127">
        <v>48823682</v>
      </c>
      <c r="DH127">
        <v>212</v>
      </c>
      <c r="DJ127" s="24"/>
      <c r="DK127">
        <v>35415300</v>
      </c>
      <c r="DL127">
        <v>36000000</v>
      </c>
      <c r="DM127">
        <v>35415310</v>
      </c>
      <c r="DN127">
        <v>364</v>
      </c>
      <c r="DO127">
        <v>93</v>
      </c>
      <c r="DQ127" s="24"/>
      <c r="DR127">
        <v>1627101</v>
      </c>
      <c r="DS127">
        <v>1729999</v>
      </c>
      <c r="DT127">
        <v>1627121</v>
      </c>
      <c r="DU127">
        <v>6531</v>
      </c>
      <c r="DV127">
        <v>252</v>
      </c>
      <c r="DX127" s="24"/>
      <c r="DY127">
        <v>18320161</v>
      </c>
      <c r="DZ127">
        <v>20290005</v>
      </c>
      <c r="EA127">
        <v>18320321</v>
      </c>
      <c r="EB127">
        <v>304</v>
      </c>
      <c r="EC127">
        <v>84</v>
      </c>
      <c r="EE127" s="24"/>
      <c r="EF127">
        <v>165</v>
      </c>
      <c r="EG127">
        <v>167</v>
      </c>
      <c r="EH127">
        <v>165</v>
      </c>
      <c r="EI127">
        <v>140626189</v>
      </c>
      <c r="EJ127">
        <v>157</v>
      </c>
      <c r="EL127" s="24"/>
      <c r="EM127">
        <v>45105</v>
      </c>
      <c r="EN127">
        <v>48898</v>
      </c>
      <c r="EO127">
        <v>45111</v>
      </c>
      <c r="EP127">
        <v>101309</v>
      </c>
      <c r="EQ127">
        <v>677</v>
      </c>
      <c r="ES127" s="24"/>
      <c r="ET127">
        <v>407</v>
      </c>
      <c r="EU127">
        <v>428</v>
      </c>
      <c r="EV127">
        <v>427</v>
      </c>
      <c r="EW127">
        <v>33441418</v>
      </c>
      <c r="EX127">
        <v>591</v>
      </c>
      <c r="EZ127" s="24"/>
      <c r="FA127">
        <v>3590000</v>
      </c>
      <c r="FB127">
        <v>3650000</v>
      </c>
      <c r="FC127">
        <v>3609999</v>
      </c>
      <c r="FD127">
        <v>1132</v>
      </c>
      <c r="FE127">
        <v>25</v>
      </c>
      <c r="FG127" s="24"/>
      <c r="FH127">
        <v>7217</v>
      </c>
      <c r="FI127">
        <v>7492</v>
      </c>
      <c r="FJ127">
        <v>7399</v>
      </c>
      <c r="FK127">
        <v>1365754</v>
      </c>
      <c r="FL127">
        <v>472</v>
      </c>
      <c r="FN127" s="24"/>
      <c r="FO127">
        <v>24414</v>
      </c>
      <c r="FP127">
        <v>24426</v>
      </c>
      <c r="FQ127">
        <v>24425</v>
      </c>
      <c r="FR127">
        <v>202503</v>
      </c>
      <c r="FS127">
        <v>89</v>
      </c>
      <c r="FU127" s="24"/>
      <c r="FV127">
        <v>19850</v>
      </c>
      <c r="FW127">
        <v>20499</v>
      </c>
      <c r="FX127">
        <v>19850</v>
      </c>
      <c r="FY127">
        <v>315123</v>
      </c>
      <c r="FZ127">
        <v>1204</v>
      </c>
      <c r="GB127" s="24"/>
      <c r="GC127">
        <v>103501600</v>
      </c>
      <c r="GD127">
        <v>104003500</v>
      </c>
      <c r="GE127">
        <v>103532000</v>
      </c>
      <c r="GF127">
        <v>130</v>
      </c>
      <c r="GG127">
        <v>76</v>
      </c>
      <c r="GI127" s="24"/>
      <c r="GJ127">
        <v>27364005</v>
      </c>
      <c r="GK127">
        <v>28999999</v>
      </c>
      <c r="GL127">
        <v>27364069</v>
      </c>
      <c r="GM127">
        <v>292</v>
      </c>
      <c r="GN127">
        <v>67</v>
      </c>
      <c r="GP127" s="24"/>
      <c r="GQ127">
        <v>74</v>
      </c>
      <c r="GR127">
        <v>78</v>
      </c>
      <c r="GS127">
        <v>74</v>
      </c>
      <c r="GT127">
        <v>195659886</v>
      </c>
      <c r="GU127">
        <v>157</v>
      </c>
      <c r="GW127" s="24"/>
      <c r="GX127">
        <v>402</v>
      </c>
      <c r="GY127">
        <v>405</v>
      </c>
      <c r="GZ127">
        <v>402</v>
      </c>
      <c r="HA127">
        <v>52088985</v>
      </c>
      <c r="HB127">
        <v>211</v>
      </c>
      <c r="HD127" s="24"/>
      <c r="HE127">
        <v>5882</v>
      </c>
      <c r="HF127">
        <v>5928</v>
      </c>
      <c r="HG127">
        <v>5882</v>
      </c>
      <c r="HH127">
        <v>17280678</v>
      </c>
      <c r="HI127">
        <v>249</v>
      </c>
      <c r="HK127" s="24"/>
      <c r="HL127">
        <v>103503600</v>
      </c>
      <c r="HM127">
        <v>103513400</v>
      </c>
      <c r="HN127">
        <v>103513000</v>
      </c>
      <c r="HO127">
        <v>149</v>
      </c>
      <c r="HP127">
        <v>78</v>
      </c>
      <c r="HR127" s="24"/>
      <c r="HS127">
        <v>7585</v>
      </c>
      <c r="HT127">
        <v>7879</v>
      </c>
      <c r="HU127">
        <v>7789</v>
      </c>
      <c r="HV127">
        <v>940775</v>
      </c>
      <c r="HW127">
        <v>158</v>
      </c>
      <c r="HY127" s="24"/>
      <c r="HZ127">
        <v>7002</v>
      </c>
      <c r="IA127">
        <v>7147</v>
      </c>
      <c r="IB127">
        <v>7139</v>
      </c>
      <c r="IC127">
        <v>2008509</v>
      </c>
      <c r="ID127">
        <v>467</v>
      </c>
      <c r="IF127" s="24"/>
      <c r="IG127">
        <v>2813</v>
      </c>
      <c r="IH127">
        <v>2967</v>
      </c>
      <c r="II127">
        <v>2966</v>
      </c>
      <c r="IJ127">
        <v>1889143</v>
      </c>
      <c r="IK127">
        <v>140</v>
      </c>
      <c r="IM127" s="24"/>
      <c r="IN127">
        <v>102000200</v>
      </c>
      <c r="IO127">
        <v>106599000</v>
      </c>
      <c r="IP127">
        <v>103591942</v>
      </c>
      <c r="IQ127">
        <v>91</v>
      </c>
      <c r="IR127">
        <v>58</v>
      </c>
      <c r="IT127" s="24"/>
      <c r="IU127">
        <v>7696</v>
      </c>
      <c r="IV127">
        <v>7699</v>
      </c>
      <c r="IW127">
        <v>7698</v>
      </c>
      <c r="IX127">
        <v>1155208</v>
      </c>
      <c r="IY127">
        <v>133</v>
      </c>
      <c r="JA127" s="24"/>
      <c r="JB127">
        <v>99004200</v>
      </c>
      <c r="JC127">
        <v>104998800</v>
      </c>
      <c r="JD127">
        <v>99005400</v>
      </c>
      <c r="JE127">
        <v>105</v>
      </c>
      <c r="JF127">
        <v>64</v>
      </c>
      <c r="JH127" s="24"/>
      <c r="JI127">
        <v>101501000</v>
      </c>
      <c r="JJ127">
        <v>107028200</v>
      </c>
      <c r="JK127">
        <v>103977021</v>
      </c>
      <c r="JL127">
        <v>56</v>
      </c>
      <c r="JM127">
        <v>34</v>
      </c>
      <c r="JO127" s="24"/>
      <c r="JP127">
        <v>70</v>
      </c>
      <c r="JQ127">
        <v>73</v>
      </c>
      <c r="JR127">
        <v>72</v>
      </c>
      <c r="JS127">
        <v>113921448</v>
      </c>
      <c r="JT127">
        <v>97</v>
      </c>
      <c r="JV127" s="24"/>
      <c r="JW127">
        <v>71</v>
      </c>
      <c r="JX127">
        <v>72</v>
      </c>
      <c r="JY127">
        <v>72</v>
      </c>
      <c r="JZ127">
        <v>160610336</v>
      </c>
      <c r="KA127">
        <v>105</v>
      </c>
      <c r="KC127" s="24"/>
      <c r="KD127">
        <v>20</v>
      </c>
      <c r="KE127">
        <v>22</v>
      </c>
      <c r="KF127">
        <v>21</v>
      </c>
      <c r="KG127">
        <v>168314461</v>
      </c>
      <c r="KH127">
        <v>313</v>
      </c>
      <c r="KJ127" s="24"/>
      <c r="KK127">
        <v>70</v>
      </c>
      <c r="KL127">
        <v>73</v>
      </c>
      <c r="KM127">
        <v>70</v>
      </c>
      <c r="KN127">
        <v>145841829</v>
      </c>
      <c r="KO127">
        <v>126</v>
      </c>
      <c r="KQ127" s="24"/>
      <c r="KR127">
        <v>83525</v>
      </c>
      <c r="KS127">
        <v>84000</v>
      </c>
      <c r="KT127">
        <v>83526</v>
      </c>
      <c r="KU127">
        <v>76265</v>
      </c>
      <c r="KV127">
        <v>602</v>
      </c>
      <c r="KX127" s="24"/>
      <c r="KY127">
        <v>620</v>
      </c>
      <c r="KZ127">
        <v>643</v>
      </c>
      <c r="LA127">
        <v>643</v>
      </c>
      <c r="LB127">
        <v>10291104</v>
      </c>
      <c r="LC127">
        <v>208</v>
      </c>
      <c r="LE127" s="24"/>
      <c r="LF127">
        <v>191002</v>
      </c>
      <c r="LG127">
        <v>193000</v>
      </c>
      <c r="LH127">
        <v>192006</v>
      </c>
      <c r="LI127">
        <v>105773</v>
      </c>
      <c r="LJ127">
        <v>882</v>
      </c>
      <c r="LL127" s="24"/>
      <c r="LM127">
        <v>75025</v>
      </c>
      <c r="LN127">
        <v>75051</v>
      </c>
      <c r="LO127">
        <v>75025</v>
      </c>
      <c r="LP127">
        <v>357331</v>
      </c>
      <c r="LQ127">
        <v>1235</v>
      </c>
      <c r="LS127" s="24"/>
      <c r="LT127">
        <v>332</v>
      </c>
      <c r="LU127">
        <v>337</v>
      </c>
      <c r="LV127">
        <v>335</v>
      </c>
      <c r="LW127">
        <v>53700095</v>
      </c>
      <c r="LX127">
        <v>301</v>
      </c>
      <c r="LZ127" s="24"/>
      <c r="MA127">
        <v>98503</v>
      </c>
      <c r="MB127">
        <v>104108</v>
      </c>
      <c r="MC127">
        <v>101999</v>
      </c>
      <c r="MD127">
        <v>628399</v>
      </c>
      <c r="ME127">
        <v>104</v>
      </c>
    </row>
    <row r="128" spans="2:343" x14ac:dyDescent="0.25">
      <c r="B128" s="24"/>
      <c r="C128">
        <v>3</v>
      </c>
      <c r="D128">
        <v>3</v>
      </c>
      <c r="E128">
        <v>3</v>
      </c>
      <c r="F128">
        <v>11631427394</v>
      </c>
      <c r="G128">
        <v>1501</v>
      </c>
      <c r="I128" s="24"/>
      <c r="J128">
        <v>4</v>
      </c>
      <c r="K128">
        <v>4</v>
      </c>
      <c r="L128">
        <v>4</v>
      </c>
      <c r="M128">
        <v>2382456826</v>
      </c>
      <c r="N128">
        <v>1101</v>
      </c>
      <c r="P128" s="24"/>
      <c r="Q128">
        <v>29</v>
      </c>
      <c r="R128">
        <v>29</v>
      </c>
      <c r="S128">
        <v>29</v>
      </c>
      <c r="T128">
        <v>852438380</v>
      </c>
      <c r="U128">
        <v>1024</v>
      </c>
      <c r="W128" s="24"/>
      <c r="X128">
        <v>88</v>
      </c>
      <c r="Y128">
        <v>92</v>
      </c>
      <c r="Z128">
        <v>90</v>
      </c>
      <c r="AA128">
        <v>188742705</v>
      </c>
      <c r="AB128">
        <v>837</v>
      </c>
      <c r="AD128" s="24"/>
      <c r="AE128">
        <v>546</v>
      </c>
      <c r="AF128">
        <v>557</v>
      </c>
      <c r="AG128">
        <v>546</v>
      </c>
      <c r="AH128">
        <v>44847737</v>
      </c>
      <c r="AI128">
        <v>825</v>
      </c>
      <c r="AK128" s="24"/>
      <c r="AL128">
        <v>966</v>
      </c>
      <c r="AM128">
        <v>991</v>
      </c>
      <c r="AN128">
        <v>983</v>
      </c>
      <c r="AO128">
        <v>14224285</v>
      </c>
      <c r="AP128">
        <v>672</v>
      </c>
      <c r="AR128" s="24"/>
      <c r="AS128">
        <v>2636</v>
      </c>
      <c r="AT128">
        <v>2684</v>
      </c>
      <c r="AU128">
        <v>2683</v>
      </c>
      <c r="AV128">
        <v>5901708</v>
      </c>
      <c r="AW128">
        <v>631</v>
      </c>
      <c r="AY128" s="24"/>
      <c r="AZ128">
        <v>358501000</v>
      </c>
      <c r="BA128">
        <v>367999999</v>
      </c>
      <c r="BB128">
        <v>365498998</v>
      </c>
      <c r="BC128">
        <v>1247</v>
      </c>
      <c r="BD128">
        <v>843</v>
      </c>
      <c r="BF128" s="24"/>
      <c r="BG128">
        <v>27026</v>
      </c>
      <c r="BH128">
        <v>27026</v>
      </c>
      <c r="BI128">
        <v>27026</v>
      </c>
      <c r="BJ128">
        <v>633071</v>
      </c>
      <c r="BK128">
        <v>88</v>
      </c>
      <c r="BM128" s="24"/>
      <c r="BN128">
        <v>5607500</v>
      </c>
      <c r="BO128">
        <v>6200002</v>
      </c>
      <c r="BP128">
        <v>6162001</v>
      </c>
      <c r="BQ128">
        <v>4483</v>
      </c>
      <c r="BR128">
        <v>120</v>
      </c>
      <c r="BT128" s="24"/>
      <c r="BU128">
        <v>2120</v>
      </c>
      <c r="BV128">
        <v>2139</v>
      </c>
      <c r="BW128">
        <v>2125</v>
      </c>
      <c r="BX128">
        <v>20880363</v>
      </c>
      <c r="BY128">
        <v>157</v>
      </c>
      <c r="CA128" s="24"/>
      <c r="CB128">
        <v>368</v>
      </c>
      <c r="CC128">
        <v>369</v>
      </c>
      <c r="CD128">
        <v>368</v>
      </c>
      <c r="CE128">
        <v>34203763</v>
      </c>
      <c r="CF128">
        <v>138</v>
      </c>
      <c r="CH128" s="24"/>
      <c r="CI128">
        <v>26009</v>
      </c>
      <c r="CJ128">
        <v>26009</v>
      </c>
      <c r="CK128">
        <v>26009</v>
      </c>
      <c r="CL128">
        <v>242087</v>
      </c>
      <c r="CM128">
        <v>80</v>
      </c>
      <c r="CO128" s="24"/>
      <c r="CP128">
        <v>8383</v>
      </c>
      <c r="CQ128">
        <v>8691</v>
      </c>
      <c r="CR128">
        <v>8447</v>
      </c>
      <c r="CS128">
        <v>582829</v>
      </c>
      <c r="CT128">
        <v>166</v>
      </c>
      <c r="CV128" s="24"/>
      <c r="CW128">
        <v>1354698</v>
      </c>
      <c r="CX128">
        <v>1354698</v>
      </c>
      <c r="CY128">
        <v>1354698</v>
      </c>
      <c r="CZ128">
        <v>4591</v>
      </c>
      <c r="DA128">
        <v>23</v>
      </c>
      <c r="DC128" s="24"/>
      <c r="DD128">
        <v>378</v>
      </c>
      <c r="DE128">
        <v>396</v>
      </c>
      <c r="DF128">
        <v>396</v>
      </c>
      <c r="DG128">
        <v>30226222</v>
      </c>
      <c r="DH128">
        <v>117</v>
      </c>
      <c r="DJ128" s="24"/>
      <c r="DK128">
        <v>35418000</v>
      </c>
      <c r="DL128">
        <v>35418001</v>
      </c>
      <c r="DM128">
        <v>35418001</v>
      </c>
      <c r="DN128">
        <v>345</v>
      </c>
      <c r="DO128">
        <v>41</v>
      </c>
      <c r="DQ128" s="24"/>
      <c r="DR128">
        <v>1749995</v>
      </c>
      <c r="DS128">
        <v>1749995</v>
      </c>
      <c r="DT128">
        <v>1749995</v>
      </c>
      <c r="DU128">
        <v>1963</v>
      </c>
      <c r="DV128">
        <v>118</v>
      </c>
      <c r="DX128" s="24"/>
      <c r="DY128">
        <v>17900000</v>
      </c>
      <c r="DZ128">
        <v>20000000</v>
      </c>
      <c r="EA128">
        <v>18680144</v>
      </c>
      <c r="EB128">
        <v>64</v>
      </c>
      <c r="EC128">
        <v>27</v>
      </c>
      <c r="EE128" s="24"/>
      <c r="EF128">
        <v>167</v>
      </c>
      <c r="EG128">
        <v>167</v>
      </c>
      <c r="EH128">
        <v>167</v>
      </c>
      <c r="EI128">
        <v>47626669</v>
      </c>
      <c r="EJ128">
        <v>96</v>
      </c>
      <c r="EL128" s="24"/>
      <c r="EM128">
        <v>44015</v>
      </c>
      <c r="EN128">
        <v>45000</v>
      </c>
      <c r="EO128">
        <v>45000</v>
      </c>
      <c r="EP128">
        <v>39716</v>
      </c>
      <c r="EQ128">
        <v>308</v>
      </c>
      <c r="ES128" s="24"/>
      <c r="ET128">
        <v>400</v>
      </c>
      <c r="EU128">
        <v>428</v>
      </c>
      <c r="EV128">
        <v>406</v>
      </c>
      <c r="EW128">
        <v>28288080</v>
      </c>
      <c r="EX128">
        <v>330</v>
      </c>
      <c r="EZ128" s="24"/>
      <c r="FA128">
        <v>3494051</v>
      </c>
      <c r="FB128">
        <v>3494051</v>
      </c>
      <c r="FC128">
        <v>3494051</v>
      </c>
      <c r="FD128">
        <v>455</v>
      </c>
      <c r="FE128">
        <v>11</v>
      </c>
      <c r="FG128" s="24"/>
      <c r="FH128">
        <v>7216</v>
      </c>
      <c r="FI128">
        <v>7492</v>
      </c>
      <c r="FJ128">
        <v>7400</v>
      </c>
      <c r="FK128">
        <v>966439</v>
      </c>
      <c r="FL128">
        <v>230</v>
      </c>
      <c r="FN128" s="24"/>
      <c r="FO128">
        <v>22431</v>
      </c>
      <c r="FP128">
        <v>24423</v>
      </c>
      <c r="FQ128">
        <v>24423</v>
      </c>
      <c r="FR128">
        <v>183945</v>
      </c>
      <c r="FS128">
        <v>62</v>
      </c>
      <c r="FU128" s="24"/>
      <c r="FV128">
        <v>19861</v>
      </c>
      <c r="FW128">
        <v>20835</v>
      </c>
      <c r="FX128">
        <v>19982</v>
      </c>
      <c r="FY128">
        <v>184837</v>
      </c>
      <c r="FZ128">
        <v>582</v>
      </c>
      <c r="GB128" s="24"/>
      <c r="GC128">
        <v>91101028</v>
      </c>
      <c r="GD128">
        <v>103997187</v>
      </c>
      <c r="GE128">
        <v>102261019</v>
      </c>
      <c r="GF128">
        <v>24</v>
      </c>
      <c r="GG128">
        <v>24</v>
      </c>
      <c r="GI128" s="24"/>
      <c r="GJ128">
        <v>28000031</v>
      </c>
      <c r="GK128">
        <v>29999999</v>
      </c>
      <c r="GL128">
        <v>29999999</v>
      </c>
      <c r="GM128">
        <v>221</v>
      </c>
      <c r="GN128">
        <v>35</v>
      </c>
      <c r="GP128" s="24"/>
      <c r="GQ128">
        <v>75</v>
      </c>
      <c r="GR128">
        <v>78</v>
      </c>
      <c r="GS128">
        <v>78</v>
      </c>
      <c r="GT128">
        <v>66618230</v>
      </c>
      <c r="GU128">
        <v>93</v>
      </c>
      <c r="GW128" s="24"/>
      <c r="GX128">
        <v>403</v>
      </c>
      <c r="GY128">
        <v>445</v>
      </c>
      <c r="GZ128">
        <v>434</v>
      </c>
      <c r="HA128">
        <v>30464249</v>
      </c>
      <c r="HB128">
        <v>140</v>
      </c>
      <c r="HD128" s="24"/>
      <c r="HE128">
        <v>5928</v>
      </c>
      <c r="HF128">
        <v>5929</v>
      </c>
      <c r="HG128">
        <v>5929</v>
      </c>
      <c r="HH128">
        <v>9492336</v>
      </c>
      <c r="HI128">
        <v>172</v>
      </c>
      <c r="HK128" s="24"/>
      <c r="HL128">
        <v>97048743</v>
      </c>
      <c r="HM128">
        <v>103502689</v>
      </c>
      <c r="HN128">
        <v>102887620</v>
      </c>
      <c r="HO128">
        <v>21</v>
      </c>
      <c r="HP128">
        <v>19</v>
      </c>
      <c r="HR128" s="24"/>
      <c r="HS128">
        <v>7585</v>
      </c>
      <c r="HT128">
        <v>7878</v>
      </c>
      <c r="HU128">
        <v>7878</v>
      </c>
      <c r="HV128">
        <v>575749</v>
      </c>
      <c r="HW128">
        <v>78</v>
      </c>
      <c r="HY128" s="24"/>
      <c r="HZ128">
        <v>6700</v>
      </c>
      <c r="IA128">
        <v>7199</v>
      </c>
      <c r="IB128">
        <v>7099</v>
      </c>
      <c r="IC128">
        <v>808548</v>
      </c>
      <c r="ID128">
        <v>225</v>
      </c>
      <c r="IF128" s="24"/>
      <c r="IG128">
        <v>2802</v>
      </c>
      <c r="IH128">
        <v>2964</v>
      </c>
      <c r="II128">
        <v>2809</v>
      </c>
      <c r="IJ128">
        <v>1177865</v>
      </c>
      <c r="IK128">
        <v>89</v>
      </c>
      <c r="IM128" s="24"/>
      <c r="IN128">
        <v>102000504</v>
      </c>
      <c r="IO128">
        <v>105499998</v>
      </c>
      <c r="IP128">
        <v>104312663</v>
      </c>
      <c r="IQ128">
        <v>24</v>
      </c>
      <c r="IR128">
        <v>22</v>
      </c>
      <c r="IT128" s="24"/>
      <c r="IU128">
        <v>7435</v>
      </c>
      <c r="IV128">
        <v>7696</v>
      </c>
      <c r="IW128">
        <v>7696</v>
      </c>
      <c r="IX128">
        <v>878134</v>
      </c>
      <c r="IY128">
        <v>109</v>
      </c>
      <c r="JA128" s="24"/>
      <c r="JB128">
        <v>100000001</v>
      </c>
      <c r="JC128">
        <v>105999995</v>
      </c>
      <c r="JD128">
        <v>105358028</v>
      </c>
      <c r="JE128">
        <v>24</v>
      </c>
      <c r="JF128">
        <v>24</v>
      </c>
      <c r="JH128" s="24"/>
      <c r="JI128">
        <v>101500004</v>
      </c>
      <c r="JJ128">
        <v>105397600</v>
      </c>
      <c r="JK128">
        <v>104329120</v>
      </c>
      <c r="JL128">
        <v>20</v>
      </c>
      <c r="JM128">
        <v>19</v>
      </c>
      <c r="JO128" s="24"/>
      <c r="JP128">
        <v>71</v>
      </c>
      <c r="JQ128">
        <v>71</v>
      </c>
      <c r="JR128">
        <v>71</v>
      </c>
      <c r="JS128">
        <v>38096526</v>
      </c>
      <c r="JT128">
        <v>59</v>
      </c>
      <c r="JV128" s="24"/>
      <c r="JW128">
        <v>68</v>
      </c>
      <c r="JX128">
        <v>71</v>
      </c>
      <c r="JY128">
        <v>68</v>
      </c>
      <c r="JZ128">
        <v>54443500</v>
      </c>
      <c r="KA128">
        <v>64</v>
      </c>
      <c r="KC128" s="24"/>
      <c r="KD128">
        <v>15</v>
      </c>
      <c r="KE128">
        <v>23</v>
      </c>
      <c r="KF128">
        <v>22</v>
      </c>
      <c r="KG128">
        <v>20820595</v>
      </c>
      <c r="KH128">
        <v>143</v>
      </c>
      <c r="KJ128" s="24"/>
      <c r="KK128">
        <v>72</v>
      </c>
      <c r="KL128">
        <v>72</v>
      </c>
      <c r="KM128">
        <v>72</v>
      </c>
      <c r="KN128">
        <v>93098847</v>
      </c>
      <c r="KO128">
        <v>88</v>
      </c>
      <c r="KQ128" s="24"/>
      <c r="KR128">
        <v>84000</v>
      </c>
      <c r="KS128">
        <v>86799</v>
      </c>
      <c r="KT128">
        <v>84011</v>
      </c>
      <c r="KU128">
        <v>29022</v>
      </c>
      <c r="KV128">
        <v>292</v>
      </c>
      <c r="KX128" s="24"/>
      <c r="KY128">
        <v>600</v>
      </c>
      <c r="KZ128">
        <v>637</v>
      </c>
      <c r="LA128">
        <v>630</v>
      </c>
      <c r="LB128">
        <v>5135842</v>
      </c>
      <c r="LC128">
        <v>123</v>
      </c>
      <c r="LE128" s="24"/>
      <c r="LF128">
        <v>191105</v>
      </c>
      <c r="LG128">
        <v>195100</v>
      </c>
      <c r="LH128">
        <v>191108</v>
      </c>
      <c r="LI128">
        <v>81354</v>
      </c>
      <c r="LJ128">
        <v>444</v>
      </c>
      <c r="LL128" s="24"/>
      <c r="LM128">
        <v>75100</v>
      </c>
      <c r="LN128">
        <v>78687</v>
      </c>
      <c r="LO128">
        <v>75102</v>
      </c>
      <c r="LP128">
        <v>161908</v>
      </c>
      <c r="LQ128">
        <v>609</v>
      </c>
      <c r="LS128" s="24"/>
      <c r="LT128">
        <v>329</v>
      </c>
      <c r="LU128">
        <v>333</v>
      </c>
      <c r="LV128">
        <v>333</v>
      </c>
      <c r="LW128">
        <v>44825738</v>
      </c>
      <c r="LX128">
        <v>171</v>
      </c>
      <c r="LZ128" s="24"/>
      <c r="MA128">
        <v>103000</v>
      </c>
      <c r="MB128">
        <v>104048</v>
      </c>
      <c r="MC128">
        <v>104047</v>
      </c>
      <c r="MD128">
        <v>255170</v>
      </c>
      <c r="ME128">
        <v>37</v>
      </c>
    </row>
    <row r="129" spans="2:343" x14ac:dyDescent="0.25">
      <c r="B129" s="24"/>
      <c r="C129">
        <v>3</v>
      </c>
      <c r="D129">
        <v>3</v>
      </c>
      <c r="E129">
        <v>3</v>
      </c>
      <c r="F129">
        <v>39146834758</v>
      </c>
      <c r="G129">
        <v>2742</v>
      </c>
      <c r="I129" s="24"/>
      <c r="J129">
        <v>4</v>
      </c>
      <c r="K129">
        <v>4</v>
      </c>
      <c r="L129">
        <v>4</v>
      </c>
      <c r="M129">
        <v>7505955055</v>
      </c>
      <c r="N129">
        <v>1867</v>
      </c>
      <c r="P129" s="24"/>
      <c r="Q129">
        <v>29</v>
      </c>
      <c r="R129">
        <v>30</v>
      </c>
      <c r="S129">
        <v>29</v>
      </c>
      <c r="T129">
        <v>2557639357</v>
      </c>
      <c r="U129">
        <v>1750</v>
      </c>
      <c r="W129" s="24"/>
      <c r="X129">
        <v>88</v>
      </c>
      <c r="Y129">
        <v>91</v>
      </c>
      <c r="Z129">
        <v>90</v>
      </c>
      <c r="AA129">
        <v>400372074</v>
      </c>
      <c r="AB129">
        <v>1437</v>
      </c>
      <c r="AD129" s="24"/>
      <c r="AE129">
        <v>546</v>
      </c>
      <c r="AF129">
        <v>557</v>
      </c>
      <c r="AG129">
        <v>554</v>
      </c>
      <c r="AH129">
        <v>132838554</v>
      </c>
      <c r="AI129">
        <v>1419</v>
      </c>
      <c r="AK129" s="24"/>
      <c r="AL129">
        <v>966</v>
      </c>
      <c r="AM129">
        <v>992</v>
      </c>
      <c r="AN129">
        <v>991</v>
      </c>
      <c r="AO129">
        <v>29268437</v>
      </c>
      <c r="AP129">
        <v>1192</v>
      </c>
      <c r="AR129" s="24"/>
      <c r="AS129">
        <v>2650</v>
      </c>
      <c r="AT129">
        <v>2722</v>
      </c>
      <c r="AU129">
        <v>2715</v>
      </c>
      <c r="AV129">
        <v>15002501</v>
      </c>
      <c r="AW129">
        <v>1151</v>
      </c>
      <c r="AY129" s="24"/>
      <c r="AZ129">
        <v>357202089</v>
      </c>
      <c r="BA129">
        <v>364184991</v>
      </c>
      <c r="BB129">
        <v>359999979</v>
      </c>
      <c r="BC129">
        <v>2344</v>
      </c>
      <c r="BD129">
        <v>1588</v>
      </c>
      <c r="BF129" s="24"/>
      <c r="BG129">
        <v>27029</v>
      </c>
      <c r="BH129">
        <v>27030</v>
      </c>
      <c r="BI129">
        <v>27029</v>
      </c>
      <c r="BJ129">
        <v>1699986</v>
      </c>
      <c r="BK129">
        <v>200</v>
      </c>
      <c r="BM129" s="24"/>
      <c r="BN129">
        <v>5900000</v>
      </c>
      <c r="BO129">
        <v>6148476</v>
      </c>
      <c r="BP129">
        <v>6000000</v>
      </c>
      <c r="BQ129">
        <v>7581</v>
      </c>
      <c r="BR129">
        <v>277</v>
      </c>
      <c r="BT129" s="24"/>
      <c r="BU129">
        <v>2086</v>
      </c>
      <c r="BV129">
        <v>2165</v>
      </c>
      <c r="BW129">
        <v>2140</v>
      </c>
      <c r="BX129">
        <v>21666905</v>
      </c>
      <c r="BY129">
        <v>264</v>
      </c>
      <c r="CA129" s="24"/>
      <c r="CB129">
        <v>373</v>
      </c>
      <c r="CC129">
        <v>426</v>
      </c>
      <c r="CD129">
        <v>424</v>
      </c>
      <c r="CE129">
        <v>48753994</v>
      </c>
      <c r="CF129">
        <v>226</v>
      </c>
      <c r="CH129" s="24"/>
      <c r="CI129">
        <v>26010</v>
      </c>
      <c r="CJ129">
        <v>26013</v>
      </c>
      <c r="CK129">
        <v>26011</v>
      </c>
      <c r="CL129">
        <v>1084673</v>
      </c>
      <c r="CM129">
        <v>155</v>
      </c>
      <c r="CO129" s="24"/>
      <c r="CP129">
        <v>8689</v>
      </c>
      <c r="CQ129">
        <v>8691</v>
      </c>
      <c r="CR129">
        <v>8691</v>
      </c>
      <c r="CS129">
        <v>970516</v>
      </c>
      <c r="CT129">
        <v>387</v>
      </c>
      <c r="CV129" s="24"/>
      <c r="CW129">
        <v>1285035</v>
      </c>
      <c r="CX129">
        <v>1354665</v>
      </c>
      <c r="CY129">
        <v>1300000</v>
      </c>
      <c r="CZ129">
        <v>9214</v>
      </c>
      <c r="DA129">
        <v>43</v>
      </c>
      <c r="DC129" s="24"/>
      <c r="DD129">
        <v>404</v>
      </c>
      <c r="DE129">
        <v>427</v>
      </c>
      <c r="DF129">
        <v>412</v>
      </c>
      <c r="DG129">
        <v>28605862</v>
      </c>
      <c r="DH129">
        <v>151</v>
      </c>
      <c r="DJ129" s="24"/>
      <c r="DK129">
        <v>35420000</v>
      </c>
      <c r="DL129">
        <v>35423001</v>
      </c>
      <c r="DM129">
        <v>35422343</v>
      </c>
      <c r="DN129">
        <v>211</v>
      </c>
      <c r="DO129">
        <v>73</v>
      </c>
      <c r="DQ129" s="24"/>
      <c r="DR129">
        <v>1627199</v>
      </c>
      <c r="DS129">
        <v>1743208</v>
      </c>
      <c r="DT129">
        <v>1632003</v>
      </c>
      <c r="DU129">
        <v>3056</v>
      </c>
      <c r="DV129">
        <v>183</v>
      </c>
      <c r="DX129" s="24"/>
      <c r="DY129">
        <v>19000000</v>
      </c>
      <c r="DZ129">
        <v>19500000</v>
      </c>
      <c r="EA129">
        <v>19100000</v>
      </c>
      <c r="EB129">
        <v>342</v>
      </c>
      <c r="EC129">
        <v>107</v>
      </c>
      <c r="EE129" s="24"/>
      <c r="EF129">
        <v>166</v>
      </c>
      <c r="EG129">
        <v>167</v>
      </c>
      <c r="EH129">
        <v>166</v>
      </c>
      <c r="EI129">
        <v>87210465</v>
      </c>
      <c r="EJ129">
        <v>165</v>
      </c>
      <c r="EL129" s="24"/>
      <c r="EM129">
        <v>45000</v>
      </c>
      <c r="EN129">
        <v>46999</v>
      </c>
      <c r="EO129">
        <v>45007</v>
      </c>
      <c r="EP129">
        <v>72478</v>
      </c>
      <c r="EQ129">
        <v>564</v>
      </c>
      <c r="ES129" s="24"/>
      <c r="ET129">
        <v>419</v>
      </c>
      <c r="EU129">
        <v>428</v>
      </c>
      <c r="EV129">
        <v>428</v>
      </c>
      <c r="EW129">
        <v>42386416</v>
      </c>
      <c r="EX129">
        <v>569</v>
      </c>
      <c r="EZ129" s="24"/>
      <c r="FA129">
        <v>3185035</v>
      </c>
      <c r="FB129">
        <v>3499998</v>
      </c>
      <c r="FC129">
        <v>3185035</v>
      </c>
      <c r="FD129">
        <v>1505</v>
      </c>
      <c r="FE129">
        <v>31</v>
      </c>
      <c r="FG129" s="24"/>
      <c r="FH129">
        <v>7123</v>
      </c>
      <c r="FI129">
        <v>7449</v>
      </c>
      <c r="FJ129">
        <v>7398</v>
      </c>
      <c r="FK129">
        <v>2057191</v>
      </c>
      <c r="FL129">
        <v>450</v>
      </c>
      <c r="FN129" s="24"/>
      <c r="FO129">
        <v>23306</v>
      </c>
      <c r="FP129">
        <v>24423</v>
      </c>
      <c r="FQ129">
        <v>24422</v>
      </c>
      <c r="FR129">
        <v>164676</v>
      </c>
      <c r="FS129">
        <v>73</v>
      </c>
      <c r="FU129" s="24"/>
      <c r="FV129">
        <v>20000</v>
      </c>
      <c r="FW129">
        <v>20025</v>
      </c>
      <c r="FX129">
        <v>20001</v>
      </c>
      <c r="FY129">
        <v>308241</v>
      </c>
      <c r="FZ129">
        <v>1067</v>
      </c>
      <c r="GB129" s="24"/>
      <c r="GC129">
        <v>101005403</v>
      </c>
      <c r="GD129">
        <v>104000200</v>
      </c>
      <c r="GE129">
        <v>102100700</v>
      </c>
      <c r="GF129">
        <v>104</v>
      </c>
      <c r="GG129">
        <v>66</v>
      </c>
      <c r="GI129" s="24"/>
      <c r="GJ129">
        <v>28000066</v>
      </c>
      <c r="GK129">
        <v>28002002</v>
      </c>
      <c r="GL129">
        <v>28001009</v>
      </c>
      <c r="GM129">
        <v>239</v>
      </c>
      <c r="GN129">
        <v>51</v>
      </c>
      <c r="GP129" s="24"/>
      <c r="GQ129">
        <v>76</v>
      </c>
      <c r="GR129">
        <v>78</v>
      </c>
      <c r="GS129">
        <v>76</v>
      </c>
      <c r="GT129">
        <v>88238079</v>
      </c>
      <c r="GU129">
        <v>123</v>
      </c>
      <c r="GW129" s="24"/>
      <c r="GX129">
        <v>409</v>
      </c>
      <c r="GY129">
        <v>434</v>
      </c>
      <c r="GZ129">
        <v>413</v>
      </c>
      <c r="HA129">
        <v>62133242</v>
      </c>
      <c r="HB129">
        <v>207</v>
      </c>
      <c r="HD129" s="24"/>
      <c r="HE129">
        <v>5856</v>
      </c>
      <c r="HF129">
        <v>5967</v>
      </c>
      <c r="HG129">
        <v>5944</v>
      </c>
      <c r="HH129">
        <v>15345981</v>
      </c>
      <c r="HI129">
        <v>219</v>
      </c>
      <c r="HK129" s="24"/>
      <c r="HL129">
        <v>98101501</v>
      </c>
      <c r="HM129">
        <v>103499890</v>
      </c>
      <c r="HN129">
        <v>101360028</v>
      </c>
      <c r="HO129">
        <v>63</v>
      </c>
      <c r="HP129">
        <v>46</v>
      </c>
      <c r="HR129" s="24"/>
      <c r="HS129">
        <v>7584</v>
      </c>
      <c r="HT129">
        <v>7899</v>
      </c>
      <c r="HU129">
        <v>7799</v>
      </c>
      <c r="HV129">
        <v>1098968</v>
      </c>
      <c r="HW129">
        <v>177</v>
      </c>
      <c r="HY129" s="24"/>
      <c r="HZ129">
        <v>7000</v>
      </c>
      <c r="IA129">
        <v>7377</v>
      </c>
      <c r="IB129">
        <v>7296</v>
      </c>
      <c r="IC129">
        <v>1550148</v>
      </c>
      <c r="ID129">
        <v>472</v>
      </c>
      <c r="IF129" s="24"/>
      <c r="IG129">
        <v>2963</v>
      </c>
      <c r="IH129">
        <v>2963</v>
      </c>
      <c r="II129">
        <v>2963</v>
      </c>
      <c r="IJ129">
        <v>980918</v>
      </c>
      <c r="IK129">
        <v>107</v>
      </c>
      <c r="IM129" s="24"/>
      <c r="IN129">
        <v>99000003</v>
      </c>
      <c r="IO129">
        <v>105493200</v>
      </c>
      <c r="IP129">
        <v>102004347</v>
      </c>
      <c r="IQ129">
        <v>85</v>
      </c>
      <c r="IR129">
        <v>66</v>
      </c>
      <c r="IT129" s="24"/>
      <c r="IU129">
        <v>7698</v>
      </c>
      <c r="IV129">
        <v>7699</v>
      </c>
      <c r="IW129">
        <v>7698</v>
      </c>
      <c r="IX129">
        <v>637597</v>
      </c>
      <c r="IY129">
        <v>102</v>
      </c>
      <c r="JA129" s="24"/>
      <c r="JB129">
        <v>100001003</v>
      </c>
      <c r="JC129">
        <v>108591799</v>
      </c>
      <c r="JD129">
        <v>102749346</v>
      </c>
      <c r="JE129">
        <v>87</v>
      </c>
      <c r="JF129">
        <v>56</v>
      </c>
      <c r="JH129" s="24"/>
      <c r="JI129">
        <v>101500006</v>
      </c>
      <c r="JJ129">
        <v>105394200</v>
      </c>
      <c r="JK129">
        <v>104395236</v>
      </c>
      <c r="JL129">
        <v>40</v>
      </c>
      <c r="JM129">
        <v>31</v>
      </c>
      <c r="JO129" s="24"/>
      <c r="JP129">
        <v>70</v>
      </c>
      <c r="JQ129">
        <v>71</v>
      </c>
      <c r="JR129">
        <v>71</v>
      </c>
      <c r="JS129">
        <v>81866261</v>
      </c>
      <c r="JT129">
        <v>78</v>
      </c>
      <c r="JV129" s="24"/>
      <c r="JW129">
        <v>66</v>
      </c>
      <c r="JX129">
        <v>67</v>
      </c>
      <c r="JY129">
        <v>66</v>
      </c>
      <c r="JZ129">
        <v>112031676</v>
      </c>
      <c r="KA129">
        <v>103</v>
      </c>
      <c r="KC129" s="24"/>
      <c r="KD129">
        <v>22</v>
      </c>
      <c r="KE129">
        <v>22</v>
      </c>
      <c r="KF129">
        <v>22</v>
      </c>
      <c r="KG129">
        <v>46137147</v>
      </c>
      <c r="KH129">
        <v>266</v>
      </c>
      <c r="KJ129" s="24"/>
      <c r="KK129">
        <v>72</v>
      </c>
      <c r="KL129">
        <v>72</v>
      </c>
      <c r="KM129">
        <v>72</v>
      </c>
      <c r="KN129">
        <v>167380768</v>
      </c>
      <c r="KO129">
        <v>135</v>
      </c>
      <c r="KQ129" s="24"/>
      <c r="KR129">
        <v>84000</v>
      </c>
      <c r="KS129">
        <v>84001</v>
      </c>
      <c r="KT129">
        <v>84000</v>
      </c>
      <c r="KU129">
        <v>45971</v>
      </c>
      <c r="KV129">
        <v>518</v>
      </c>
      <c r="KX129" s="24"/>
      <c r="KY129">
        <v>611</v>
      </c>
      <c r="KZ129">
        <v>631</v>
      </c>
      <c r="LA129">
        <v>631</v>
      </c>
      <c r="LB129">
        <v>6814339</v>
      </c>
      <c r="LC129">
        <v>192</v>
      </c>
      <c r="LE129" s="24"/>
      <c r="LF129">
        <v>192007</v>
      </c>
      <c r="LG129">
        <v>192019</v>
      </c>
      <c r="LH129">
        <v>192016</v>
      </c>
      <c r="LI129">
        <v>78677</v>
      </c>
      <c r="LJ129">
        <v>748</v>
      </c>
      <c r="LL129" s="24"/>
      <c r="LM129">
        <v>76007</v>
      </c>
      <c r="LN129">
        <v>76030</v>
      </c>
      <c r="LO129">
        <v>76025</v>
      </c>
      <c r="LP129">
        <v>287917</v>
      </c>
      <c r="LQ129">
        <v>1054</v>
      </c>
      <c r="LS129" s="24"/>
      <c r="LT129">
        <v>333</v>
      </c>
      <c r="LU129">
        <v>355</v>
      </c>
      <c r="LV129">
        <v>334</v>
      </c>
      <c r="LW129">
        <v>81501412</v>
      </c>
      <c r="LX129">
        <v>368</v>
      </c>
      <c r="LZ129" s="24"/>
      <c r="MA129">
        <v>102026</v>
      </c>
      <c r="MB129">
        <v>104139</v>
      </c>
      <c r="MC129">
        <v>104048</v>
      </c>
      <c r="MD129">
        <v>1087560</v>
      </c>
      <c r="ME129">
        <v>87</v>
      </c>
    </row>
    <row r="130" spans="2:343" x14ac:dyDescent="0.25">
      <c r="B130" s="24"/>
      <c r="C130">
        <v>3</v>
      </c>
      <c r="D130">
        <v>3</v>
      </c>
      <c r="E130">
        <v>3</v>
      </c>
      <c r="F130">
        <v>26274375892</v>
      </c>
      <c r="G130">
        <v>2901</v>
      </c>
      <c r="I130" s="24"/>
      <c r="J130">
        <v>5</v>
      </c>
      <c r="K130">
        <v>5</v>
      </c>
      <c r="L130">
        <v>5</v>
      </c>
      <c r="M130">
        <v>7117084682</v>
      </c>
      <c r="N130">
        <v>2042</v>
      </c>
      <c r="P130" s="24"/>
      <c r="Q130">
        <v>29</v>
      </c>
      <c r="R130">
        <v>30</v>
      </c>
      <c r="S130">
        <v>29</v>
      </c>
      <c r="T130">
        <v>1804649777</v>
      </c>
      <c r="U130">
        <v>1891</v>
      </c>
      <c r="W130" s="24"/>
      <c r="X130">
        <v>91</v>
      </c>
      <c r="Y130">
        <v>98</v>
      </c>
      <c r="Z130">
        <v>94</v>
      </c>
      <c r="AA130">
        <v>486219038</v>
      </c>
      <c r="AB130">
        <v>1661</v>
      </c>
      <c r="AD130" s="24"/>
      <c r="AE130">
        <v>545</v>
      </c>
      <c r="AF130">
        <v>556</v>
      </c>
      <c r="AG130">
        <v>546</v>
      </c>
      <c r="AH130">
        <v>88048602</v>
      </c>
      <c r="AI130">
        <v>1556</v>
      </c>
      <c r="AK130" s="24"/>
      <c r="AL130">
        <v>968</v>
      </c>
      <c r="AM130">
        <v>984</v>
      </c>
      <c r="AN130">
        <v>970</v>
      </c>
      <c r="AO130">
        <v>28512022</v>
      </c>
      <c r="AP130">
        <v>1259</v>
      </c>
      <c r="AR130" s="24"/>
      <c r="AS130">
        <v>2695</v>
      </c>
      <c r="AT130">
        <v>2784</v>
      </c>
      <c r="AU130">
        <v>2759</v>
      </c>
      <c r="AV130">
        <v>9530456</v>
      </c>
      <c r="AW130">
        <v>1214</v>
      </c>
      <c r="AY130" s="24"/>
      <c r="AZ130">
        <v>356992009</v>
      </c>
      <c r="BA130">
        <v>365000100</v>
      </c>
      <c r="BB130">
        <v>362319528</v>
      </c>
      <c r="BC130">
        <v>1990</v>
      </c>
      <c r="BD130">
        <v>1462</v>
      </c>
      <c r="BF130" s="24"/>
      <c r="BG130">
        <v>27032</v>
      </c>
      <c r="BH130">
        <v>27100</v>
      </c>
      <c r="BI130">
        <v>27034</v>
      </c>
      <c r="BJ130">
        <v>1720648</v>
      </c>
      <c r="BK130">
        <v>213</v>
      </c>
      <c r="BM130" s="24"/>
      <c r="BN130">
        <v>6000001</v>
      </c>
      <c r="BO130">
        <v>6206101</v>
      </c>
      <c r="BP130">
        <v>6206003</v>
      </c>
      <c r="BQ130">
        <v>12223</v>
      </c>
      <c r="BR130">
        <v>336</v>
      </c>
      <c r="BT130" s="24"/>
      <c r="BU130">
        <v>2142</v>
      </c>
      <c r="BV130">
        <v>2164</v>
      </c>
      <c r="BW130">
        <v>2164</v>
      </c>
      <c r="BX130">
        <v>31171450</v>
      </c>
      <c r="BY130">
        <v>302</v>
      </c>
      <c r="CA130" s="24"/>
      <c r="CB130">
        <v>400</v>
      </c>
      <c r="CC130">
        <v>421</v>
      </c>
      <c r="CD130">
        <v>402</v>
      </c>
      <c r="CE130">
        <v>72115276</v>
      </c>
      <c r="CF130">
        <v>331</v>
      </c>
      <c r="CH130" s="24"/>
      <c r="CI130">
        <v>26021</v>
      </c>
      <c r="CJ130">
        <v>26021</v>
      </c>
      <c r="CK130">
        <v>26021</v>
      </c>
      <c r="CL130">
        <v>934003</v>
      </c>
      <c r="CM130">
        <v>190</v>
      </c>
      <c r="CO130" s="24"/>
      <c r="CP130">
        <v>8384</v>
      </c>
      <c r="CQ130">
        <v>8694</v>
      </c>
      <c r="CR130">
        <v>8685</v>
      </c>
      <c r="CS130">
        <v>964185</v>
      </c>
      <c r="CT130">
        <v>403</v>
      </c>
      <c r="CV130" s="24"/>
      <c r="CW130">
        <v>1285046</v>
      </c>
      <c r="CX130">
        <v>1349998</v>
      </c>
      <c r="CY130">
        <v>1285079</v>
      </c>
      <c r="CZ130">
        <v>7636</v>
      </c>
      <c r="DA130">
        <v>56</v>
      </c>
      <c r="DC130" s="24"/>
      <c r="DD130">
        <v>403</v>
      </c>
      <c r="DE130">
        <v>438</v>
      </c>
      <c r="DF130">
        <v>436</v>
      </c>
      <c r="DG130">
        <v>33341994</v>
      </c>
      <c r="DH130">
        <v>177</v>
      </c>
      <c r="DJ130" s="24"/>
      <c r="DK130">
        <v>35428000</v>
      </c>
      <c r="DL130">
        <v>35750000</v>
      </c>
      <c r="DM130">
        <v>35432002</v>
      </c>
      <c r="DN130">
        <v>297</v>
      </c>
      <c r="DO130">
        <v>87</v>
      </c>
      <c r="DQ130" s="24"/>
      <c r="DR130">
        <v>1654009</v>
      </c>
      <c r="DS130">
        <v>1798999</v>
      </c>
      <c r="DT130">
        <v>1659000</v>
      </c>
      <c r="DU130">
        <v>5208</v>
      </c>
      <c r="DV130">
        <v>213</v>
      </c>
      <c r="DX130" s="24"/>
      <c r="DY130">
        <v>19001004</v>
      </c>
      <c r="DZ130">
        <v>21309995</v>
      </c>
      <c r="EA130">
        <v>19005007</v>
      </c>
      <c r="EB130">
        <v>435</v>
      </c>
      <c r="EC130">
        <v>106</v>
      </c>
      <c r="EE130" s="24"/>
      <c r="EF130">
        <v>167</v>
      </c>
      <c r="EG130">
        <v>167</v>
      </c>
      <c r="EH130">
        <v>167</v>
      </c>
      <c r="EI130">
        <v>146371059</v>
      </c>
      <c r="EJ130">
        <v>192</v>
      </c>
      <c r="EL130" s="24"/>
      <c r="EM130">
        <v>45008</v>
      </c>
      <c r="EN130">
        <v>45100</v>
      </c>
      <c r="EO130">
        <v>45014</v>
      </c>
      <c r="EP130">
        <v>85643</v>
      </c>
      <c r="EQ130">
        <v>641</v>
      </c>
      <c r="ES130" s="24"/>
      <c r="ET130">
        <v>408</v>
      </c>
      <c r="EU130">
        <v>428</v>
      </c>
      <c r="EV130">
        <v>428</v>
      </c>
      <c r="EW130">
        <v>46968650</v>
      </c>
      <c r="EX130">
        <v>615</v>
      </c>
      <c r="EZ130" s="24"/>
      <c r="FA130">
        <v>3230998</v>
      </c>
      <c r="FB130">
        <v>3230998</v>
      </c>
      <c r="FC130">
        <v>3230998</v>
      </c>
      <c r="FD130">
        <v>818</v>
      </c>
      <c r="FE130">
        <v>16</v>
      </c>
      <c r="FG130" s="24"/>
      <c r="FH130">
        <v>7200</v>
      </c>
      <c r="FI130">
        <v>7484</v>
      </c>
      <c r="FJ130">
        <v>7200</v>
      </c>
      <c r="FK130">
        <v>1786997</v>
      </c>
      <c r="FL130">
        <v>460</v>
      </c>
      <c r="FN130" s="24"/>
      <c r="FO130">
        <v>23900</v>
      </c>
      <c r="FP130">
        <v>24421</v>
      </c>
      <c r="FQ130">
        <v>24421</v>
      </c>
      <c r="FR130">
        <v>223329</v>
      </c>
      <c r="FS130">
        <v>98</v>
      </c>
      <c r="FU130" s="24"/>
      <c r="FV130">
        <v>20002</v>
      </c>
      <c r="FW130">
        <v>20895</v>
      </c>
      <c r="FX130">
        <v>20004</v>
      </c>
      <c r="FY130">
        <v>368114</v>
      </c>
      <c r="FZ130">
        <v>1213</v>
      </c>
      <c r="GB130" s="24"/>
      <c r="GC130">
        <v>101500000</v>
      </c>
      <c r="GD130">
        <v>106751998</v>
      </c>
      <c r="GE130">
        <v>105998790</v>
      </c>
      <c r="GF130">
        <v>148</v>
      </c>
      <c r="GG130">
        <v>79</v>
      </c>
      <c r="GI130" s="24"/>
      <c r="GJ130">
        <v>28003003</v>
      </c>
      <c r="GK130">
        <v>31885000</v>
      </c>
      <c r="GL130">
        <v>28004001</v>
      </c>
      <c r="GM130">
        <v>285</v>
      </c>
      <c r="GN130">
        <v>56</v>
      </c>
      <c r="GP130" s="24"/>
      <c r="GQ130">
        <v>80</v>
      </c>
      <c r="GR130">
        <v>86</v>
      </c>
      <c r="GS130">
        <v>84</v>
      </c>
      <c r="GT130">
        <v>153572742</v>
      </c>
      <c r="GU130">
        <v>158</v>
      </c>
      <c r="GW130" s="24"/>
      <c r="GX130">
        <v>411</v>
      </c>
      <c r="GY130">
        <v>424</v>
      </c>
      <c r="GZ130">
        <v>419</v>
      </c>
      <c r="HA130">
        <v>62190341</v>
      </c>
      <c r="HB130">
        <v>245</v>
      </c>
      <c r="HD130" s="24"/>
      <c r="HE130">
        <v>5964</v>
      </c>
      <c r="HF130">
        <v>6425</v>
      </c>
      <c r="HG130">
        <v>5966</v>
      </c>
      <c r="HH130">
        <v>20778490</v>
      </c>
      <c r="HI130">
        <v>318</v>
      </c>
      <c r="HK130" s="24"/>
      <c r="HL130">
        <v>98197490</v>
      </c>
      <c r="HM130">
        <v>106797000</v>
      </c>
      <c r="HN130">
        <v>101001400</v>
      </c>
      <c r="HO130">
        <v>148</v>
      </c>
      <c r="HP130">
        <v>66</v>
      </c>
      <c r="HR130" s="24"/>
      <c r="HS130">
        <v>7508</v>
      </c>
      <c r="HT130">
        <v>7799</v>
      </c>
      <c r="HU130">
        <v>7613</v>
      </c>
      <c r="HV130">
        <v>944620</v>
      </c>
      <c r="HW130">
        <v>172</v>
      </c>
      <c r="HY130" s="24"/>
      <c r="HZ130">
        <v>6628</v>
      </c>
      <c r="IA130">
        <v>7248</v>
      </c>
      <c r="IB130">
        <v>7000</v>
      </c>
      <c r="IC130">
        <v>1649546</v>
      </c>
      <c r="ID130">
        <v>422</v>
      </c>
      <c r="IF130" s="24"/>
      <c r="IG130">
        <v>2963</v>
      </c>
      <c r="IH130">
        <v>2963</v>
      </c>
      <c r="II130">
        <v>2963</v>
      </c>
      <c r="IJ130">
        <v>1931607</v>
      </c>
      <c r="IK130">
        <v>124</v>
      </c>
      <c r="IM130" s="24"/>
      <c r="IN130">
        <v>99000003</v>
      </c>
      <c r="IO130">
        <v>106596493</v>
      </c>
      <c r="IP130">
        <v>104814953</v>
      </c>
      <c r="IQ130">
        <v>64</v>
      </c>
      <c r="IR130">
        <v>58</v>
      </c>
      <c r="IT130" s="24"/>
      <c r="IU130">
        <v>7698</v>
      </c>
      <c r="IV130">
        <v>7699</v>
      </c>
      <c r="IW130">
        <v>7699</v>
      </c>
      <c r="IX130">
        <v>1792822</v>
      </c>
      <c r="IY130">
        <v>142</v>
      </c>
      <c r="JA130" s="24"/>
      <c r="JB130">
        <v>100000000</v>
      </c>
      <c r="JC130">
        <v>108579800</v>
      </c>
      <c r="JD130">
        <v>105002400</v>
      </c>
      <c r="JE130">
        <v>69</v>
      </c>
      <c r="JF130">
        <v>52</v>
      </c>
      <c r="JH130" s="24"/>
      <c r="JI130">
        <v>101501400</v>
      </c>
      <c r="JJ130">
        <v>104499600</v>
      </c>
      <c r="JK130">
        <v>102674449</v>
      </c>
      <c r="JL130">
        <v>72</v>
      </c>
      <c r="JM130">
        <v>34</v>
      </c>
      <c r="JO130" s="24"/>
      <c r="JP130">
        <v>71</v>
      </c>
      <c r="JQ130">
        <v>71</v>
      </c>
      <c r="JR130">
        <v>71</v>
      </c>
      <c r="JS130">
        <v>119888037</v>
      </c>
      <c r="JT130">
        <v>94</v>
      </c>
      <c r="JV130" s="24"/>
      <c r="JW130">
        <v>66</v>
      </c>
      <c r="JX130">
        <v>69</v>
      </c>
      <c r="JY130">
        <v>66</v>
      </c>
      <c r="JZ130">
        <v>154233383</v>
      </c>
      <c r="KA130">
        <v>118</v>
      </c>
      <c r="KC130" s="24"/>
      <c r="KD130">
        <v>21</v>
      </c>
      <c r="KE130">
        <v>22</v>
      </c>
      <c r="KF130">
        <v>22</v>
      </c>
      <c r="KG130">
        <v>52851560</v>
      </c>
      <c r="KH130">
        <v>294</v>
      </c>
      <c r="KJ130" s="24"/>
      <c r="KK130">
        <v>73</v>
      </c>
      <c r="KL130">
        <v>73</v>
      </c>
      <c r="KM130">
        <v>73</v>
      </c>
      <c r="KN130">
        <v>127744550</v>
      </c>
      <c r="KO130">
        <v>116</v>
      </c>
      <c r="KQ130" s="24"/>
      <c r="KR130">
        <v>84003</v>
      </c>
      <c r="KS130">
        <v>85000</v>
      </c>
      <c r="KT130">
        <v>84003</v>
      </c>
      <c r="KU130">
        <v>71306</v>
      </c>
      <c r="KV130">
        <v>629</v>
      </c>
      <c r="KX130" s="24"/>
      <c r="KY130">
        <v>637</v>
      </c>
      <c r="KZ130">
        <v>639</v>
      </c>
      <c r="LA130">
        <v>637</v>
      </c>
      <c r="LB130">
        <v>5767855</v>
      </c>
      <c r="LC130">
        <v>177</v>
      </c>
      <c r="LE130" s="24"/>
      <c r="LF130">
        <v>194101</v>
      </c>
      <c r="LG130">
        <v>197498</v>
      </c>
      <c r="LH130">
        <v>194115</v>
      </c>
      <c r="LI130">
        <v>181562</v>
      </c>
      <c r="LJ130">
        <v>905</v>
      </c>
      <c r="LL130" s="24"/>
      <c r="LM130">
        <v>76032</v>
      </c>
      <c r="LN130">
        <v>76147</v>
      </c>
      <c r="LO130">
        <v>76083</v>
      </c>
      <c r="LP130">
        <v>414401</v>
      </c>
      <c r="LQ130">
        <v>1243</v>
      </c>
      <c r="LS130" s="24"/>
      <c r="LT130">
        <v>351</v>
      </c>
      <c r="LU130">
        <v>352</v>
      </c>
      <c r="LV130">
        <v>352</v>
      </c>
      <c r="LW130">
        <v>61098748</v>
      </c>
      <c r="LX130">
        <v>308</v>
      </c>
      <c r="LZ130" s="24"/>
      <c r="MA130">
        <v>100000</v>
      </c>
      <c r="MB130">
        <v>103834</v>
      </c>
      <c r="MC130">
        <v>100100</v>
      </c>
      <c r="MD130">
        <v>947568</v>
      </c>
      <c r="ME130">
        <v>105</v>
      </c>
    </row>
    <row r="131" spans="2:343" x14ac:dyDescent="0.25">
      <c r="B131" s="24"/>
      <c r="C131">
        <v>3</v>
      </c>
      <c r="D131">
        <v>3</v>
      </c>
      <c r="E131">
        <v>3</v>
      </c>
      <c r="F131">
        <v>36016744761</v>
      </c>
      <c r="G131">
        <v>3257</v>
      </c>
      <c r="I131" s="24"/>
      <c r="J131">
        <v>4</v>
      </c>
      <c r="K131">
        <v>5</v>
      </c>
      <c r="L131">
        <v>5</v>
      </c>
      <c r="M131">
        <v>7137005779</v>
      </c>
      <c r="N131">
        <v>2317</v>
      </c>
      <c r="P131" s="24"/>
      <c r="Q131">
        <v>29</v>
      </c>
      <c r="R131">
        <v>30</v>
      </c>
      <c r="S131">
        <v>29</v>
      </c>
      <c r="T131">
        <v>2236790298</v>
      </c>
      <c r="U131">
        <v>2163</v>
      </c>
      <c r="W131" s="24"/>
      <c r="X131">
        <v>93</v>
      </c>
      <c r="Y131">
        <v>95</v>
      </c>
      <c r="Z131">
        <v>95</v>
      </c>
      <c r="AA131">
        <v>543906844</v>
      </c>
      <c r="AB131">
        <v>1669</v>
      </c>
      <c r="AD131" s="24"/>
      <c r="AE131">
        <v>543</v>
      </c>
      <c r="AF131">
        <v>558</v>
      </c>
      <c r="AG131">
        <v>555</v>
      </c>
      <c r="AH131">
        <v>100098350</v>
      </c>
      <c r="AI131">
        <v>1760</v>
      </c>
      <c r="AK131" s="24"/>
      <c r="AL131">
        <v>963</v>
      </c>
      <c r="AM131">
        <v>985</v>
      </c>
      <c r="AN131">
        <v>970</v>
      </c>
      <c r="AO131">
        <v>41976518</v>
      </c>
      <c r="AP131">
        <v>1362</v>
      </c>
      <c r="AR131" s="24"/>
      <c r="AS131">
        <v>2710</v>
      </c>
      <c r="AT131">
        <v>2796</v>
      </c>
      <c r="AU131">
        <v>2716</v>
      </c>
      <c r="AV131">
        <v>13629795</v>
      </c>
      <c r="AW131">
        <v>1288</v>
      </c>
      <c r="AY131" s="24"/>
      <c r="AZ131">
        <v>356756116</v>
      </c>
      <c r="BA131">
        <v>364579997</v>
      </c>
      <c r="BB131">
        <v>361999999</v>
      </c>
      <c r="BC131">
        <v>2212</v>
      </c>
      <c r="BD131">
        <v>1609</v>
      </c>
      <c r="BF131" s="24"/>
      <c r="BG131">
        <v>27102</v>
      </c>
      <c r="BH131">
        <v>27138</v>
      </c>
      <c r="BI131">
        <v>27105</v>
      </c>
      <c r="BJ131">
        <v>2396806</v>
      </c>
      <c r="BK131">
        <v>226</v>
      </c>
      <c r="BM131" s="24"/>
      <c r="BN131">
        <v>6001000</v>
      </c>
      <c r="BO131">
        <v>6289999</v>
      </c>
      <c r="BP131">
        <v>6141005</v>
      </c>
      <c r="BQ131">
        <v>10097</v>
      </c>
      <c r="BR131">
        <v>350</v>
      </c>
      <c r="BT131" s="24"/>
      <c r="BU131">
        <v>2198</v>
      </c>
      <c r="BV131">
        <v>2412</v>
      </c>
      <c r="BW131">
        <v>2221</v>
      </c>
      <c r="BX131">
        <v>32018450</v>
      </c>
      <c r="BY131">
        <v>300</v>
      </c>
      <c r="CA131" s="24"/>
      <c r="CB131">
        <v>401</v>
      </c>
      <c r="CC131">
        <v>416</v>
      </c>
      <c r="CD131">
        <v>413</v>
      </c>
      <c r="CE131">
        <v>74355875</v>
      </c>
      <c r="CF131">
        <v>315</v>
      </c>
      <c r="CH131" s="24"/>
      <c r="CI131">
        <v>26021</v>
      </c>
      <c r="CJ131">
        <v>26298</v>
      </c>
      <c r="CK131">
        <v>26031</v>
      </c>
      <c r="CL131">
        <v>514092</v>
      </c>
      <c r="CM131">
        <v>154</v>
      </c>
      <c r="CO131" s="24"/>
      <c r="CP131">
        <v>8400</v>
      </c>
      <c r="CQ131">
        <v>8899</v>
      </c>
      <c r="CR131">
        <v>8792</v>
      </c>
      <c r="CS131">
        <v>1607158</v>
      </c>
      <c r="CT131">
        <v>477</v>
      </c>
      <c r="CV131" s="24"/>
      <c r="CW131">
        <v>1340000</v>
      </c>
      <c r="CX131">
        <v>1349221</v>
      </c>
      <c r="CY131">
        <v>1348999</v>
      </c>
      <c r="CZ131">
        <v>7372</v>
      </c>
      <c r="DA131">
        <v>29</v>
      </c>
      <c r="DC131" s="24"/>
      <c r="DD131">
        <v>413</v>
      </c>
      <c r="DE131">
        <v>436</v>
      </c>
      <c r="DF131">
        <v>434</v>
      </c>
      <c r="DG131">
        <v>46197431</v>
      </c>
      <c r="DH131">
        <v>212</v>
      </c>
      <c r="DJ131" s="24"/>
      <c r="DK131">
        <v>35435005</v>
      </c>
      <c r="DL131">
        <v>35435005</v>
      </c>
      <c r="DM131">
        <v>35435005</v>
      </c>
      <c r="DN131">
        <v>292</v>
      </c>
      <c r="DO131">
        <v>94</v>
      </c>
      <c r="DQ131" s="24"/>
      <c r="DR131">
        <v>1661002</v>
      </c>
      <c r="DS131">
        <v>1749999</v>
      </c>
      <c r="DT131">
        <v>1661005</v>
      </c>
      <c r="DU131">
        <v>5180</v>
      </c>
      <c r="DV131">
        <v>238</v>
      </c>
      <c r="DX131" s="24"/>
      <c r="DY131">
        <v>19007005</v>
      </c>
      <c r="DZ131">
        <v>21987458</v>
      </c>
      <c r="EA131">
        <v>19007006</v>
      </c>
      <c r="EB131">
        <v>430</v>
      </c>
      <c r="EC131">
        <v>97</v>
      </c>
      <c r="EE131" s="24"/>
      <c r="EF131">
        <v>165</v>
      </c>
      <c r="EG131">
        <v>170</v>
      </c>
      <c r="EH131">
        <v>170</v>
      </c>
      <c r="EI131">
        <v>111678176</v>
      </c>
      <c r="EJ131">
        <v>169</v>
      </c>
      <c r="EL131" s="24"/>
      <c r="EM131">
        <v>45020</v>
      </c>
      <c r="EN131">
        <v>47001</v>
      </c>
      <c r="EO131">
        <v>46000</v>
      </c>
      <c r="EP131">
        <v>73415</v>
      </c>
      <c r="EQ131">
        <v>688</v>
      </c>
      <c r="ES131" s="24"/>
      <c r="ET131">
        <v>421</v>
      </c>
      <c r="EU131">
        <v>449</v>
      </c>
      <c r="EV131">
        <v>443</v>
      </c>
      <c r="EW131">
        <v>55894260</v>
      </c>
      <c r="EX131">
        <v>779</v>
      </c>
      <c r="EZ131" s="24"/>
      <c r="FA131">
        <v>2609000</v>
      </c>
      <c r="FB131">
        <v>3100998</v>
      </c>
      <c r="FC131">
        <v>3100997</v>
      </c>
      <c r="FD131">
        <v>1545</v>
      </c>
      <c r="FE131">
        <v>35</v>
      </c>
      <c r="FG131" s="24"/>
      <c r="FH131">
        <v>6930</v>
      </c>
      <c r="FI131">
        <v>7350</v>
      </c>
      <c r="FJ131">
        <v>7197</v>
      </c>
      <c r="FK131">
        <v>2584591</v>
      </c>
      <c r="FL131">
        <v>508</v>
      </c>
      <c r="FN131" s="24"/>
      <c r="FO131">
        <v>23313</v>
      </c>
      <c r="FP131">
        <v>24419</v>
      </c>
      <c r="FQ131">
        <v>24417</v>
      </c>
      <c r="FR131">
        <v>184994</v>
      </c>
      <c r="FS131">
        <v>99</v>
      </c>
      <c r="FU131" s="24"/>
      <c r="FV131">
        <v>20015</v>
      </c>
      <c r="FW131">
        <v>21001</v>
      </c>
      <c r="FX131">
        <v>20016</v>
      </c>
      <c r="FY131">
        <v>371421</v>
      </c>
      <c r="FZ131">
        <v>1287</v>
      </c>
      <c r="GB131" s="24"/>
      <c r="GC131">
        <v>100005000</v>
      </c>
      <c r="GD131">
        <v>108248789</v>
      </c>
      <c r="GE131">
        <v>103000600</v>
      </c>
      <c r="GF131">
        <v>118</v>
      </c>
      <c r="GG131">
        <v>72</v>
      </c>
      <c r="GI131" s="24"/>
      <c r="GJ131">
        <v>28006006</v>
      </c>
      <c r="GK131">
        <v>28006007</v>
      </c>
      <c r="GL131">
        <v>28006006</v>
      </c>
      <c r="GM131">
        <v>270</v>
      </c>
      <c r="GN131">
        <v>58</v>
      </c>
      <c r="GP131" s="24"/>
      <c r="GQ131">
        <v>80</v>
      </c>
      <c r="GR131">
        <v>85</v>
      </c>
      <c r="GS131">
        <v>84</v>
      </c>
      <c r="GT131">
        <v>177197008</v>
      </c>
      <c r="GU131">
        <v>160</v>
      </c>
      <c r="GW131" s="24"/>
      <c r="GX131">
        <v>413</v>
      </c>
      <c r="GY131">
        <v>432</v>
      </c>
      <c r="GZ131">
        <v>429</v>
      </c>
      <c r="HA131">
        <v>54140180</v>
      </c>
      <c r="HB131">
        <v>257</v>
      </c>
      <c r="HD131" s="24"/>
      <c r="HE131">
        <v>6096</v>
      </c>
      <c r="HF131">
        <v>6249</v>
      </c>
      <c r="HG131">
        <v>6248</v>
      </c>
      <c r="HH131">
        <v>18542992</v>
      </c>
      <c r="HI131">
        <v>307</v>
      </c>
      <c r="HK131" s="24"/>
      <c r="HL131">
        <v>98102201</v>
      </c>
      <c r="HM131">
        <v>105000000</v>
      </c>
      <c r="HN131">
        <v>104998800</v>
      </c>
      <c r="HO131">
        <v>103</v>
      </c>
      <c r="HP131">
        <v>70</v>
      </c>
      <c r="HR131" s="24"/>
      <c r="HS131">
        <v>7509</v>
      </c>
      <c r="HT131">
        <v>7878</v>
      </c>
      <c r="HU131">
        <v>7799</v>
      </c>
      <c r="HV131">
        <v>1328083</v>
      </c>
      <c r="HW131">
        <v>183</v>
      </c>
      <c r="HY131" s="24"/>
      <c r="HZ131">
        <v>6652</v>
      </c>
      <c r="IA131">
        <v>7243</v>
      </c>
      <c r="IB131">
        <v>7197</v>
      </c>
      <c r="IC131">
        <v>2693359</v>
      </c>
      <c r="ID131">
        <v>560</v>
      </c>
      <c r="IF131" s="24"/>
      <c r="IG131">
        <v>2860</v>
      </c>
      <c r="IH131">
        <v>2860</v>
      </c>
      <c r="II131">
        <v>2860</v>
      </c>
      <c r="IJ131">
        <v>2396557</v>
      </c>
      <c r="IK131">
        <v>166</v>
      </c>
      <c r="IM131" s="24"/>
      <c r="IN131">
        <v>99001010</v>
      </c>
      <c r="IO131">
        <v>106593999</v>
      </c>
      <c r="IP131">
        <v>104413002</v>
      </c>
      <c r="IQ131">
        <v>59</v>
      </c>
      <c r="IR131">
        <v>55</v>
      </c>
      <c r="IT131" s="24"/>
      <c r="IU131">
        <v>7799</v>
      </c>
      <c r="IV131">
        <v>8395</v>
      </c>
      <c r="IW131">
        <v>7998</v>
      </c>
      <c r="IX131">
        <v>2488122</v>
      </c>
      <c r="IY131">
        <v>163</v>
      </c>
      <c r="JA131" s="24"/>
      <c r="JB131">
        <v>100060200</v>
      </c>
      <c r="JC131">
        <v>108497600</v>
      </c>
      <c r="JD131">
        <v>105136763</v>
      </c>
      <c r="JE131">
        <v>66</v>
      </c>
      <c r="JF131">
        <v>53</v>
      </c>
      <c r="JH131" s="24"/>
      <c r="JI131">
        <v>100169000</v>
      </c>
      <c r="JJ131">
        <v>107026600</v>
      </c>
      <c r="JK131">
        <v>103674381</v>
      </c>
      <c r="JL131">
        <v>53</v>
      </c>
      <c r="JM131">
        <v>40</v>
      </c>
      <c r="JO131" s="24"/>
      <c r="JP131">
        <v>73</v>
      </c>
      <c r="JQ131">
        <v>74</v>
      </c>
      <c r="JR131">
        <v>74</v>
      </c>
      <c r="JS131">
        <v>95055167</v>
      </c>
      <c r="JT131">
        <v>103</v>
      </c>
      <c r="JV131" s="24"/>
      <c r="JW131">
        <v>66</v>
      </c>
      <c r="JX131">
        <v>69</v>
      </c>
      <c r="JY131">
        <v>68</v>
      </c>
      <c r="JZ131">
        <v>173210434</v>
      </c>
      <c r="KA131">
        <v>134</v>
      </c>
      <c r="KC131" s="24"/>
      <c r="KD131">
        <v>22</v>
      </c>
      <c r="KE131">
        <v>22</v>
      </c>
      <c r="KF131">
        <v>22</v>
      </c>
      <c r="KG131">
        <v>45994272</v>
      </c>
      <c r="KH131">
        <v>341</v>
      </c>
      <c r="KJ131" s="24"/>
      <c r="KK131">
        <v>71</v>
      </c>
      <c r="KL131">
        <v>74</v>
      </c>
      <c r="KM131">
        <v>73</v>
      </c>
      <c r="KN131">
        <v>131548697</v>
      </c>
      <c r="KO131">
        <v>125</v>
      </c>
      <c r="KQ131" s="24"/>
      <c r="KR131">
        <v>84013</v>
      </c>
      <c r="KS131">
        <v>87499</v>
      </c>
      <c r="KT131">
        <v>85001</v>
      </c>
      <c r="KU131">
        <v>96900</v>
      </c>
      <c r="KV131">
        <v>718</v>
      </c>
      <c r="KX131" s="24"/>
      <c r="KY131">
        <v>612</v>
      </c>
      <c r="KZ131">
        <v>639</v>
      </c>
      <c r="LA131">
        <v>638</v>
      </c>
      <c r="LB131">
        <v>6935715</v>
      </c>
      <c r="LC131">
        <v>199</v>
      </c>
      <c r="LE131" s="24"/>
      <c r="LF131">
        <v>194123</v>
      </c>
      <c r="LG131">
        <v>198300</v>
      </c>
      <c r="LH131">
        <v>195003</v>
      </c>
      <c r="LI131">
        <v>235425</v>
      </c>
      <c r="LJ131">
        <v>1026</v>
      </c>
      <c r="LL131" s="24"/>
      <c r="LM131">
        <v>76140</v>
      </c>
      <c r="LN131">
        <v>76141</v>
      </c>
      <c r="LO131">
        <v>76140</v>
      </c>
      <c r="LP131">
        <v>362091</v>
      </c>
      <c r="LQ131">
        <v>1344</v>
      </c>
      <c r="LS131" s="24"/>
      <c r="LT131">
        <v>344</v>
      </c>
      <c r="LU131">
        <v>351</v>
      </c>
      <c r="LV131">
        <v>345</v>
      </c>
      <c r="LW131">
        <v>118164635</v>
      </c>
      <c r="LX131">
        <v>395</v>
      </c>
      <c r="LZ131" s="24"/>
      <c r="MA131">
        <v>100419</v>
      </c>
      <c r="MB131">
        <v>103838</v>
      </c>
      <c r="MC131">
        <v>103825</v>
      </c>
      <c r="MD131">
        <v>867146</v>
      </c>
      <c r="ME131">
        <v>87</v>
      </c>
    </row>
    <row r="132" spans="2:343" x14ac:dyDescent="0.25">
      <c r="B132" s="24"/>
      <c r="C132">
        <v>3</v>
      </c>
      <c r="D132">
        <v>3</v>
      </c>
      <c r="E132">
        <v>3</v>
      </c>
      <c r="F132">
        <v>22046803183</v>
      </c>
      <c r="G132">
        <v>3509</v>
      </c>
      <c r="I132" s="24"/>
      <c r="J132">
        <v>4</v>
      </c>
      <c r="K132">
        <v>4</v>
      </c>
      <c r="L132">
        <v>4</v>
      </c>
      <c r="M132">
        <v>4913399292</v>
      </c>
      <c r="N132">
        <v>2474</v>
      </c>
      <c r="P132" s="24"/>
      <c r="Q132">
        <v>28</v>
      </c>
      <c r="R132">
        <v>29</v>
      </c>
      <c r="S132">
        <v>29</v>
      </c>
      <c r="T132">
        <v>1181678885</v>
      </c>
      <c r="U132">
        <v>2233</v>
      </c>
      <c r="W132" s="24"/>
      <c r="X132">
        <v>91</v>
      </c>
      <c r="Y132">
        <v>93</v>
      </c>
      <c r="Z132">
        <v>91</v>
      </c>
      <c r="AA132">
        <v>497695613</v>
      </c>
      <c r="AB132">
        <v>1850</v>
      </c>
      <c r="AD132" s="24"/>
      <c r="AE132">
        <v>547</v>
      </c>
      <c r="AF132">
        <v>560</v>
      </c>
      <c r="AG132">
        <v>550</v>
      </c>
      <c r="AH132">
        <v>72158034</v>
      </c>
      <c r="AI132">
        <v>1914</v>
      </c>
      <c r="AK132" s="24"/>
      <c r="AL132">
        <v>968</v>
      </c>
      <c r="AM132">
        <v>982</v>
      </c>
      <c r="AN132">
        <v>972</v>
      </c>
      <c r="AO132">
        <v>43315657</v>
      </c>
      <c r="AP132">
        <v>1534</v>
      </c>
      <c r="AR132" s="24"/>
      <c r="AS132">
        <v>2710</v>
      </c>
      <c r="AT132">
        <v>2793</v>
      </c>
      <c r="AU132">
        <v>2720</v>
      </c>
      <c r="AV132">
        <v>19299651</v>
      </c>
      <c r="AW132">
        <v>1465</v>
      </c>
      <c r="AY132" s="24"/>
      <c r="AZ132">
        <v>355000001</v>
      </c>
      <c r="BA132">
        <v>361599249</v>
      </c>
      <c r="BB132">
        <v>360300000</v>
      </c>
      <c r="BC132">
        <v>2098</v>
      </c>
      <c r="BD132">
        <v>1519</v>
      </c>
      <c r="BF132" s="24"/>
      <c r="BG132">
        <v>27102</v>
      </c>
      <c r="BH132">
        <v>27103</v>
      </c>
      <c r="BI132">
        <v>27103</v>
      </c>
      <c r="BJ132">
        <v>2133995</v>
      </c>
      <c r="BK132">
        <v>287</v>
      </c>
      <c r="BM132" s="24"/>
      <c r="BN132">
        <v>6101008</v>
      </c>
      <c r="BO132">
        <v>6220000</v>
      </c>
      <c r="BP132">
        <v>6200009</v>
      </c>
      <c r="BQ132">
        <v>10544</v>
      </c>
      <c r="BR132">
        <v>336</v>
      </c>
      <c r="BT132" s="24"/>
      <c r="BU132">
        <v>2300</v>
      </c>
      <c r="BV132">
        <v>2390</v>
      </c>
      <c r="BW132">
        <v>2380</v>
      </c>
      <c r="BX132">
        <v>15989627</v>
      </c>
      <c r="BY132">
        <v>281</v>
      </c>
      <c r="CA132" s="24"/>
      <c r="CB132">
        <v>409</v>
      </c>
      <c r="CC132">
        <v>414</v>
      </c>
      <c r="CD132">
        <v>411</v>
      </c>
      <c r="CE132">
        <v>87544664</v>
      </c>
      <c r="CF132">
        <v>359</v>
      </c>
      <c r="CH132" s="24"/>
      <c r="CI132">
        <v>26400</v>
      </c>
      <c r="CJ132">
        <v>26400</v>
      </c>
      <c r="CK132">
        <v>26400</v>
      </c>
      <c r="CL132">
        <v>1337636</v>
      </c>
      <c r="CM132">
        <v>214</v>
      </c>
      <c r="CO132" s="24"/>
      <c r="CP132">
        <v>8487</v>
      </c>
      <c r="CQ132">
        <v>8987</v>
      </c>
      <c r="CR132">
        <v>8897</v>
      </c>
      <c r="CS132">
        <v>1443672</v>
      </c>
      <c r="CT132">
        <v>479</v>
      </c>
      <c r="CV132" s="24"/>
      <c r="CW132">
        <v>1348218</v>
      </c>
      <c r="CX132">
        <v>1348219</v>
      </c>
      <c r="CY132">
        <v>1348219</v>
      </c>
      <c r="CZ132">
        <v>8521</v>
      </c>
      <c r="DA132">
        <v>37</v>
      </c>
      <c r="DC132" s="24"/>
      <c r="DD132">
        <v>403</v>
      </c>
      <c r="DE132">
        <v>417</v>
      </c>
      <c r="DF132">
        <v>411</v>
      </c>
      <c r="DG132">
        <v>42746618</v>
      </c>
      <c r="DH132">
        <v>198</v>
      </c>
      <c r="DJ132" s="24"/>
      <c r="DK132">
        <v>35435011</v>
      </c>
      <c r="DL132">
        <v>35500001</v>
      </c>
      <c r="DM132">
        <v>35435011</v>
      </c>
      <c r="DN132">
        <v>450</v>
      </c>
      <c r="DO132">
        <v>118</v>
      </c>
      <c r="DQ132" s="24"/>
      <c r="DR132">
        <v>1671370</v>
      </c>
      <c r="DS132">
        <v>1737999</v>
      </c>
      <c r="DT132">
        <v>1671380</v>
      </c>
      <c r="DU132">
        <v>6520</v>
      </c>
      <c r="DV132">
        <v>241</v>
      </c>
      <c r="DX132" s="24"/>
      <c r="DY132">
        <v>19007015</v>
      </c>
      <c r="DZ132">
        <v>19150016</v>
      </c>
      <c r="EA132">
        <v>19150013</v>
      </c>
      <c r="EB132">
        <v>400</v>
      </c>
      <c r="EC132">
        <v>102</v>
      </c>
      <c r="EE132" s="24"/>
      <c r="EF132">
        <v>164</v>
      </c>
      <c r="EG132">
        <v>169</v>
      </c>
      <c r="EH132">
        <v>165</v>
      </c>
      <c r="EI132">
        <v>96804604</v>
      </c>
      <c r="EJ132">
        <v>222</v>
      </c>
      <c r="EL132" s="24"/>
      <c r="EM132">
        <v>46015</v>
      </c>
      <c r="EN132">
        <v>47999</v>
      </c>
      <c r="EO132">
        <v>46216</v>
      </c>
      <c r="EP132">
        <v>78110</v>
      </c>
      <c r="EQ132">
        <v>779</v>
      </c>
      <c r="ES132" s="24"/>
      <c r="ET132">
        <v>427</v>
      </c>
      <c r="EU132">
        <v>507</v>
      </c>
      <c r="EV132">
        <v>495</v>
      </c>
      <c r="EW132">
        <v>44254538</v>
      </c>
      <c r="EX132">
        <v>781</v>
      </c>
      <c r="EZ132" s="24"/>
      <c r="FA132">
        <v>2702000</v>
      </c>
      <c r="FB132">
        <v>2900999</v>
      </c>
      <c r="FC132">
        <v>2900999</v>
      </c>
      <c r="FD132">
        <v>1553</v>
      </c>
      <c r="FE132">
        <v>37</v>
      </c>
      <c r="FG132" s="24"/>
      <c r="FH132">
        <v>6962</v>
      </c>
      <c r="FI132">
        <v>7197</v>
      </c>
      <c r="FJ132">
        <v>7189</v>
      </c>
      <c r="FK132">
        <v>2508879</v>
      </c>
      <c r="FL132">
        <v>595</v>
      </c>
      <c r="FN132" s="24"/>
      <c r="FO132">
        <v>23297</v>
      </c>
      <c r="FP132">
        <v>23399</v>
      </c>
      <c r="FQ132">
        <v>23300</v>
      </c>
      <c r="FR132">
        <v>308307</v>
      </c>
      <c r="FS132">
        <v>104</v>
      </c>
      <c r="FU132" s="24"/>
      <c r="FV132">
        <v>21003</v>
      </c>
      <c r="FW132">
        <v>21005</v>
      </c>
      <c r="FX132">
        <v>21003</v>
      </c>
      <c r="FY132">
        <v>389050</v>
      </c>
      <c r="FZ132">
        <v>1503</v>
      </c>
      <c r="GB132" s="24"/>
      <c r="GC132">
        <v>101108101</v>
      </c>
      <c r="GD132">
        <v>108237400</v>
      </c>
      <c r="GE132">
        <v>103667649</v>
      </c>
      <c r="GF132">
        <v>86</v>
      </c>
      <c r="GG132">
        <v>61</v>
      </c>
      <c r="GI132" s="24"/>
      <c r="GJ132">
        <v>28006008</v>
      </c>
      <c r="GK132">
        <v>28010007</v>
      </c>
      <c r="GL132">
        <v>28006015</v>
      </c>
      <c r="GM132">
        <v>283</v>
      </c>
      <c r="GN132">
        <v>67</v>
      </c>
      <c r="GP132" s="24"/>
      <c r="GQ132">
        <v>80</v>
      </c>
      <c r="GR132">
        <v>83</v>
      </c>
      <c r="GS132">
        <v>80</v>
      </c>
      <c r="GT132">
        <v>161615821</v>
      </c>
      <c r="GU132">
        <v>189</v>
      </c>
      <c r="GW132" s="24"/>
      <c r="GX132">
        <v>433</v>
      </c>
      <c r="GY132">
        <v>445</v>
      </c>
      <c r="GZ132">
        <v>433</v>
      </c>
      <c r="HA132">
        <v>50352341</v>
      </c>
      <c r="HB132">
        <v>275</v>
      </c>
      <c r="HD132" s="24"/>
      <c r="HE132">
        <v>6055</v>
      </c>
      <c r="HF132">
        <v>6229</v>
      </c>
      <c r="HG132">
        <v>6198</v>
      </c>
      <c r="HH132">
        <v>11619914</v>
      </c>
      <c r="HI132">
        <v>323</v>
      </c>
      <c r="HK132" s="24"/>
      <c r="HL132">
        <v>101108900</v>
      </c>
      <c r="HM132">
        <v>104898000</v>
      </c>
      <c r="HN132">
        <v>102000200</v>
      </c>
      <c r="HO132">
        <v>144</v>
      </c>
      <c r="HP132">
        <v>76</v>
      </c>
      <c r="HR132" s="24"/>
      <c r="HS132">
        <v>7516</v>
      </c>
      <c r="HT132">
        <v>7972</v>
      </c>
      <c r="HU132">
        <v>7799</v>
      </c>
      <c r="HV132">
        <v>1158759</v>
      </c>
      <c r="HW132">
        <v>191</v>
      </c>
      <c r="HY132" s="24"/>
      <c r="HZ132">
        <v>6804</v>
      </c>
      <c r="IA132">
        <v>7179</v>
      </c>
      <c r="IB132">
        <v>7179</v>
      </c>
      <c r="IC132">
        <v>2045045</v>
      </c>
      <c r="ID132">
        <v>529</v>
      </c>
      <c r="IF132" s="24"/>
      <c r="IG132">
        <v>2715</v>
      </c>
      <c r="IH132">
        <v>2858</v>
      </c>
      <c r="II132">
        <v>2856</v>
      </c>
      <c r="IJ132">
        <v>1401310</v>
      </c>
      <c r="IK132">
        <v>180</v>
      </c>
      <c r="IM132" s="24"/>
      <c r="IN132">
        <v>99002000</v>
      </c>
      <c r="IO132">
        <v>106968287</v>
      </c>
      <c r="IP132">
        <v>102055865</v>
      </c>
      <c r="IQ132">
        <v>86</v>
      </c>
      <c r="IR132">
        <v>69</v>
      </c>
      <c r="IT132" s="24"/>
      <c r="IU132">
        <v>7635</v>
      </c>
      <c r="IV132">
        <v>8993</v>
      </c>
      <c r="IW132">
        <v>8499</v>
      </c>
      <c r="IX132">
        <v>1321250</v>
      </c>
      <c r="IY132">
        <v>167</v>
      </c>
      <c r="JA132" s="24"/>
      <c r="JB132">
        <v>102000000</v>
      </c>
      <c r="JC132">
        <v>106996800</v>
      </c>
      <c r="JD132">
        <v>104244488</v>
      </c>
      <c r="JE132">
        <v>89</v>
      </c>
      <c r="JF132">
        <v>76</v>
      </c>
      <c r="JH132" s="24"/>
      <c r="JI132">
        <v>100408200</v>
      </c>
      <c r="JJ132">
        <v>107022800</v>
      </c>
      <c r="JK132">
        <v>105013700</v>
      </c>
      <c r="JL132">
        <v>36</v>
      </c>
      <c r="JM132">
        <v>35</v>
      </c>
      <c r="JO132" s="24"/>
      <c r="JP132">
        <v>70</v>
      </c>
      <c r="JQ132">
        <v>71</v>
      </c>
      <c r="JR132">
        <v>70</v>
      </c>
      <c r="JS132">
        <v>188075987</v>
      </c>
      <c r="JT132">
        <v>151</v>
      </c>
      <c r="JV132" s="24"/>
      <c r="JW132">
        <v>65</v>
      </c>
      <c r="JX132">
        <v>68</v>
      </c>
      <c r="JY132">
        <v>67</v>
      </c>
      <c r="JZ132">
        <v>101305771</v>
      </c>
      <c r="KA132">
        <v>111</v>
      </c>
      <c r="KC132" s="24"/>
      <c r="KD132">
        <v>22</v>
      </c>
      <c r="KE132">
        <v>23</v>
      </c>
      <c r="KF132">
        <v>22</v>
      </c>
      <c r="KG132">
        <v>90405471</v>
      </c>
      <c r="KH132">
        <v>348</v>
      </c>
      <c r="KJ132" s="24"/>
      <c r="KK132">
        <v>71</v>
      </c>
      <c r="KL132">
        <v>74</v>
      </c>
      <c r="KM132">
        <v>71</v>
      </c>
      <c r="KN132">
        <v>111284403</v>
      </c>
      <c r="KO132">
        <v>152</v>
      </c>
      <c r="KQ132" s="24"/>
      <c r="KR132">
        <v>85000</v>
      </c>
      <c r="KS132">
        <v>85006</v>
      </c>
      <c r="KT132">
        <v>85002</v>
      </c>
      <c r="KU132">
        <v>62364</v>
      </c>
      <c r="KV132">
        <v>754</v>
      </c>
      <c r="KX132" s="24"/>
      <c r="KY132">
        <v>588</v>
      </c>
      <c r="KZ132">
        <v>637</v>
      </c>
      <c r="LA132">
        <v>614</v>
      </c>
      <c r="LB132">
        <v>6064922</v>
      </c>
      <c r="LC132">
        <v>203</v>
      </c>
      <c r="LE132" s="24"/>
      <c r="LF132">
        <v>194403</v>
      </c>
      <c r="LG132">
        <v>195001</v>
      </c>
      <c r="LH132">
        <v>194470</v>
      </c>
      <c r="LI132">
        <v>114924</v>
      </c>
      <c r="LJ132">
        <v>1126</v>
      </c>
      <c r="LL132" s="24"/>
      <c r="LM132">
        <v>76145</v>
      </c>
      <c r="LN132">
        <v>76152</v>
      </c>
      <c r="LO132">
        <v>76146</v>
      </c>
      <c r="LP132">
        <v>374636</v>
      </c>
      <c r="LQ132">
        <v>1486</v>
      </c>
      <c r="LS132" s="24"/>
      <c r="LT132">
        <v>351</v>
      </c>
      <c r="LU132">
        <v>383</v>
      </c>
      <c r="LV132">
        <v>362</v>
      </c>
      <c r="LW132">
        <v>93480015</v>
      </c>
      <c r="LX132">
        <v>417</v>
      </c>
      <c r="LZ132" s="24"/>
      <c r="MA132">
        <v>100700</v>
      </c>
      <c r="MB132">
        <v>103825</v>
      </c>
      <c r="MC132">
        <v>103100</v>
      </c>
      <c r="MD132">
        <v>1127725</v>
      </c>
      <c r="ME132">
        <v>135</v>
      </c>
    </row>
    <row r="133" spans="2:343" x14ac:dyDescent="0.25">
      <c r="B133" s="24"/>
      <c r="C133">
        <v>3</v>
      </c>
      <c r="D133">
        <v>3</v>
      </c>
      <c r="E133">
        <v>3</v>
      </c>
      <c r="F133">
        <v>28249400094</v>
      </c>
      <c r="G133">
        <v>2972</v>
      </c>
      <c r="I133" s="24"/>
      <c r="J133">
        <v>4</v>
      </c>
      <c r="K133">
        <v>5</v>
      </c>
      <c r="L133">
        <v>4</v>
      </c>
      <c r="M133">
        <v>6066591195</v>
      </c>
      <c r="N133">
        <v>2138</v>
      </c>
      <c r="P133" s="24"/>
      <c r="Q133">
        <v>29</v>
      </c>
      <c r="R133">
        <v>29</v>
      </c>
      <c r="S133">
        <v>29</v>
      </c>
      <c r="T133">
        <v>1710288447</v>
      </c>
      <c r="U133">
        <v>1956</v>
      </c>
      <c r="W133" s="24"/>
      <c r="X133">
        <v>90</v>
      </c>
      <c r="Y133">
        <v>91</v>
      </c>
      <c r="Z133">
        <v>90</v>
      </c>
      <c r="AA133">
        <v>382394511</v>
      </c>
      <c r="AB133">
        <v>1541</v>
      </c>
      <c r="AD133" s="24"/>
      <c r="AE133">
        <v>549</v>
      </c>
      <c r="AF133">
        <v>552</v>
      </c>
      <c r="AG133">
        <v>549</v>
      </c>
      <c r="AH133">
        <v>83881692</v>
      </c>
      <c r="AI133">
        <v>1593</v>
      </c>
      <c r="AK133" s="24"/>
      <c r="AL133">
        <v>917</v>
      </c>
      <c r="AM133">
        <v>971</v>
      </c>
      <c r="AN133">
        <v>956</v>
      </c>
      <c r="AO133">
        <v>34796573</v>
      </c>
      <c r="AP133">
        <v>1272</v>
      </c>
      <c r="AR133" s="24"/>
      <c r="AS133">
        <v>2638</v>
      </c>
      <c r="AT133">
        <v>2738</v>
      </c>
      <c r="AU133">
        <v>2692</v>
      </c>
      <c r="AV133">
        <v>12390512</v>
      </c>
      <c r="AW133">
        <v>1186</v>
      </c>
      <c r="AY133" s="24"/>
      <c r="AZ133">
        <v>355000300</v>
      </c>
      <c r="BA133">
        <v>361599241</v>
      </c>
      <c r="BB133">
        <v>359999999</v>
      </c>
      <c r="BC133">
        <v>2037</v>
      </c>
      <c r="BD133">
        <v>1490</v>
      </c>
      <c r="BF133" s="24"/>
      <c r="BG133">
        <v>27106</v>
      </c>
      <c r="BH133">
        <v>27215</v>
      </c>
      <c r="BI133">
        <v>27200</v>
      </c>
      <c r="BJ133">
        <v>3912083</v>
      </c>
      <c r="BK133">
        <v>273</v>
      </c>
      <c r="BM133" s="24"/>
      <c r="BN133">
        <v>6002000</v>
      </c>
      <c r="BO133">
        <v>6011104</v>
      </c>
      <c r="BP133">
        <v>6002001</v>
      </c>
      <c r="BQ133">
        <v>10388</v>
      </c>
      <c r="BR133">
        <v>328</v>
      </c>
      <c r="BT133" s="24"/>
      <c r="BU133">
        <v>2372</v>
      </c>
      <c r="BV133">
        <v>2378</v>
      </c>
      <c r="BW133">
        <v>2373</v>
      </c>
      <c r="BX133">
        <v>17334276</v>
      </c>
      <c r="BY133">
        <v>219</v>
      </c>
      <c r="CA133" s="24"/>
      <c r="CB133">
        <v>416</v>
      </c>
      <c r="CC133">
        <v>419</v>
      </c>
      <c r="CD133">
        <v>417</v>
      </c>
      <c r="CE133">
        <v>62085412</v>
      </c>
      <c r="CF133">
        <v>248</v>
      </c>
      <c r="CH133" s="24"/>
      <c r="CI133">
        <v>26036</v>
      </c>
      <c r="CJ133">
        <v>26150</v>
      </c>
      <c r="CK133">
        <v>26130</v>
      </c>
      <c r="CL133">
        <v>1446530</v>
      </c>
      <c r="CM133">
        <v>191</v>
      </c>
      <c r="CO133" s="24"/>
      <c r="CP133">
        <v>8487</v>
      </c>
      <c r="CQ133">
        <v>8949</v>
      </c>
      <c r="CR133">
        <v>8930</v>
      </c>
      <c r="CS133">
        <v>1225105</v>
      </c>
      <c r="CT133">
        <v>365</v>
      </c>
      <c r="CV133" s="24"/>
      <c r="CW133">
        <v>1312005</v>
      </c>
      <c r="CX133">
        <v>1340215</v>
      </c>
      <c r="CY133">
        <v>1312005</v>
      </c>
      <c r="CZ133">
        <v>7771</v>
      </c>
      <c r="DA133">
        <v>44</v>
      </c>
      <c r="DC133" s="24"/>
      <c r="DD133">
        <v>406</v>
      </c>
      <c r="DE133">
        <v>434</v>
      </c>
      <c r="DF133">
        <v>417</v>
      </c>
      <c r="DG133">
        <v>40975530</v>
      </c>
      <c r="DH133">
        <v>203</v>
      </c>
      <c r="DJ133" s="24"/>
      <c r="DK133">
        <v>33006000</v>
      </c>
      <c r="DL133">
        <v>35435012</v>
      </c>
      <c r="DM133">
        <v>35435004</v>
      </c>
      <c r="DN133">
        <v>454</v>
      </c>
      <c r="DO133">
        <v>111</v>
      </c>
      <c r="DQ133" s="24"/>
      <c r="DR133">
        <v>1671393</v>
      </c>
      <c r="DS133">
        <v>1769999</v>
      </c>
      <c r="DT133">
        <v>1700000</v>
      </c>
      <c r="DU133">
        <v>5323</v>
      </c>
      <c r="DV133">
        <v>260</v>
      </c>
      <c r="DX133" s="24"/>
      <c r="DY133">
        <v>19201002</v>
      </c>
      <c r="DZ133">
        <v>22449004</v>
      </c>
      <c r="EA133">
        <v>19201034</v>
      </c>
      <c r="EB133">
        <v>364</v>
      </c>
      <c r="EC133">
        <v>110</v>
      </c>
      <c r="EE133" s="24"/>
      <c r="EF133">
        <v>162</v>
      </c>
      <c r="EG133">
        <v>169</v>
      </c>
      <c r="EH133">
        <v>165</v>
      </c>
      <c r="EI133">
        <v>85204488</v>
      </c>
      <c r="EJ133">
        <v>173</v>
      </c>
      <c r="EL133" s="24"/>
      <c r="EM133">
        <v>47000</v>
      </c>
      <c r="EN133">
        <v>48000</v>
      </c>
      <c r="EO133">
        <v>47005</v>
      </c>
      <c r="EP133">
        <v>74460</v>
      </c>
      <c r="EQ133">
        <v>643</v>
      </c>
      <c r="ES133" s="24"/>
      <c r="ET133">
        <v>426</v>
      </c>
      <c r="EU133">
        <v>499</v>
      </c>
      <c r="EV133">
        <v>442</v>
      </c>
      <c r="EW133">
        <v>59449900</v>
      </c>
      <c r="EX133">
        <v>662</v>
      </c>
      <c r="EZ133" s="24"/>
      <c r="FA133">
        <v>2850000</v>
      </c>
      <c r="FB133">
        <v>3096697</v>
      </c>
      <c r="FC133">
        <v>3096687</v>
      </c>
      <c r="FD133">
        <v>1600</v>
      </c>
      <c r="FE133">
        <v>35</v>
      </c>
      <c r="FG133" s="24"/>
      <c r="FH133">
        <v>6932</v>
      </c>
      <c r="FI133">
        <v>7220</v>
      </c>
      <c r="FJ133">
        <v>7197</v>
      </c>
      <c r="FK133">
        <v>1524041</v>
      </c>
      <c r="FL133">
        <v>442</v>
      </c>
      <c r="FN133" s="24"/>
      <c r="FO133">
        <v>22999</v>
      </c>
      <c r="FP133">
        <v>23297</v>
      </c>
      <c r="FQ133">
        <v>23100</v>
      </c>
      <c r="FR133">
        <v>170291</v>
      </c>
      <c r="FS133">
        <v>70</v>
      </c>
      <c r="FU133" s="24"/>
      <c r="FV133">
        <v>21013</v>
      </c>
      <c r="FW133">
        <v>21800</v>
      </c>
      <c r="FX133">
        <v>21017</v>
      </c>
      <c r="FY133">
        <v>393511</v>
      </c>
      <c r="FZ133">
        <v>1234</v>
      </c>
      <c r="GB133" s="24"/>
      <c r="GC133">
        <v>100111000</v>
      </c>
      <c r="GD133">
        <v>108228999</v>
      </c>
      <c r="GE133">
        <v>104297122</v>
      </c>
      <c r="GF133">
        <v>100</v>
      </c>
      <c r="GG133">
        <v>66</v>
      </c>
      <c r="GI133" s="24"/>
      <c r="GJ133">
        <v>27360018</v>
      </c>
      <c r="GK133">
        <v>28004002</v>
      </c>
      <c r="GL133">
        <v>28001009</v>
      </c>
      <c r="GM133">
        <v>368</v>
      </c>
      <c r="GN133">
        <v>82</v>
      </c>
      <c r="GP133" s="24"/>
      <c r="GQ133">
        <v>80</v>
      </c>
      <c r="GR133">
        <v>83</v>
      </c>
      <c r="GS133">
        <v>82</v>
      </c>
      <c r="GT133">
        <v>82757178</v>
      </c>
      <c r="GU133">
        <v>111</v>
      </c>
      <c r="GW133" s="24"/>
      <c r="GX133">
        <v>420</v>
      </c>
      <c r="GY133">
        <v>459</v>
      </c>
      <c r="GZ133">
        <v>449</v>
      </c>
      <c r="HA133">
        <v>67503073</v>
      </c>
      <c r="HB133">
        <v>288</v>
      </c>
      <c r="HD133" s="24"/>
      <c r="HE133">
        <v>6142</v>
      </c>
      <c r="HF133">
        <v>6193</v>
      </c>
      <c r="HG133">
        <v>6179</v>
      </c>
      <c r="HH133">
        <v>9417238</v>
      </c>
      <c r="HI133">
        <v>245</v>
      </c>
      <c r="HK133" s="24"/>
      <c r="HL133">
        <v>101109000</v>
      </c>
      <c r="HM133">
        <v>104998800</v>
      </c>
      <c r="HN133">
        <v>103311817</v>
      </c>
      <c r="HO133">
        <v>72</v>
      </c>
      <c r="HP133">
        <v>58</v>
      </c>
      <c r="HR133" s="24"/>
      <c r="HS133">
        <v>7701</v>
      </c>
      <c r="HT133">
        <v>8036</v>
      </c>
      <c r="HU133">
        <v>8029</v>
      </c>
      <c r="HV133">
        <v>428149</v>
      </c>
      <c r="HW133">
        <v>95</v>
      </c>
      <c r="HY133" s="24"/>
      <c r="HZ133">
        <v>6804</v>
      </c>
      <c r="IA133">
        <v>7199</v>
      </c>
      <c r="IB133">
        <v>7169</v>
      </c>
      <c r="IC133">
        <v>1944210</v>
      </c>
      <c r="ID133">
        <v>459</v>
      </c>
      <c r="IF133" s="24"/>
      <c r="IG133">
        <v>2859</v>
      </c>
      <c r="IH133">
        <v>2859</v>
      </c>
      <c r="II133">
        <v>2859</v>
      </c>
      <c r="IJ133">
        <v>1178980</v>
      </c>
      <c r="IK133">
        <v>113</v>
      </c>
      <c r="IM133" s="24"/>
      <c r="IN133">
        <v>99003001</v>
      </c>
      <c r="IO133">
        <v>106968286</v>
      </c>
      <c r="IP133">
        <v>104134023</v>
      </c>
      <c r="IQ133">
        <v>70</v>
      </c>
      <c r="IR133">
        <v>58</v>
      </c>
      <c r="IT133" s="24"/>
      <c r="IU133">
        <v>7723</v>
      </c>
      <c r="IV133">
        <v>8500</v>
      </c>
      <c r="IW133">
        <v>8000</v>
      </c>
      <c r="IX133">
        <v>1632760</v>
      </c>
      <c r="IY133">
        <v>147</v>
      </c>
      <c r="JA133" s="24"/>
      <c r="JB133">
        <v>101112001</v>
      </c>
      <c r="JC133">
        <v>106995399</v>
      </c>
      <c r="JD133">
        <v>103946786</v>
      </c>
      <c r="JE133">
        <v>91</v>
      </c>
      <c r="JF133">
        <v>66</v>
      </c>
      <c r="JH133" s="24"/>
      <c r="JI133">
        <v>101000800</v>
      </c>
      <c r="JJ133">
        <v>107019400</v>
      </c>
      <c r="JK133">
        <v>103708510</v>
      </c>
      <c r="JL133">
        <v>64</v>
      </c>
      <c r="JM133">
        <v>47</v>
      </c>
      <c r="JO133" s="24"/>
      <c r="JP133">
        <v>70</v>
      </c>
      <c r="JQ133">
        <v>74</v>
      </c>
      <c r="JR133">
        <v>71</v>
      </c>
      <c r="JS133">
        <v>59779995</v>
      </c>
      <c r="JT133">
        <v>91</v>
      </c>
      <c r="JV133" s="24"/>
      <c r="JW133">
        <v>62</v>
      </c>
      <c r="JX133">
        <v>65</v>
      </c>
      <c r="JY133">
        <v>65</v>
      </c>
      <c r="JZ133">
        <v>105789787</v>
      </c>
      <c r="KA133">
        <v>85</v>
      </c>
      <c r="KC133" s="24"/>
      <c r="KD133">
        <v>22</v>
      </c>
      <c r="KE133">
        <v>26</v>
      </c>
      <c r="KF133">
        <v>25</v>
      </c>
      <c r="KG133">
        <v>48739277</v>
      </c>
      <c r="KH133">
        <v>273</v>
      </c>
      <c r="KJ133" s="24"/>
      <c r="KK133">
        <v>70</v>
      </c>
      <c r="KL133">
        <v>74</v>
      </c>
      <c r="KM133">
        <v>74</v>
      </c>
      <c r="KN133">
        <v>152406987</v>
      </c>
      <c r="KO133">
        <v>153</v>
      </c>
      <c r="KQ133" s="24"/>
      <c r="KR133">
        <v>83500</v>
      </c>
      <c r="KS133">
        <v>84022</v>
      </c>
      <c r="KT133">
        <v>84015</v>
      </c>
      <c r="KU133">
        <v>106779</v>
      </c>
      <c r="KV133">
        <v>619</v>
      </c>
      <c r="KX133" s="24"/>
      <c r="KY133">
        <v>614</v>
      </c>
      <c r="KZ133">
        <v>614</v>
      </c>
      <c r="LA133">
        <v>614</v>
      </c>
      <c r="LB133">
        <v>8536229</v>
      </c>
      <c r="LC133">
        <v>198</v>
      </c>
      <c r="LE133" s="24"/>
      <c r="LF133">
        <v>194467</v>
      </c>
      <c r="LG133">
        <v>195105</v>
      </c>
      <c r="LH133">
        <v>194478</v>
      </c>
      <c r="LI133">
        <v>177358</v>
      </c>
      <c r="LJ133">
        <v>918</v>
      </c>
      <c r="LL133" s="24"/>
      <c r="LM133">
        <v>76145</v>
      </c>
      <c r="LN133">
        <v>76169</v>
      </c>
      <c r="LO133">
        <v>76146</v>
      </c>
      <c r="LP133">
        <v>371789</v>
      </c>
      <c r="LQ133">
        <v>1274</v>
      </c>
      <c r="LS133" s="24"/>
      <c r="LT133">
        <v>370</v>
      </c>
      <c r="LU133">
        <v>383</v>
      </c>
      <c r="LV133">
        <v>382</v>
      </c>
      <c r="LW133">
        <v>70226108</v>
      </c>
      <c r="LX133">
        <v>310</v>
      </c>
      <c r="LZ133" s="24"/>
      <c r="MA133">
        <v>100055</v>
      </c>
      <c r="MB133">
        <v>103794</v>
      </c>
      <c r="MC133">
        <v>103786</v>
      </c>
      <c r="MD133">
        <v>259195</v>
      </c>
      <c r="ME133">
        <v>55</v>
      </c>
    </row>
    <row r="134" spans="2:343" x14ac:dyDescent="0.25">
      <c r="B134" s="24"/>
      <c r="C134">
        <v>3</v>
      </c>
      <c r="D134">
        <v>3</v>
      </c>
      <c r="E134">
        <v>3</v>
      </c>
      <c r="F134">
        <v>29214717551</v>
      </c>
      <c r="G134">
        <v>2712</v>
      </c>
      <c r="I134" s="24"/>
      <c r="J134">
        <v>4</v>
      </c>
      <c r="K134">
        <v>5</v>
      </c>
      <c r="L134">
        <v>4</v>
      </c>
      <c r="M134">
        <v>4516314445</v>
      </c>
      <c r="N134">
        <v>1868</v>
      </c>
      <c r="P134" s="24"/>
      <c r="Q134">
        <v>28</v>
      </c>
      <c r="R134">
        <v>29</v>
      </c>
      <c r="S134">
        <v>29</v>
      </c>
      <c r="T134">
        <v>1601518104</v>
      </c>
      <c r="U134">
        <v>1822</v>
      </c>
      <c r="W134" s="24"/>
      <c r="X134">
        <v>88</v>
      </c>
      <c r="Y134">
        <v>89</v>
      </c>
      <c r="Z134">
        <v>89</v>
      </c>
      <c r="AA134">
        <v>303774922</v>
      </c>
      <c r="AB134">
        <v>1457</v>
      </c>
      <c r="AD134" s="24"/>
      <c r="AE134">
        <v>548</v>
      </c>
      <c r="AF134">
        <v>552</v>
      </c>
      <c r="AG134">
        <v>549</v>
      </c>
      <c r="AH134">
        <v>93797018</v>
      </c>
      <c r="AI134">
        <v>1538</v>
      </c>
      <c r="AK134" s="24"/>
      <c r="AL134">
        <v>935</v>
      </c>
      <c r="AM134">
        <v>956</v>
      </c>
      <c r="AN134">
        <v>949</v>
      </c>
      <c r="AO134">
        <v>44458508</v>
      </c>
      <c r="AP134">
        <v>1179</v>
      </c>
      <c r="AR134" s="24"/>
      <c r="AS134">
        <v>2605</v>
      </c>
      <c r="AT134">
        <v>2642</v>
      </c>
      <c r="AU134">
        <v>2626</v>
      </c>
      <c r="AV134">
        <v>16742366</v>
      </c>
      <c r="AW134">
        <v>1192</v>
      </c>
      <c r="AY134" s="24"/>
      <c r="AZ134">
        <v>360000000</v>
      </c>
      <c r="BA134">
        <v>365199999</v>
      </c>
      <c r="BB134">
        <v>364799999</v>
      </c>
      <c r="BC134">
        <v>1919</v>
      </c>
      <c r="BD134">
        <v>1352</v>
      </c>
      <c r="BF134" s="24"/>
      <c r="BG134">
        <v>27102</v>
      </c>
      <c r="BH134">
        <v>27500</v>
      </c>
      <c r="BI134">
        <v>27401</v>
      </c>
      <c r="BJ134">
        <v>895197</v>
      </c>
      <c r="BK134">
        <v>173</v>
      </c>
      <c r="BM134" s="24"/>
      <c r="BN134">
        <v>6000000</v>
      </c>
      <c r="BO134">
        <v>6002000</v>
      </c>
      <c r="BP134">
        <v>6000000</v>
      </c>
      <c r="BQ134">
        <v>9103</v>
      </c>
      <c r="BR134">
        <v>302</v>
      </c>
      <c r="BT134" s="24"/>
      <c r="BU134">
        <v>2304</v>
      </c>
      <c r="BV134">
        <v>2371</v>
      </c>
      <c r="BW134">
        <v>2309</v>
      </c>
      <c r="BX134">
        <v>19965035</v>
      </c>
      <c r="BY134">
        <v>230</v>
      </c>
      <c r="CA134" s="24"/>
      <c r="CB134">
        <v>400</v>
      </c>
      <c r="CC134">
        <v>421</v>
      </c>
      <c r="CD134">
        <v>419</v>
      </c>
      <c r="CE134">
        <v>66109719</v>
      </c>
      <c r="CF134">
        <v>293</v>
      </c>
      <c r="CH134" s="24"/>
      <c r="CI134">
        <v>26021</v>
      </c>
      <c r="CJ134">
        <v>26046</v>
      </c>
      <c r="CK134">
        <v>26044</v>
      </c>
      <c r="CL134">
        <v>3050906</v>
      </c>
      <c r="CM134">
        <v>181</v>
      </c>
      <c r="CO134" s="24"/>
      <c r="CP134">
        <v>8321</v>
      </c>
      <c r="CQ134">
        <v>8887</v>
      </c>
      <c r="CR134">
        <v>8885</v>
      </c>
      <c r="CS134">
        <v>888660</v>
      </c>
      <c r="CT134">
        <v>333</v>
      </c>
      <c r="CV134" s="24"/>
      <c r="CW134">
        <v>1310000</v>
      </c>
      <c r="CX134">
        <v>1339997</v>
      </c>
      <c r="CY134">
        <v>1339215</v>
      </c>
      <c r="CZ134">
        <v>7642</v>
      </c>
      <c r="DA134">
        <v>47</v>
      </c>
      <c r="DC134" s="24"/>
      <c r="DD134">
        <v>437</v>
      </c>
      <c r="DE134">
        <v>439</v>
      </c>
      <c r="DF134">
        <v>437</v>
      </c>
      <c r="DG134">
        <v>73901184</v>
      </c>
      <c r="DH134">
        <v>205</v>
      </c>
      <c r="DJ134" s="24"/>
      <c r="DK134">
        <v>32500000</v>
      </c>
      <c r="DL134">
        <v>32600109</v>
      </c>
      <c r="DM134">
        <v>32600012</v>
      </c>
      <c r="DN134">
        <v>426</v>
      </c>
      <c r="DO134">
        <v>58</v>
      </c>
      <c r="DQ134" s="24"/>
      <c r="DR134">
        <v>1681426</v>
      </c>
      <c r="DS134">
        <v>1999998</v>
      </c>
      <c r="DT134">
        <v>1700000</v>
      </c>
      <c r="DU134">
        <v>2725</v>
      </c>
      <c r="DV134">
        <v>165</v>
      </c>
      <c r="DX134" s="24"/>
      <c r="DY134">
        <v>19202013</v>
      </c>
      <c r="DZ134">
        <v>20999998</v>
      </c>
      <c r="EA134">
        <v>19202019</v>
      </c>
      <c r="EB134">
        <v>223</v>
      </c>
      <c r="EC134">
        <v>69</v>
      </c>
      <c r="EE134" s="24"/>
      <c r="EF134">
        <v>160</v>
      </c>
      <c r="EG134">
        <v>161</v>
      </c>
      <c r="EH134">
        <v>161</v>
      </c>
      <c r="EI134">
        <v>83977147</v>
      </c>
      <c r="EJ134">
        <v>140</v>
      </c>
      <c r="EL134" s="24"/>
      <c r="EM134">
        <v>45001</v>
      </c>
      <c r="EN134">
        <v>48499</v>
      </c>
      <c r="EO134">
        <v>46000</v>
      </c>
      <c r="EP134">
        <v>74224</v>
      </c>
      <c r="EQ134">
        <v>627</v>
      </c>
      <c r="ES134" s="24"/>
      <c r="ET134">
        <v>419</v>
      </c>
      <c r="EU134">
        <v>439</v>
      </c>
      <c r="EV134">
        <v>424</v>
      </c>
      <c r="EW134">
        <v>45488637</v>
      </c>
      <c r="EX134">
        <v>649</v>
      </c>
      <c r="EZ134" s="24"/>
      <c r="FA134">
        <v>3093353</v>
      </c>
      <c r="FB134">
        <v>3096685</v>
      </c>
      <c r="FC134">
        <v>3093355</v>
      </c>
      <c r="FD134">
        <v>1202</v>
      </c>
      <c r="FE134">
        <v>40</v>
      </c>
      <c r="FG134" s="24"/>
      <c r="FH134">
        <v>6952</v>
      </c>
      <c r="FI134">
        <v>7394</v>
      </c>
      <c r="FJ134">
        <v>7284</v>
      </c>
      <c r="FK134">
        <v>1405646</v>
      </c>
      <c r="FL134">
        <v>383</v>
      </c>
      <c r="FN134" s="24"/>
      <c r="FO134">
        <v>22500</v>
      </c>
      <c r="FP134">
        <v>22996</v>
      </c>
      <c r="FQ134">
        <v>22990</v>
      </c>
      <c r="FR134">
        <v>88983</v>
      </c>
      <c r="FS134">
        <v>65</v>
      </c>
      <c r="FU134" s="24"/>
      <c r="FV134">
        <v>21023</v>
      </c>
      <c r="FW134">
        <v>21026</v>
      </c>
      <c r="FX134">
        <v>21025</v>
      </c>
      <c r="FY134">
        <v>285471</v>
      </c>
      <c r="FZ134">
        <v>1066</v>
      </c>
      <c r="GB134" s="24"/>
      <c r="GC134">
        <v>100113200</v>
      </c>
      <c r="GD134">
        <v>106499799</v>
      </c>
      <c r="GE134">
        <v>103212208</v>
      </c>
      <c r="GF134">
        <v>69</v>
      </c>
      <c r="GG134">
        <v>55</v>
      </c>
      <c r="GI134" s="24"/>
      <c r="GJ134">
        <v>27490021</v>
      </c>
      <c r="GK134">
        <v>28999997</v>
      </c>
      <c r="GL134">
        <v>27490032</v>
      </c>
      <c r="GM134">
        <v>133</v>
      </c>
      <c r="GN134">
        <v>42</v>
      </c>
      <c r="GP134" s="24"/>
      <c r="GQ134">
        <v>76</v>
      </c>
      <c r="GR134">
        <v>80</v>
      </c>
      <c r="GS134">
        <v>76</v>
      </c>
      <c r="GT134">
        <v>91252100</v>
      </c>
      <c r="GU134">
        <v>107</v>
      </c>
      <c r="GW134" s="24"/>
      <c r="GX134">
        <v>425</v>
      </c>
      <c r="GY134">
        <v>456</v>
      </c>
      <c r="GZ134">
        <v>448</v>
      </c>
      <c r="HA134">
        <v>54290241</v>
      </c>
      <c r="HB134">
        <v>228</v>
      </c>
      <c r="HD134" s="24"/>
      <c r="HE134">
        <v>5986</v>
      </c>
      <c r="HF134">
        <v>6074</v>
      </c>
      <c r="HG134">
        <v>6020</v>
      </c>
      <c r="HH134">
        <v>20678018</v>
      </c>
      <c r="HI134">
        <v>317</v>
      </c>
      <c r="HK134" s="24"/>
      <c r="HL134">
        <v>100005200</v>
      </c>
      <c r="HM134">
        <v>105499999</v>
      </c>
      <c r="HN134">
        <v>102177301</v>
      </c>
      <c r="HO134">
        <v>95</v>
      </c>
      <c r="HP134">
        <v>61</v>
      </c>
      <c r="HR134" s="24"/>
      <c r="HS134">
        <v>7701</v>
      </c>
      <c r="HT134">
        <v>7980</v>
      </c>
      <c r="HU134">
        <v>7973</v>
      </c>
      <c r="HV134">
        <v>767691</v>
      </c>
      <c r="HW134">
        <v>107</v>
      </c>
      <c r="HY134" s="24"/>
      <c r="HZ134">
        <v>6900</v>
      </c>
      <c r="IA134">
        <v>7245</v>
      </c>
      <c r="IB134">
        <v>7196</v>
      </c>
      <c r="IC134">
        <v>1560981</v>
      </c>
      <c r="ID134">
        <v>392</v>
      </c>
      <c r="IF134" s="24"/>
      <c r="IG134">
        <v>2800</v>
      </c>
      <c r="IH134">
        <v>2959</v>
      </c>
      <c r="II134">
        <v>2810</v>
      </c>
      <c r="IJ134">
        <v>884122</v>
      </c>
      <c r="IK134">
        <v>109</v>
      </c>
      <c r="IM134" s="24"/>
      <c r="IN134">
        <v>99602001</v>
      </c>
      <c r="IO134">
        <v>106968283</v>
      </c>
      <c r="IP134">
        <v>101786923</v>
      </c>
      <c r="IQ134">
        <v>92</v>
      </c>
      <c r="IR134">
        <v>65</v>
      </c>
      <c r="IT134" s="24"/>
      <c r="IU134">
        <v>7622</v>
      </c>
      <c r="IV134">
        <v>8794</v>
      </c>
      <c r="IW134">
        <v>7701</v>
      </c>
      <c r="IX134">
        <v>997308</v>
      </c>
      <c r="IY134">
        <v>137</v>
      </c>
      <c r="JA134" s="24"/>
      <c r="JB134">
        <v>101229000</v>
      </c>
      <c r="JC134">
        <v>106498400</v>
      </c>
      <c r="JD134">
        <v>104047493</v>
      </c>
      <c r="JE134">
        <v>99</v>
      </c>
      <c r="JF134">
        <v>62</v>
      </c>
      <c r="JH134" s="24"/>
      <c r="JI134">
        <v>101501701</v>
      </c>
      <c r="JJ134">
        <v>106997400</v>
      </c>
      <c r="JK134">
        <v>104421276</v>
      </c>
      <c r="JL134">
        <v>56</v>
      </c>
      <c r="JM134">
        <v>41</v>
      </c>
      <c r="JO134" s="24"/>
      <c r="JP134">
        <v>69</v>
      </c>
      <c r="JQ134">
        <v>69</v>
      </c>
      <c r="JR134">
        <v>69</v>
      </c>
      <c r="JS134">
        <v>81071087</v>
      </c>
      <c r="JT134">
        <v>79</v>
      </c>
      <c r="JV134" s="24"/>
      <c r="JW134">
        <v>62</v>
      </c>
      <c r="JX134">
        <v>65</v>
      </c>
      <c r="JY134">
        <v>65</v>
      </c>
      <c r="JZ134">
        <v>56063900</v>
      </c>
      <c r="KA134">
        <v>69</v>
      </c>
      <c r="KC134" s="24"/>
      <c r="KD134">
        <v>23</v>
      </c>
      <c r="KE134">
        <v>24</v>
      </c>
      <c r="KF134">
        <v>23</v>
      </c>
      <c r="KG134">
        <v>57730078</v>
      </c>
      <c r="KH134">
        <v>277</v>
      </c>
      <c r="KJ134" s="24"/>
      <c r="KK134">
        <v>70</v>
      </c>
      <c r="KL134">
        <v>71</v>
      </c>
      <c r="KM134">
        <v>70</v>
      </c>
      <c r="KN134">
        <v>87980105</v>
      </c>
      <c r="KO134">
        <v>90</v>
      </c>
      <c r="KQ134" s="24"/>
      <c r="KR134">
        <v>83034</v>
      </c>
      <c r="KS134">
        <v>83034</v>
      </c>
      <c r="KT134">
        <v>83034</v>
      </c>
      <c r="KU134">
        <v>43520</v>
      </c>
      <c r="KV134">
        <v>515</v>
      </c>
      <c r="KX134" s="24"/>
      <c r="KY134">
        <v>600</v>
      </c>
      <c r="KZ134">
        <v>614</v>
      </c>
      <c r="LA134">
        <v>600</v>
      </c>
      <c r="LB134">
        <v>2654105</v>
      </c>
      <c r="LC134">
        <v>122</v>
      </c>
      <c r="LE134" s="24"/>
      <c r="LF134">
        <v>194466</v>
      </c>
      <c r="LG134">
        <v>197900</v>
      </c>
      <c r="LH134">
        <v>194467</v>
      </c>
      <c r="LI134">
        <v>97272</v>
      </c>
      <c r="LJ134">
        <v>778</v>
      </c>
      <c r="LL134" s="24"/>
      <c r="LM134">
        <v>72001</v>
      </c>
      <c r="LN134">
        <v>73000</v>
      </c>
      <c r="LO134">
        <v>72001</v>
      </c>
      <c r="LP134">
        <v>265285</v>
      </c>
      <c r="LQ134">
        <v>1080</v>
      </c>
      <c r="LS134" s="24"/>
      <c r="LT134">
        <v>383</v>
      </c>
      <c r="LU134">
        <v>397</v>
      </c>
      <c r="LV134">
        <v>385</v>
      </c>
      <c r="LW134">
        <v>81554930</v>
      </c>
      <c r="LX134">
        <v>336</v>
      </c>
      <c r="LZ134" s="24"/>
      <c r="MA134">
        <v>100172</v>
      </c>
      <c r="MB134">
        <v>103484</v>
      </c>
      <c r="MC134">
        <v>100269</v>
      </c>
      <c r="MD134">
        <v>1160152</v>
      </c>
      <c r="ME134">
        <v>130</v>
      </c>
    </row>
    <row r="135" spans="2:343" x14ac:dyDescent="0.25">
      <c r="B135" s="24"/>
      <c r="C135">
        <v>3</v>
      </c>
      <c r="D135">
        <v>3</v>
      </c>
      <c r="E135">
        <v>3</v>
      </c>
      <c r="F135">
        <v>40530457749</v>
      </c>
      <c r="G135">
        <v>2950</v>
      </c>
      <c r="I135" s="24"/>
      <c r="J135">
        <v>4</v>
      </c>
      <c r="K135">
        <v>4</v>
      </c>
      <c r="L135">
        <v>4</v>
      </c>
      <c r="M135">
        <v>5784042314</v>
      </c>
      <c r="N135">
        <v>2081</v>
      </c>
      <c r="P135" s="24"/>
      <c r="Q135">
        <v>29</v>
      </c>
      <c r="R135">
        <v>30</v>
      </c>
      <c r="S135">
        <v>29</v>
      </c>
      <c r="T135">
        <v>1716217563</v>
      </c>
      <c r="U135">
        <v>1920</v>
      </c>
      <c r="W135" s="24"/>
      <c r="X135">
        <v>86</v>
      </c>
      <c r="Y135">
        <v>88</v>
      </c>
      <c r="Z135">
        <v>88</v>
      </c>
      <c r="AA135">
        <v>353169512</v>
      </c>
      <c r="AB135">
        <v>1578</v>
      </c>
      <c r="AD135" s="24"/>
      <c r="AE135">
        <v>539</v>
      </c>
      <c r="AF135">
        <v>557</v>
      </c>
      <c r="AG135">
        <v>550</v>
      </c>
      <c r="AH135">
        <v>94646374</v>
      </c>
      <c r="AI135">
        <v>1672</v>
      </c>
      <c r="AK135" s="24"/>
      <c r="AL135">
        <v>919</v>
      </c>
      <c r="AM135">
        <v>945</v>
      </c>
      <c r="AN135">
        <v>931</v>
      </c>
      <c r="AO135">
        <v>41578070</v>
      </c>
      <c r="AP135">
        <v>1335</v>
      </c>
      <c r="AR135" s="24"/>
      <c r="AS135">
        <v>2489</v>
      </c>
      <c r="AT135">
        <v>2590</v>
      </c>
      <c r="AU135">
        <v>2581</v>
      </c>
      <c r="AV135">
        <v>16470662</v>
      </c>
      <c r="AW135">
        <v>1329</v>
      </c>
      <c r="AY135" s="24"/>
      <c r="AZ135">
        <v>360000000</v>
      </c>
      <c r="BA135">
        <v>367398999</v>
      </c>
      <c r="BB135">
        <v>364989999</v>
      </c>
      <c r="BC135">
        <v>1824</v>
      </c>
      <c r="BD135">
        <v>1336</v>
      </c>
      <c r="BF135" s="24"/>
      <c r="BG135">
        <v>26040</v>
      </c>
      <c r="BH135">
        <v>26044</v>
      </c>
      <c r="BI135">
        <v>26041</v>
      </c>
      <c r="BJ135">
        <v>2423859</v>
      </c>
      <c r="BK135">
        <v>259</v>
      </c>
      <c r="BM135" s="24"/>
      <c r="BN135">
        <v>5900008</v>
      </c>
      <c r="BO135">
        <v>6147980</v>
      </c>
      <c r="BP135">
        <v>5950000</v>
      </c>
      <c r="BQ135">
        <v>10747</v>
      </c>
      <c r="BR135">
        <v>313</v>
      </c>
      <c r="BT135" s="24"/>
      <c r="BU135">
        <v>2368</v>
      </c>
      <c r="BV135">
        <v>2368</v>
      </c>
      <c r="BW135">
        <v>2368</v>
      </c>
      <c r="BX135">
        <v>9884059</v>
      </c>
      <c r="BY135">
        <v>171</v>
      </c>
      <c r="CA135" s="24"/>
      <c r="CB135">
        <v>437</v>
      </c>
      <c r="CC135">
        <v>446</v>
      </c>
      <c r="CD135">
        <v>446</v>
      </c>
      <c r="CE135">
        <v>61422749</v>
      </c>
      <c r="CF135">
        <v>268</v>
      </c>
      <c r="CH135" s="24"/>
      <c r="CI135">
        <v>25525</v>
      </c>
      <c r="CJ135">
        <v>25810</v>
      </c>
      <c r="CK135">
        <v>25808</v>
      </c>
      <c r="CL135">
        <v>816164</v>
      </c>
      <c r="CM135">
        <v>166</v>
      </c>
      <c r="CO135" s="24"/>
      <c r="CP135">
        <v>8390</v>
      </c>
      <c r="CQ135">
        <v>8849</v>
      </c>
      <c r="CR135">
        <v>8806</v>
      </c>
      <c r="CS135">
        <v>1124792</v>
      </c>
      <c r="CT135">
        <v>413</v>
      </c>
      <c r="CV135" s="24"/>
      <c r="CW135">
        <v>1306001</v>
      </c>
      <c r="CX135">
        <v>1339200</v>
      </c>
      <c r="CY135">
        <v>1339199</v>
      </c>
      <c r="CZ135">
        <v>5778</v>
      </c>
      <c r="DA135">
        <v>32</v>
      </c>
      <c r="DC135" s="24"/>
      <c r="DD135">
        <v>433</v>
      </c>
      <c r="DE135">
        <v>484</v>
      </c>
      <c r="DF135">
        <v>435</v>
      </c>
      <c r="DG135">
        <v>60617411</v>
      </c>
      <c r="DH135">
        <v>213</v>
      </c>
      <c r="DJ135" s="24"/>
      <c r="DK135">
        <v>32607120</v>
      </c>
      <c r="DL135">
        <v>35699111</v>
      </c>
      <c r="DM135">
        <v>32609008</v>
      </c>
      <c r="DN135">
        <v>171</v>
      </c>
      <c r="DO135">
        <v>66</v>
      </c>
      <c r="DQ135" s="24"/>
      <c r="DR135">
        <v>1685007</v>
      </c>
      <c r="DS135">
        <v>1700000</v>
      </c>
      <c r="DT135">
        <v>1690003</v>
      </c>
      <c r="DU135">
        <v>3722</v>
      </c>
      <c r="DV135">
        <v>159</v>
      </c>
      <c r="DX135" s="24"/>
      <c r="DY135">
        <v>19222026</v>
      </c>
      <c r="DZ135">
        <v>19222059</v>
      </c>
      <c r="EA135">
        <v>19222054</v>
      </c>
      <c r="EB135">
        <v>222</v>
      </c>
      <c r="EC135">
        <v>70</v>
      </c>
      <c r="EE135" s="24"/>
      <c r="EF135">
        <v>159</v>
      </c>
      <c r="EG135">
        <v>162</v>
      </c>
      <c r="EH135">
        <v>161</v>
      </c>
      <c r="EI135">
        <v>66494516</v>
      </c>
      <c r="EJ135">
        <v>151</v>
      </c>
      <c r="EL135" s="24"/>
      <c r="EM135">
        <v>46250</v>
      </c>
      <c r="EN135">
        <v>51200</v>
      </c>
      <c r="EO135">
        <v>46400</v>
      </c>
      <c r="EP135">
        <v>67947</v>
      </c>
      <c r="EQ135">
        <v>621</v>
      </c>
      <c r="ES135" s="24"/>
      <c r="ET135">
        <v>405</v>
      </c>
      <c r="EU135">
        <v>438</v>
      </c>
      <c r="EV135">
        <v>420</v>
      </c>
      <c r="EW135">
        <v>66055974</v>
      </c>
      <c r="EX135">
        <v>740</v>
      </c>
      <c r="EZ135" s="24"/>
      <c r="FA135">
        <v>3093353</v>
      </c>
      <c r="FB135">
        <v>3096697</v>
      </c>
      <c r="FC135">
        <v>3093355</v>
      </c>
      <c r="FD135">
        <v>1750</v>
      </c>
      <c r="FE135">
        <v>35</v>
      </c>
      <c r="FG135" s="24"/>
      <c r="FH135">
        <v>7001</v>
      </c>
      <c r="FI135">
        <v>7394</v>
      </c>
      <c r="FJ135">
        <v>7388</v>
      </c>
      <c r="FK135">
        <v>1397475</v>
      </c>
      <c r="FL135">
        <v>474</v>
      </c>
      <c r="FN135" s="24"/>
      <c r="FO135">
        <v>20812</v>
      </c>
      <c r="FP135">
        <v>22497</v>
      </c>
      <c r="FQ135">
        <v>22402</v>
      </c>
      <c r="FR135">
        <v>185889</v>
      </c>
      <c r="FS135">
        <v>71</v>
      </c>
      <c r="FU135" s="24"/>
      <c r="FV135">
        <v>21026</v>
      </c>
      <c r="FW135">
        <v>21030</v>
      </c>
      <c r="FX135">
        <v>21030</v>
      </c>
      <c r="FY135">
        <v>324443</v>
      </c>
      <c r="FZ135">
        <v>1098</v>
      </c>
      <c r="GB135" s="24"/>
      <c r="GC135">
        <v>100230200</v>
      </c>
      <c r="GD135">
        <v>106493400</v>
      </c>
      <c r="GE135">
        <v>104204393</v>
      </c>
      <c r="GF135">
        <v>59</v>
      </c>
      <c r="GG135">
        <v>46</v>
      </c>
      <c r="GI135" s="24"/>
      <c r="GJ135">
        <v>28180032</v>
      </c>
      <c r="GK135">
        <v>29700000</v>
      </c>
      <c r="GL135">
        <v>29000000</v>
      </c>
      <c r="GM135">
        <v>233</v>
      </c>
      <c r="GN135">
        <v>57</v>
      </c>
      <c r="GP135" s="24"/>
      <c r="GQ135">
        <v>72</v>
      </c>
      <c r="GR135">
        <v>77</v>
      </c>
      <c r="GS135">
        <v>76</v>
      </c>
      <c r="GT135">
        <v>111452100</v>
      </c>
      <c r="GU135">
        <v>127</v>
      </c>
      <c r="GW135" s="24"/>
      <c r="GX135">
        <v>455</v>
      </c>
      <c r="GY135">
        <v>455</v>
      </c>
      <c r="GZ135">
        <v>455</v>
      </c>
      <c r="HA135">
        <v>62123008</v>
      </c>
      <c r="HB135">
        <v>277</v>
      </c>
      <c r="HD135" s="24"/>
      <c r="HE135">
        <v>5863</v>
      </c>
      <c r="HF135">
        <v>5966</v>
      </c>
      <c r="HG135">
        <v>5966</v>
      </c>
      <c r="HH135">
        <v>14535025</v>
      </c>
      <c r="HI135">
        <v>276</v>
      </c>
      <c r="HK135" s="24"/>
      <c r="HL135">
        <v>100000005</v>
      </c>
      <c r="HM135">
        <v>106484599</v>
      </c>
      <c r="HN135">
        <v>105368883</v>
      </c>
      <c r="HO135">
        <v>42</v>
      </c>
      <c r="HP135">
        <v>41</v>
      </c>
      <c r="HR135" s="24"/>
      <c r="HS135">
        <v>7703</v>
      </c>
      <c r="HT135">
        <v>7998</v>
      </c>
      <c r="HU135">
        <v>7991</v>
      </c>
      <c r="HV135">
        <v>769927</v>
      </c>
      <c r="HW135">
        <v>129</v>
      </c>
      <c r="HY135" s="24"/>
      <c r="HZ135">
        <v>6830</v>
      </c>
      <c r="IA135">
        <v>7239</v>
      </c>
      <c r="IB135">
        <v>7155</v>
      </c>
      <c r="IC135">
        <v>1518987</v>
      </c>
      <c r="ID135">
        <v>420</v>
      </c>
      <c r="IF135" s="24"/>
      <c r="IG135">
        <v>2958</v>
      </c>
      <c r="IH135">
        <v>2959</v>
      </c>
      <c r="II135">
        <v>2959</v>
      </c>
      <c r="IJ135">
        <v>624527</v>
      </c>
      <c r="IK135">
        <v>93</v>
      </c>
      <c r="IM135" s="24"/>
      <c r="IN135">
        <v>99653001</v>
      </c>
      <c r="IO135">
        <v>106964997</v>
      </c>
      <c r="IP135">
        <v>105223548</v>
      </c>
      <c r="IQ135">
        <v>44</v>
      </c>
      <c r="IR135">
        <v>41</v>
      </c>
      <c r="IT135" s="24"/>
      <c r="IU135">
        <v>7608</v>
      </c>
      <c r="IV135">
        <v>7802</v>
      </c>
      <c r="IW135">
        <v>7622</v>
      </c>
      <c r="IX135">
        <v>2086400</v>
      </c>
      <c r="IY135">
        <v>189</v>
      </c>
      <c r="JA135" s="24"/>
      <c r="JB135">
        <v>101448008</v>
      </c>
      <c r="JC135">
        <v>106495197</v>
      </c>
      <c r="JD135">
        <v>104982088</v>
      </c>
      <c r="JE135">
        <v>62</v>
      </c>
      <c r="JF135">
        <v>54</v>
      </c>
      <c r="JH135" s="24"/>
      <c r="JI135">
        <v>101504000</v>
      </c>
      <c r="JJ135">
        <v>106997200</v>
      </c>
      <c r="JK135">
        <v>103316505</v>
      </c>
      <c r="JL135">
        <v>67</v>
      </c>
      <c r="JM135">
        <v>36</v>
      </c>
      <c r="JO135" s="24"/>
      <c r="JP135">
        <v>70</v>
      </c>
      <c r="JQ135">
        <v>70</v>
      </c>
      <c r="JR135">
        <v>70</v>
      </c>
      <c r="JS135">
        <v>63540851</v>
      </c>
      <c r="JT135">
        <v>71</v>
      </c>
      <c r="JV135" s="24"/>
      <c r="JW135">
        <v>62</v>
      </c>
      <c r="JX135">
        <v>65</v>
      </c>
      <c r="JY135">
        <v>62</v>
      </c>
      <c r="JZ135">
        <v>172974444</v>
      </c>
      <c r="KA135">
        <v>109</v>
      </c>
      <c r="KC135" s="24"/>
      <c r="KD135">
        <v>23</v>
      </c>
      <c r="KE135">
        <v>25</v>
      </c>
      <c r="KF135">
        <v>23</v>
      </c>
      <c r="KG135">
        <v>73439479</v>
      </c>
      <c r="KH135">
        <v>347</v>
      </c>
      <c r="KJ135" s="24"/>
      <c r="KK135">
        <v>70</v>
      </c>
      <c r="KL135">
        <v>71</v>
      </c>
      <c r="KM135">
        <v>70</v>
      </c>
      <c r="KN135">
        <v>135108016</v>
      </c>
      <c r="KO135">
        <v>143</v>
      </c>
      <c r="KQ135" s="24"/>
      <c r="KR135">
        <v>84001</v>
      </c>
      <c r="KS135">
        <v>84002</v>
      </c>
      <c r="KT135">
        <v>84001</v>
      </c>
      <c r="KU135">
        <v>56305</v>
      </c>
      <c r="KV135">
        <v>540</v>
      </c>
      <c r="KX135" s="24"/>
      <c r="KY135">
        <v>614</v>
      </c>
      <c r="KZ135">
        <v>614</v>
      </c>
      <c r="LA135">
        <v>614</v>
      </c>
      <c r="LB135">
        <v>5777632</v>
      </c>
      <c r="LC135">
        <v>156</v>
      </c>
      <c r="LE135" s="24"/>
      <c r="LF135">
        <v>192021</v>
      </c>
      <c r="LG135">
        <v>194000</v>
      </c>
      <c r="LH135">
        <v>192021</v>
      </c>
      <c r="LI135">
        <v>151733</v>
      </c>
      <c r="LJ135">
        <v>824</v>
      </c>
      <c r="LL135" s="24"/>
      <c r="LM135">
        <v>73506</v>
      </c>
      <c r="LN135">
        <v>74555</v>
      </c>
      <c r="LO135">
        <v>73767</v>
      </c>
      <c r="LP135">
        <v>271565</v>
      </c>
      <c r="LQ135">
        <v>1151</v>
      </c>
      <c r="LS135" s="24"/>
      <c r="LT135">
        <v>405</v>
      </c>
      <c r="LU135">
        <v>427</v>
      </c>
      <c r="LV135">
        <v>419</v>
      </c>
      <c r="LW135">
        <v>84783423</v>
      </c>
      <c r="LX135">
        <v>391</v>
      </c>
      <c r="LZ135" s="24"/>
      <c r="MA135">
        <v>100266</v>
      </c>
      <c r="MB135">
        <v>103249</v>
      </c>
      <c r="MC135">
        <v>103193</v>
      </c>
      <c r="MD135">
        <v>969174</v>
      </c>
      <c r="ME135">
        <v>97</v>
      </c>
    </row>
    <row r="136" spans="2:343" x14ac:dyDescent="0.25">
      <c r="B136" s="24"/>
      <c r="C136">
        <v>3</v>
      </c>
      <c r="D136">
        <v>3</v>
      </c>
      <c r="E136">
        <v>3</v>
      </c>
      <c r="F136">
        <v>34120698312</v>
      </c>
      <c r="G136">
        <v>2984</v>
      </c>
      <c r="I136" s="24"/>
      <c r="J136">
        <v>4</v>
      </c>
      <c r="K136">
        <v>4</v>
      </c>
      <c r="L136">
        <v>4</v>
      </c>
      <c r="M136">
        <v>5808986257</v>
      </c>
      <c r="N136">
        <v>2121</v>
      </c>
      <c r="P136" s="24"/>
      <c r="Q136">
        <v>29</v>
      </c>
      <c r="R136">
        <v>29</v>
      </c>
      <c r="S136">
        <v>29</v>
      </c>
      <c r="T136">
        <v>1592577974</v>
      </c>
      <c r="U136">
        <v>1949</v>
      </c>
      <c r="W136" s="24"/>
      <c r="X136">
        <v>86</v>
      </c>
      <c r="Y136">
        <v>90</v>
      </c>
      <c r="Z136">
        <v>88</v>
      </c>
      <c r="AA136">
        <v>402869351</v>
      </c>
      <c r="AB136">
        <v>1594</v>
      </c>
      <c r="AD136" s="24"/>
      <c r="AE136">
        <v>532</v>
      </c>
      <c r="AF136">
        <v>556</v>
      </c>
      <c r="AG136">
        <v>538</v>
      </c>
      <c r="AH136">
        <v>72906149</v>
      </c>
      <c r="AI136">
        <v>1619</v>
      </c>
      <c r="AK136" s="24"/>
      <c r="AL136">
        <v>925</v>
      </c>
      <c r="AM136">
        <v>939</v>
      </c>
      <c r="AN136">
        <v>937</v>
      </c>
      <c r="AO136">
        <v>46605678</v>
      </c>
      <c r="AP136">
        <v>1336</v>
      </c>
      <c r="AR136" s="24"/>
      <c r="AS136">
        <v>2513</v>
      </c>
      <c r="AT136">
        <v>2583</v>
      </c>
      <c r="AU136">
        <v>2525</v>
      </c>
      <c r="AV136">
        <v>14820157</v>
      </c>
      <c r="AW136">
        <v>1232</v>
      </c>
      <c r="AY136" s="24"/>
      <c r="AZ136">
        <v>361000000</v>
      </c>
      <c r="BA136">
        <v>368890999</v>
      </c>
      <c r="BB136">
        <v>363899962</v>
      </c>
      <c r="BC136">
        <v>2130</v>
      </c>
      <c r="BD136">
        <v>1546</v>
      </c>
      <c r="BF136" s="24"/>
      <c r="BG136">
        <v>27015</v>
      </c>
      <c r="BH136">
        <v>27600</v>
      </c>
      <c r="BI136">
        <v>27150</v>
      </c>
      <c r="BJ136">
        <v>2114668</v>
      </c>
      <c r="BK136">
        <v>248</v>
      </c>
      <c r="BM136" s="24"/>
      <c r="BN136">
        <v>6001000</v>
      </c>
      <c r="BO136">
        <v>6099999</v>
      </c>
      <c r="BP136">
        <v>6005034</v>
      </c>
      <c r="BQ136">
        <v>6903</v>
      </c>
      <c r="BR136">
        <v>280</v>
      </c>
      <c r="BT136" s="24"/>
      <c r="BU136">
        <v>2367</v>
      </c>
      <c r="BV136">
        <v>2368</v>
      </c>
      <c r="BW136">
        <v>2367</v>
      </c>
      <c r="BX136">
        <v>13119708</v>
      </c>
      <c r="BY136">
        <v>201</v>
      </c>
      <c r="CA136" s="24"/>
      <c r="CB136">
        <v>426</v>
      </c>
      <c r="CC136">
        <v>446</v>
      </c>
      <c r="CD136">
        <v>440</v>
      </c>
      <c r="CE136">
        <v>61261924</v>
      </c>
      <c r="CF136">
        <v>276</v>
      </c>
      <c r="CH136" s="24"/>
      <c r="CI136">
        <v>25811</v>
      </c>
      <c r="CJ136">
        <v>25850</v>
      </c>
      <c r="CK136">
        <v>25813</v>
      </c>
      <c r="CL136">
        <v>1710496</v>
      </c>
      <c r="CM136">
        <v>218</v>
      </c>
      <c r="CO136" s="24"/>
      <c r="CP136">
        <v>8598</v>
      </c>
      <c r="CQ136">
        <v>8806</v>
      </c>
      <c r="CR136">
        <v>8799</v>
      </c>
      <c r="CS136">
        <v>884823</v>
      </c>
      <c r="CT136">
        <v>346</v>
      </c>
      <c r="CV136" s="24"/>
      <c r="CW136">
        <v>1268551</v>
      </c>
      <c r="CX136">
        <v>1308498</v>
      </c>
      <c r="CY136">
        <v>1268552</v>
      </c>
      <c r="CZ136">
        <v>6225</v>
      </c>
      <c r="DA136">
        <v>37</v>
      </c>
      <c r="DC136" s="24"/>
      <c r="DD136">
        <v>444</v>
      </c>
      <c r="DE136">
        <v>481</v>
      </c>
      <c r="DF136">
        <v>455</v>
      </c>
      <c r="DG136">
        <v>51299258</v>
      </c>
      <c r="DH136">
        <v>233</v>
      </c>
      <c r="DJ136" s="24"/>
      <c r="DK136">
        <v>34789996</v>
      </c>
      <c r="DL136">
        <v>34912040</v>
      </c>
      <c r="DM136">
        <v>34912040</v>
      </c>
      <c r="DN136">
        <v>590</v>
      </c>
      <c r="DO136">
        <v>111</v>
      </c>
      <c r="DQ136" s="24"/>
      <c r="DR136">
        <v>1694000</v>
      </c>
      <c r="DS136">
        <v>1897999</v>
      </c>
      <c r="DT136">
        <v>1695000</v>
      </c>
      <c r="DU136">
        <v>5909</v>
      </c>
      <c r="DV136">
        <v>209</v>
      </c>
      <c r="DX136" s="24"/>
      <c r="DY136">
        <v>19223027</v>
      </c>
      <c r="DZ136">
        <v>19270066</v>
      </c>
      <c r="EA136">
        <v>19260002</v>
      </c>
      <c r="EB136">
        <v>329</v>
      </c>
      <c r="EC136">
        <v>89</v>
      </c>
      <c r="EE136" s="24"/>
      <c r="EF136">
        <v>159</v>
      </c>
      <c r="EG136">
        <v>161</v>
      </c>
      <c r="EH136">
        <v>160</v>
      </c>
      <c r="EI136">
        <v>72294417</v>
      </c>
      <c r="EJ136">
        <v>177</v>
      </c>
      <c r="EL136" s="24"/>
      <c r="EM136">
        <v>46359</v>
      </c>
      <c r="EN136">
        <v>47000</v>
      </c>
      <c r="EO136">
        <v>46365</v>
      </c>
      <c r="EP136">
        <v>69599</v>
      </c>
      <c r="EQ136">
        <v>603</v>
      </c>
      <c r="ES136" s="24"/>
      <c r="ET136">
        <v>414</v>
      </c>
      <c r="EU136">
        <v>437</v>
      </c>
      <c r="EV136">
        <v>434</v>
      </c>
      <c r="EW136">
        <v>52321813</v>
      </c>
      <c r="EX136">
        <v>633</v>
      </c>
      <c r="EZ136" s="24"/>
      <c r="FA136">
        <v>3220900</v>
      </c>
      <c r="FB136">
        <v>3220988</v>
      </c>
      <c r="FC136">
        <v>3220977</v>
      </c>
      <c r="FD136">
        <v>1020</v>
      </c>
      <c r="FE136">
        <v>37</v>
      </c>
      <c r="FG136" s="24"/>
      <c r="FH136">
        <v>7015</v>
      </c>
      <c r="FI136">
        <v>7349</v>
      </c>
      <c r="FJ136">
        <v>7150</v>
      </c>
      <c r="FK136">
        <v>1832733</v>
      </c>
      <c r="FL136">
        <v>398</v>
      </c>
      <c r="FN136" s="24"/>
      <c r="FO136">
        <v>20000</v>
      </c>
      <c r="FP136">
        <v>22478</v>
      </c>
      <c r="FQ136">
        <v>22470</v>
      </c>
      <c r="FR136">
        <v>219473</v>
      </c>
      <c r="FS136">
        <v>87</v>
      </c>
      <c r="FU136" s="24"/>
      <c r="FV136">
        <v>21035</v>
      </c>
      <c r="FW136">
        <v>21300</v>
      </c>
      <c r="FX136">
        <v>21040</v>
      </c>
      <c r="FY136">
        <v>346408</v>
      </c>
      <c r="FZ136">
        <v>1128</v>
      </c>
      <c r="GB136" s="24"/>
      <c r="GC136">
        <v>100256000</v>
      </c>
      <c r="GD136">
        <v>106491200</v>
      </c>
      <c r="GE136">
        <v>104913902</v>
      </c>
      <c r="GF136">
        <v>49</v>
      </c>
      <c r="GG136">
        <v>45</v>
      </c>
      <c r="GI136" s="24"/>
      <c r="GJ136">
        <v>28180034</v>
      </c>
      <c r="GK136">
        <v>28180084</v>
      </c>
      <c r="GL136">
        <v>28180064</v>
      </c>
      <c r="GM136">
        <v>253</v>
      </c>
      <c r="GN136">
        <v>65</v>
      </c>
      <c r="GP136" s="24"/>
      <c r="GQ136">
        <v>68</v>
      </c>
      <c r="GR136">
        <v>72</v>
      </c>
      <c r="GS136">
        <v>69</v>
      </c>
      <c r="GT136">
        <v>131340988</v>
      </c>
      <c r="GU136">
        <v>137</v>
      </c>
      <c r="GW136" s="24"/>
      <c r="GX136">
        <v>424</v>
      </c>
      <c r="GY136">
        <v>449</v>
      </c>
      <c r="GZ136">
        <v>438</v>
      </c>
      <c r="HA136">
        <v>58014592</v>
      </c>
      <c r="HB136">
        <v>281</v>
      </c>
      <c r="HD136" s="24"/>
      <c r="HE136">
        <v>5920</v>
      </c>
      <c r="HF136">
        <v>5970</v>
      </c>
      <c r="HG136">
        <v>5958</v>
      </c>
      <c r="HH136">
        <v>11401886</v>
      </c>
      <c r="HI136">
        <v>289</v>
      </c>
      <c r="HK136" s="24"/>
      <c r="HL136">
        <v>100003302</v>
      </c>
      <c r="HM136">
        <v>106483599</v>
      </c>
      <c r="HN136">
        <v>104406593</v>
      </c>
      <c r="HO136">
        <v>60</v>
      </c>
      <c r="HP136">
        <v>51</v>
      </c>
      <c r="HR136" s="24"/>
      <c r="HS136">
        <v>7702</v>
      </c>
      <c r="HT136">
        <v>7889</v>
      </c>
      <c r="HU136">
        <v>7702</v>
      </c>
      <c r="HV136">
        <v>882075</v>
      </c>
      <c r="HW136">
        <v>143</v>
      </c>
      <c r="HY136" s="24"/>
      <c r="HZ136">
        <v>6830</v>
      </c>
      <c r="IA136">
        <v>7194</v>
      </c>
      <c r="IB136">
        <v>7099</v>
      </c>
      <c r="IC136">
        <v>1497412</v>
      </c>
      <c r="ID136">
        <v>396</v>
      </c>
      <c r="IF136" s="24"/>
      <c r="IG136">
        <v>2731</v>
      </c>
      <c r="IH136">
        <v>2958</v>
      </c>
      <c r="II136">
        <v>2958</v>
      </c>
      <c r="IJ136">
        <v>1051969</v>
      </c>
      <c r="IK136">
        <v>110</v>
      </c>
      <c r="IM136" s="24"/>
      <c r="IN136">
        <v>99809000</v>
      </c>
      <c r="IO136">
        <v>106958998</v>
      </c>
      <c r="IP136">
        <v>103638545</v>
      </c>
      <c r="IQ136">
        <v>55</v>
      </c>
      <c r="IR136">
        <v>42</v>
      </c>
      <c r="IT136" s="24"/>
      <c r="IU136">
        <v>7499</v>
      </c>
      <c r="IV136">
        <v>7698</v>
      </c>
      <c r="IW136">
        <v>7599</v>
      </c>
      <c r="IX136">
        <v>766495</v>
      </c>
      <c r="IY136">
        <v>131</v>
      </c>
      <c r="JA136" s="24"/>
      <c r="JB136">
        <v>101232300</v>
      </c>
      <c r="JC136">
        <v>106994990</v>
      </c>
      <c r="JD136">
        <v>101233800</v>
      </c>
      <c r="JE136">
        <v>121</v>
      </c>
      <c r="JF136">
        <v>67</v>
      </c>
      <c r="JH136" s="24"/>
      <c r="JI136">
        <v>101502000</v>
      </c>
      <c r="JJ136">
        <v>106995800</v>
      </c>
      <c r="JK136">
        <v>102768814</v>
      </c>
      <c r="JL136">
        <v>99</v>
      </c>
      <c r="JM136">
        <v>41</v>
      </c>
      <c r="JO136" s="24"/>
      <c r="JP136">
        <v>70</v>
      </c>
      <c r="JQ136">
        <v>71</v>
      </c>
      <c r="JR136">
        <v>71</v>
      </c>
      <c r="JS136">
        <v>52295002</v>
      </c>
      <c r="JT136">
        <v>71</v>
      </c>
      <c r="JV136" s="24"/>
      <c r="JW136">
        <v>64</v>
      </c>
      <c r="JX136">
        <v>68</v>
      </c>
      <c r="JY136">
        <v>65</v>
      </c>
      <c r="JZ136">
        <v>118815482</v>
      </c>
      <c r="KA136">
        <v>124</v>
      </c>
      <c r="KC136" s="24"/>
      <c r="KD136">
        <v>23</v>
      </c>
      <c r="KE136">
        <v>24</v>
      </c>
      <c r="KF136">
        <v>23</v>
      </c>
      <c r="KG136">
        <v>52579752</v>
      </c>
      <c r="KH136">
        <v>285</v>
      </c>
      <c r="KJ136" s="24"/>
      <c r="KK136">
        <v>69</v>
      </c>
      <c r="KL136">
        <v>73</v>
      </c>
      <c r="KM136">
        <v>72</v>
      </c>
      <c r="KN136">
        <v>81310010</v>
      </c>
      <c r="KO136">
        <v>127</v>
      </c>
      <c r="KQ136" s="24"/>
      <c r="KR136">
        <v>85002</v>
      </c>
      <c r="KS136">
        <v>85502</v>
      </c>
      <c r="KT136">
        <v>85005</v>
      </c>
      <c r="KU136">
        <v>66440</v>
      </c>
      <c r="KV136">
        <v>616</v>
      </c>
      <c r="KX136" s="24"/>
      <c r="KY136">
        <v>614</v>
      </c>
      <c r="KZ136">
        <v>614</v>
      </c>
      <c r="LA136">
        <v>614</v>
      </c>
      <c r="LB136">
        <v>4228836</v>
      </c>
      <c r="LC136">
        <v>173</v>
      </c>
      <c r="LE136" s="24"/>
      <c r="LF136">
        <v>191006</v>
      </c>
      <c r="LG136">
        <v>192010</v>
      </c>
      <c r="LH136">
        <v>191106</v>
      </c>
      <c r="LI136">
        <v>103649</v>
      </c>
      <c r="LJ136">
        <v>842</v>
      </c>
      <c r="LL136" s="24"/>
      <c r="LM136">
        <v>74507</v>
      </c>
      <c r="LN136">
        <v>74557</v>
      </c>
      <c r="LO136">
        <v>74550</v>
      </c>
      <c r="LP136">
        <v>303937</v>
      </c>
      <c r="LQ136">
        <v>1171</v>
      </c>
      <c r="LS136" s="24"/>
      <c r="LT136">
        <v>403</v>
      </c>
      <c r="LU136">
        <v>405</v>
      </c>
      <c r="LV136">
        <v>403</v>
      </c>
      <c r="LW136">
        <v>88422232</v>
      </c>
      <c r="LX136">
        <v>353</v>
      </c>
      <c r="LZ136" s="24"/>
      <c r="MA136">
        <v>101167</v>
      </c>
      <c r="MB136">
        <v>103169</v>
      </c>
      <c r="MC136">
        <v>102999</v>
      </c>
      <c r="MD136">
        <v>608653</v>
      </c>
      <c r="ME136">
        <v>70</v>
      </c>
    </row>
    <row r="137" spans="2:343" x14ac:dyDescent="0.25">
      <c r="B137" s="24"/>
      <c r="C137">
        <v>3</v>
      </c>
      <c r="D137">
        <v>3</v>
      </c>
      <c r="E137">
        <v>3</v>
      </c>
      <c r="F137">
        <v>32555168610</v>
      </c>
      <c r="G137">
        <v>3022</v>
      </c>
      <c r="I137" s="24"/>
      <c r="J137">
        <v>4</v>
      </c>
      <c r="K137">
        <v>4</v>
      </c>
      <c r="L137">
        <v>4</v>
      </c>
      <c r="M137">
        <v>5813176744</v>
      </c>
      <c r="N137">
        <v>2145</v>
      </c>
      <c r="P137" s="24"/>
      <c r="Q137">
        <v>29</v>
      </c>
      <c r="R137">
        <v>29</v>
      </c>
      <c r="S137">
        <v>29</v>
      </c>
      <c r="T137">
        <v>2437668886</v>
      </c>
      <c r="U137">
        <v>2029</v>
      </c>
      <c r="W137" s="24"/>
      <c r="X137">
        <v>88</v>
      </c>
      <c r="Y137">
        <v>90</v>
      </c>
      <c r="Z137">
        <v>89</v>
      </c>
      <c r="AA137">
        <v>430523515</v>
      </c>
      <c r="AB137">
        <v>1645</v>
      </c>
      <c r="AD137" s="24"/>
      <c r="AE137">
        <v>538</v>
      </c>
      <c r="AF137">
        <v>542</v>
      </c>
      <c r="AG137">
        <v>540</v>
      </c>
      <c r="AH137">
        <v>107806711</v>
      </c>
      <c r="AI137">
        <v>1694</v>
      </c>
      <c r="AK137" s="24"/>
      <c r="AL137">
        <v>936</v>
      </c>
      <c r="AM137">
        <v>948</v>
      </c>
      <c r="AN137">
        <v>936</v>
      </c>
      <c r="AO137">
        <v>29699488</v>
      </c>
      <c r="AP137">
        <v>1317</v>
      </c>
      <c r="AR137" s="24"/>
      <c r="AS137">
        <v>2489</v>
      </c>
      <c r="AT137">
        <v>2559</v>
      </c>
      <c r="AU137">
        <v>2539</v>
      </c>
      <c r="AV137">
        <v>15207720</v>
      </c>
      <c r="AW137">
        <v>1354</v>
      </c>
      <c r="AY137" s="24"/>
      <c r="AZ137">
        <v>358000003</v>
      </c>
      <c r="BA137">
        <v>365990499</v>
      </c>
      <c r="BB137">
        <v>361008000</v>
      </c>
      <c r="BC137">
        <v>2244</v>
      </c>
      <c r="BD137">
        <v>1515</v>
      </c>
      <c r="BF137" s="24"/>
      <c r="BG137">
        <v>27001</v>
      </c>
      <c r="BH137">
        <v>27013</v>
      </c>
      <c r="BI137">
        <v>27011</v>
      </c>
      <c r="BJ137">
        <v>2369431</v>
      </c>
      <c r="BK137">
        <v>230</v>
      </c>
      <c r="BM137" s="24"/>
      <c r="BN137">
        <v>6006076</v>
      </c>
      <c r="BO137">
        <v>6290000</v>
      </c>
      <c r="BP137">
        <v>6060000</v>
      </c>
      <c r="BQ137">
        <v>11298</v>
      </c>
      <c r="BR137">
        <v>320</v>
      </c>
      <c r="BT137" s="24"/>
      <c r="BU137">
        <v>2309</v>
      </c>
      <c r="BV137">
        <v>2367</v>
      </c>
      <c r="BW137">
        <v>2350</v>
      </c>
      <c r="BX137">
        <v>21748748</v>
      </c>
      <c r="BY137">
        <v>216</v>
      </c>
      <c r="CA137" s="24"/>
      <c r="CB137">
        <v>434</v>
      </c>
      <c r="CC137">
        <v>437</v>
      </c>
      <c r="CD137">
        <v>434</v>
      </c>
      <c r="CE137">
        <v>53602265</v>
      </c>
      <c r="CF137">
        <v>223</v>
      </c>
      <c r="CH137" s="24"/>
      <c r="CI137">
        <v>25003</v>
      </c>
      <c r="CJ137">
        <v>26100</v>
      </c>
      <c r="CK137">
        <v>25813</v>
      </c>
      <c r="CL137">
        <v>1760134</v>
      </c>
      <c r="CM137">
        <v>227</v>
      </c>
      <c r="CO137" s="24"/>
      <c r="CP137">
        <v>8396</v>
      </c>
      <c r="CQ137">
        <v>8777</v>
      </c>
      <c r="CR137">
        <v>8699</v>
      </c>
      <c r="CS137">
        <v>1076534</v>
      </c>
      <c r="CT137">
        <v>372</v>
      </c>
      <c r="CV137" s="24"/>
      <c r="CW137">
        <v>1268553</v>
      </c>
      <c r="CX137">
        <v>1307092</v>
      </c>
      <c r="CY137">
        <v>1268554</v>
      </c>
      <c r="CZ137">
        <v>14619</v>
      </c>
      <c r="DA137">
        <v>50</v>
      </c>
      <c r="DC137" s="24"/>
      <c r="DD137">
        <v>443</v>
      </c>
      <c r="DE137">
        <v>456</v>
      </c>
      <c r="DF137">
        <v>446</v>
      </c>
      <c r="DG137">
        <v>50896724</v>
      </c>
      <c r="DH137">
        <v>203</v>
      </c>
      <c r="DJ137" s="24"/>
      <c r="DK137">
        <v>34012154</v>
      </c>
      <c r="DL137">
        <v>34013063</v>
      </c>
      <c r="DM137">
        <v>34013046</v>
      </c>
      <c r="DN137">
        <v>190</v>
      </c>
      <c r="DO137">
        <v>72</v>
      </c>
      <c r="DQ137" s="24"/>
      <c r="DR137">
        <v>1699002</v>
      </c>
      <c r="DS137">
        <v>1891997</v>
      </c>
      <c r="DT137">
        <v>1750003</v>
      </c>
      <c r="DU137">
        <v>5254</v>
      </c>
      <c r="DV137">
        <v>230</v>
      </c>
      <c r="DX137" s="24"/>
      <c r="DY137">
        <v>19270071</v>
      </c>
      <c r="DZ137">
        <v>19271033</v>
      </c>
      <c r="EA137">
        <v>19271025</v>
      </c>
      <c r="EB137">
        <v>398</v>
      </c>
      <c r="EC137">
        <v>105</v>
      </c>
      <c r="EE137" s="24"/>
      <c r="EF137">
        <v>152</v>
      </c>
      <c r="EG137">
        <v>158</v>
      </c>
      <c r="EH137">
        <v>154</v>
      </c>
      <c r="EI137">
        <v>94365029</v>
      </c>
      <c r="EJ137">
        <v>201</v>
      </c>
      <c r="EL137" s="24"/>
      <c r="EM137">
        <v>44033</v>
      </c>
      <c r="EN137">
        <v>45000</v>
      </c>
      <c r="EO137">
        <v>44035</v>
      </c>
      <c r="EP137">
        <v>88393</v>
      </c>
      <c r="EQ137">
        <v>704</v>
      </c>
      <c r="ES137" s="24"/>
      <c r="ET137">
        <v>407</v>
      </c>
      <c r="EU137">
        <v>435</v>
      </c>
      <c r="EV137">
        <v>412</v>
      </c>
      <c r="EW137">
        <v>47585470</v>
      </c>
      <c r="EX137">
        <v>635</v>
      </c>
      <c r="EZ137" s="24"/>
      <c r="FA137">
        <v>2925007</v>
      </c>
      <c r="FB137">
        <v>3220900</v>
      </c>
      <c r="FC137">
        <v>3219000</v>
      </c>
      <c r="FD137">
        <v>1250</v>
      </c>
      <c r="FE137">
        <v>35</v>
      </c>
      <c r="FG137" s="24"/>
      <c r="FH137">
        <v>7034</v>
      </c>
      <c r="FI137">
        <v>7344</v>
      </c>
      <c r="FJ137">
        <v>7343</v>
      </c>
      <c r="FK137">
        <v>1528074</v>
      </c>
      <c r="FL137">
        <v>383</v>
      </c>
      <c r="FN137" s="24"/>
      <c r="FO137">
        <v>22478</v>
      </c>
      <c r="FP137">
        <v>22478</v>
      </c>
      <c r="FQ137">
        <v>22478</v>
      </c>
      <c r="FR137">
        <v>163869</v>
      </c>
      <c r="FS137">
        <v>92</v>
      </c>
      <c r="FU137" s="24"/>
      <c r="FV137">
        <v>19800</v>
      </c>
      <c r="FW137">
        <v>21042</v>
      </c>
      <c r="FX137">
        <v>21040</v>
      </c>
      <c r="FY137">
        <v>383398</v>
      </c>
      <c r="FZ137">
        <v>1269</v>
      </c>
      <c r="GB137" s="24"/>
      <c r="GC137">
        <v>100258004</v>
      </c>
      <c r="GD137">
        <v>108228599</v>
      </c>
      <c r="GE137">
        <v>107438083</v>
      </c>
      <c r="GF137">
        <v>70</v>
      </c>
      <c r="GG137">
        <v>46</v>
      </c>
      <c r="GI137" s="24"/>
      <c r="GJ137">
        <v>26550003</v>
      </c>
      <c r="GK137">
        <v>28180084</v>
      </c>
      <c r="GL137">
        <v>26550014</v>
      </c>
      <c r="GM137">
        <v>361</v>
      </c>
      <c r="GN137">
        <v>82</v>
      </c>
      <c r="GP137" s="24"/>
      <c r="GQ137">
        <v>69</v>
      </c>
      <c r="GR137">
        <v>74</v>
      </c>
      <c r="GS137">
        <v>74</v>
      </c>
      <c r="GT137">
        <v>89827686</v>
      </c>
      <c r="GU137">
        <v>109</v>
      </c>
      <c r="GW137" s="24"/>
      <c r="GX137">
        <v>422</v>
      </c>
      <c r="GY137">
        <v>442</v>
      </c>
      <c r="GZ137">
        <v>428</v>
      </c>
      <c r="HA137">
        <v>51981734</v>
      </c>
      <c r="HB137">
        <v>265</v>
      </c>
      <c r="HD137" s="24"/>
      <c r="HE137">
        <v>5931</v>
      </c>
      <c r="HF137">
        <v>6038</v>
      </c>
      <c r="HG137">
        <v>6031</v>
      </c>
      <c r="HH137">
        <v>11900990</v>
      </c>
      <c r="HI137">
        <v>322</v>
      </c>
      <c r="HK137" s="24"/>
      <c r="HL137">
        <v>100006001</v>
      </c>
      <c r="HM137">
        <v>106999999</v>
      </c>
      <c r="HN137">
        <v>106052881</v>
      </c>
      <c r="HO137">
        <v>88</v>
      </c>
      <c r="HP137">
        <v>59</v>
      </c>
      <c r="HR137" s="24"/>
      <c r="HS137">
        <v>7511</v>
      </c>
      <c r="HT137">
        <v>7800</v>
      </c>
      <c r="HU137">
        <v>7799</v>
      </c>
      <c r="HV137">
        <v>598320</v>
      </c>
      <c r="HW137">
        <v>122</v>
      </c>
      <c r="HY137" s="24"/>
      <c r="HZ137">
        <v>6700</v>
      </c>
      <c r="IA137">
        <v>7171</v>
      </c>
      <c r="IB137">
        <v>6825</v>
      </c>
      <c r="IC137">
        <v>2254834</v>
      </c>
      <c r="ID137">
        <v>406</v>
      </c>
      <c r="IF137" s="24"/>
      <c r="IG137">
        <v>2932</v>
      </c>
      <c r="IH137">
        <v>2932</v>
      </c>
      <c r="II137">
        <v>2932</v>
      </c>
      <c r="IJ137">
        <v>878163</v>
      </c>
      <c r="IK137">
        <v>116</v>
      </c>
      <c r="IM137" s="24"/>
      <c r="IN137">
        <v>99819001</v>
      </c>
      <c r="IO137">
        <v>106999999</v>
      </c>
      <c r="IP137">
        <v>104086243</v>
      </c>
      <c r="IQ137">
        <v>72</v>
      </c>
      <c r="IR137">
        <v>50</v>
      </c>
      <c r="IT137" s="24"/>
      <c r="IU137">
        <v>7598</v>
      </c>
      <c r="IV137">
        <v>7599</v>
      </c>
      <c r="IW137">
        <v>7599</v>
      </c>
      <c r="IX137">
        <v>1647777</v>
      </c>
      <c r="IY137">
        <v>146</v>
      </c>
      <c r="JA137" s="24"/>
      <c r="JB137">
        <v>101234001</v>
      </c>
      <c r="JC137">
        <v>108495500</v>
      </c>
      <c r="JD137">
        <v>105517729</v>
      </c>
      <c r="JE137">
        <v>51</v>
      </c>
      <c r="JF137">
        <v>43</v>
      </c>
      <c r="JH137" s="24"/>
      <c r="JI137">
        <v>100174000</v>
      </c>
      <c r="JJ137">
        <v>106997400</v>
      </c>
      <c r="JK137">
        <v>104705000</v>
      </c>
      <c r="JL137">
        <v>89</v>
      </c>
      <c r="JM137">
        <v>39</v>
      </c>
      <c r="JO137" s="24"/>
      <c r="JP137">
        <v>70</v>
      </c>
      <c r="JQ137">
        <v>71</v>
      </c>
      <c r="JR137">
        <v>71</v>
      </c>
      <c r="JS137">
        <v>97626231</v>
      </c>
      <c r="JT137">
        <v>95</v>
      </c>
      <c r="JV137" s="24"/>
      <c r="JW137">
        <v>68</v>
      </c>
      <c r="JX137">
        <v>68</v>
      </c>
      <c r="JY137">
        <v>68</v>
      </c>
      <c r="JZ137">
        <v>198551029</v>
      </c>
      <c r="KA137">
        <v>120</v>
      </c>
      <c r="KC137" s="24"/>
      <c r="KD137">
        <v>22</v>
      </c>
      <c r="KE137">
        <v>24</v>
      </c>
      <c r="KF137">
        <v>22</v>
      </c>
      <c r="KG137">
        <v>46161071</v>
      </c>
      <c r="KH137">
        <v>315</v>
      </c>
      <c r="KJ137" s="24"/>
      <c r="KK137">
        <v>68</v>
      </c>
      <c r="KL137">
        <v>69</v>
      </c>
      <c r="KM137">
        <v>68</v>
      </c>
      <c r="KN137">
        <v>81393125</v>
      </c>
      <c r="KO137">
        <v>118</v>
      </c>
      <c r="KQ137" s="24"/>
      <c r="KR137">
        <v>85000</v>
      </c>
      <c r="KS137">
        <v>85505</v>
      </c>
      <c r="KT137">
        <v>85502</v>
      </c>
      <c r="KU137">
        <v>80765</v>
      </c>
      <c r="KV137">
        <v>649</v>
      </c>
      <c r="KX137" s="24"/>
      <c r="KY137">
        <v>614</v>
      </c>
      <c r="KZ137">
        <v>614</v>
      </c>
      <c r="LA137">
        <v>614</v>
      </c>
      <c r="LB137">
        <v>3048277</v>
      </c>
      <c r="LC137">
        <v>175</v>
      </c>
      <c r="LE137" s="24"/>
      <c r="LF137">
        <v>190292</v>
      </c>
      <c r="LG137">
        <v>197994</v>
      </c>
      <c r="LH137">
        <v>190318</v>
      </c>
      <c r="LI137">
        <v>193036</v>
      </c>
      <c r="LJ137">
        <v>923</v>
      </c>
      <c r="LL137" s="24"/>
      <c r="LM137">
        <v>74550</v>
      </c>
      <c r="LN137">
        <v>75057</v>
      </c>
      <c r="LO137">
        <v>74811</v>
      </c>
      <c r="LP137">
        <v>391145</v>
      </c>
      <c r="LQ137">
        <v>1272</v>
      </c>
      <c r="LS137" s="24"/>
      <c r="LT137">
        <v>418</v>
      </c>
      <c r="LU137">
        <v>418</v>
      </c>
      <c r="LV137">
        <v>418</v>
      </c>
      <c r="LW137">
        <v>110130970</v>
      </c>
      <c r="LX137">
        <v>445</v>
      </c>
      <c r="LZ137" s="24"/>
      <c r="MA137">
        <v>100101</v>
      </c>
      <c r="MB137">
        <v>103110</v>
      </c>
      <c r="MC137">
        <v>100171</v>
      </c>
      <c r="MD137">
        <v>1001091</v>
      </c>
      <c r="ME137">
        <v>110</v>
      </c>
    </row>
    <row r="138" spans="2:343" x14ac:dyDescent="0.25">
      <c r="B138" s="24"/>
      <c r="C138">
        <v>3</v>
      </c>
      <c r="D138">
        <v>3</v>
      </c>
      <c r="E138">
        <v>3</v>
      </c>
      <c r="F138">
        <v>36987613004</v>
      </c>
      <c r="G138">
        <v>3291</v>
      </c>
      <c r="I138" s="24"/>
      <c r="J138">
        <v>4</v>
      </c>
      <c r="K138">
        <v>4</v>
      </c>
      <c r="L138">
        <v>4</v>
      </c>
      <c r="M138">
        <v>7370560944</v>
      </c>
      <c r="N138">
        <v>2267</v>
      </c>
      <c r="P138" s="24"/>
      <c r="Q138">
        <v>27</v>
      </c>
      <c r="R138">
        <v>28</v>
      </c>
      <c r="S138">
        <v>28</v>
      </c>
      <c r="T138">
        <v>2091514175</v>
      </c>
      <c r="U138">
        <v>2113</v>
      </c>
      <c r="W138" s="24"/>
      <c r="X138">
        <v>85</v>
      </c>
      <c r="Y138">
        <v>86</v>
      </c>
      <c r="Z138">
        <v>85</v>
      </c>
      <c r="AA138">
        <v>460860866</v>
      </c>
      <c r="AB138">
        <v>1675</v>
      </c>
      <c r="AD138" s="24"/>
      <c r="AE138">
        <v>538</v>
      </c>
      <c r="AF138">
        <v>549</v>
      </c>
      <c r="AG138">
        <v>542</v>
      </c>
      <c r="AH138">
        <v>131985018</v>
      </c>
      <c r="AI138">
        <v>1876</v>
      </c>
      <c r="AK138" s="24"/>
      <c r="AL138">
        <v>938</v>
      </c>
      <c r="AM138">
        <v>968</v>
      </c>
      <c r="AN138">
        <v>940</v>
      </c>
      <c r="AO138">
        <v>41858682</v>
      </c>
      <c r="AP138">
        <v>1421</v>
      </c>
      <c r="AR138" s="24"/>
      <c r="AS138">
        <v>2470</v>
      </c>
      <c r="AT138">
        <v>2567</v>
      </c>
      <c r="AU138">
        <v>2509</v>
      </c>
      <c r="AV138">
        <v>20061769</v>
      </c>
      <c r="AW138">
        <v>1511</v>
      </c>
      <c r="AY138" s="24"/>
      <c r="AZ138">
        <v>354710001</v>
      </c>
      <c r="BA138">
        <v>360999999</v>
      </c>
      <c r="BB138">
        <v>359499999</v>
      </c>
      <c r="BC138">
        <v>2428</v>
      </c>
      <c r="BD138">
        <v>1599</v>
      </c>
      <c r="BF138" s="24"/>
      <c r="BG138">
        <v>27000</v>
      </c>
      <c r="BH138">
        <v>27011</v>
      </c>
      <c r="BI138">
        <v>27011</v>
      </c>
      <c r="BJ138">
        <v>1965860</v>
      </c>
      <c r="BK138">
        <v>280</v>
      </c>
      <c r="BM138" s="24"/>
      <c r="BN138">
        <v>6061006</v>
      </c>
      <c r="BO138">
        <v>6063102</v>
      </c>
      <c r="BP138">
        <v>6062090</v>
      </c>
      <c r="BQ138">
        <v>11417</v>
      </c>
      <c r="BR138">
        <v>298</v>
      </c>
      <c r="BT138" s="24"/>
      <c r="BU138">
        <v>2251</v>
      </c>
      <c r="BV138">
        <v>2348</v>
      </c>
      <c r="BW138">
        <v>2346</v>
      </c>
      <c r="BX138">
        <v>22885936</v>
      </c>
      <c r="BY138">
        <v>331</v>
      </c>
      <c r="CA138" s="24"/>
      <c r="CB138">
        <v>424</v>
      </c>
      <c r="CC138">
        <v>434</v>
      </c>
      <c r="CD138">
        <v>433</v>
      </c>
      <c r="CE138">
        <v>73516410</v>
      </c>
      <c r="CF138">
        <v>309</v>
      </c>
      <c r="CH138" s="24"/>
      <c r="CI138">
        <v>25002</v>
      </c>
      <c r="CJ138">
        <v>26500</v>
      </c>
      <c r="CK138">
        <v>25004</v>
      </c>
      <c r="CL138">
        <v>1546180</v>
      </c>
      <c r="CM138">
        <v>245</v>
      </c>
      <c r="CO138" s="24"/>
      <c r="CP138">
        <v>9199</v>
      </c>
      <c r="CQ138">
        <v>10296</v>
      </c>
      <c r="CR138">
        <v>9600</v>
      </c>
      <c r="CS138">
        <v>1931067</v>
      </c>
      <c r="CT138">
        <v>522</v>
      </c>
      <c r="CV138" s="24"/>
      <c r="CW138">
        <v>1304000</v>
      </c>
      <c r="CX138">
        <v>1305899</v>
      </c>
      <c r="CY138">
        <v>1305000</v>
      </c>
      <c r="CZ138">
        <v>11588</v>
      </c>
      <c r="DA138">
        <v>47</v>
      </c>
      <c r="DC138" s="24"/>
      <c r="DD138">
        <v>431</v>
      </c>
      <c r="DE138">
        <v>443</v>
      </c>
      <c r="DF138">
        <v>443</v>
      </c>
      <c r="DG138">
        <v>40499702</v>
      </c>
      <c r="DH138">
        <v>214</v>
      </c>
      <c r="DJ138" s="24"/>
      <c r="DK138">
        <v>34013071</v>
      </c>
      <c r="DL138">
        <v>34013148</v>
      </c>
      <c r="DM138">
        <v>34013121</v>
      </c>
      <c r="DN138">
        <v>265</v>
      </c>
      <c r="DO138">
        <v>69</v>
      </c>
      <c r="DQ138" s="24"/>
      <c r="DR138">
        <v>1699026</v>
      </c>
      <c r="DS138">
        <v>1999998</v>
      </c>
      <c r="DT138">
        <v>1700013</v>
      </c>
      <c r="DU138">
        <v>3317</v>
      </c>
      <c r="DV138">
        <v>209</v>
      </c>
      <c r="DX138" s="24"/>
      <c r="DY138">
        <v>19273007</v>
      </c>
      <c r="DZ138">
        <v>21440999</v>
      </c>
      <c r="EA138">
        <v>19273021</v>
      </c>
      <c r="EB138">
        <v>225</v>
      </c>
      <c r="EC138">
        <v>90</v>
      </c>
      <c r="EE138" s="24"/>
      <c r="EF138">
        <v>154</v>
      </c>
      <c r="EG138">
        <v>158</v>
      </c>
      <c r="EH138">
        <v>156</v>
      </c>
      <c r="EI138">
        <v>119905937</v>
      </c>
      <c r="EJ138">
        <v>230</v>
      </c>
      <c r="EL138" s="24"/>
      <c r="EM138">
        <v>44042</v>
      </c>
      <c r="EN138">
        <v>45436</v>
      </c>
      <c r="EO138">
        <v>45000</v>
      </c>
      <c r="EP138">
        <v>69942</v>
      </c>
      <c r="EQ138">
        <v>682</v>
      </c>
      <c r="ES138" s="24"/>
      <c r="ET138">
        <v>408</v>
      </c>
      <c r="EU138">
        <v>431</v>
      </c>
      <c r="EV138">
        <v>425</v>
      </c>
      <c r="EW138">
        <v>47253908</v>
      </c>
      <c r="EX138">
        <v>691</v>
      </c>
      <c r="EZ138" s="24"/>
      <c r="FA138">
        <v>3218000</v>
      </c>
      <c r="FB138">
        <v>3218998</v>
      </c>
      <c r="FC138">
        <v>3218997</v>
      </c>
      <c r="FD138">
        <v>688</v>
      </c>
      <c r="FE138">
        <v>18</v>
      </c>
      <c r="FG138" s="24"/>
      <c r="FH138">
        <v>7200</v>
      </c>
      <c r="FI138">
        <v>7398</v>
      </c>
      <c r="FJ138">
        <v>7397</v>
      </c>
      <c r="FK138">
        <v>3067094</v>
      </c>
      <c r="FL138">
        <v>528</v>
      </c>
      <c r="FN138" s="24"/>
      <c r="FO138">
        <v>22478</v>
      </c>
      <c r="FP138">
        <v>22478</v>
      </c>
      <c r="FQ138">
        <v>22478</v>
      </c>
      <c r="FR138">
        <v>114919</v>
      </c>
      <c r="FS138">
        <v>108</v>
      </c>
      <c r="FU138" s="24"/>
      <c r="FV138">
        <v>20000</v>
      </c>
      <c r="FW138">
        <v>20050</v>
      </c>
      <c r="FX138">
        <v>20009</v>
      </c>
      <c r="FY138">
        <v>313640</v>
      </c>
      <c r="FZ138">
        <v>1325</v>
      </c>
      <c r="GB138" s="24"/>
      <c r="GC138">
        <v>100262201</v>
      </c>
      <c r="GD138">
        <v>108227800</v>
      </c>
      <c r="GE138">
        <v>105924880</v>
      </c>
      <c r="GF138">
        <v>43</v>
      </c>
      <c r="GG138">
        <v>38</v>
      </c>
      <c r="GI138" s="24"/>
      <c r="GJ138">
        <v>26950503</v>
      </c>
      <c r="GK138">
        <v>27551000</v>
      </c>
      <c r="GL138">
        <v>27500000</v>
      </c>
      <c r="GM138">
        <v>266</v>
      </c>
      <c r="GN138">
        <v>73</v>
      </c>
      <c r="GP138" s="24"/>
      <c r="GQ138">
        <v>68</v>
      </c>
      <c r="GR138">
        <v>72</v>
      </c>
      <c r="GS138">
        <v>70</v>
      </c>
      <c r="GT138">
        <v>146816194</v>
      </c>
      <c r="GU138">
        <v>185</v>
      </c>
      <c r="GW138" s="24"/>
      <c r="GX138">
        <v>432</v>
      </c>
      <c r="GY138">
        <v>450</v>
      </c>
      <c r="GZ138">
        <v>439</v>
      </c>
      <c r="HA138">
        <v>50120071</v>
      </c>
      <c r="HB138">
        <v>271</v>
      </c>
      <c r="HD138" s="24"/>
      <c r="HE138">
        <v>5869</v>
      </c>
      <c r="HF138">
        <v>6026</v>
      </c>
      <c r="HG138">
        <v>6006</v>
      </c>
      <c r="HH138">
        <v>17925731</v>
      </c>
      <c r="HI138">
        <v>368</v>
      </c>
      <c r="HK138" s="24"/>
      <c r="HL138">
        <v>100010005</v>
      </c>
      <c r="HM138">
        <v>109999499</v>
      </c>
      <c r="HN138">
        <v>105850681</v>
      </c>
      <c r="HO138">
        <v>65</v>
      </c>
      <c r="HP138">
        <v>46</v>
      </c>
      <c r="HR138" s="24"/>
      <c r="HS138">
        <v>7511</v>
      </c>
      <c r="HT138">
        <v>7777</v>
      </c>
      <c r="HU138">
        <v>7512</v>
      </c>
      <c r="HV138">
        <v>874537</v>
      </c>
      <c r="HW138">
        <v>167</v>
      </c>
      <c r="HY138" s="24"/>
      <c r="HZ138">
        <v>7165</v>
      </c>
      <c r="IA138">
        <v>7378</v>
      </c>
      <c r="IB138">
        <v>7198</v>
      </c>
      <c r="IC138">
        <v>3149248</v>
      </c>
      <c r="ID138">
        <v>575</v>
      </c>
      <c r="IF138" s="24"/>
      <c r="IG138">
        <v>2932</v>
      </c>
      <c r="IH138">
        <v>2932</v>
      </c>
      <c r="II138">
        <v>2932</v>
      </c>
      <c r="IJ138">
        <v>1353416</v>
      </c>
      <c r="IK138">
        <v>159</v>
      </c>
      <c r="IM138" s="24"/>
      <c r="IN138">
        <v>99822001</v>
      </c>
      <c r="IO138">
        <v>110999989</v>
      </c>
      <c r="IP138">
        <v>106236124</v>
      </c>
      <c r="IQ138">
        <v>53</v>
      </c>
      <c r="IR138">
        <v>42</v>
      </c>
      <c r="IT138" s="24"/>
      <c r="IU138">
        <v>7530</v>
      </c>
      <c r="IV138">
        <v>7697</v>
      </c>
      <c r="IW138">
        <v>7696</v>
      </c>
      <c r="IX138">
        <v>1110957</v>
      </c>
      <c r="IY138">
        <v>168</v>
      </c>
      <c r="JA138" s="24"/>
      <c r="JB138">
        <v>101236600</v>
      </c>
      <c r="JC138">
        <v>108493800</v>
      </c>
      <c r="JD138">
        <v>101493600</v>
      </c>
      <c r="JE138">
        <v>113</v>
      </c>
      <c r="JF138">
        <v>70</v>
      </c>
      <c r="JH138" s="24"/>
      <c r="JI138">
        <v>100174000</v>
      </c>
      <c r="JJ138">
        <v>106998600</v>
      </c>
      <c r="JK138">
        <v>102512763</v>
      </c>
      <c r="JL138">
        <v>92</v>
      </c>
      <c r="JM138">
        <v>38</v>
      </c>
      <c r="JO138" s="24"/>
      <c r="JP138">
        <v>71</v>
      </c>
      <c r="JQ138">
        <v>71</v>
      </c>
      <c r="JR138">
        <v>71</v>
      </c>
      <c r="JS138">
        <v>97041082</v>
      </c>
      <c r="JT138">
        <v>114</v>
      </c>
      <c r="JV138" s="24"/>
      <c r="JW138">
        <v>66</v>
      </c>
      <c r="JX138">
        <v>69</v>
      </c>
      <c r="JY138">
        <v>69</v>
      </c>
      <c r="JZ138">
        <v>95459604</v>
      </c>
      <c r="KA138">
        <v>125</v>
      </c>
      <c r="KC138" s="24"/>
      <c r="KD138">
        <v>22</v>
      </c>
      <c r="KE138">
        <v>23</v>
      </c>
      <c r="KF138">
        <v>23</v>
      </c>
      <c r="KG138">
        <v>69304661</v>
      </c>
      <c r="KH138">
        <v>374</v>
      </c>
      <c r="KJ138" s="24"/>
      <c r="KK138">
        <v>68</v>
      </c>
      <c r="KL138">
        <v>70</v>
      </c>
      <c r="KM138">
        <v>70</v>
      </c>
      <c r="KN138">
        <v>131796813</v>
      </c>
      <c r="KO138">
        <v>162</v>
      </c>
      <c r="KQ138" s="24"/>
      <c r="KR138">
        <v>84003</v>
      </c>
      <c r="KS138">
        <v>86598</v>
      </c>
      <c r="KT138">
        <v>84999</v>
      </c>
      <c r="KU138">
        <v>66317</v>
      </c>
      <c r="KV138">
        <v>674</v>
      </c>
      <c r="KX138" s="24"/>
      <c r="KY138">
        <v>609</v>
      </c>
      <c r="KZ138">
        <v>614</v>
      </c>
      <c r="LA138">
        <v>612</v>
      </c>
      <c r="LB138">
        <v>5774876</v>
      </c>
      <c r="LC138">
        <v>220</v>
      </c>
      <c r="LE138" s="24"/>
      <c r="LF138">
        <v>191101</v>
      </c>
      <c r="LG138">
        <v>192000</v>
      </c>
      <c r="LH138">
        <v>192000</v>
      </c>
      <c r="LI138">
        <v>143171</v>
      </c>
      <c r="LJ138">
        <v>938</v>
      </c>
      <c r="LL138" s="24"/>
      <c r="LM138">
        <v>74815</v>
      </c>
      <c r="LN138">
        <v>74822</v>
      </c>
      <c r="LO138">
        <v>74819</v>
      </c>
      <c r="LP138">
        <v>385902</v>
      </c>
      <c r="LQ138">
        <v>1392</v>
      </c>
      <c r="LS138" s="24"/>
      <c r="LT138">
        <v>414</v>
      </c>
      <c r="LU138">
        <v>415</v>
      </c>
      <c r="LV138">
        <v>415</v>
      </c>
      <c r="LW138">
        <v>122368406</v>
      </c>
      <c r="LX138">
        <v>421</v>
      </c>
      <c r="LZ138" s="24"/>
      <c r="MA138">
        <v>97623</v>
      </c>
      <c r="MB138">
        <v>102900</v>
      </c>
      <c r="MC138">
        <v>100372</v>
      </c>
      <c r="MD138">
        <v>1656192</v>
      </c>
      <c r="ME138">
        <v>167</v>
      </c>
    </row>
    <row r="139" spans="2:343" x14ac:dyDescent="0.25">
      <c r="B139" s="24"/>
      <c r="C139">
        <v>3</v>
      </c>
      <c r="D139">
        <v>3</v>
      </c>
      <c r="E139">
        <v>3</v>
      </c>
      <c r="F139">
        <v>42845194538</v>
      </c>
      <c r="G139">
        <v>3680</v>
      </c>
      <c r="I139" s="24"/>
      <c r="J139">
        <v>4</v>
      </c>
      <c r="K139">
        <v>4</v>
      </c>
      <c r="L139">
        <v>4</v>
      </c>
      <c r="M139">
        <v>9507979449</v>
      </c>
      <c r="N139">
        <v>2565</v>
      </c>
      <c r="P139" s="24"/>
      <c r="Q139">
        <v>28</v>
      </c>
      <c r="R139">
        <v>28</v>
      </c>
      <c r="S139">
        <v>28</v>
      </c>
      <c r="T139">
        <v>2554984855</v>
      </c>
      <c r="U139">
        <v>2204</v>
      </c>
      <c r="W139" s="24"/>
      <c r="X139">
        <v>83</v>
      </c>
      <c r="Y139">
        <v>88</v>
      </c>
      <c r="Z139">
        <v>87</v>
      </c>
      <c r="AA139">
        <v>492281316</v>
      </c>
      <c r="AB139">
        <v>1819</v>
      </c>
      <c r="AD139" s="24"/>
      <c r="AE139">
        <v>542</v>
      </c>
      <c r="AF139">
        <v>561</v>
      </c>
      <c r="AG139">
        <v>558</v>
      </c>
      <c r="AH139">
        <v>129766363</v>
      </c>
      <c r="AI139">
        <v>1923</v>
      </c>
      <c r="AK139" s="24"/>
      <c r="AL139">
        <v>953</v>
      </c>
      <c r="AM139">
        <v>968</v>
      </c>
      <c r="AN139">
        <v>968</v>
      </c>
      <c r="AO139">
        <v>32987214</v>
      </c>
      <c r="AP139">
        <v>1479</v>
      </c>
      <c r="AR139" s="24"/>
      <c r="AS139">
        <v>2526</v>
      </c>
      <c r="AT139">
        <v>2589</v>
      </c>
      <c r="AU139">
        <v>2588</v>
      </c>
      <c r="AV139">
        <v>14363544</v>
      </c>
      <c r="AW139">
        <v>1491</v>
      </c>
      <c r="AY139" s="24"/>
      <c r="AZ139">
        <v>358000101</v>
      </c>
      <c r="BA139">
        <v>364999999</v>
      </c>
      <c r="BB139">
        <v>361998999</v>
      </c>
      <c r="BC139">
        <v>2120</v>
      </c>
      <c r="BD139">
        <v>1538</v>
      </c>
      <c r="BF139" s="24"/>
      <c r="BG139">
        <v>26759</v>
      </c>
      <c r="BH139">
        <v>28090</v>
      </c>
      <c r="BI139">
        <v>26760</v>
      </c>
      <c r="BJ139">
        <v>1978984</v>
      </c>
      <c r="BK139">
        <v>253</v>
      </c>
      <c r="BM139" s="24"/>
      <c r="BN139">
        <v>6063115</v>
      </c>
      <c r="BO139">
        <v>6100000</v>
      </c>
      <c r="BP139">
        <v>6063504</v>
      </c>
      <c r="BQ139">
        <v>12478</v>
      </c>
      <c r="BR139">
        <v>361</v>
      </c>
      <c r="BT139" s="24"/>
      <c r="BU139">
        <v>2341</v>
      </c>
      <c r="BV139">
        <v>2346</v>
      </c>
      <c r="BW139">
        <v>2345</v>
      </c>
      <c r="BX139">
        <v>26239213</v>
      </c>
      <c r="BY139">
        <v>288</v>
      </c>
      <c r="CA139" s="24"/>
      <c r="CB139">
        <v>428</v>
      </c>
      <c r="CC139">
        <v>432</v>
      </c>
      <c r="CD139">
        <v>428</v>
      </c>
      <c r="CE139">
        <v>81485411</v>
      </c>
      <c r="CF139">
        <v>277</v>
      </c>
      <c r="CH139" s="24"/>
      <c r="CI139">
        <v>25013</v>
      </c>
      <c r="CJ139">
        <v>27500</v>
      </c>
      <c r="CK139">
        <v>27000</v>
      </c>
      <c r="CL139">
        <v>2158826</v>
      </c>
      <c r="CM139">
        <v>215</v>
      </c>
      <c r="CO139" s="24"/>
      <c r="CP139">
        <v>9220</v>
      </c>
      <c r="CQ139">
        <v>9888</v>
      </c>
      <c r="CR139">
        <v>9475</v>
      </c>
      <c r="CS139">
        <v>1888788</v>
      </c>
      <c r="CT139">
        <v>532</v>
      </c>
      <c r="CV139" s="24"/>
      <c r="CW139">
        <v>1297900</v>
      </c>
      <c r="CX139">
        <v>1297999</v>
      </c>
      <c r="CY139">
        <v>1297999</v>
      </c>
      <c r="CZ139">
        <v>15485</v>
      </c>
      <c r="DA139">
        <v>38</v>
      </c>
      <c r="DC139" s="24"/>
      <c r="DD139">
        <v>412</v>
      </c>
      <c r="DE139">
        <v>435</v>
      </c>
      <c r="DF139">
        <v>413</v>
      </c>
      <c r="DG139">
        <v>55777367</v>
      </c>
      <c r="DH139">
        <v>235</v>
      </c>
      <c r="DJ139" s="24"/>
      <c r="DK139">
        <v>34013155</v>
      </c>
      <c r="DL139">
        <v>34013157</v>
      </c>
      <c r="DM139">
        <v>34013155</v>
      </c>
      <c r="DN139">
        <v>365</v>
      </c>
      <c r="DO139">
        <v>87</v>
      </c>
      <c r="DQ139" s="24"/>
      <c r="DR139">
        <v>1700140</v>
      </c>
      <c r="DS139">
        <v>2299997</v>
      </c>
      <c r="DT139">
        <v>1999999</v>
      </c>
      <c r="DU139">
        <v>5264</v>
      </c>
      <c r="DV139">
        <v>250</v>
      </c>
      <c r="DX139" s="24"/>
      <c r="DY139">
        <v>19280104</v>
      </c>
      <c r="DZ139">
        <v>21247999</v>
      </c>
      <c r="EA139">
        <v>19280108</v>
      </c>
      <c r="EB139">
        <v>503</v>
      </c>
      <c r="EC139">
        <v>143</v>
      </c>
      <c r="EE139" s="24"/>
      <c r="EF139">
        <v>151</v>
      </c>
      <c r="EG139">
        <v>158</v>
      </c>
      <c r="EH139">
        <v>157</v>
      </c>
      <c r="EI139">
        <v>102434928</v>
      </c>
      <c r="EJ139">
        <v>186</v>
      </c>
      <c r="EL139" s="24"/>
      <c r="EM139">
        <v>46040</v>
      </c>
      <c r="EN139">
        <v>47000</v>
      </c>
      <c r="EO139">
        <v>46205</v>
      </c>
      <c r="EP139">
        <v>78258</v>
      </c>
      <c r="EQ139">
        <v>758</v>
      </c>
      <c r="ES139" s="24"/>
      <c r="ET139">
        <v>423</v>
      </c>
      <c r="EU139">
        <v>423</v>
      </c>
      <c r="EV139">
        <v>423</v>
      </c>
      <c r="EW139">
        <v>38827918</v>
      </c>
      <c r="EX139">
        <v>709</v>
      </c>
      <c r="EZ139" s="24"/>
      <c r="FA139">
        <v>3218998</v>
      </c>
      <c r="FB139">
        <v>3498999</v>
      </c>
      <c r="FC139">
        <v>3220998</v>
      </c>
      <c r="FD139">
        <v>4115</v>
      </c>
      <c r="FE139">
        <v>42</v>
      </c>
      <c r="FG139" s="24"/>
      <c r="FH139">
        <v>7399</v>
      </c>
      <c r="FI139">
        <v>7499</v>
      </c>
      <c r="FJ139">
        <v>7425</v>
      </c>
      <c r="FK139">
        <v>2519328</v>
      </c>
      <c r="FL139">
        <v>522</v>
      </c>
      <c r="FN139" s="24"/>
      <c r="FO139">
        <v>22446</v>
      </c>
      <c r="FP139">
        <v>22478</v>
      </c>
      <c r="FQ139">
        <v>22478</v>
      </c>
      <c r="FR139">
        <v>214704</v>
      </c>
      <c r="FS139">
        <v>114</v>
      </c>
      <c r="FU139" s="24"/>
      <c r="FV139">
        <v>20112</v>
      </c>
      <c r="FW139">
        <v>20201</v>
      </c>
      <c r="FX139">
        <v>20113</v>
      </c>
      <c r="FY139">
        <v>493212</v>
      </c>
      <c r="FZ139">
        <v>1405</v>
      </c>
      <c r="GB139" s="24"/>
      <c r="GC139">
        <v>100279287</v>
      </c>
      <c r="GD139">
        <v>110684997</v>
      </c>
      <c r="GE139">
        <v>106577773</v>
      </c>
      <c r="GF139">
        <v>61</v>
      </c>
      <c r="GG139">
        <v>53</v>
      </c>
      <c r="GI139" s="24"/>
      <c r="GJ139">
        <v>27500007</v>
      </c>
      <c r="GK139">
        <v>27500009</v>
      </c>
      <c r="GL139">
        <v>27500007</v>
      </c>
      <c r="GM139">
        <v>310</v>
      </c>
      <c r="GN139">
        <v>77</v>
      </c>
      <c r="GP139" s="24"/>
      <c r="GQ139">
        <v>68</v>
      </c>
      <c r="GR139">
        <v>69</v>
      </c>
      <c r="GS139">
        <v>69</v>
      </c>
      <c r="GT139">
        <v>199305883</v>
      </c>
      <c r="GU139">
        <v>170</v>
      </c>
      <c r="GW139" s="24"/>
      <c r="GX139">
        <v>437</v>
      </c>
      <c r="GY139">
        <v>455</v>
      </c>
      <c r="GZ139">
        <v>454</v>
      </c>
      <c r="HA139">
        <v>52810731</v>
      </c>
      <c r="HB139">
        <v>290</v>
      </c>
      <c r="HD139" s="24"/>
      <c r="HE139">
        <v>6000</v>
      </c>
      <c r="HF139">
        <v>6004</v>
      </c>
      <c r="HG139">
        <v>6003</v>
      </c>
      <c r="HH139">
        <v>22900881</v>
      </c>
      <c r="HI139">
        <v>376</v>
      </c>
      <c r="HK139" s="24"/>
      <c r="HL139">
        <v>100130306</v>
      </c>
      <c r="HM139">
        <v>118280995</v>
      </c>
      <c r="HN139">
        <v>110702595</v>
      </c>
      <c r="HO139">
        <v>68</v>
      </c>
      <c r="HP139">
        <v>61</v>
      </c>
      <c r="HR139" s="24"/>
      <c r="HS139">
        <v>7002</v>
      </c>
      <c r="HT139">
        <v>7499</v>
      </c>
      <c r="HU139">
        <v>7387</v>
      </c>
      <c r="HV139">
        <v>528825</v>
      </c>
      <c r="HW139">
        <v>121</v>
      </c>
      <c r="HY139" s="24"/>
      <c r="HZ139">
        <v>6902</v>
      </c>
      <c r="IA139">
        <v>7310</v>
      </c>
      <c r="IB139">
        <v>7250</v>
      </c>
      <c r="IC139">
        <v>1896454</v>
      </c>
      <c r="ID139">
        <v>494</v>
      </c>
      <c r="IF139" s="24"/>
      <c r="IG139">
        <v>2932</v>
      </c>
      <c r="IH139">
        <v>2932</v>
      </c>
      <c r="II139">
        <v>2932</v>
      </c>
      <c r="IJ139">
        <v>1609091</v>
      </c>
      <c r="IK139">
        <v>168</v>
      </c>
      <c r="IM139" s="24"/>
      <c r="IN139">
        <v>99853501</v>
      </c>
      <c r="IO139">
        <v>110999988</v>
      </c>
      <c r="IP139">
        <v>107814639</v>
      </c>
      <c r="IQ139">
        <v>59</v>
      </c>
      <c r="IR139">
        <v>55</v>
      </c>
      <c r="IT139" s="24"/>
      <c r="IU139">
        <v>7599</v>
      </c>
      <c r="IV139">
        <v>7649</v>
      </c>
      <c r="IW139">
        <v>7649</v>
      </c>
      <c r="IX139">
        <v>1231724</v>
      </c>
      <c r="IY139">
        <v>176</v>
      </c>
      <c r="JA139" s="24"/>
      <c r="JB139">
        <v>101245001</v>
      </c>
      <c r="JC139">
        <v>108493000</v>
      </c>
      <c r="JD139">
        <v>105180226</v>
      </c>
      <c r="JE139">
        <v>75</v>
      </c>
      <c r="JF139">
        <v>57</v>
      </c>
      <c r="JH139" s="24"/>
      <c r="JI139">
        <v>100181000</v>
      </c>
      <c r="JJ139">
        <v>104584290</v>
      </c>
      <c r="JK139">
        <v>103651965</v>
      </c>
      <c r="JL139">
        <v>39</v>
      </c>
      <c r="JM139">
        <v>36</v>
      </c>
      <c r="JO139" s="24"/>
      <c r="JP139">
        <v>70</v>
      </c>
      <c r="JQ139">
        <v>71</v>
      </c>
      <c r="JR139">
        <v>71</v>
      </c>
      <c r="JS139">
        <v>104290231</v>
      </c>
      <c r="JT139">
        <v>132</v>
      </c>
      <c r="JV139" s="24"/>
      <c r="JW139">
        <v>66</v>
      </c>
      <c r="JX139">
        <v>69</v>
      </c>
      <c r="JY139">
        <v>69</v>
      </c>
      <c r="JZ139">
        <v>164233175</v>
      </c>
      <c r="KA139">
        <v>149</v>
      </c>
      <c r="KC139" s="24"/>
      <c r="KD139">
        <v>22</v>
      </c>
      <c r="KE139">
        <v>23</v>
      </c>
      <c r="KF139">
        <v>23</v>
      </c>
      <c r="KG139">
        <v>45835901</v>
      </c>
      <c r="KH139">
        <v>362</v>
      </c>
      <c r="KJ139" s="24"/>
      <c r="KK139">
        <v>70</v>
      </c>
      <c r="KL139">
        <v>70</v>
      </c>
      <c r="KM139">
        <v>70</v>
      </c>
      <c r="KN139">
        <v>257185193</v>
      </c>
      <c r="KO139">
        <v>162</v>
      </c>
      <c r="KQ139" s="24"/>
      <c r="KR139">
        <v>85314</v>
      </c>
      <c r="KS139">
        <v>85399</v>
      </c>
      <c r="KT139">
        <v>85315</v>
      </c>
      <c r="KU139">
        <v>95358</v>
      </c>
      <c r="KV139">
        <v>700</v>
      </c>
      <c r="KX139" s="24"/>
      <c r="KY139">
        <v>608</v>
      </c>
      <c r="KZ139">
        <v>612</v>
      </c>
      <c r="LA139">
        <v>612</v>
      </c>
      <c r="LB139">
        <v>7002047</v>
      </c>
      <c r="LC139">
        <v>215</v>
      </c>
      <c r="LE139" s="24"/>
      <c r="LF139">
        <v>191502</v>
      </c>
      <c r="LG139">
        <v>192001</v>
      </c>
      <c r="LH139">
        <v>191506</v>
      </c>
      <c r="LI139">
        <v>147475</v>
      </c>
      <c r="LJ139">
        <v>1053</v>
      </c>
      <c r="LL139" s="24"/>
      <c r="LM139">
        <v>74880</v>
      </c>
      <c r="LN139">
        <v>75001</v>
      </c>
      <c r="LO139">
        <v>75001</v>
      </c>
      <c r="LP139">
        <v>445056</v>
      </c>
      <c r="LQ139">
        <v>1447</v>
      </c>
      <c r="LS139" s="24"/>
      <c r="LT139">
        <v>399</v>
      </c>
      <c r="LU139">
        <v>406</v>
      </c>
      <c r="LV139">
        <v>400</v>
      </c>
      <c r="LW139">
        <v>136390790</v>
      </c>
      <c r="LX139">
        <v>422</v>
      </c>
      <c r="LZ139" s="24"/>
      <c r="MA139">
        <v>98258</v>
      </c>
      <c r="MB139">
        <v>100000</v>
      </c>
      <c r="MC139">
        <v>99020</v>
      </c>
      <c r="MD139">
        <v>1585985</v>
      </c>
      <c r="ME139">
        <v>196</v>
      </c>
    </row>
    <row r="140" spans="2:343" x14ac:dyDescent="0.25">
      <c r="B140" s="24"/>
      <c r="C140">
        <v>3</v>
      </c>
      <c r="D140">
        <v>3</v>
      </c>
      <c r="E140">
        <v>3</v>
      </c>
      <c r="F140">
        <v>32336768846</v>
      </c>
      <c r="G140">
        <v>3145</v>
      </c>
      <c r="I140" s="24"/>
      <c r="J140">
        <v>4</v>
      </c>
      <c r="K140">
        <v>4</v>
      </c>
      <c r="L140">
        <v>4</v>
      </c>
      <c r="M140">
        <v>6272318943</v>
      </c>
      <c r="N140">
        <v>2273</v>
      </c>
      <c r="P140" s="24"/>
      <c r="Q140">
        <v>28</v>
      </c>
      <c r="R140">
        <v>28</v>
      </c>
      <c r="S140">
        <v>28</v>
      </c>
      <c r="T140">
        <v>1559767914</v>
      </c>
      <c r="U140">
        <v>2046</v>
      </c>
      <c r="W140" s="24"/>
      <c r="X140">
        <v>84</v>
      </c>
      <c r="Y140">
        <v>86</v>
      </c>
      <c r="Z140">
        <v>86</v>
      </c>
      <c r="AA140">
        <v>291344566</v>
      </c>
      <c r="AB140">
        <v>1550</v>
      </c>
      <c r="AD140" s="24"/>
      <c r="AE140">
        <v>506</v>
      </c>
      <c r="AF140">
        <v>543</v>
      </c>
      <c r="AG140">
        <v>533</v>
      </c>
      <c r="AH140">
        <v>175821153</v>
      </c>
      <c r="AI140">
        <v>1715</v>
      </c>
      <c r="AK140" s="24"/>
      <c r="AL140">
        <v>941</v>
      </c>
      <c r="AM140">
        <v>958</v>
      </c>
      <c r="AN140">
        <v>941</v>
      </c>
      <c r="AO140">
        <v>41231492</v>
      </c>
      <c r="AP140">
        <v>1292</v>
      </c>
      <c r="AR140" s="24"/>
      <c r="AS140">
        <v>2481</v>
      </c>
      <c r="AT140">
        <v>2600</v>
      </c>
      <c r="AU140">
        <v>2526</v>
      </c>
      <c r="AV140">
        <v>17541021</v>
      </c>
      <c r="AW140">
        <v>1317</v>
      </c>
      <c r="AY140" s="24"/>
      <c r="AZ140">
        <v>361999999</v>
      </c>
      <c r="BA140">
        <v>367499999</v>
      </c>
      <c r="BB140">
        <v>365000000</v>
      </c>
      <c r="BC140">
        <v>1910</v>
      </c>
      <c r="BD140">
        <v>1415</v>
      </c>
      <c r="BF140" s="24"/>
      <c r="BG140">
        <v>26761</v>
      </c>
      <c r="BH140">
        <v>26763</v>
      </c>
      <c r="BI140">
        <v>26763</v>
      </c>
      <c r="BJ140">
        <v>2338225</v>
      </c>
      <c r="BK140">
        <v>291</v>
      </c>
      <c r="BM140" s="24"/>
      <c r="BN140">
        <v>6063515</v>
      </c>
      <c r="BO140">
        <v>6063516</v>
      </c>
      <c r="BP140">
        <v>6063516</v>
      </c>
      <c r="BQ140">
        <v>10126</v>
      </c>
      <c r="BR140">
        <v>332</v>
      </c>
      <c r="BT140" s="24"/>
      <c r="BU140">
        <v>2311</v>
      </c>
      <c r="BV140">
        <v>2340</v>
      </c>
      <c r="BW140">
        <v>2339</v>
      </c>
      <c r="BX140">
        <v>19959952</v>
      </c>
      <c r="BY140">
        <v>236</v>
      </c>
      <c r="CA140" s="24"/>
      <c r="CB140">
        <v>417</v>
      </c>
      <c r="CC140">
        <v>436</v>
      </c>
      <c r="CD140">
        <v>434</v>
      </c>
      <c r="CE140">
        <v>81711361</v>
      </c>
      <c r="CF140">
        <v>321</v>
      </c>
      <c r="CH140" s="24"/>
      <c r="CI140">
        <v>28800</v>
      </c>
      <c r="CJ140">
        <v>28800</v>
      </c>
      <c r="CK140">
        <v>28800</v>
      </c>
      <c r="CL140">
        <v>1224304</v>
      </c>
      <c r="CM140">
        <v>213</v>
      </c>
      <c r="CO140" s="24"/>
      <c r="CP140">
        <v>9030</v>
      </c>
      <c r="CQ140">
        <v>9650</v>
      </c>
      <c r="CR140">
        <v>9390</v>
      </c>
      <c r="CS140">
        <v>940362</v>
      </c>
      <c r="CT140">
        <v>447</v>
      </c>
      <c r="CV140" s="24"/>
      <c r="CW140">
        <v>1300000</v>
      </c>
      <c r="CX140">
        <v>1308500</v>
      </c>
      <c r="CY140">
        <v>1304999</v>
      </c>
      <c r="CZ140">
        <v>6604</v>
      </c>
      <c r="DA140">
        <v>28</v>
      </c>
      <c r="DC140" s="24"/>
      <c r="DD140">
        <v>433</v>
      </c>
      <c r="DE140">
        <v>433</v>
      </c>
      <c r="DF140">
        <v>433</v>
      </c>
      <c r="DG140">
        <v>33644064</v>
      </c>
      <c r="DH140">
        <v>184</v>
      </c>
      <c r="DJ140" s="24"/>
      <c r="DK140">
        <v>34014001</v>
      </c>
      <c r="DL140">
        <v>34014002</v>
      </c>
      <c r="DM140">
        <v>34014002</v>
      </c>
      <c r="DN140">
        <v>242</v>
      </c>
      <c r="DO140">
        <v>72</v>
      </c>
      <c r="DQ140" s="24"/>
      <c r="DR140">
        <v>1810007</v>
      </c>
      <c r="DS140">
        <v>1830023</v>
      </c>
      <c r="DT140">
        <v>1811002</v>
      </c>
      <c r="DU140">
        <v>5277</v>
      </c>
      <c r="DV140">
        <v>216</v>
      </c>
      <c r="DX140" s="24"/>
      <c r="DY140">
        <v>19280109</v>
      </c>
      <c r="DZ140">
        <v>21198999</v>
      </c>
      <c r="EA140">
        <v>19280309</v>
      </c>
      <c r="EB140">
        <v>314</v>
      </c>
      <c r="EC140">
        <v>102</v>
      </c>
      <c r="EE140" s="24"/>
      <c r="EF140">
        <v>152</v>
      </c>
      <c r="EG140">
        <v>157</v>
      </c>
      <c r="EH140">
        <v>156</v>
      </c>
      <c r="EI140">
        <v>117191502</v>
      </c>
      <c r="EJ140">
        <v>191</v>
      </c>
      <c r="EL140" s="24"/>
      <c r="EM140">
        <v>47004</v>
      </c>
      <c r="EN140">
        <v>47318</v>
      </c>
      <c r="EO140">
        <v>47313</v>
      </c>
      <c r="EP140">
        <v>91283</v>
      </c>
      <c r="EQ140">
        <v>668</v>
      </c>
      <c r="ES140" s="24"/>
      <c r="ET140">
        <v>400</v>
      </c>
      <c r="EU140">
        <v>414</v>
      </c>
      <c r="EV140">
        <v>403</v>
      </c>
      <c r="EW140">
        <v>62654784</v>
      </c>
      <c r="EX140">
        <v>664</v>
      </c>
      <c r="EZ140" s="24"/>
      <c r="FA140">
        <v>3735697</v>
      </c>
      <c r="FB140">
        <v>3735697</v>
      </c>
      <c r="FC140">
        <v>3735697</v>
      </c>
      <c r="FD140">
        <v>800</v>
      </c>
      <c r="FE140">
        <v>23</v>
      </c>
      <c r="FG140" s="24"/>
      <c r="FH140">
        <v>7352</v>
      </c>
      <c r="FI140">
        <v>7799</v>
      </c>
      <c r="FJ140">
        <v>7550</v>
      </c>
      <c r="FK140">
        <v>2276575</v>
      </c>
      <c r="FL140">
        <v>523</v>
      </c>
      <c r="FN140" s="24"/>
      <c r="FO140">
        <v>21308</v>
      </c>
      <c r="FP140">
        <v>22350</v>
      </c>
      <c r="FQ140">
        <v>22338</v>
      </c>
      <c r="FR140">
        <v>110348</v>
      </c>
      <c r="FS140">
        <v>77</v>
      </c>
      <c r="FU140" s="24"/>
      <c r="FV140">
        <v>19000</v>
      </c>
      <c r="FW140">
        <v>20000</v>
      </c>
      <c r="FX140">
        <v>19025</v>
      </c>
      <c r="FY140">
        <v>318453</v>
      </c>
      <c r="FZ140">
        <v>1245</v>
      </c>
      <c r="GB140" s="24"/>
      <c r="GC140">
        <v>103000400</v>
      </c>
      <c r="GD140">
        <v>111369998</v>
      </c>
      <c r="GE140">
        <v>109302031</v>
      </c>
      <c r="GF140">
        <v>55</v>
      </c>
      <c r="GG140">
        <v>51</v>
      </c>
      <c r="GI140" s="24"/>
      <c r="GJ140">
        <v>27500009</v>
      </c>
      <c r="GK140">
        <v>28499997</v>
      </c>
      <c r="GL140">
        <v>27500011</v>
      </c>
      <c r="GM140">
        <v>464</v>
      </c>
      <c r="GN140">
        <v>78</v>
      </c>
      <c r="GP140" s="24"/>
      <c r="GQ140">
        <v>61</v>
      </c>
      <c r="GR140">
        <v>69</v>
      </c>
      <c r="GS140">
        <v>62</v>
      </c>
      <c r="GT140">
        <v>151852811</v>
      </c>
      <c r="GU140">
        <v>152</v>
      </c>
      <c r="GW140" s="24"/>
      <c r="GX140">
        <v>436</v>
      </c>
      <c r="GY140">
        <v>454</v>
      </c>
      <c r="GZ140">
        <v>440</v>
      </c>
      <c r="HA140">
        <v>73445344</v>
      </c>
      <c r="HB140">
        <v>274</v>
      </c>
      <c r="HD140" s="24"/>
      <c r="HE140">
        <v>5895</v>
      </c>
      <c r="HF140">
        <v>6002</v>
      </c>
      <c r="HG140">
        <v>5994</v>
      </c>
      <c r="HH140">
        <v>17028229</v>
      </c>
      <c r="HI140">
        <v>322</v>
      </c>
      <c r="HK140" s="24"/>
      <c r="HL140">
        <v>100171001</v>
      </c>
      <c r="HM140">
        <v>111000000</v>
      </c>
      <c r="HN140">
        <v>108414767</v>
      </c>
      <c r="HO140">
        <v>62</v>
      </c>
      <c r="HP140">
        <v>53</v>
      </c>
      <c r="HR140" s="24"/>
      <c r="HS140">
        <v>7002</v>
      </c>
      <c r="HT140">
        <v>7340</v>
      </c>
      <c r="HU140">
        <v>7197</v>
      </c>
      <c r="HV140">
        <v>699334</v>
      </c>
      <c r="HW140">
        <v>120</v>
      </c>
      <c r="HY140" s="24"/>
      <c r="HZ140">
        <v>6903</v>
      </c>
      <c r="IA140">
        <v>7369</v>
      </c>
      <c r="IB140">
        <v>7345</v>
      </c>
      <c r="IC140">
        <v>1646422</v>
      </c>
      <c r="ID140">
        <v>455</v>
      </c>
      <c r="IF140" s="24"/>
      <c r="IG140">
        <v>2932</v>
      </c>
      <c r="IH140">
        <v>2932</v>
      </c>
      <c r="II140">
        <v>2932</v>
      </c>
      <c r="IJ140">
        <v>1201006</v>
      </c>
      <c r="IK140">
        <v>138</v>
      </c>
      <c r="IM140" s="24"/>
      <c r="IN140">
        <v>100311003</v>
      </c>
      <c r="IO140">
        <v>110999994</v>
      </c>
      <c r="IP140">
        <v>108480940</v>
      </c>
      <c r="IQ140">
        <v>53</v>
      </c>
      <c r="IR140">
        <v>52</v>
      </c>
      <c r="IT140" s="24"/>
      <c r="IU140">
        <v>7447</v>
      </c>
      <c r="IV140">
        <v>7454</v>
      </c>
      <c r="IW140">
        <v>7448</v>
      </c>
      <c r="IX140">
        <v>1342710</v>
      </c>
      <c r="IY140">
        <v>138</v>
      </c>
      <c r="JA140" s="24"/>
      <c r="JB140">
        <v>101246800</v>
      </c>
      <c r="JC140">
        <v>107000000</v>
      </c>
      <c r="JD140">
        <v>104609233</v>
      </c>
      <c r="JE140">
        <v>83</v>
      </c>
      <c r="JF140">
        <v>61</v>
      </c>
      <c r="JH140" s="24"/>
      <c r="JI140">
        <v>102000200</v>
      </c>
      <c r="JJ140">
        <v>106000000</v>
      </c>
      <c r="JK140">
        <v>104432441</v>
      </c>
      <c r="JL140">
        <v>58</v>
      </c>
      <c r="JM140">
        <v>41</v>
      </c>
      <c r="JO140" s="24"/>
      <c r="JP140">
        <v>69</v>
      </c>
      <c r="JQ140">
        <v>70</v>
      </c>
      <c r="JR140">
        <v>69</v>
      </c>
      <c r="JS140">
        <v>107042453</v>
      </c>
      <c r="JT140">
        <v>87</v>
      </c>
      <c r="JV140" s="24"/>
      <c r="JW140">
        <v>66</v>
      </c>
      <c r="JX140">
        <v>66</v>
      </c>
      <c r="JY140">
        <v>66</v>
      </c>
      <c r="JZ140">
        <v>114980727</v>
      </c>
      <c r="KA140">
        <v>98</v>
      </c>
      <c r="KC140" s="24"/>
      <c r="KD140">
        <v>21</v>
      </c>
      <c r="KE140">
        <v>23</v>
      </c>
      <c r="KF140">
        <v>22</v>
      </c>
      <c r="KG140">
        <v>46599893</v>
      </c>
      <c r="KH140">
        <v>289</v>
      </c>
      <c r="KJ140" s="24"/>
      <c r="KK140">
        <v>68</v>
      </c>
      <c r="KL140">
        <v>69</v>
      </c>
      <c r="KM140">
        <v>69</v>
      </c>
      <c r="KN140">
        <v>142306789</v>
      </c>
      <c r="KO140">
        <v>117</v>
      </c>
      <c r="KQ140" s="24"/>
      <c r="KR140">
        <v>86209</v>
      </c>
      <c r="KS140">
        <v>88449</v>
      </c>
      <c r="KT140">
        <v>86515</v>
      </c>
      <c r="KU140">
        <v>68957</v>
      </c>
      <c r="KV140">
        <v>676</v>
      </c>
      <c r="KX140" s="24"/>
      <c r="KY140">
        <v>580</v>
      </c>
      <c r="KZ140">
        <v>599</v>
      </c>
      <c r="LA140">
        <v>598</v>
      </c>
      <c r="LB140">
        <v>4475037</v>
      </c>
      <c r="LC140">
        <v>178</v>
      </c>
      <c r="LE140" s="24"/>
      <c r="LF140">
        <v>193002</v>
      </c>
      <c r="LG140">
        <v>195900</v>
      </c>
      <c r="LH140">
        <v>193518</v>
      </c>
      <c r="LI140">
        <v>133043</v>
      </c>
      <c r="LJ140">
        <v>983</v>
      </c>
      <c r="LL140" s="24"/>
      <c r="LM140">
        <v>75004</v>
      </c>
      <c r="LN140">
        <v>75012</v>
      </c>
      <c r="LO140">
        <v>75008</v>
      </c>
      <c r="LP140">
        <v>347138</v>
      </c>
      <c r="LQ140">
        <v>1286</v>
      </c>
      <c r="LS140" s="24"/>
      <c r="LT140">
        <v>395</v>
      </c>
      <c r="LU140">
        <v>403</v>
      </c>
      <c r="LV140">
        <v>403</v>
      </c>
      <c r="LW140">
        <v>73537671</v>
      </c>
      <c r="LX140">
        <v>335</v>
      </c>
      <c r="LZ140" s="24"/>
      <c r="MA140">
        <v>98803</v>
      </c>
      <c r="MB140">
        <v>101800</v>
      </c>
      <c r="MC140">
        <v>101798</v>
      </c>
      <c r="MD140">
        <v>742407</v>
      </c>
      <c r="ME140">
        <v>102</v>
      </c>
    </row>
    <row r="141" spans="2:343" x14ac:dyDescent="0.25">
      <c r="B141" s="24"/>
      <c r="C141">
        <v>3</v>
      </c>
      <c r="D141">
        <v>3</v>
      </c>
      <c r="E141">
        <v>3</v>
      </c>
      <c r="F141">
        <v>27803571097</v>
      </c>
      <c r="G141">
        <v>2781</v>
      </c>
      <c r="I141" s="24"/>
      <c r="J141">
        <v>4</v>
      </c>
      <c r="K141">
        <v>4</v>
      </c>
      <c r="L141">
        <v>4</v>
      </c>
      <c r="M141">
        <v>5104520142</v>
      </c>
      <c r="N141">
        <v>1972</v>
      </c>
      <c r="P141" s="24"/>
      <c r="Q141">
        <v>28</v>
      </c>
      <c r="R141">
        <v>29</v>
      </c>
      <c r="S141">
        <v>28</v>
      </c>
      <c r="T141">
        <v>1193998029</v>
      </c>
      <c r="U141">
        <v>1765</v>
      </c>
      <c r="W141" s="24"/>
      <c r="X141">
        <v>84</v>
      </c>
      <c r="Y141">
        <v>85</v>
      </c>
      <c r="Z141">
        <v>84</v>
      </c>
      <c r="AA141">
        <v>274691694</v>
      </c>
      <c r="AB141">
        <v>1438</v>
      </c>
      <c r="AD141" s="24"/>
      <c r="AE141">
        <v>520</v>
      </c>
      <c r="AF141">
        <v>543</v>
      </c>
      <c r="AG141">
        <v>539</v>
      </c>
      <c r="AH141">
        <v>76228091</v>
      </c>
      <c r="AI141">
        <v>1479</v>
      </c>
      <c r="AK141" s="24"/>
      <c r="AL141">
        <v>941</v>
      </c>
      <c r="AM141">
        <v>953</v>
      </c>
      <c r="AN141">
        <v>952</v>
      </c>
      <c r="AO141">
        <v>30523654</v>
      </c>
      <c r="AP141">
        <v>1172</v>
      </c>
      <c r="AR141" s="24"/>
      <c r="AS141">
        <v>2500</v>
      </c>
      <c r="AT141">
        <v>2586</v>
      </c>
      <c r="AU141">
        <v>2506</v>
      </c>
      <c r="AV141">
        <v>15791216</v>
      </c>
      <c r="AW141">
        <v>1244</v>
      </c>
      <c r="AY141" s="24"/>
      <c r="AZ141">
        <v>359504502</v>
      </c>
      <c r="BA141">
        <v>369186998</v>
      </c>
      <c r="BB141">
        <v>366000000</v>
      </c>
      <c r="BC141">
        <v>1938</v>
      </c>
      <c r="BD141">
        <v>1372</v>
      </c>
      <c r="BF141" s="24"/>
      <c r="BG141">
        <v>26801</v>
      </c>
      <c r="BH141">
        <v>26830</v>
      </c>
      <c r="BI141">
        <v>26821</v>
      </c>
      <c r="BJ141">
        <v>1699280</v>
      </c>
      <c r="BK141">
        <v>238</v>
      </c>
      <c r="BM141" s="24"/>
      <c r="BN141">
        <v>6000000</v>
      </c>
      <c r="BO141">
        <v>6063511</v>
      </c>
      <c r="BP141">
        <v>6061004</v>
      </c>
      <c r="BQ141">
        <v>9583</v>
      </c>
      <c r="BR141">
        <v>259</v>
      </c>
      <c r="BT141" s="24"/>
      <c r="BU141">
        <v>2274</v>
      </c>
      <c r="BV141">
        <v>2338</v>
      </c>
      <c r="BW141">
        <v>2337</v>
      </c>
      <c r="BX141">
        <v>22603850</v>
      </c>
      <c r="BY141">
        <v>257</v>
      </c>
      <c r="CA141" s="24"/>
      <c r="CB141">
        <v>421</v>
      </c>
      <c r="CC141">
        <v>436</v>
      </c>
      <c r="CD141">
        <v>435</v>
      </c>
      <c r="CE141">
        <v>66386740</v>
      </c>
      <c r="CF141">
        <v>279</v>
      </c>
      <c r="CH141" s="24"/>
      <c r="CI141">
        <v>25805</v>
      </c>
      <c r="CJ141">
        <v>26050</v>
      </c>
      <c r="CK141">
        <v>26001</v>
      </c>
      <c r="CL141">
        <v>619219</v>
      </c>
      <c r="CM141">
        <v>178</v>
      </c>
      <c r="CO141" s="24"/>
      <c r="CP141">
        <v>9033</v>
      </c>
      <c r="CQ141">
        <v>9347</v>
      </c>
      <c r="CR141">
        <v>9338</v>
      </c>
      <c r="CS141">
        <v>933306</v>
      </c>
      <c r="CT141">
        <v>360</v>
      </c>
      <c r="CV141" s="24"/>
      <c r="CW141">
        <v>1298000</v>
      </c>
      <c r="CX141">
        <v>1337997</v>
      </c>
      <c r="CY141">
        <v>1335996</v>
      </c>
      <c r="CZ141">
        <v>5376</v>
      </c>
      <c r="DA141">
        <v>27</v>
      </c>
      <c r="DC141" s="24"/>
      <c r="DD141">
        <v>416</v>
      </c>
      <c r="DE141">
        <v>432</v>
      </c>
      <c r="DF141">
        <v>420</v>
      </c>
      <c r="DG141">
        <v>45590534</v>
      </c>
      <c r="DH141">
        <v>190</v>
      </c>
      <c r="DJ141" s="24"/>
      <c r="DK141">
        <v>34014010</v>
      </c>
      <c r="DL141">
        <v>34749998</v>
      </c>
      <c r="DM141">
        <v>34014020</v>
      </c>
      <c r="DN141">
        <v>254</v>
      </c>
      <c r="DO141">
        <v>76</v>
      </c>
      <c r="DQ141" s="24"/>
      <c r="DR141">
        <v>1850000</v>
      </c>
      <c r="DS141">
        <v>2049999</v>
      </c>
      <c r="DT141">
        <v>1856137</v>
      </c>
      <c r="DU141">
        <v>7269</v>
      </c>
      <c r="DV141">
        <v>227</v>
      </c>
      <c r="DX141" s="24"/>
      <c r="DY141">
        <v>19280328</v>
      </c>
      <c r="DZ141">
        <v>20999999</v>
      </c>
      <c r="EA141">
        <v>19280600</v>
      </c>
      <c r="EB141">
        <v>441</v>
      </c>
      <c r="EC141">
        <v>135</v>
      </c>
      <c r="EE141" s="24"/>
      <c r="EF141">
        <v>152</v>
      </c>
      <c r="EG141">
        <v>157</v>
      </c>
      <c r="EH141">
        <v>153</v>
      </c>
      <c r="EI141">
        <v>99786137</v>
      </c>
      <c r="EJ141">
        <v>172</v>
      </c>
      <c r="EL141" s="24"/>
      <c r="EM141">
        <v>47317</v>
      </c>
      <c r="EN141">
        <v>49499</v>
      </c>
      <c r="EO141">
        <v>47334</v>
      </c>
      <c r="EP141">
        <v>63980</v>
      </c>
      <c r="EQ141">
        <v>631</v>
      </c>
      <c r="ES141" s="24"/>
      <c r="ET141">
        <v>393</v>
      </c>
      <c r="EU141">
        <v>412</v>
      </c>
      <c r="EV141">
        <v>411</v>
      </c>
      <c r="EW141">
        <v>42853291</v>
      </c>
      <c r="EX141">
        <v>618</v>
      </c>
      <c r="EZ141" s="24"/>
      <c r="FA141">
        <v>3350029</v>
      </c>
      <c r="FB141">
        <v>3350029</v>
      </c>
      <c r="FC141">
        <v>3350029</v>
      </c>
      <c r="FD141">
        <v>1398</v>
      </c>
      <c r="FE141">
        <v>23</v>
      </c>
      <c r="FG141" s="24"/>
      <c r="FH141">
        <v>7448</v>
      </c>
      <c r="FI141">
        <v>7699</v>
      </c>
      <c r="FJ141">
        <v>7629</v>
      </c>
      <c r="FK141">
        <v>1741620</v>
      </c>
      <c r="FL141">
        <v>450</v>
      </c>
      <c r="FN141" s="24"/>
      <c r="FO141">
        <v>22297</v>
      </c>
      <c r="FP141">
        <v>22335</v>
      </c>
      <c r="FQ141">
        <v>22300</v>
      </c>
      <c r="FR141">
        <v>174573</v>
      </c>
      <c r="FS141">
        <v>80</v>
      </c>
      <c r="FU141" s="24"/>
      <c r="FV141">
        <v>19025</v>
      </c>
      <c r="FW141">
        <v>22429</v>
      </c>
      <c r="FX141">
        <v>19030</v>
      </c>
      <c r="FY141">
        <v>369128</v>
      </c>
      <c r="FZ141">
        <v>1191</v>
      </c>
      <c r="GB141" s="24"/>
      <c r="GC141">
        <v>105010900</v>
      </c>
      <c r="GD141">
        <v>115256399</v>
      </c>
      <c r="GE141">
        <v>107937671</v>
      </c>
      <c r="GF141">
        <v>98</v>
      </c>
      <c r="GG141">
        <v>54</v>
      </c>
      <c r="GI141" s="24"/>
      <c r="GJ141">
        <v>27500005</v>
      </c>
      <c r="GK141">
        <v>29900000</v>
      </c>
      <c r="GL141">
        <v>27800001</v>
      </c>
      <c r="GM141">
        <v>478</v>
      </c>
      <c r="GN141">
        <v>84</v>
      </c>
      <c r="GP141" s="24"/>
      <c r="GQ141">
        <v>62</v>
      </c>
      <c r="GR141">
        <v>68</v>
      </c>
      <c r="GS141">
        <v>64</v>
      </c>
      <c r="GT141">
        <v>134002206</v>
      </c>
      <c r="GU141">
        <v>120</v>
      </c>
      <c r="GW141" s="24"/>
      <c r="GX141">
        <v>421</v>
      </c>
      <c r="GY141">
        <v>439</v>
      </c>
      <c r="GZ141">
        <v>439</v>
      </c>
      <c r="HA141">
        <v>54116193</v>
      </c>
      <c r="HB141">
        <v>247</v>
      </c>
      <c r="HD141" s="24"/>
      <c r="HE141">
        <v>5830</v>
      </c>
      <c r="HF141">
        <v>5947</v>
      </c>
      <c r="HG141">
        <v>5947</v>
      </c>
      <c r="HH141">
        <v>24093181</v>
      </c>
      <c r="HI141">
        <v>323</v>
      </c>
      <c r="HK141" s="24"/>
      <c r="HL141">
        <v>106009100</v>
      </c>
      <c r="HM141">
        <v>111000000</v>
      </c>
      <c r="HN141">
        <v>108106786</v>
      </c>
      <c r="HO141">
        <v>67</v>
      </c>
      <c r="HP141">
        <v>58</v>
      </c>
      <c r="HR141" s="24"/>
      <c r="HS141">
        <v>7007</v>
      </c>
      <c r="HT141">
        <v>7194</v>
      </c>
      <c r="HU141">
        <v>7149</v>
      </c>
      <c r="HV141">
        <v>568528</v>
      </c>
      <c r="HW141">
        <v>120</v>
      </c>
      <c r="HY141" s="24"/>
      <c r="HZ141">
        <v>6929</v>
      </c>
      <c r="IA141">
        <v>7364</v>
      </c>
      <c r="IB141">
        <v>7239</v>
      </c>
      <c r="IC141">
        <v>1530137</v>
      </c>
      <c r="ID141">
        <v>391</v>
      </c>
      <c r="IF141" s="24"/>
      <c r="IG141">
        <v>2932</v>
      </c>
      <c r="IH141">
        <v>2932</v>
      </c>
      <c r="II141">
        <v>2932</v>
      </c>
      <c r="IJ141">
        <v>1126785</v>
      </c>
      <c r="IK141">
        <v>119</v>
      </c>
      <c r="IM141" s="24"/>
      <c r="IN141">
        <v>101313001</v>
      </c>
      <c r="IO141">
        <v>113995991</v>
      </c>
      <c r="IP141">
        <v>107014744</v>
      </c>
      <c r="IQ141">
        <v>59</v>
      </c>
      <c r="IR141">
        <v>46</v>
      </c>
      <c r="IT141" s="24"/>
      <c r="IU141">
        <v>7443</v>
      </c>
      <c r="IV141">
        <v>7447</v>
      </c>
      <c r="IW141">
        <v>7447</v>
      </c>
      <c r="IX141">
        <v>1196686</v>
      </c>
      <c r="IY141">
        <v>129</v>
      </c>
      <c r="JA141" s="24"/>
      <c r="JB141">
        <v>101249201</v>
      </c>
      <c r="JC141">
        <v>108493000</v>
      </c>
      <c r="JD141">
        <v>107847017</v>
      </c>
      <c r="JE141">
        <v>34</v>
      </c>
      <c r="JF141">
        <v>32</v>
      </c>
      <c r="JH141" s="24"/>
      <c r="JI141">
        <v>100186200</v>
      </c>
      <c r="JJ141">
        <v>106985800</v>
      </c>
      <c r="JK141">
        <v>106172895</v>
      </c>
      <c r="JL141">
        <v>23</v>
      </c>
      <c r="JM141">
        <v>20</v>
      </c>
      <c r="JO141" s="24"/>
      <c r="JP141">
        <v>68</v>
      </c>
      <c r="JQ141">
        <v>70</v>
      </c>
      <c r="JR141">
        <v>70</v>
      </c>
      <c r="JS141">
        <v>107795664</v>
      </c>
      <c r="JT141">
        <v>81</v>
      </c>
      <c r="JV141" s="24"/>
      <c r="JW141">
        <v>65</v>
      </c>
      <c r="JX141">
        <v>69</v>
      </c>
      <c r="JY141">
        <v>69</v>
      </c>
      <c r="JZ141">
        <v>91610496</v>
      </c>
      <c r="KA141">
        <v>119</v>
      </c>
      <c r="KC141" s="24"/>
      <c r="KD141">
        <v>22</v>
      </c>
      <c r="KE141">
        <v>22</v>
      </c>
      <c r="KF141">
        <v>22</v>
      </c>
      <c r="KG141">
        <v>47027222</v>
      </c>
      <c r="KH141">
        <v>297</v>
      </c>
      <c r="KJ141" s="24"/>
      <c r="KK141">
        <v>65</v>
      </c>
      <c r="KL141">
        <v>71</v>
      </c>
      <c r="KM141">
        <v>65</v>
      </c>
      <c r="KN141">
        <v>103919954</v>
      </c>
      <c r="KO141">
        <v>112</v>
      </c>
      <c r="KQ141" s="24"/>
      <c r="KR141">
        <v>87100</v>
      </c>
      <c r="KS141">
        <v>90900</v>
      </c>
      <c r="KT141">
        <v>87803</v>
      </c>
      <c r="KU141">
        <v>72034</v>
      </c>
      <c r="KV141">
        <v>580</v>
      </c>
      <c r="KX141" s="24"/>
      <c r="KY141">
        <v>597</v>
      </c>
      <c r="KZ141">
        <v>597</v>
      </c>
      <c r="LA141">
        <v>597</v>
      </c>
      <c r="LB141">
        <v>5769610</v>
      </c>
      <c r="LC141">
        <v>172</v>
      </c>
      <c r="LE141" s="24"/>
      <c r="LF141">
        <v>194005</v>
      </c>
      <c r="LG141">
        <v>195000</v>
      </c>
      <c r="LH141">
        <v>194101</v>
      </c>
      <c r="LI141">
        <v>131054</v>
      </c>
      <c r="LJ141">
        <v>841</v>
      </c>
      <c r="LL141" s="24"/>
      <c r="LM141">
        <v>75012</v>
      </c>
      <c r="LN141">
        <v>76100</v>
      </c>
      <c r="LO141">
        <v>75014</v>
      </c>
      <c r="LP141">
        <v>322210</v>
      </c>
      <c r="LQ141">
        <v>1212</v>
      </c>
      <c r="LS141" s="24"/>
      <c r="LT141">
        <v>400</v>
      </c>
      <c r="LU141">
        <v>402</v>
      </c>
      <c r="LV141">
        <v>401</v>
      </c>
      <c r="LW141">
        <v>79752140</v>
      </c>
      <c r="LX141">
        <v>336</v>
      </c>
      <c r="LZ141" s="24"/>
      <c r="MA141">
        <v>101100</v>
      </c>
      <c r="MB141">
        <v>102892</v>
      </c>
      <c r="MC141">
        <v>102833</v>
      </c>
      <c r="MD141">
        <v>506267</v>
      </c>
      <c r="ME141">
        <v>87</v>
      </c>
    </row>
    <row r="142" spans="2:343" x14ac:dyDescent="0.25">
      <c r="B142" s="24"/>
      <c r="C142">
        <v>3</v>
      </c>
      <c r="D142">
        <v>3</v>
      </c>
      <c r="E142">
        <v>3</v>
      </c>
      <c r="F142">
        <v>23809981438</v>
      </c>
      <c r="G142">
        <v>2733</v>
      </c>
      <c r="I142" s="24"/>
      <c r="J142">
        <v>4</v>
      </c>
      <c r="K142">
        <v>4</v>
      </c>
      <c r="L142">
        <v>4</v>
      </c>
      <c r="M142">
        <v>5427796794</v>
      </c>
      <c r="N142">
        <v>1917</v>
      </c>
      <c r="P142" s="24"/>
      <c r="Q142">
        <v>28</v>
      </c>
      <c r="R142">
        <v>28</v>
      </c>
      <c r="S142">
        <v>28</v>
      </c>
      <c r="T142">
        <v>1176434300</v>
      </c>
      <c r="U142">
        <v>1732</v>
      </c>
      <c r="W142" s="24"/>
      <c r="X142">
        <v>82</v>
      </c>
      <c r="Y142">
        <v>84</v>
      </c>
      <c r="Z142">
        <v>84</v>
      </c>
      <c r="AA142">
        <v>394158457</v>
      </c>
      <c r="AB142">
        <v>1415</v>
      </c>
      <c r="AD142" s="24"/>
      <c r="AE142">
        <v>520</v>
      </c>
      <c r="AF142">
        <v>537</v>
      </c>
      <c r="AG142">
        <v>531</v>
      </c>
      <c r="AH142">
        <v>96544827</v>
      </c>
      <c r="AI142">
        <v>1503</v>
      </c>
      <c r="AK142" s="24"/>
      <c r="AL142">
        <v>941</v>
      </c>
      <c r="AM142">
        <v>946</v>
      </c>
      <c r="AN142">
        <v>942</v>
      </c>
      <c r="AO142">
        <v>29768570</v>
      </c>
      <c r="AP142">
        <v>1146</v>
      </c>
      <c r="AR142" s="24"/>
      <c r="AS142">
        <v>2435</v>
      </c>
      <c r="AT142">
        <v>2545</v>
      </c>
      <c r="AU142">
        <v>2501</v>
      </c>
      <c r="AV142">
        <v>13224247</v>
      </c>
      <c r="AW142">
        <v>1154</v>
      </c>
      <c r="AY142" s="24"/>
      <c r="AZ142">
        <v>363569898</v>
      </c>
      <c r="BA142">
        <v>371399999</v>
      </c>
      <c r="BB142">
        <v>366250000</v>
      </c>
      <c r="BC142">
        <v>1991</v>
      </c>
      <c r="BD142">
        <v>1367</v>
      </c>
      <c r="BF142" s="24"/>
      <c r="BG142">
        <v>27200</v>
      </c>
      <c r="BH142">
        <v>27500</v>
      </c>
      <c r="BI142">
        <v>27500</v>
      </c>
      <c r="BJ142">
        <v>2058096</v>
      </c>
      <c r="BK142">
        <v>187</v>
      </c>
      <c r="BM142" s="24"/>
      <c r="BN142">
        <v>5725000</v>
      </c>
      <c r="BO142">
        <v>5900017</v>
      </c>
      <c r="BP142">
        <v>5810000</v>
      </c>
      <c r="BQ142">
        <v>8288</v>
      </c>
      <c r="BR142">
        <v>313</v>
      </c>
      <c r="BT142" s="24"/>
      <c r="BU142">
        <v>2333</v>
      </c>
      <c r="BV142">
        <v>2337</v>
      </c>
      <c r="BW142">
        <v>2333</v>
      </c>
      <c r="BX142">
        <v>18652649</v>
      </c>
      <c r="BY142">
        <v>216</v>
      </c>
      <c r="CA142" s="24"/>
      <c r="CB142">
        <v>435</v>
      </c>
      <c r="CC142">
        <v>449</v>
      </c>
      <c r="CD142">
        <v>437</v>
      </c>
      <c r="CE142">
        <v>77072017</v>
      </c>
      <c r="CF142">
        <v>281</v>
      </c>
      <c r="CH142" s="24"/>
      <c r="CI142">
        <v>25200</v>
      </c>
      <c r="CJ142">
        <v>25550</v>
      </c>
      <c r="CK142">
        <v>25201</v>
      </c>
      <c r="CL142">
        <v>1671695</v>
      </c>
      <c r="CM142">
        <v>173</v>
      </c>
      <c r="CO142" s="24"/>
      <c r="CP142">
        <v>9024</v>
      </c>
      <c r="CQ142">
        <v>9288</v>
      </c>
      <c r="CR142">
        <v>9137</v>
      </c>
      <c r="CS142">
        <v>1029538</v>
      </c>
      <c r="CT142">
        <v>387</v>
      </c>
      <c r="CV142" s="24"/>
      <c r="CW142">
        <v>1335994</v>
      </c>
      <c r="CX142">
        <v>1335995</v>
      </c>
      <c r="CY142">
        <v>1335994</v>
      </c>
      <c r="CZ142">
        <v>6815</v>
      </c>
      <c r="DA142">
        <v>39</v>
      </c>
      <c r="DC142" s="24"/>
      <c r="DD142">
        <v>432</v>
      </c>
      <c r="DE142">
        <v>432</v>
      </c>
      <c r="DF142">
        <v>432</v>
      </c>
      <c r="DG142">
        <v>30180136</v>
      </c>
      <c r="DH142">
        <v>159</v>
      </c>
      <c r="DJ142" s="24"/>
      <c r="DK142">
        <v>32612040</v>
      </c>
      <c r="DL142">
        <v>32745000</v>
      </c>
      <c r="DM142">
        <v>32745000</v>
      </c>
      <c r="DN142">
        <v>354</v>
      </c>
      <c r="DO142">
        <v>69</v>
      </c>
      <c r="DQ142" s="24"/>
      <c r="DR142">
        <v>1881000</v>
      </c>
      <c r="DS142">
        <v>2123000</v>
      </c>
      <c r="DT142">
        <v>1994999</v>
      </c>
      <c r="DU142">
        <v>4235</v>
      </c>
      <c r="DV142">
        <v>224</v>
      </c>
      <c r="DX142" s="24"/>
      <c r="DY142">
        <v>19300506</v>
      </c>
      <c r="DZ142">
        <v>19300513</v>
      </c>
      <c r="EA142">
        <v>19300512</v>
      </c>
      <c r="EB142">
        <v>274</v>
      </c>
      <c r="EC142">
        <v>77</v>
      </c>
      <c r="EE142" s="24"/>
      <c r="EF142">
        <v>151</v>
      </c>
      <c r="EG142">
        <v>157</v>
      </c>
      <c r="EH142">
        <v>152</v>
      </c>
      <c r="EI142">
        <v>119315269</v>
      </c>
      <c r="EJ142">
        <v>190</v>
      </c>
      <c r="EL142" s="24"/>
      <c r="EM142">
        <v>47320</v>
      </c>
      <c r="EN142">
        <v>51898</v>
      </c>
      <c r="EO142">
        <v>47320</v>
      </c>
      <c r="EP142">
        <v>74711</v>
      </c>
      <c r="EQ142">
        <v>570</v>
      </c>
      <c r="ES142" s="24"/>
      <c r="ET142">
        <v>394</v>
      </c>
      <c r="EU142">
        <v>411</v>
      </c>
      <c r="EV142">
        <v>411</v>
      </c>
      <c r="EW142">
        <v>36551310</v>
      </c>
      <c r="EX142">
        <v>623</v>
      </c>
      <c r="EZ142" s="24"/>
      <c r="FA142">
        <v>3610000</v>
      </c>
      <c r="FB142">
        <v>3734999</v>
      </c>
      <c r="FC142">
        <v>3700000</v>
      </c>
      <c r="FD142">
        <v>1456</v>
      </c>
      <c r="FE142">
        <v>38</v>
      </c>
      <c r="FG142" s="24"/>
      <c r="FH142">
        <v>7123</v>
      </c>
      <c r="FI142">
        <v>7448</v>
      </c>
      <c r="FJ142">
        <v>7387</v>
      </c>
      <c r="FK142">
        <v>1710754</v>
      </c>
      <c r="FL142">
        <v>424</v>
      </c>
      <c r="FN142" s="24"/>
      <c r="FO142">
        <v>21306</v>
      </c>
      <c r="FP142">
        <v>22296</v>
      </c>
      <c r="FQ142">
        <v>21311</v>
      </c>
      <c r="FR142">
        <v>295390</v>
      </c>
      <c r="FS142">
        <v>94</v>
      </c>
      <c r="FU142" s="24"/>
      <c r="FV142">
        <v>19133</v>
      </c>
      <c r="FW142">
        <v>21899</v>
      </c>
      <c r="FX142">
        <v>19151</v>
      </c>
      <c r="FY142">
        <v>314762</v>
      </c>
      <c r="FZ142">
        <v>1041</v>
      </c>
      <c r="GB142" s="24"/>
      <c r="GC142">
        <v>104000000</v>
      </c>
      <c r="GD142">
        <v>108000200</v>
      </c>
      <c r="GE142">
        <v>105005800</v>
      </c>
      <c r="GF142">
        <v>104</v>
      </c>
      <c r="GG142">
        <v>57</v>
      </c>
      <c r="GI142" s="24"/>
      <c r="GJ142">
        <v>28000002</v>
      </c>
      <c r="GK142">
        <v>31000008</v>
      </c>
      <c r="GL142">
        <v>29500001</v>
      </c>
      <c r="GM142">
        <v>219</v>
      </c>
      <c r="GN142">
        <v>50</v>
      </c>
      <c r="GP142" s="24"/>
      <c r="GQ142">
        <v>66</v>
      </c>
      <c r="GR142">
        <v>67</v>
      </c>
      <c r="GS142">
        <v>67</v>
      </c>
      <c r="GT142">
        <v>134302581</v>
      </c>
      <c r="GU142">
        <v>130</v>
      </c>
      <c r="GW142" s="24"/>
      <c r="GX142">
        <v>424</v>
      </c>
      <c r="GY142">
        <v>439</v>
      </c>
      <c r="GZ142">
        <v>437</v>
      </c>
      <c r="HA142">
        <v>71959596</v>
      </c>
      <c r="HB142">
        <v>226</v>
      </c>
      <c r="HD142" s="24"/>
      <c r="HE142">
        <v>5883</v>
      </c>
      <c r="HF142">
        <v>5982</v>
      </c>
      <c r="HG142">
        <v>5982</v>
      </c>
      <c r="HH142">
        <v>14330492</v>
      </c>
      <c r="HI142">
        <v>275</v>
      </c>
      <c r="HK142" s="24"/>
      <c r="HL142">
        <v>106000600</v>
      </c>
      <c r="HM142">
        <v>113899999</v>
      </c>
      <c r="HN142">
        <v>107203153</v>
      </c>
      <c r="HO142">
        <v>64</v>
      </c>
      <c r="HP142">
        <v>45</v>
      </c>
      <c r="HR142" s="24"/>
      <c r="HS142">
        <v>7061</v>
      </c>
      <c r="HT142">
        <v>7276</v>
      </c>
      <c r="HU142">
        <v>7276</v>
      </c>
      <c r="HV142">
        <v>754383</v>
      </c>
      <c r="HW142">
        <v>132</v>
      </c>
      <c r="HY142" s="24"/>
      <c r="HZ142">
        <v>6929</v>
      </c>
      <c r="IA142">
        <v>7199</v>
      </c>
      <c r="IB142">
        <v>7140</v>
      </c>
      <c r="IC142">
        <v>2039530</v>
      </c>
      <c r="ID142">
        <v>415</v>
      </c>
      <c r="IF142" s="24"/>
      <c r="IG142">
        <v>2931</v>
      </c>
      <c r="IH142">
        <v>2931</v>
      </c>
      <c r="II142">
        <v>2931</v>
      </c>
      <c r="IJ142">
        <v>1444355</v>
      </c>
      <c r="IK142">
        <v>132</v>
      </c>
      <c r="IM142" s="24"/>
      <c r="IN142">
        <v>101320002</v>
      </c>
      <c r="IO142">
        <v>113995991</v>
      </c>
      <c r="IP142">
        <v>106440053</v>
      </c>
      <c r="IQ142">
        <v>76</v>
      </c>
      <c r="IR142">
        <v>56</v>
      </c>
      <c r="IT142" s="24"/>
      <c r="IU142">
        <v>7379</v>
      </c>
      <c r="IV142">
        <v>7442</v>
      </c>
      <c r="IW142">
        <v>7442</v>
      </c>
      <c r="IX142">
        <v>1575636</v>
      </c>
      <c r="IY142">
        <v>136</v>
      </c>
      <c r="JA142" s="24"/>
      <c r="JB142">
        <v>101263600</v>
      </c>
      <c r="JC142">
        <v>109794997</v>
      </c>
      <c r="JD142">
        <v>104396656</v>
      </c>
      <c r="JE142">
        <v>96</v>
      </c>
      <c r="JF142">
        <v>65</v>
      </c>
      <c r="JH142" s="24"/>
      <c r="JI142">
        <v>102000200</v>
      </c>
      <c r="JJ142">
        <v>106984300</v>
      </c>
      <c r="JK142">
        <v>104326272</v>
      </c>
      <c r="JL142">
        <v>56</v>
      </c>
      <c r="JM142">
        <v>37</v>
      </c>
      <c r="JO142" s="24"/>
      <c r="JP142">
        <v>70</v>
      </c>
      <c r="JQ142">
        <v>70</v>
      </c>
      <c r="JR142">
        <v>70</v>
      </c>
      <c r="JS142">
        <v>80202342</v>
      </c>
      <c r="JT142">
        <v>100</v>
      </c>
      <c r="JV142" s="24"/>
      <c r="JW142">
        <v>65</v>
      </c>
      <c r="JX142">
        <v>67</v>
      </c>
      <c r="JY142">
        <v>67</v>
      </c>
      <c r="JZ142">
        <v>95194884</v>
      </c>
      <c r="KA142">
        <v>120</v>
      </c>
      <c r="KC142" s="24"/>
      <c r="KD142">
        <v>22</v>
      </c>
      <c r="KE142">
        <v>25</v>
      </c>
      <c r="KF142">
        <v>23</v>
      </c>
      <c r="KG142">
        <v>115149011</v>
      </c>
      <c r="KH142">
        <v>369</v>
      </c>
      <c r="KJ142" s="24"/>
      <c r="KK142">
        <v>67</v>
      </c>
      <c r="KL142">
        <v>68</v>
      </c>
      <c r="KM142">
        <v>68</v>
      </c>
      <c r="KN142">
        <v>87064772</v>
      </c>
      <c r="KO142">
        <v>107</v>
      </c>
      <c r="KQ142" s="24"/>
      <c r="KR142">
        <v>87808</v>
      </c>
      <c r="KS142">
        <v>87855</v>
      </c>
      <c r="KT142">
        <v>87812</v>
      </c>
      <c r="KU142">
        <v>57340</v>
      </c>
      <c r="KV142">
        <v>565</v>
      </c>
      <c r="KX142" s="24"/>
      <c r="KY142">
        <v>596</v>
      </c>
      <c r="KZ142">
        <v>596</v>
      </c>
      <c r="LA142">
        <v>596</v>
      </c>
      <c r="LB142">
        <v>5223047</v>
      </c>
      <c r="LC142">
        <v>197</v>
      </c>
      <c r="LE142" s="24"/>
      <c r="LF142">
        <v>193530</v>
      </c>
      <c r="LG142">
        <v>197199</v>
      </c>
      <c r="LH142">
        <v>193537</v>
      </c>
      <c r="LI142">
        <v>137908</v>
      </c>
      <c r="LJ142">
        <v>844</v>
      </c>
      <c r="LL142" s="24"/>
      <c r="LM142">
        <v>75012</v>
      </c>
      <c r="LN142">
        <v>76006</v>
      </c>
      <c r="LO142">
        <v>75262</v>
      </c>
      <c r="LP142">
        <v>267343</v>
      </c>
      <c r="LQ142">
        <v>1091</v>
      </c>
      <c r="LS142" s="24"/>
      <c r="LT142">
        <v>396</v>
      </c>
      <c r="LU142">
        <v>400</v>
      </c>
      <c r="LV142">
        <v>398</v>
      </c>
      <c r="LW142">
        <v>77861911</v>
      </c>
      <c r="LX142">
        <v>333</v>
      </c>
      <c r="LZ142" s="24"/>
      <c r="MA142">
        <v>100619</v>
      </c>
      <c r="MB142">
        <v>102943</v>
      </c>
      <c r="MC142">
        <v>102896</v>
      </c>
      <c r="MD142">
        <v>739631</v>
      </c>
      <c r="ME142">
        <v>80</v>
      </c>
    </row>
    <row r="143" spans="2:343" x14ac:dyDescent="0.25">
      <c r="B143" s="24"/>
      <c r="C143">
        <v>3</v>
      </c>
      <c r="D143">
        <v>3</v>
      </c>
      <c r="E143">
        <v>3</v>
      </c>
      <c r="F143">
        <v>23156896944</v>
      </c>
      <c r="G143">
        <v>2806</v>
      </c>
      <c r="I143" s="24"/>
      <c r="J143">
        <v>4</v>
      </c>
      <c r="K143">
        <v>4</v>
      </c>
      <c r="L143">
        <v>4</v>
      </c>
      <c r="M143">
        <v>4729034800</v>
      </c>
      <c r="N143">
        <v>1920</v>
      </c>
      <c r="P143" s="24"/>
      <c r="Q143">
        <v>28</v>
      </c>
      <c r="R143">
        <v>28</v>
      </c>
      <c r="S143">
        <v>28</v>
      </c>
      <c r="T143">
        <v>1524299304</v>
      </c>
      <c r="U143">
        <v>1731</v>
      </c>
      <c r="W143" s="24"/>
      <c r="X143">
        <v>85</v>
      </c>
      <c r="Y143">
        <v>88</v>
      </c>
      <c r="Z143">
        <v>87</v>
      </c>
      <c r="AA143">
        <v>273398434</v>
      </c>
      <c r="AB143">
        <v>1356</v>
      </c>
      <c r="AD143" s="24"/>
      <c r="AE143">
        <v>520</v>
      </c>
      <c r="AF143">
        <v>537</v>
      </c>
      <c r="AG143">
        <v>535</v>
      </c>
      <c r="AH143">
        <v>94878721</v>
      </c>
      <c r="AI143">
        <v>1456</v>
      </c>
      <c r="AK143" s="24"/>
      <c r="AL143">
        <v>922</v>
      </c>
      <c r="AM143">
        <v>946</v>
      </c>
      <c r="AN143">
        <v>942</v>
      </c>
      <c r="AO143">
        <v>47543164</v>
      </c>
      <c r="AP143">
        <v>1212</v>
      </c>
      <c r="AR143" s="24"/>
      <c r="AS143">
        <v>2504</v>
      </c>
      <c r="AT143">
        <v>2518</v>
      </c>
      <c r="AU143">
        <v>2515</v>
      </c>
      <c r="AV143">
        <v>15474280</v>
      </c>
      <c r="AW143">
        <v>1180</v>
      </c>
      <c r="AY143" s="24"/>
      <c r="AZ143">
        <v>362900012</v>
      </c>
      <c r="BA143">
        <v>371899942</v>
      </c>
      <c r="BB143">
        <v>366988781</v>
      </c>
      <c r="BC143">
        <v>2313</v>
      </c>
      <c r="BD143">
        <v>1516</v>
      </c>
      <c r="BF143" s="24"/>
      <c r="BG143">
        <v>26828</v>
      </c>
      <c r="BH143">
        <v>27228</v>
      </c>
      <c r="BI143">
        <v>27000</v>
      </c>
      <c r="BJ143">
        <v>2938981</v>
      </c>
      <c r="BK143">
        <v>241</v>
      </c>
      <c r="BM143" s="24"/>
      <c r="BN143">
        <v>5801000</v>
      </c>
      <c r="BO143">
        <v>5803004</v>
      </c>
      <c r="BP143">
        <v>5803000</v>
      </c>
      <c r="BQ143">
        <v>8018</v>
      </c>
      <c r="BR143">
        <v>267</v>
      </c>
      <c r="BT143" s="24"/>
      <c r="BU143">
        <v>2330</v>
      </c>
      <c r="BV143">
        <v>2331</v>
      </c>
      <c r="BW143">
        <v>2331</v>
      </c>
      <c r="BX143">
        <v>18489742</v>
      </c>
      <c r="BY143">
        <v>244</v>
      </c>
      <c r="CA143" s="24"/>
      <c r="CB143">
        <v>448</v>
      </c>
      <c r="CC143">
        <v>449</v>
      </c>
      <c r="CD143">
        <v>449</v>
      </c>
      <c r="CE143">
        <v>91780288</v>
      </c>
      <c r="CF143">
        <v>297</v>
      </c>
      <c r="CH143" s="24"/>
      <c r="CI143">
        <v>25203</v>
      </c>
      <c r="CJ143">
        <v>25203</v>
      </c>
      <c r="CK143">
        <v>25203</v>
      </c>
      <c r="CL143">
        <v>762180</v>
      </c>
      <c r="CM143">
        <v>160</v>
      </c>
      <c r="CO143" s="24"/>
      <c r="CP143">
        <v>8429</v>
      </c>
      <c r="CQ143">
        <v>9136</v>
      </c>
      <c r="CR143">
        <v>8799</v>
      </c>
      <c r="CS143">
        <v>1304849</v>
      </c>
      <c r="CT143">
        <v>380</v>
      </c>
      <c r="CV143" s="24"/>
      <c r="CW143">
        <v>1315000</v>
      </c>
      <c r="CX143">
        <v>1315000</v>
      </c>
      <c r="CY143">
        <v>1315000</v>
      </c>
      <c r="CZ143">
        <v>5741</v>
      </c>
      <c r="DA143">
        <v>23</v>
      </c>
      <c r="DC143" s="24"/>
      <c r="DD143">
        <v>430</v>
      </c>
      <c r="DE143">
        <v>434</v>
      </c>
      <c r="DF143">
        <v>433</v>
      </c>
      <c r="DG143">
        <v>52190139</v>
      </c>
      <c r="DH143">
        <v>194</v>
      </c>
      <c r="DJ143" s="24"/>
      <c r="DK143">
        <v>32120005</v>
      </c>
      <c r="DL143">
        <v>34650000</v>
      </c>
      <c r="DM143">
        <v>32511120</v>
      </c>
      <c r="DN143">
        <v>256</v>
      </c>
      <c r="DO143">
        <v>91</v>
      </c>
      <c r="DQ143" s="24"/>
      <c r="DR143">
        <v>1920000</v>
      </c>
      <c r="DS143">
        <v>2020069</v>
      </c>
      <c r="DT143">
        <v>2020050</v>
      </c>
      <c r="DU143">
        <v>3962</v>
      </c>
      <c r="DV143">
        <v>199</v>
      </c>
      <c r="DX143" s="24"/>
      <c r="DY143">
        <v>20000014</v>
      </c>
      <c r="DZ143">
        <v>20870006</v>
      </c>
      <c r="EA143">
        <v>20420002</v>
      </c>
      <c r="EB143">
        <v>270</v>
      </c>
      <c r="EC143">
        <v>74</v>
      </c>
      <c r="EE143" s="24"/>
      <c r="EF143">
        <v>152</v>
      </c>
      <c r="EG143">
        <v>159</v>
      </c>
      <c r="EH143">
        <v>157</v>
      </c>
      <c r="EI143">
        <v>63553331</v>
      </c>
      <c r="EJ143">
        <v>149</v>
      </c>
      <c r="EL143" s="24"/>
      <c r="EM143">
        <v>47420</v>
      </c>
      <c r="EN143">
        <v>47500</v>
      </c>
      <c r="EO143">
        <v>47443</v>
      </c>
      <c r="EP143">
        <v>64194</v>
      </c>
      <c r="EQ143">
        <v>573</v>
      </c>
      <c r="ES143" s="24"/>
      <c r="ET143">
        <v>408</v>
      </c>
      <c r="EU143">
        <v>408</v>
      </c>
      <c r="EV143">
        <v>408</v>
      </c>
      <c r="EW143">
        <v>44040948</v>
      </c>
      <c r="EX143">
        <v>536</v>
      </c>
      <c r="EZ143" s="24"/>
      <c r="FA143">
        <v>3599989</v>
      </c>
      <c r="FB143">
        <v>3734999</v>
      </c>
      <c r="FC143">
        <v>3600000</v>
      </c>
      <c r="FD143">
        <v>671</v>
      </c>
      <c r="FE143">
        <v>21</v>
      </c>
      <c r="FG143" s="24"/>
      <c r="FH143">
        <v>7125</v>
      </c>
      <c r="FI143">
        <v>7397</v>
      </c>
      <c r="FJ143">
        <v>7368</v>
      </c>
      <c r="FK143">
        <v>2015987</v>
      </c>
      <c r="FL143">
        <v>401</v>
      </c>
      <c r="FN143" s="24"/>
      <c r="FO143">
        <v>20003</v>
      </c>
      <c r="FP143">
        <v>22296</v>
      </c>
      <c r="FQ143">
        <v>22296</v>
      </c>
      <c r="FR143">
        <v>116256</v>
      </c>
      <c r="FS143">
        <v>75</v>
      </c>
      <c r="FU143" s="24"/>
      <c r="FV143">
        <v>19185</v>
      </c>
      <c r="FW143">
        <v>19323</v>
      </c>
      <c r="FX143">
        <v>19301</v>
      </c>
      <c r="FY143">
        <v>377364</v>
      </c>
      <c r="FZ143">
        <v>1097</v>
      </c>
      <c r="GB143" s="24"/>
      <c r="GC143">
        <v>100402008</v>
      </c>
      <c r="GD143">
        <v>104999600</v>
      </c>
      <c r="GE143">
        <v>103301650</v>
      </c>
      <c r="GF143">
        <v>61</v>
      </c>
      <c r="GG143">
        <v>49</v>
      </c>
      <c r="GI143" s="24"/>
      <c r="GJ143">
        <v>27901009</v>
      </c>
      <c r="GK143">
        <v>32432999</v>
      </c>
      <c r="GL143">
        <v>29850000</v>
      </c>
      <c r="GM143">
        <v>422</v>
      </c>
      <c r="GN143">
        <v>75</v>
      </c>
      <c r="GP143" s="24"/>
      <c r="GQ143">
        <v>67</v>
      </c>
      <c r="GR143">
        <v>69</v>
      </c>
      <c r="GS143">
        <v>68</v>
      </c>
      <c r="GT143">
        <v>71272528</v>
      </c>
      <c r="GU143">
        <v>129</v>
      </c>
      <c r="GW143" s="24"/>
      <c r="GX143">
        <v>439</v>
      </c>
      <c r="GY143">
        <v>440</v>
      </c>
      <c r="GZ143">
        <v>439</v>
      </c>
      <c r="HA143">
        <v>48067810</v>
      </c>
      <c r="HB143">
        <v>206</v>
      </c>
      <c r="HD143" s="24"/>
      <c r="HE143">
        <v>5837</v>
      </c>
      <c r="HF143">
        <v>5982</v>
      </c>
      <c r="HG143">
        <v>5982</v>
      </c>
      <c r="HH143">
        <v>15729750</v>
      </c>
      <c r="HI143">
        <v>309</v>
      </c>
      <c r="HK143" s="24"/>
      <c r="HL143">
        <v>100218128</v>
      </c>
      <c r="HM143">
        <v>110998000</v>
      </c>
      <c r="HN143">
        <v>106827587</v>
      </c>
      <c r="HO143">
        <v>47</v>
      </c>
      <c r="HP143">
        <v>46</v>
      </c>
      <c r="HR143" s="24"/>
      <c r="HS143">
        <v>7070</v>
      </c>
      <c r="HT143">
        <v>7276</v>
      </c>
      <c r="HU143">
        <v>7276</v>
      </c>
      <c r="HV143">
        <v>721830</v>
      </c>
      <c r="HW143">
        <v>134</v>
      </c>
      <c r="HY143" s="24"/>
      <c r="HZ143">
        <v>7189</v>
      </c>
      <c r="IA143">
        <v>7221</v>
      </c>
      <c r="IB143">
        <v>7208</v>
      </c>
      <c r="IC143">
        <v>2571207</v>
      </c>
      <c r="ID143">
        <v>400</v>
      </c>
      <c r="IF143" s="24"/>
      <c r="IG143">
        <v>2931</v>
      </c>
      <c r="IH143">
        <v>2931</v>
      </c>
      <c r="II143">
        <v>2931</v>
      </c>
      <c r="IJ143">
        <v>1074957</v>
      </c>
      <c r="IK143">
        <v>133</v>
      </c>
      <c r="IM143" s="24"/>
      <c r="IN143">
        <v>101325000</v>
      </c>
      <c r="IO143">
        <v>101327000</v>
      </c>
      <c r="IP143">
        <v>101325000</v>
      </c>
      <c r="IQ143">
        <v>102</v>
      </c>
      <c r="IR143">
        <v>54</v>
      </c>
      <c r="IT143" s="24"/>
      <c r="IU143">
        <v>7440</v>
      </c>
      <c r="IV143">
        <v>7442</v>
      </c>
      <c r="IW143">
        <v>7441</v>
      </c>
      <c r="IX143">
        <v>782254</v>
      </c>
      <c r="IY143">
        <v>114</v>
      </c>
      <c r="JA143" s="24"/>
      <c r="JB143">
        <v>101266001</v>
      </c>
      <c r="JC143">
        <v>101274005</v>
      </c>
      <c r="JD143">
        <v>101271502</v>
      </c>
      <c r="JE143">
        <v>116</v>
      </c>
      <c r="JF143">
        <v>66</v>
      </c>
      <c r="JH143" s="24"/>
      <c r="JI143">
        <v>100189002</v>
      </c>
      <c r="JJ143">
        <v>107061999</v>
      </c>
      <c r="JK143">
        <v>105053953</v>
      </c>
      <c r="JL143">
        <v>69</v>
      </c>
      <c r="JM143">
        <v>41</v>
      </c>
      <c r="JO143" s="24"/>
      <c r="JP143">
        <v>69</v>
      </c>
      <c r="JQ143">
        <v>70</v>
      </c>
      <c r="JR143">
        <v>69</v>
      </c>
      <c r="JS143">
        <v>86250319</v>
      </c>
      <c r="JT143">
        <v>80</v>
      </c>
      <c r="JV143" s="24"/>
      <c r="JW143">
        <v>65</v>
      </c>
      <c r="JX143">
        <v>66</v>
      </c>
      <c r="JY143">
        <v>65</v>
      </c>
      <c r="JZ143">
        <v>79188756</v>
      </c>
      <c r="KA143">
        <v>90</v>
      </c>
      <c r="KC143" s="24"/>
      <c r="KD143">
        <v>25</v>
      </c>
      <c r="KE143">
        <v>26</v>
      </c>
      <c r="KF143">
        <v>25</v>
      </c>
      <c r="KG143">
        <v>54816975</v>
      </c>
      <c r="KH143">
        <v>306</v>
      </c>
      <c r="KJ143" s="24"/>
      <c r="KK143">
        <v>68</v>
      </c>
      <c r="KL143">
        <v>68</v>
      </c>
      <c r="KM143">
        <v>68</v>
      </c>
      <c r="KN143">
        <v>82291393</v>
      </c>
      <c r="KO143">
        <v>110</v>
      </c>
      <c r="KQ143" s="24"/>
      <c r="KR143">
        <v>87815</v>
      </c>
      <c r="KS143">
        <v>87816</v>
      </c>
      <c r="KT143">
        <v>87816</v>
      </c>
      <c r="KU143">
        <v>79265</v>
      </c>
      <c r="KV143">
        <v>584</v>
      </c>
      <c r="KX143" s="24"/>
      <c r="KY143">
        <v>597</v>
      </c>
      <c r="KZ143">
        <v>597</v>
      </c>
      <c r="LA143">
        <v>597</v>
      </c>
      <c r="LB143">
        <v>8259970</v>
      </c>
      <c r="LC143">
        <v>176</v>
      </c>
      <c r="LE143" s="24"/>
      <c r="LF143">
        <v>187003</v>
      </c>
      <c r="LG143">
        <v>194002</v>
      </c>
      <c r="LH143">
        <v>187202</v>
      </c>
      <c r="LI143">
        <v>96901</v>
      </c>
      <c r="LJ143">
        <v>848</v>
      </c>
      <c r="LL143" s="24"/>
      <c r="LM143">
        <v>75263</v>
      </c>
      <c r="LN143">
        <v>75276</v>
      </c>
      <c r="LO143">
        <v>75263</v>
      </c>
      <c r="LP143">
        <v>359072</v>
      </c>
      <c r="LQ143">
        <v>1168</v>
      </c>
      <c r="LS143" s="24"/>
      <c r="LT143">
        <v>400</v>
      </c>
      <c r="LU143">
        <v>400</v>
      </c>
      <c r="LV143">
        <v>400</v>
      </c>
      <c r="LW143">
        <v>100363151</v>
      </c>
      <c r="LX143">
        <v>314</v>
      </c>
      <c r="LZ143" s="24"/>
      <c r="MA143">
        <v>102943</v>
      </c>
      <c r="MB143">
        <v>103794</v>
      </c>
      <c r="MC143">
        <v>103000</v>
      </c>
      <c r="MD143">
        <v>641209</v>
      </c>
      <c r="ME143">
        <v>71</v>
      </c>
    </row>
    <row r="144" spans="2:343" x14ac:dyDescent="0.25">
      <c r="B144" s="24"/>
      <c r="C144">
        <v>3</v>
      </c>
      <c r="D144">
        <v>3</v>
      </c>
      <c r="E144">
        <v>3</v>
      </c>
      <c r="F144">
        <v>37257017813</v>
      </c>
      <c r="G144">
        <v>2959</v>
      </c>
      <c r="I144" s="24"/>
      <c r="J144">
        <v>4</v>
      </c>
      <c r="K144">
        <v>4</v>
      </c>
      <c r="L144">
        <v>4</v>
      </c>
      <c r="M144">
        <v>5521009690</v>
      </c>
      <c r="N144">
        <v>1963</v>
      </c>
      <c r="P144" s="24"/>
      <c r="Q144">
        <v>28</v>
      </c>
      <c r="R144">
        <v>28</v>
      </c>
      <c r="S144">
        <v>28</v>
      </c>
      <c r="T144">
        <v>1586943555</v>
      </c>
      <c r="U144">
        <v>1813</v>
      </c>
      <c r="W144" s="24"/>
      <c r="X144">
        <v>83</v>
      </c>
      <c r="Y144">
        <v>86</v>
      </c>
      <c r="Z144">
        <v>85</v>
      </c>
      <c r="AA144">
        <v>378292106</v>
      </c>
      <c r="AB144">
        <v>1439</v>
      </c>
      <c r="AD144" s="24"/>
      <c r="AE144">
        <v>529</v>
      </c>
      <c r="AF144">
        <v>536</v>
      </c>
      <c r="AG144">
        <v>532</v>
      </c>
      <c r="AH144">
        <v>71105925</v>
      </c>
      <c r="AI144">
        <v>1455</v>
      </c>
      <c r="AK144" s="24"/>
      <c r="AL144">
        <v>917</v>
      </c>
      <c r="AM144">
        <v>942</v>
      </c>
      <c r="AN144">
        <v>925</v>
      </c>
      <c r="AO144">
        <v>31542586</v>
      </c>
      <c r="AP144">
        <v>1218</v>
      </c>
      <c r="AR144" s="24"/>
      <c r="AS144">
        <v>2486</v>
      </c>
      <c r="AT144">
        <v>2579</v>
      </c>
      <c r="AU144">
        <v>2503</v>
      </c>
      <c r="AV144">
        <v>11507072</v>
      </c>
      <c r="AW144">
        <v>1182</v>
      </c>
      <c r="AY144" s="24"/>
      <c r="AZ144">
        <v>360300001</v>
      </c>
      <c r="BA144">
        <v>369099990</v>
      </c>
      <c r="BB144">
        <v>366499999</v>
      </c>
      <c r="BC144">
        <v>2323</v>
      </c>
      <c r="BD144">
        <v>1603</v>
      </c>
      <c r="BF144" s="24"/>
      <c r="BG144">
        <v>26109</v>
      </c>
      <c r="BH144">
        <v>26801</v>
      </c>
      <c r="BI144">
        <v>26109</v>
      </c>
      <c r="BJ144">
        <v>1791918</v>
      </c>
      <c r="BK144">
        <v>231</v>
      </c>
      <c r="BM144" s="24"/>
      <c r="BN144">
        <v>5805000</v>
      </c>
      <c r="BO144">
        <v>5995000</v>
      </c>
      <c r="BP144">
        <v>5805002</v>
      </c>
      <c r="BQ144">
        <v>13152</v>
      </c>
      <c r="BR144">
        <v>395</v>
      </c>
      <c r="BT144" s="24"/>
      <c r="BU144">
        <v>2251</v>
      </c>
      <c r="BV144">
        <v>2333</v>
      </c>
      <c r="BW144">
        <v>2333</v>
      </c>
      <c r="BX144">
        <v>34966011</v>
      </c>
      <c r="BY144">
        <v>301</v>
      </c>
      <c r="CA144" s="24"/>
      <c r="CB144">
        <v>450</v>
      </c>
      <c r="CC144">
        <v>495</v>
      </c>
      <c r="CD144">
        <v>475</v>
      </c>
      <c r="CE144">
        <v>84670668</v>
      </c>
      <c r="CF144">
        <v>327</v>
      </c>
      <c r="CH144" s="24"/>
      <c r="CI144">
        <v>25029</v>
      </c>
      <c r="CJ144">
        <v>25207</v>
      </c>
      <c r="CK144">
        <v>25204</v>
      </c>
      <c r="CL144">
        <v>1064528</v>
      </c>
      <c r="CM144">
        <v>171</v>
      </c>
      <c r="CO144" s="24"/>
      <c r="CP144">
        <v>8426</v>
      </c>
      <c r="CQ144">
        <v>9318</v>
      </c>
      <c r="CR144">
        <v>9275</v>
      </c>
      <c r="CS144">
        <v>1404001</v>
      </c>
      <c r="CT144">
        <v>439</v>
      </c>
      <c r="CV144" s="24"/>
      <c r="CW144">
        <v>1290002</v>
      </c>
      <c r="CX144">
        <v>1339042</v>
      </c>
      <c r="CY144">
        <v>1315000</v>
      </c>
      <c r="CZ144">
        <v>13607</v>
      </c>
      <c r="DA144">
        <v>59</v>
      </c>
      <c r="DC144" s="24"/>
      <c r="DD144">
        <v>442</v>
      </c>
      <c r="DE144">
        <v>443</v>
      </c>
      <c r="DF144">
        <v>443</v>
      </c>
      <c r="DG144">
        <v>30144035</v>
      </c>
      <c r="DH144">
        <v>170</v>
      </c>
      <c r="DJ144" s="24"/>
      <c r="DK144">
        <v>32511113</v>
      </c>
      <c r="DL144">
        <v>33000043</v>
      </c>
      <c r="DM144">
        <v>32512381</v>
      </c>
      <c r="DN144">
        <v>351</v>
      </c>
      <c r="DO144">
        <v>84</v>
      </c>
      <c r="DQ144" s="24"/>
      <c r="DR144">
        <v>1920060</v>
      </c>
      <c r="DS144">
        <v>2149999</v>
      </c>
      <c r="DT144">
        <v>1920065</v>
      </c>
      <c r="DU144">
        <v>5632</v>
      </c>
      <c r="DV144">
        <v>255</v>
      </c>
      <c r="DX144" s="24"/>
      <c r="DY144">
        <v>20470002</v>
      </c>
      <c r="DZ144">
        <v>20521000</v>
      </c>
      <c r="EA144">
        <v>20510003</v>
      </c>
      <c r="EB144">
        <v>383</v>
      </c>
      <c r="EC144">
        <v>113</v>
      </c>
      <c r="EE144" s="24"/>
      <c r="EF144">
        <v>152</v>
      </c>
      <c r="EG144">
        <v>157</v>
      </c>
      <c r="EH144">
        <v>155</v>
      </c>
      <c r="EI144">
        <v>102064269</v>
      </c>
      <c r="EJ144">
        <v>204</v>
      </c>
      <c r="EL144" s="24"/>
      <c r="EM144">
        <v>47452</v>
      </c>
      <c r="EN144">
        <v>50499</v>
      </c>
      <c r="EO144">
        <v>47453</v>
      </c>
      <c r="EP144">
        <v>70227</v>
      </c>
      <c r="EQ144">
        <v>623</v>
      </c>
      <c r="ES144" s="24"/>
      <c r="ET144">
        <v>370</v>
      </c>
      <c r="EU144">
        <v>405</v>
      </c>
      <c r="EV144">
        <v>394</v>
      </c>
      <c r="EW144">
        <v>47685612</v>
      </c>
      <c r="EX144">
        <v>685</v>
      </c>
      <c r="EZ144" s="24"/>
      <c r="FA144">
        <v>3420001</v>
      </c>
      <c r="FB144">
        <v>3430000</v>
      </c>
      <c r="FC144">
        <v>3420001</v>
      </c>
      <c r="FD144">
        <v>1777</v>
      </c>
      <c r="FE144">
        <v>27</v>
      </c>
      <c r="FG144" s="24"/>
      <c r="FH144">
        <v>7081</v>
      </c>
      <c r="FI144">
        <v>7318</v>
      </c>
      <c r="FJ144">
        <v>7123</v>
      </c>
      <c r="FK144">
        <v>2160537</v>
      </c>
      <c r="FL144">
        <v>480</v>
      </c>
      <c r="FN144" s="24"/>
      <c r="FO144">
        <v>22244</v>
      </c>
      <c r="FP144">
        <v>22244</v>
      </c>
      <c r="FQ144">
        <v>22244</v>
      </c>
      <c r="FR144">
        <v>226247</v>
      </c>
      <c r="FS144">
        <v>106</v>
      </c>
      <c r="FU144" s="24"/>
      <c r="FV144">
        <v>19501</v>
      </c>
      <c r="FW144">
        <v>19505</v>
      </c>
      <c r="FX144">
        <v>19502</v>
      </c>
      <c r="FY144">
        <v>373845</v>
      </c>
      <c r="FZ144">
        <v>1203</v>
      </c>
      <c r="GB144" s="24"/>
      <c r="GC144">
        <v>100400100</v>
      </c>
      <c r="GD144">
        <v>104399000</v>
      </c>
      <c r="GE144">
        <v>102968326</v>
      </c>
      <c r="GF144">
        <v>61</v>
      </c>
      <c r="GG144">
        <v>46</v>
      </c>
      <c r="GI144" s="24"/>
      <c r="GJ144">
        <v>28000005</v>
      </c>
      <c r="GK144">
        <v>28570000</v>
      </c>
      <c r="GL144">
        <v>28100006</v>
      </c>
      <c r="GM144">
        <v>311</v>
      </c>
      <c r="GN144">
        <v>76</v>
      </c>
      <c r="GP144" s="24"/>
      <c r="GQ144">
        <v>68</v>
      </c>
      <c r="GR144">
        <v>71</v>
      </c>
      <c r="GS144">
        <v>69</v>
      </c>
      <c r="GT144">
        <v>126176665</v>
      </c>
      <c r="GU144">
        <v>144</v>
      </c>
      <c r="GW144" s="24"/>
      <c r="GX144">
        <v>428</v>
      </c>
      <c r="GY144">
        <v>474</v>
      </c>
      <c r="GZ144">
        <v>448</v>
      </c>
      <c r="HA144">
        <v>52923569</v>
      </c>
      <c r="HB144">
        <v>255</v>
      </c>
      <c r="HD144" s="24"/>
      <c r="HE144">
        <v>5969</v>
      </c>
      <c r="HF144">
        <v>5979</v>
      </c>
      <c r="HG144">
        <v>5969</v>
      </c>
      <c r="HH144">
        <v>17926353</v>
      </c>
      <c r="HI144">
        <v>337</v>
      </c>
      <c r="HK144" s="24"/>
      <c r="HL144">
        <v>100950001</v>
      </c>
      <c r="HM144">
        <v>110500000</v>
      </c>
      <c r="HN144">
        <v>107640256</v>
      </c>
      <c r="HO144">
        <v>46</v>
      </c>
      <c r="HP144">
        <v>42</v>
      </c>
      <c r="HR144" s="24"/>
      <c r="HS144">
        <v>7007</v>
      </c>
      <c r="HT144">
        <v>7268</v>
      </c>
      <c r="HU144">
        <v>7007</v>
      </c>
      <c r="HV144">
        <v>848400</v>
      </c>
      <c r="HW144">
        <v>125</v>
      </c>
      <c r="HY144" s="24"/>
      <c r="HZ144">
        <v>6765</v>
      </c>
      <c r="IA144">
        <v>7199</v>
      </c>
      <c r="IB144">
        <v>7179</v>
      </c>
      <c r="IC144">
        <v>1520327</v>
      </c>
      <c r="ID144">
        <v>434</v>
      </c>
      <c r="IF144" s="24"/>
      <c r="IG144">
        <v>2932</v>
      </c>
      <c r="IH144">
        <v>2932</v>
      </c>
      <c r="II144">
        <v>2932</v>
      </c>
      <c r="IJ144">
        <v>1518857</v>
      </c>
      <c r="IK144">
        <v>152</v>
      </c>
      <c r="IM144" s="24"/>
      <c r="IN144">
        <v>101324000</v>
      </c>
      <c r="IO144">
        <v>105323000</v>
      </c>
      <c r="IP144">
        <v>103057403</v>
      </c>
      <c r="IQ144">
        <v>72</v>
      </c>
      <c r="IR144">
        <v>44</v>
      </c>
      <c r="IT144" s="24"/>
      <c r="IU144">
        <v>7438</v>
      </c>
      <c r="IV144">
        <v>7439</v>
      </c>
      <c r="IW144">
        <v>7438</v>
      </c>
      <c r="IX144">
        <v>1418287</v>
      </c>
      <c r="IY144">
        <v>162</v>
      </c>
      <c r="JA144" s="24"/>
      <c r="JB144">
        <v>101270200</v>
      </c>
      <c r="JC144">
        <v>110400000</v>
      </c>
      <c r="JD144">
        <v>104272352</v>
      </c>
      <c r="JE144">
        <v>93</v>
      </c>
      <c r="JF144">
        <v>58</v>
      </c>
      <c r="JH144" s="24"/>
      <c r="JI144">
        <v>100190500</v>
      </c>
      <c r="JJ144">
        <v>110377175</v>
      </c>
      <c r="JK144">
        <v>105451995</v>
      </c>
      <c r="JL144">
        <v>35</v>
      </c>
      <c r="JM144">
        <v>28</v>
      </c>
      <c r="JO144" s="24"/>
      <c r="JP144">
        <v>69</v>
      </c>
      <c r="JQ144">
        <v>70</v>
      </c>
      <c r="JR144">
        <v>70</v>
      </c>
      <c r="JS144">
        <v>133632581</v>
      </c>
      <c r="JT144">
        <v>111</v>
      </c>
      <c r="JV144" s="24"/>
      <c r="JW144">
        <v>66</v>
      </c>
      <c r="JX144">
        <v>66</v>
      </c>
      <c r="JY144">
        <v>66</v>
      </c>
      <c r="JZ144">
        <v>132166403</v>
      </c>
      <c r="KA144">
        <v>123</v>
      </c>
      <c r="KC144" s="24"/>
      <c r="KD144">
        <v>25</v>
      </c>
      <c r="KE144">
        <v>28</v>
      </c>
      <c r="KF144">
        <v>26</v>
      </c>
      <c r="KG144">
        <v>199588999</v>
      </c>
      <c r="KH144">
        <v>408</v>
      </c>
      <c r="KJ144" s="24"/>
      <c r="KK144">
        <v>65</v>
      </c>
      <c r="KL144">
        <v>68</v>
      </c>
      <c r="KM144">
        <v>67</v>
      </c>
      <c r="KN144">
        <v>148006964</v>
      </c>
      <c r="KO144">
        <v>119</v>
      </c>
      <c r="KQ144" s="24"/>
      <c r="KR144">
        <v>84056</v>
      </c>
      <c r="KS144">
        <v>87800</v>
      </c>
      <c r="KT144">
        <v>84075</v>
      </c>
      <c r="KU144">
        <v>62848</v>
      </c>
      <c r="KV144">
        <v>616</v>
      </c>
      <c r="KX144" s="24"/>
      <c r="KY144">
        <v>586</v>
      </c>
      <c r="KZ144">
        <v>597</v>
      </c>
      <c r="LA144">
        <v>597</v>
      </c>
      <c r="LB144">
        <v>6523484</v>
      </c>
      <c r="LC144">
        <v>223</v>
      </c>
      <c r="LE144" s="24"/>
      <c r="LF144">
        <v>188003</v>
      </c>
      <c r="LG144">
        <v>189002</v>
      </c>
      <c r="LH144">
        <v>189000</v>
      </c>
      <c r="LI144">
        <v>138665</v>
      </c>
      <c r="LJ144">
        <v>894</v>
      </c>
      <c r="LL144" s="24"/>
      <c r="LM144">
        <v>72000</v>
      </c>
      <c r="LN144">
        <v>74841</v>
      </c>
      <c r="LO144">
        <v>73025</v>
      </c>
      <c r="LP144">
        <v>316009</v>
      </c>
      <c r="LQ144">
        <v>1212</v>
      </c>
      <c r="LS144" s="24"/>
      <c r="LT144">
        <v>397</v>
      </c>
      <c r="LU144">
        <v>403</v>
      </c>
      <c r="LV144">
        <v>403</v>
      </c>
      <c r="LW144">
        <v>93525034</v>
      </c>
      <c r="LX144">
        <v>365</v>
      </c>
      <c r="LZ144" s="24"/>
      <c r="MA144">
        <v>104329</v>
      </c>
      <c r="MB144">
        <v>111959</v>
      </c>
      <c r="MC144">
        <v>107500</v>
      </c>
      <c r="MD144">
        <v>993488</v>
      </c>
      <c r="ME144">
        <v>69</v>
      </c>
    </row>
    <row r="145" spans="2:343" x14ac:dyDescent="0.25">
      <c r="B145" s="24"/>
      <c r="C145">
        <v>3</v>
      </c>
      <c r="D145">
        <v>3</v>
      </c>
      <c r="E145">
        <v>3</v>
      </c>
      <c r="F145">
        <v>33488826637</v>
      </c>
      <c r="G145">
        <v>3009</v>
      </c>
      <c r="I145" s="24"/>
      <c r="J145">
        <v>4</v>
      </c>
      <c r="K145">
        <v>4</v>
      </c>
      <c r="L145">
        <v>4</v>
      </c>
      <c r="M145">
        <v>4828824629</v>
      </c>
      <c r="N145">
        <v>2108</v>
      </c>
      <c r="P145" s="24"/>
      <c r="Q145">
        <v>28</v>
      </c>
      <c r="R145">
        <v>29</v>
      </c>
      <c r="S145">
        <v>28</v>
      </c>
      <c r="T145">
        <v>2141091318</v>
      </c>
      <c r="U145">
        <v>1948</v>
      </c>
      <c r="W145" s="24"/>
      <c r="X145">
        <v>81</v>
      </c>
      <c r="Y145">
        <v>83</v>
      </c>
      <c r="Z145">
        <v>83</v>
      </c>
      <c r="AA145">
        <v>426115268</v>
      </c>
      <c r="AB145">
        <v>1531</v>
      </c>
      <c r="AD145" s="24"/>
      <c r="AE145">
        <v>524</v>
      </c>
      <c r="AF145">
        <v>529</v>
      </c>
      <c r="AG145">
        <v>528</v>
      </c>
      <c r="AH145">
        <v>178319618</v>
      </c>
      <c r="AI145">
        <v>1596</v>
      </c>
      <c r="AK145" s="24"/>
      <c r="AL145">
        <v>920</v>
      </c>
      <c r="AM145">
        <v>943</v>
      </c>
      <c r="AN145">
        <v>930</v>
      </c>
      <c r="AO145">
        <v>45393271</v>
      </c>
      <c r="AP145">
        <v>1335</v>
      </c>
      <c r="AR145" s="24"/>
      <c r="AS145">
        <v>2500</v>
      </c>
      <c r="AT145">
        <v>2548</v>
      </c>
      <c r="AU145">
        <v>2528</v>
      </c>
      <c r="AV145">
        <v>15813525</v>
      </c>
      <c r="AW145">
        <v>1297</v>
      </c>
      <c r="AY145" s="24"/>
      <c r="AZ145">
        <v>360399999</v>
      </c>
      <c r="BA145">
        <v>369000000</v>
      </c>
      <c r="BB145">
        <v>364249999</v>
      </c>
      <c r="BC145">
        <v>2241</v>
      </c>
      <c r="BD145">
        <v>1563</v>
      </c>
      <c r="BF145" s="24"/>
      <c r="BG145">
        <v>26110</v>
      </c>
      <c r="BH145">
        <v>26504</v>
      </c>
      <c r="BI145">
        <v>26500</v>
      </c>
      <c r="BJ145">
        <v>1966173</v>
      </c>
      <c r="BK145">
        <v>217</v>
      </c>
      <c r="BM145" s="24"/>
      <c r="BN145">
        <v>5900001</v>
      </c>
      <c r="BO145">
        <v>6005022</v>
      </c>
      <c r="BP145">
        <v>5963000</v>
      </c>
      <c r="BQ145">
        <v>10371</v>
      </c>
      <c r="BR145">
        <v>345</v>
      </c>
      <c r="BT145" s="24"/>
      <c r="BU145">
        <v>2328</v>
      </c>
      <c r="BV145">
        <v>2333</v>
      </c>
      <c r="BW145">
        <v>2329</v>
      </c>
      <c r="BX145">
        <v>16146365</v>
      </c>
      <c r="BY145">
        <v>233</v>
      </c>
      <c r="CA145" s="24"/>
      <c r="CB145">
        <v>452</v>
      </c>
      <c r="CC145">
        <v>486</v>
      </c>
      <c r="CD145">
        <v>468</v>
      </c>
      <c r="CE145">
        <v>86919089</v>
      </c>
      <c r="CF145">
        <v>357</v>
      </c>
      <c r="CH145" s="24"/>
      <c r="CI145">
        <v>25030</v>
      </c>
      <c r="CJ145">
        <v>25037</v>
      </c>
      <c r="CK145">
        <v>25035</v>
      </c>
      <c r="CL145">
        <v>2743254</v>
      </c>
      <c r="CM145">
        <v>195</v>
      </c>
      <c r="CO145" s="24"/>
      <c r="CP145">
        <v>8552</v>
      </c>
      <c r="CQ145">
        <v>9199</v>
      </c>
      <c r="CR145">
        <v>8800</v>
      </c>
      <c r="CS145">
        <v>906314</v>
      </c>
      <c r="CT145">
        <v>360</v>
      </c>
      <c r="CV145" s="24"/>
      <c r="CW145">
        <v>1260015</v>
      </c>
      <c r="CX145">
        <v>1338838</v>
      </c>
      <c r="CY145">
        <v>1335999</v>
      </c>
      <c r="CZ145">
        <v>3797</v>
      </c>
      <c r="DA145">
        <v>27</v>
      </c>
      <c r="DC145" s="24"/>
      <c r="DD145">
        <v>424</v>
      </c>
      <c r="DE145">
        <v>481</v>
      </c>
      <c r="DF145">
        <v>451</v>
      </c>
      <c r="DG145">
        <v>51506675</v>
      </c>
      <c r="DH145">
        <v>237</v>
      </c>
      <c r="DJ145" s="24"/>
      <c r="DK145">
        <v>32553121</v>
      </c>
      <c r="DL145">
        <v>34989999</v>
      </c>
      <c r="DM145">
        <v>32554157</v>
      </c>
      <c r="DN145">
        <v>237</v>
      </c>
      <c r="DO145">
        <v>76</v>
      </c>
      <c r="DQ145" s="24"/>
      <c r="DR145">
        <v>1920062</v>
      </c>
      <c r="DS145">
        <v>2049989</v>
      </c>
      <c r="DT145">
        <v>1925004</v>
      </c>
      <c r="DU145">
        <v>5956</v>
      </c>
      <c r="DV145">
        <v>228</v>
      </c>
      <c r="DX145" s="24"/>
      <c r="DY145">
        <v>19499999</v>
      </c>
      <c r="DZ145">
        <v>20000000</v>
      </c>
      <c r="EA145">
        <v>19870001</v>
      </c>
      <c r="EB145">
        <v>299</v>
      </c>
      <c r="EC145">
        <v>90</v>
      </c>
      <c r="EE145" s="24"/>
      <c r="EF145">
        <v>141</v>
      </c>
      <c r="EG145">
        <v>154</v>
      </c>
      <c r="EH145">
        <v>150</v>
      </c>
      <c r="EI145">
        <v>94646109</v>
      </c>
      <c r="EJ145">
        <v>221</v>
      </c>
      <c r="EL145" s="24"/>
      <c r="EM145">
        <v>47454</v>
      </c>
      <c r="EN145">
        <v>50699</v>
      </c>
      <c r="EO145">
        <v>47454</v>
      </c>
      <c r="EP145">
        <v>57803</v>
      </c>
      <c r="EQ145">
        <v>690</v>
      </c>
      <c r="ES145" s="24"/>
      <c r="ET145">
        <v>366</v>
      </c>
      <c r="EU145">
        <v>381</v>
      </c>
      <c r="EV145">
        <v>381</v>
      </c>
      <c r="EW145">
        <v>58204265</v>
      </c>
      <c r="EX145">
        <v>699</v>
      </c>
      <c r="EZ145" s="24"/>
      <c r="FA145">
        <v>3420001</v>
      </c>
      <c r="FB145">
        <v>3600001</v>
      </c>
      <c r="FC145">
        <v>3420020</v>
      </c>
      <c r="FD145">
        <v>1238</v>
      </c>
      <c r="FE145">
        <v>24</v>
      </c>
      <c r="FG145" s="24"/>
      <c r="FH145">
        <v>6501</v>
      </c>
      <c r="FI145">
        <v>6889</v>
      </c>
      <c r="FJ145">
        <v>6839</v>
      </c>
      <c r="FK145">
        <v>2028867</v>
      </c>
      <c r="FL145">
        <v>399</v>
      </c>
      <c r="FN145" s="24"/>
      <c r="FO145">
        <v>22243</v>
      </c>
      <c r="FP145">
        <v>22244</v>
      </c>
      <c r="FQ145">
        <v>22243</v>
      </c>
      <c r="FR145">
        <v>77984</v>
      </c>
      <c r="FS145">
        <v>69</v>
      </c>
      <c r="FU145" s="24"/>
      <c r="FV145">
        <v>19525</v>
      </c>
      <c r="FW145">
        <v>20000</v>
      </c>
      <c r="FX145">
        <v>19600</v>
      </c>
      <c r="FY145">
        <v>304119</v>
      </c>
      <c r="FZ145">
        <v>1256</v>
      </c>
      <c r="GB145" s="24"/>
      <c r="GC145">
        <v>100401600</v>
      </c>
      <c r="GD145">
        <v>105000000</v>
      </c>
      <c r="GE145">
        <v>104287305</v>
      </c>
      <c r="GF145">
        <v>56</v>
      </c>
      <c r="GG145">
        <v>45</v>
      </c>
      <c r="GI145" s="24"/>
      <c r="GJ145">
        <v>26555003</v>
      </c>
      <c r="GK145">
        <v>28000000</v>
      </c>
      <c r="GL145">
        <v>27000000</v>
      </c>
      <c r="GM145">
        <v>283</v>
      </c>
      <c r="GN145">
        <v>56</v>
      </c>
      <c r="GP145" s="24"/>
      <c r="GQ145">
        <v>69</v>
      </c>
      <c r="GR145">
        <v>73</v>
      </c>
      <c r="GS145">
        <v>73</v>
      </c>
      <c r="GT145">
        <v>108080587</v>
      </c>
      <c r="GU145">
        <v>157</v>
      </c>
      <c r="GW145" s="24"/>
      <c r="GX145">
        <v>431</v>
      </c>
      <c r="GY145">
        <v>450</v>
      </c>
      <c r="GZ145">
        <v>444</v>
      </c>
      <c r="HA145">
        <v>83256866</v>
      </c>
      <c r="HB145">
        <v>299</v>
      </c>
      <c r="HD145" s="24"/>
      <c r="HE145">
        <v>5969</v>
      </c>
      <c r="HF145">
        <v>6058</v>
      </c>
      <c r="HG145">
        <v>6003</v>
      </c>
      <c r="HH145">
        <v>17948539</v>
      </c>
      <c r="HI145">
        <v>293</v>
      </c>
      <c r="HK145" s="24"/>
      <c r="HL145">
        <v>101007500</v>
      </c>
      <c r="HM145">
        <v>106899899</v>
      </c>
      <c r="HN145">
        <v>101014000</v>
      </c>
      <c r="HO145">
        <v>103</v>
      </c>
      <c r="HP145">
        <v>56</v>
      </c>
      <c r="HR145" s="24"/>
      <c r="HS145">
        <v>6700</v>
      </c>
      <c r="HT145">
        <v>6923</v>
      </c>
      <c r="HU145">
        <v>6923</v>
      </c>
      <c r="HV145">
        <v>503480</v>
      </c>
      <c r="HW145">
        <v>121</v>
      </c>
      <c r="HY145" s="24"/>
      <c r="HZ145">
        <v>6777</v>
      </c>
      <c r="IA145">
        <v>7136</v>
      </c>
      <c r="IB145">
        <v>6944</v>
      </c>
      <c r="IC145">
        <v>1880079</v>
      </c>
      <c r="ID145">
        <v>410</v>
      </c>
      <c r="IF145" s="24"/>
      <c r="IG145">
        <v>2786</v>
      </c>
      <c r="IH145">
        <v>2932</v>
      </c>
      <c r="II145">
        <v>2932</v>
      </c>
      <c r="IJ145">
        <v>1937570</v>
      </c>
      <c r="IK145">
        <v>144</v>
      </c>
      <c r="IM145" s="24"/>
      <c r="IN145">
        <v>101323003</v>
      </c>
      <c r="IO145">
        <v>105997000</v>
      </c>
      <c r="IP145">
        <v>101323003</v>
      </c>
      <c r="IQ145">
        <v>124</v>
      </c>
      <c r="IR145">
        <v>82</v>
      </c>
      <c r="IT145" s="24"/>
      <c r="IU145">
        <v>7250</v>
      </c>
      <c r="IV145">
        <v>7438</v>
      </c>
      <c r="IW145">
        <v>7436</v>
      </c>
      <c r="IX145">
        <v>1260834</v>
      </c>
      <c r="IY145">
        <v>150</v>
      </c>
      <c r="JA145" s="24"/>
      <c r="JB145">
        <v>101265000</v>
      </c>
      <c r="JC145">
        <v>101265001</v>
      </c>
      <c r="JD145">
        <v>101265000</v>
      </c>
      <c r="JE145">
        <v>160</v>
      </c>
      <c r="JF145">
        <v>58</v>
      </c>
      <c r="JH145" s="24"/>
      <c r="JI145">
        <v>106002600</v>
      </c>
      <c r="JJ145">
        <v>110373400</v>
      </c>
      <c r="JK145">
        <v>106239388</v>
      </c>
      <c r="JL145">
        <v>51</v>
      </c>
      <c r="JM145">
        <v>27</v>
      </c>
      <c r="JO145" s="24"/>
      <c r="JP145">
        <v>68</v>
      </c>
      <c r="JQ145">
        <v>70</v>
      </c>
      <c r="JR145">
        <v>70</v>
      </c>
      <c r="JS145">
        <v>85377252</v>
      </c>
      <c r="JT145">
        <v>125</v>
      </c>
      <c r="JV145" s="24"/>
      <c r="JW145">
        <v>65</v>
      </c>
      <c r="JX145">
        <v>67</v>
      </c>
      <c r="JY145">
        <v>66</v>
      </c>
      <c r="JZ145">
        <v>135393616</v>
      </c>
      <c r="KA145">
        <v>126</v>
      </c>
      <c r="KC145" s="24"/>
      <c r="KD145">
        <v>24</v>
      </c>
      <c r="KE145">
        <v>37</v>
      </c>
      <c r="KF145">
        <v>30</v>
      </c>
      <c r="KG145">
        <v>121145614</v>
      </c>
      <c r="KH145">
        <v>339</v>
      </c>
      <c r="KJ145" s="24"/>
      <c r="KK145">
        <v>66</v>
      </c>
      <c r="KL145">
        <v>67</v>
      </c>
      <c r="KM145">
        <v>67</v>
      </c>
      <c r="KN145">
        <v>98028515</v>
      </c>
      <c r="KO145">
        <v>110</v>
      </c>
      <c r="KQ145" s="24"/>
      <c r="KR145">
        <v>84072</v>
      </c>
      <c r="KS145">
        <v>85000</v>
      </c>
      <c r="KT145">
        <v>84250</v>
      </c>
      <c r="KU145">
        <v>53353</v>
      </c>
      <c r="KV145">
        <v>601</v>
      </c>
      <c r="KX145" s="24"/>
      <c r="KY145">
        <v>566</v>
      </c>
      <c r="KZ145">
        <v>589</v>
      </c>
      <c r="LA145">
        <v>570</v>
      </c>
      <c r="LB145">
        <v>7626879</v>
      </c>
      <c r="LC145">
        <v>192</v>
      </c>
      <c r="LE145" s="24"/>
      <c r="LF145">
        <v>188500</v>
      </c>
      <c r="LG145">
        <v>188501</v>
      </c>
      <c r="LH145">
        <v>188501</v>
      </c>
      <c r="LI145">
        <v>79703</v>
      </c>
      <c r="LJ145">
        <v>907</v>
      </c>
      <c r="LL145" s="24"/>
      <c r="LM145">
        <v>73100</v>
      </c>
      <c r="LN145">
        <v>74000</v>
      </c>
      <c r="LO145">
        <v>73200</v>
      </c>
      <c r="LP145">
        <v>298541</v>
      </c>
      <c r="LQ145">
        <v>1267</v>
      </c>
      <c r="LS145" s="24"/>
      <c r="LT145">
        <v>403</v>
      </c>
      <c r="LU145">
        <v>405</v>
      </c>
      <c r="LV145">
        <v>405</v>
      </c>
      <c r="LW145">
        <v>123981344</v>
      </c>
      <c r="LX145">
        <v>364</v>
      </c>
      <c r="LZ145" s="24"/>
      <c r="MA145">
        <v>109099</v>
      </c>
      <c r="MB145">
        <v>115969</v>
      </c>
      <c r="MC145">
        <v>110376</v>
      </c>
      <c r="MD145">
        <v>771373</v>
      </c>
      <c r="ME145">
        <v>74</v>
      </c>
    </row>
    <row r="146" spans="2:343" x14ac:dyDescent="0.25">
      <c r="B146" s="24"/>
      <c r="C146">
        <v>3</v>
      </c>
      <c r="D146">
        <v>3</v>
      </c>
      <c r="E146">
        <v>3</v>
      </c>
      <c r="F146">
        <v>27664276765</v>
      </c>
      <c r="G146">
        <v>3206</v>
      </c>
      <c r="I146" s="24"/>
      <c r="J146">
        <v>4</v>
      </c>
      <c r="K146">
        <v>4</v>
      </c>
      <c r="L146">
        <v>4</v>
      </c>
      <c r="M146">
        <v>6634305026</v>
      </c>
      <c r="N146">
        <v>2325</v>
      </c>
      <c r="P146" s="24"/>
      <c r="Q146">
        <v>28</v>
      </c>
      <c r="R146">
        <v>28</v>
      </c>
      <c r="S146">
        <v>28</v>
      </c>
      <c r="T146">
        <v>1762027024</v>
      </c>
      <c r="U146">
        <v>2021</v>
      </c>
      <c r="W146" s="24"/>
      <c r="X146">
        <v>81</v>
      </c>
      <c r="Y146">
        <v>82</v>
      </c>
      <c r="Z146">
        <v>81</v>
      </c>
      <c r="AA146">
        <v>453399613</v>
      </c>
      <c r="AB146">
        <v>1508</v>
      </c>
      <c r="AD146" s="24"/>
      <c r="AE146">
        <v>517</v>
      </c>
      <c r="AF146">
        <v>526</v>
      </c>
      <c r="AG146">
        <v>518</v>
      </c>
      <c r="AH146">
        <v>129999011</v>
      </c>
      <c r="AI146">
        <v>1646</v>
      </c>
      <c r="AK146" s="24"/>
      <c r="AL146">
        <v>907</v>
      </c>
      <c r="AM146">
        <v>928</v>
      </c>
      <c r="AN146">
        <v>915</v>
      </c>
      <c r="AO146">
        <v>32363301</v>
      </c>
      <c r="AP146">
        <v>1274</v>
      </c>
      <c r="AR146" s="24"/>
      <c r="AS146">
        <v>2416</v>
      </c>
      <c r="AT146">
        <v>2485</v>
      </c>
      <c r="AU146">
        <v>2422</v>
      </c>
      <c r="AV146">
        <v>16829910</v>
      </c>
      <c r="AW146">
        <v>1273</v>
      </c>
      <c r="AY146" s="24"/>
      <c r="AZ146">
        <v>360261000</v>
      </c>
      <c r="BA146">
        <v>368499998</v>
      </c>
      <c r="BB146">
        <v>366745998</v>
      </c>
      <c r="BC146">
        <v>2278</v>
      </c>
      <c r="BD146">
        <v>1559</v>
      </c>
      <c r="BF146" s="24"/>
      <c r="BG146">
        <v>26505</v>
      </c>
      <c r="BH146">
        <v>26515</v>
      </c>
      <c r="BI146">
        <v>26510</v>
      </c>
      <c r="BJ146">
        <v>3328071</v>
      </c>
      <c r="BK146">
        <v>260</v>
      </c>
      <c r="BM146" s="24"/>
      <c r="BN146">
        <v>5900003</v>
      </c>
      <c r="BO146">
        <v>5950000</v>
      </c>
      <c r="BP146">
        <v>5900020</v>
      </c>
      <c r="BQ146">
        <v>10036</v>
      </c>
      <c r="BR146">
        <v>350</v>
      </c>
      <c r="BT146" s="24"/>
      <c r="BU146">
        <v>2300</v>
      </c>
      <c r="BV146">
        <v>2329</v>
      </c>
      <c r="BW146">
        <v>2328</v>
      </c>
      <c r="BX146">
        <v>26201255</v>
      </c>
      <c r="BY146">
        <v>267</v>
      </c>
      <c r="CA146" s="24"/>
      <c r="CB146">
        <v>473</v>
      </c>
      <c r="CC146">
        <v>474</v>
      </c>
      <c r="CD146">
        <v>474</v>
      </c>
      <c r="CE146">
        <v>56539574</v>
      </c>
      <c r="CF146">
        <v>301</v>
      </c>
      <c r="CH146" s="24"/>
      <c r="CI146">
        <v>24250</v>
      </c>
      <c r="CJ146">
        <v>25798</v>
      </c>
      <c r="CK146">
        <v>24308</v>
      </c>
      <c r="CL146">
        <v>1197433</v>
      </c>
      <c r="CM146">
        <v>230</v>
      </c>
      <c r="CO146" s="24"/>
      <c r="CP146">
        <v>8553</v>
      </c>
      <c r="CQ146">
        <v>9000</v>
      </c>
      <c r="CR146">
        <v>8979</v>
      </c>
      <c r="CS146">
        <v>1005639</v>
      </c>
      <c r="CT146">
        <v>392</v>
      </c>
      <c r="CV146" s="24"/>
      <c r="CW146">
        <v>1300000</v>
      </c>
      <c r="CX146">
        <v>1335998</v>
      </c>
      <c r="CY146">
        <v>1335998</v>
      </c>
      <c r="CZ146">
        <v>7018</v>
      </c>
      <c r="DA146">
        <v>48</v>
      </c>
      <c r="DC146" s="24"/>
      <c r="DD146">
        <v>427</v>
      </c>
      <c r="DE146">
        <v>457</v>
      </c>
      <c r="DF146">
        <v>455</v>
      </c>
      <c r="DG146">
        <v>28972353</v>
      </c>
      <c r="DH146">
        <v>212</v>
      </c>
      <c r="DJ146" s="24"/>
      <c r="DK146">
        <v>32575125</v>
      </c>
      <c r="DL146">
        <v>33250000</v>
      </c>
      <c r="DM146">
        <v>32600000</v>
      </c>
      <c r="DN146">
        <v>174</v>
      </c>
      <c r="DO146">
        <v>75</v>
      </c>
      <c r="DQ146" s="24"/>
      <c r="DR146">
        <v>1920014</v>
      </c>
      <c r="DS146">
        <v>1999000</v>
      </c>
      <c r="DT146">
        <v>1930000</v>
      </c>
      <c r="DU146">
        <v>5441</v>
      </c>
      <c r="DV146">
        <v>208</v>
      </c>
      <c r="DX146" s="24"/>
      <c r="DY146">
        <v>19300502</v>
      </c>
      <c r="DZ146">
        <v>19300502</v>
      </c>
      <c r="EA146">
        <v>19300502</v>
      </c>
      <c r="EB146">
        <v>574</v>
      </c>
      <c r="EC146">
        <v>133</v>
      </c>
      <c r="EE146" s="24"/>
      <c r="EF146">
        <v>146</v>
      </c>
      <c r="EG146">
        <v>152</v>
      </c>
      <c r="EH146">
        <v>147</v>
      </c>
      <c r="EI146">
        <v>86444819</v>
      </c>
      <c r="EJ146">
        <v>205</v>
      </c>
      <c r="EL146" s="24"/>
      <c r="EM146">
        <v>47301</v>
      </c>
      <c r="EN146">
        <v>47452</v>
      </c>
      <c r="EO146">
        <v>47442</v>
      </c>
      <c r="EP146">
        <v>89724</v>
      </c>
      <c r="EQ146">
        <v>672</v>
      </c>
      <c r="ES146" s="24"/>
      <c r="ET146">
        <v>360</v>
      </c>
      <c r="EU146">
        <v>379</v>
      </c>
      <c r="EV146">
        <v>379</v>
      </c>
      <c r="EW146">
        <v>45297645</v>
      </c>
      <c r="EX146">
        <v>695</v>
      </c>
      <c r="EZ146" s="24"/>
      <c r="FA146">
        <v>3335030</v>
      </c>
      <c r="FB146">
        <v>3586999</v>
      </c>
      <c r="FC146">
        <v>3585995</v>
      </c>
      <c r="FD146">
        <v>1225</v>
      </c>
      <c r="FE146">
        <v>29</v>
      </c>
      <c r="FG146" s="24"/>
      <c r="FH146">
        <v>6510</v>
      </c>
      <c r="FI146">
        <v>6995</v>
      </c>
      <c r="FJ146">
        <v>6800</v>
      </c>
      <c r="FK146">
        <v>1491337</v>
      </c>
      <c r="FL146">
        <v>484</v>
      </c>
      <c r="FN146" s="24"/>
      <c r="FO146">
        <v>22228</v>
      </c>
      <c r="FP146">
        <v>22239</v>
      </c>
      <c r="FQ146">
        <v>22239</v>
      </c>
      <c r="FR146">
        <v>114091</v>
      </c>
      <c r="FS146">
        <v>94</v>
      </c>
      <c r="FU146" s="24"/>
      <c r="FV146">
        <v>17538</v>
      </c>
      <c r="FW146">
        <v>19032</v>
      </c>
      <c r="FX146">
        <v>19011</v>
      </c>
      <c r="FY146">
        <v>328499</v>
      </c>
      <c r="FZ146">
        <v>1305</v>
      </c>
      <c r="GB146" s="24"/>
      <c r="GC146">
        <v>100405200</v>
      </c>
      <c r="GD146">
        <v>111983900</v>
      </c>
      <c r="GE146">
        <v>100410002</v>
      </c>
      <c r="GF146">
        <v>185</v>
      </c>
      <c r="GG146">
        <v>95</v>
      </c>
      <c r="GI146" s="24"/>
      <c r="GJ146">
        <v>27156000</v>
      </c>
      <c r="GK146">
        <v>28499999</v>
      </c>
      <c r="GL146">
        <v>27200001</v>
      </c>
      <c r="GM146">
        <v>331</v>
      </c>
      <c r="GN146">
        <v>69</v>
      </c>
      <c r="GP146" s="24"/>
      <c r="GQ146">
        <v>68</v>
      </c>
      <c r="GR146">
        <v>73</v>
      </c>
      <c r="GS146">
        <v>73</v>
      </c>
      <c r="GT146">
        <v>156793985</v>
      </c>
      <c r="GU146">
        <v>176</v>
      </c>
      <c r="GW146" s="24"/>
      <c r="GX146">
        <v>427</v>
      </c>
      <c r="GY146">
        <v>454</v>
      </c>
      <c r="GZ146">
        <v>453</v>
      </c>
      <c r="HA146">
        <v>62356269</v>
      </c>
      <c r="HB146">
        <v>289</v>
      </c>
      <c r="HD146" s="24"/>
      <c r="HE146">
        <v>5963</v>
      </c>
      <c r="HF146">
        <v>6046</v>
      </c>
      <c r="HG146">
        <v>6045</v>
      </c>
      <c r="HH146">
        <v>20178907</v>
      </c>
      <c r="HI146">
        <v>303</v>
      </c>
      <c r="HK146" s="24"/>
      <c r="HL146">
        <v>100662000</v>
      </c>
      <c r="HM146">
        <v>107631500</v>
      </c>
      <c r="HN146">
        <v>101007000</v>
      </c>
      <c r="HO146">
        <v>140</v>
      </c>
      <c r="HP146">
        <v>91</v>
      </c>
      <c r="HR146" s="24"/>
      <c r="HS146">
        <v>6651</v>
      </c>
      <c r="HT146">
        <v>6943</v>
      </c>
      <c r="HU146">
        <v>6922</v>
      </c>
      <c r="HV146">
        <v>546787</v>
      </c>
      <c r="HW146">
        <v>142</v>
      </c>
      <c r="HY146" s="24"/>
      <c r="HZ146">
        <v>6777</v>
      </c>
      <c r="IA146">
        <v>6974</v>
      </c>
      <c r="IB146">
        <v>6799</v>
      </c>
      <c r="IC146">
        <v>1875042</v>
      </c>
      <c r="ID146">
        <v>424</v>
      </c>
      <c r="IF146" s="24"/>
      <c r="IG146">
        <v>2832</v>
      </c>
      <c r="IH146">
        <v>2932</v>
      </c>
      <c r="II146">
        <v>2832</v>
      </c>
      <c r="IJ146">
        <v>1516369</v>
      </c>
      <c r="IK146">
        <v>139</v>
      </c>
      <c r="IM146" s="24"/>
      <c r="IN146">
        <v>99822400</v>
      </c>
      <c r="IO146">
        <v>106997000</v>
      </c>
      <c r="IP146">
        <v>99864000</v>
      </c>
      <c r="IQ146">
        <v>176</v>
      </c>
      <c r="IR146">
        <v>89</v>
      </c>
      <c r="IT146" s="24"/>
      <c r="IU146">
        <v>7439</v>
      </c>
      <c r="IV146">
        <v>7440</v>
      </c>
      <c r="IW146">
        <v>7440</v>
      </c>
      <c r="IX146">
        <v>1208168</v>
      </c>
      <c r="IY146">
        <v>157</v>
      </c>
      <c r="JA146" s="24"/>
      <c r="JB146">
        <v>101247000</v>
      </c>
      <c r="JC146">
        <v>109094999</v>
      </c>
      <c r="JD146">
        <v>104550000</v>
      </c>
      <c r="JE146">
        <v>128</v>
      </c>
      <c r="JF146">
        <v>79</v>
      </c>
      <c r="JH146" s="24"/>
      <c r="JI146">
        <v>100370200</v>
      </c>
      <c r="JJ146">
        <v>110300000</v>
      </c>
      <c r="JK146">
        <v>106952192</v>
      </c>
      <c r="JL146">
        <v>50</v>
      </c>
      <c r="JM146">
        <v>36</v>
      </c>
      <c r="JO146" s="24"/>
      <c r="JP146">
        <v>68</v>
      </c>
      <c r="JQ146">
        <v>70</v>
      </c>
      <c r="JR146">
        <v>70</v>
      </c>
      <c r="JS146">
        <v>112533937</v>
      </c>
      <c r="JT146">
        <v>123</v>
      </c>
      <c r="JV146" s="24"/>
      <c r="JW146">
        <v>65</v>
      </c>
      <c r="JX146">
        <v>68</v>
      </c>
      <c r="JY146">
        <v>67</v>
      </c>
      <c r="JZ146">
        <v>108247758</v>
      </c>
      <c r="KA146">
        <v>102</v>
      </c>
      <c r="KC146" s="24"/>
      <c r="KD146">
        <v>23</v>
      </c>
      <c r="KE146">
        <v>27</v>
      </c>
      <c r="KF146">
        <v>26</v>
      </c>
      <c r="KG146">
        <v>121556054</v>
      </c>
      <c r="KH146">
        <v>330</v>
      </c>
      <c r="KJ146" s="24"/>
      <c r="KK146">
        <v>65</v>
      </c>
      <c r="KL146">
        <v>67</v>
      </c>
      <c r="KM146">
        <v>67</v>
      </c>
      <c r="KN146">
        <v>77575824</v>
      </c>
      <c r="KO146">
        <v>133</v>
      </c>
      <c r="KQ146" s="24"/>
      <c r="KR146">
        <v>84504</v>
      </c>
      <c r="KS146">
        <v>86899</v>
      </c>
      <c r="KT146">
        <v>85201</v>
      </c>
      <c r="KU146">
        <v>72315</v>
      </c>
      <c r="KV146">
        <v>640</v>
      </c>
      <c r="KX146" s="24"/>
      <c r="KY146">
        <v>587</v>
      </c>
      <c r="KZ146">
        <v>589</v>
      </c>
      <c r="LA146">
        <v>588</v>
      </c>
      <c r="LB146">
        <v>5865255</v>
      </c>
      <c r="LC146">
        <v>190</v>
      </c>
      <c r="LE146" s="24"/>
      <c r="LF146">
        <v>187502</v>
      </c>
      <c r="LG146">
        <v>187754</v>
      </c>
      <c r="LH146">
        <v>187751</v>
      </c>
      <c r="LI146">
        <v>93432</v>
      </c>
      <c r="LJ146">
        <v>951</v>
      </c>
      <c r="LL146" s="24"/>
      <c r="LM146">
        <v>73252</v>
      </c>
      <c r="LN146">
        <v>73750</v>
      </c>
      <c r="LO146">
        <v>73500</v>
      </c>
      <c r="LP146">
        <v>355934</v>
      </c>
      <c r="LQ146">
        <v>1334</v>
      </c>
      <c r="LS146" s="24"/>
      <c r="LT146">
        <v>400</v>
      </c>
      <c r="LU146">
        <v>407</v>
      </c>
      <c r="LV146">
        <v>407</v>
      </c>
      <c r="LW146">
        <v>79564136</v>
      </c>
      <c r="LX146">
        <v>399</v>
      </c>
      <c r="LZ146" s="24"/>
      <c r="MA146">
        <v>114948</v>
      </c>
      <c r="MB146">
        <v>115899</v>
      </c>
      <c r="MC146">
        <v>115892</v>
      </c>
      <c r="MD146">
        <v>793094</v>
      </c>
      <c r="ME146">
        <v>102</v>
      </c>
    </row>
    <row r="147" spans="2:343" x14ac:dyDescent="0.25">
      <c r="B147" s="24"/>
      <c r="C147">
        <v>3</v>
      </c>
      <c r="D147">
        <v>3</v>
      </c>
      <c r="E147">
        <v>3</v>
      </c>
      <c r="F147">
        <v>26038197695</v>
      </c>
      <c r="G147">
        <v>3457</v>
      </c>
      <c r="I147" s="24"/>
      <c r="J147">
        <v>4</v>
      </c>
      <c r="K147">
        <v>4</v>
      </c>
      <c r="L147">
        <v>4</v>
      </c>
      <c r="M147">
        <v>5407801197</v>
      </c>
      <c r="N147">
        <v>2432</v>
      </c>
      <c r="P147" s="24"/>
      <c r="Q147">
        <v>28</v>
      </c>
      <c r="R147">
        <v>28</v>
      </c>
      <c r="S147">
        <v>28</v>
      </c>
      <c r="T147">
        <v>1645911538</v>
      </c>
      <c r="U147">
        <v>2191</v>
      </c>
      <c r="W147" s="24"/>
      <c r="X147">
        <v>81</v>
      </c>
      <c r="Y147">
        <v>81</v>
      </c>
      <c r="Z147">
        <v>81</v>
      </c>
      <c r="AA147">
        <v>311742839</v>
      </c>
      <c r="AB147">
        <v>1674</v>
      </c>
      <c r="AD147" s="24"/>
      <c r="AE147">
        <v>505</v>
      </c>
      <c r="AF147">
        <v>514</v>
      </c>
      <c r="AG147">
        <v>513</v>
      </c>
      <c r="AH147">
        <v>104820296</v>
      </c>
      <c r="AI147">
        <v>1774</v>
      </c>
      <c r="AK147" s="24"/>
      <c r="AL147">
        <v>910</v>
      </c>
      <c r="AM147">
        <v>926</v>
      </c>
      <c r="AN147">
        <v>910</v>
      </c>
      <c r="AO147">
        <v>33223356</v>
      </c>
      <c r="AP147">
        <v>1418</v>
      </c>
      <c r="AR147" s="24"/>
      <c r="AS147">
        <v>2415</v>
      </c>
      <c r="AT147">
        <v>2481</v>
      </c>
      <c r="AU147">
        <v>2418</v>
      </c>
      <c r="AV147">
        <v>16931113</v>
      </c>
      <c r="AW147">
        <v>1376</v>
      </c>
      <c r="AY147" s="24"/>
      <c r="AZ147">
        <v>360250025</v>
      </c>
      <c r="BA147">
        <v>368699999</v>
      </c>
      <c r="BB147">
        <v>364000000</v>
      </c>
      <c r="BC147">
        <v>2317</v>
      </c>
      <c r="BD147">
        <v>1517</v>
      </c>
      <c r="BF147" s="24"/>
      <c r="BG147">
        <v>26525</v>
      </c>
      <c r="BH147">
        <v>26525</v>
      </c>
      <c r="BI147">
        <v>26525</v>
      </c>
      <c r="BJ147">
        <v>1034927</v>
      </c>
      <c r="BK147">
        <v>253</v>
      </c>
      <c r="BM147" s="24"/>
      <c r="BN147">
        <v>5904043</v>
      </c>
      <c r="BO147">
        <v>5905051</v>
      </c>
      <c r="BP147">
        <v>5904044</v>
      </c>
      <c r="BQ147">
        <v>13039</v>
      </c>
      <c r="BR147">
        <v>379</v>
      </c>
      <c r="BT147" s="24"/>
      <c r="BU147">
        <v>2275</v>
      </c>
      <c r="BV147">
        <v>2333</v>
      </c>
      <c r="BW147">
        <v>2281</v>
      </c>
      <c r="BX147">
        <v>27597115</v>
      </c>
      <c r="BY147">
        <v>223</v>
      </c>
      <c r="CA147" s="24"/>
      <c r="CB147">
        <v>473</v>
      </c>
      <c r="CC147">
        <v>473</v>
      </c>
      <c r="CD147">
        <v>473</v>
      </c>
      <c r="CE147">
        <v>56120337</v>
      </c>
      <c r="CF147">
        <v>321</v>
      </c>
      <c r="CH147" s="24"/>
      <c r="CI147">
        <v>24320</v>
      </c>
      <c r="CJ147">
        <v>24327</v>
      </c>
      <c r="CK147">
        <v>24323</v>
      </c>
      <c r="CL147">
        <v>1403920</v>
      </c>
      <c r="CM147">
        <v>190</v>
      </c>
      <c r="CO147" s="24"/>
      <c r="CP147">
        <v>8554</v>
      </c>
      <c r="CQ147">
        <v>8948</v>
      </c>
      <c r="CR147">
        <v>8900</v>
      </c>
      <c r="CS147">
        <v>1075079</v>
      </c>
      <c r="CT147">
        <v>390</v>
      </c>
      <c r="CV147" s="24"/>
      <c r="CW147">
        <v>1300000</v>
      </c>
      <c r="CX147">
        <v>1335738</v>
      </c>
      <c r="CY147">
        <v>1330997</v>
      </c>
      <c r="CZ147">
        <v>7442</v>
      </c>
      <c r="DA147">
        <v>35</v>
      </c>
      <c r="DC147" s="24"/>
      <c r="DD147">
        <v>433</v>
      </c>
      <c r="DE147">
        <v>455</v>
      </c>
      <c r="DF147">
        <v>434</v>
      </c>
      <c r="DG147">
        <v>70945148</v>
      </c>
      <c r="DH147">
        <v>271</v>
      </c>
      <c r="DJ147" s="24"/>
      <c r="DK147">
        <v>32600031</v>
      </c>
      <c r="DL147">
        <v>33000008</v>
      </c>
      <c r="DM147">
        <v>32609000</v>
      </c>
      <c r="DN147">
        <v>348</v>
      </c>
      <c r="DO147">
        <v>90</v>
      </c>
      <c r="DQ147" s="24"/>
      <c r="DR147">
        <v>1800000</v>
      </c>
      <c r="DS147">
        <v>1997888</v>
      </c>
      <c r="DT147">
        <v>1910000</v>
      </c>
      <c r="DU147">
        <v>7435</v>
      </c>
      <c r="DV147">
        <v>242</v>
      </c>
      <c r="DX147" s="24"/>
      <c r="DY147">
        <v>19005020</v>
      </c>
      <c r="DZ147">
        <v>19500000</v>
      </c>
      <c r="EA147">
        <v>19300505</v>
      </c>
      <c r="EB147">
        <v>292</v>
      </c>
      <c r="EC147">
        <v>112</v>
      </c>
      <c r="EE147" s="24"/>
      <c r="EF147">
        <v>148</v>
      </c>
      <c r="EG147">
        <v>151</v>
      </c>
      <c r="EH147">
        <v>151</v>
      </c>
      <c r="EI147">
        <v>112452335</v>
      </c>
      <c r="EJ147">
        <v>215</v>
      </c>
      <c r="EL147" s="24"/>
      <c r="EM147">
        <v>47000</v>
      </c>
      <c r="EN147">
        <v>48299</v>
      </c>
      <c r="EO147">
        <v>47301</v>
      </c>
      <c r="EP147">
        <v>79799</v>
      </c>
      <c r="EQ147">
        <v>701</v>
      </c>
      <c r="ES147" s="24"/>
      <c r="ET147">
        <v>360</v>
      </c>
      <c r="EU147">
        <v>375</v>
      </c>
      <c r="EV147">
        <v>375</v>
      </c>
      <c r="EW147">
        <v>55381977</v>
      </c>
      <c r="EX147">
        <v>722</v>
      </c>
      <c r="EZ147" s="24"/>
      <c r="FA147">
        <v>3335008</v>
      </c>
      <c r="FB147">
        <v>3584999</v>
      </c>
      <c r="FC147">
        <v>3450010</v>
      </c>
      <c r="FD147">
        <v>2541</v>
      </c>
      <c r="FE147">
        <v>36</v>
      </c>
      <c r="FG147" s="24"/>
      <c r="FH147">
        <v>6250</v>
      </c>
      <c r="FI147">
        <v>6779</v>
      </c>
      <c r="FJ147">
        <v>6500</v>
      </c>
      <c r="FK147">
        <v>1660117</v>
      </c>
      <c r="FL147">
        <v>470</v>
      </c>
      <c r="FN147" s="24"/>
      <c r="FO147">
        <v>21970</v>
      </c>
      <c r="FP147">
        <v>22223</v>
      </c>
      <c r="FQ147">
        <v>22222</v>
      </c>
      <c r="FR147">
        <v>81574</v>
      </c>
      <c r="FS147">
        <v>77</v>
      </c>
      <c r="FU147" s="24"/>
      <c r="FV147">
        <v>19014</v>
      </c>
      <c r="FW147">
        <v>20012</v>
      </c>
      <c r="FX147">
        <v>19250</v>
      </c>
      <c r="FY147">
        <v>383173</v>
      </c>
      <c r="FZ147">
        <v>1339</v>
      </c>
      <c r="GB147" s="24"/>
      <c r="GC147">
        <v>100415104</v>
      </c>
      <c r="GD147">
        <v>110994590</v>
      </c>
      <c r="GE147">
        <v>104634539</v>
      </c>
      <c r="GF147">
        <v>90</v>
      </c>
      <c r="GG147">
        <v>65</v>
      </c>
      <c r="GI147" s="24"/>
      <c r="GJ147">
        <v>26865000</v>
      </c>
      <c r="GK147">
        <v>27600000</v>
      </c>
      <c r="GL147">
        <v>27530000</v>
      </c>
      <c r="GM147">
        <v>426</v>
      </c>
      <c r="GN147">
        <v>79</v>
      </c>
      <c r="GP147" s="24"/>
      <c r="GQ147">
        <v>69</v>
      </c>
      <c r="GR147">
        <v>73</v>
      </c>
      <c r="GS147">
        <v>73</v>
      </c>
      <c r="GT147">
        <v>103692220</v>
      </c>
      <c r="GU147">
        <v>123</v>
      </c>
      <c r="GW147" s="24"/>
      <c r="GX147">
        <v>436</v>
      </c>
      <c r="GY147">
        <v>454</v>
      </c>
      <c r="GZ147">
        <v>453</v>
      </c>
      <c r="HA147">
        <v>71644126</v>
      </c>
      <c r="HB147">
        <v>346</v>
      </c>
      <c r="HD147" s="24"/>
      <c r="HE147">
        <v>5913</v>
      </c>
      <c r="HF147">
        <v>6044</v>
      </c>
      <c r="HG147">
        <v>6042</v>
      </c>
      <c r="HH147">
        <v>10557384</v>
      </c>
      <c r="HI147">
        <v>253</v>
      </c>
      <c r="HK147" s="24"/>
      <c r="HL147">
        <v>97104852</v>
      </c>
      <c r="HM147">
        <v>106996999</v>
      </c>
      <c r="HN147">
        <v>101634751</v>
      </c>
      <c r="HO147">
        <v>75</v>
      </c>
      <c r="HP147">
        <v>58</v>
      </c>
      <c r="HR147" s="24"/>
      <c r="HS147">
        <v>6653</v>
      </c>
      <c r="HT147">
        <v>6924</v>
      </c>
      <c r="HU147">
        <v>6900</v>
      </c>
      <c r="HV147">
        <v>1262873</v>
      </c>
      <c r="HW147">
        <v>161</v>
      </c>
      <c r="HY147" s="24"/>
      <c r="HZ147">
        <v>6760</v>
      </c>
      <c r="IA147">
        <v>7069</v>
      </c>
      <c r="IB147">
        <v>6974</v>
      </c>
      <c r="IC147">
        <v>1804913</v>
      </c>
      <c r="ID147">
        <v>454</v>
      </c>
      <c r="IF147" s="24"/>
      <c r="IG147">
        <v>2932</v>
      </c>
      <c r="IH147">
        <v>2932</v>
      </c>
      <c r="II147">
        <v>2932</v>
      </c>
      <c r="IJ147">
        <v>993348</v>
      </c>
      <c r="IK147">
        <v>134</v>
      </c>
      <c r="IM147" s="24"/>
      <c r="IN147">
        <v>99817300</v>
      </c>
      <c r="IO147">
        <v>106998200</v>
      </c>
      <c r="IP147">
        <v>102311575</v>
      </c>
      <c r="IQ147">
        <v>95</v>
      </c>
      <c r="IR147">
        <v>61</v>
      </c>
      <c r="IT147" s="24"/>
      <c r="IU147">
        <v>7253</v>
      </c>
      <c r="IV147">
        <v>7438</v>
      </c>
      <c r="IW147">
        <v>7437</v>
      </c>
      <c r="IX147">
        <v>1335048</v>
      </c>
      <c r="IY147">
        <v>134</v>
      </c>
      <c r="JA147" s="24"/>
      <c r="JB147">
        <v>99002002</v>
      </c>
      <c r="JC147">
        <v>107191000</v>
      </c>
      <c r="JD147">
        <v>102937722</v>
      </c>
      <c r="JE147">
        <v>73</v>
      </c>
      <c r="JF147">
        <v>55</v>
      </c>
      <c r="JH147" s="24"/>
      <c r="JI147">
        <v>100701200</v>
      </c>
      <c r="JJ147">
        <v>109499800</v>
      </c>
      <c r="JK147">
        <v>104187551</v>
      </c>
      <c r="JL147">
        <v>64</v>
      </c>
      <c r="JM147">
        <v>52</v>
      </c>
      <c r="JO147" s="24"/>
      <c r="JP147">
        <v>68</v>
      </c>
      <c r="JQ147">
        <v>70</v>
      </c>
      <c r="JR147">
        <v>70</v>
      </c>
      <c r="JS147">
        <v>162175811</v>
      </c>
      <c r="JT147">
        <v>119</v>
      </c>
      <c r="JV147" s="24"/>
      <c r="JW147">
        <v>65</v>
      </c>
      <c r="JX147">
        <v>67</v>
      </c>
      <c r="JY147">
        <v>65</v>
      </c>
      <c r="JZ147">
        <v>87687077</v>
      </c>
      <c r="KA147">
        <v>112</v>
      </c>
      <c r="KC147" s="24"/>
      <c r="KD147">
        <v>24</v>
      </c>
      <c r="KE147">
        <v>27</v>
      </c>
      <c r="KF147">
        <v>25</v>
      </c>
      <c r="KG147">
        <v>87253133</v>
      </c>
      <c r="KH147">
        <v>367</v>
      </c>
      <c r="KJ147" s="24"/>
      <c r="KK147">
        <v>66</v>
      </c>
      <c r="KL147">
        <v>67</v>
      </c>
      <c r="KM147">
        <v>67</v>
      </c>
      <c r="KN147">
        <v>265890570</v>
      </c>
      <c r="KO147">
        <v>141</v>
      </c>
      <c r="KQ147" s="24"/>
      <c r="KR147">
        <v>85210</v>
      </c>
      <c r="KS147">
        <v>87299</v>
      </c>
      <c r="KT147">
        <v>85513</v>
      </c>
      <c r="KU147">
        <v>95972</v>
      </c>
      <c r="KV147">
        <v>719</v>
      </c>
      <c r="KX147" s="24"/>
      <c r="KY147">
        <v>581</v>
      </c>
      <c r="KZ147">
        <v>588</v>
      </c>
      <c r="LA147">
        <v>588</v>
      </c>
      <c r="LB147">
        <v>8277108</v>
      </c>
      <c r="LC147">
        <v>187</v>
      </c>
      <c r="LE147" s="24"/>
      <c r="LF147">
        <v>188002</v>
      </c>
      <c r="LG147">
        <v>191000</v>
      </c>
      <c r="LH147">
        <v>188101</v>
      </c>
      <c r="LI147">
        <v>112436</v>
      </c>
      <c r="LJ147">
        <v>977</v>
      </c>
      <c r="LL147" s="24"/>
      <c r="LM147">
        <v>73567</v>
      </c>
      <c r="LN147">
        <v>76000</v>
      </c>
      <c r="LO147">
        <v>73575</v>
      </c>
      <c r="LP147">
        <v>411256</v>
      </c>
      <c r="LQ147">
        <v>1384</v>
      </c>
      <c r="LS147" s="24"/>
      <c r="LT147">
        <v>405</v>
      </c>
      <c r="LU147">
        <v>407</v>
      </c>
      <c r="LV147">
        <v>405</v>
      </c>
      <c r="LW147">
        <v>81524880</v>
      </c>
      <c r="LX147">
        <v>366</v>
      </c>
      <c r="LZ147" s="24"/>
      <c r="MA147">
        <v>112495</v>
      </c>
      <c r="MB147">
        <v>115846</v>
      </c>
      <c r="MC147">
        <v>115842</v>
      </c>
      <c r="MD147">
        <v>898415</v>
      </c>
      <c r="ME147">
        <v>119</v>
      </c>
    </row>
    <row r="148" spans="2:343" x14ac:dyDescent="0.25">
      <c r="B148" s="24"/>
      <c r="C148">
        <v>3</v>
      </c>
      <c r="D148">
        <v>3</v>
      </c>
      <c r="E148">
        <v>3</v>
      </c>
      <c r="F148">
        <v>39870640833</v>
      </c>
      <c r="G148">
        <v>3067</v>
      </c>
      <c r="I148" s="24"/>
      <c r="J148">
        <v>4</v>
      </c>
      <c r="K148">
        <v>4</v>
      </c>
      <c r="L148">
        <v>4</v>
      </c>
      <c r="M148">
        <v>7333331607</v>
      </c>
      <c r="N148">
        <v>2157</v>
      </c>
      <c r="P148" s="24"/>
      <c r="Q148">
        <v>28</v>
      </c>
      <c r="R148">
        <v>28</v>
      </c>
      <c r="S148">
        <v>28</v>
      </c>
      <c r="T148">
        <v>2126721269</v>
      </c>
      <c r="U148">
        <v>1963</v>
      </c>
      <c r="W148" s="24"/>
      <c r="X148">
        <v>81</v>
      </c>
      <c r="Y148">
        <v>81</v>
      </c>
      <c r="Z148">
        <v>81</v>
      </c>
      <c r="AA148">
        <v>451128241</v>
      </c>
      <c r="AB148">
        <v>1564</v>
      </c>
      <c r="AD148" s="24"/>
      <c r="AE148">
        <v>509</v>
      </c>
      <c r="AF148">
        <v>529</v>
      </c>
      <c r="AG148">
        <v>525</v>
      </c>
      <c r="AH148">
        <v>112229210</v>
      </c>
      <c r="AI148">
        <v>1662</v>
      </c>
      <c r="AK148" s="24"/>
      <c r="AL148">
        <v>907</v>
      </c>
      <c r="AM148">
        <v>919</v>
      </c>
      <c r="AN148">
        <v>914</v>
      </c>
      <c r="AO148">
        <v>31051875</v>
      </c>
      <c r="AP148">
        <v>1313</v>
      </c>
      <c r="AR148" s="24"/>
      <c r="AS148">
        <v>2373</v>
      </c>
      <c r="AT148">
        <v>2477</v>
      </c>
      <c r="AU148">
        <v>2429</v>
      </c>
      <c r="AV148">
        <v>16808380</v>
      </c>
      <c r="AW148">
        <v>1224</v>
      </c>
      <c r="AY148" s="24"/>
      <c r="AZ148">
        <v>364502000</v>
      </c>
      <c r="BA148">
        <v>371999999</v>
      </c>
      <c r="BB148">
        <v>369999999</v>
      </c>
      <c r="BC148">
        <v>2195</v>
      </c>
      <c r="BD148">
        <v>1470</v>
      </c>
      <c r="BF148" s="24"/>
      <c r="BG148">
        <v>26701</v>
      </c>
      <c r="BH148">
        <v>26701</v>
      </c>
      <c r="BI148">
        <v>26701</v>
      </c>
      <c r="BJ148">
        <v>2172117</v>
      </c>
      <c r="BK148">
        <v>220</v>
      </c>
      <c r="BM148" s="24"/>
      <c r="BN148">
        <v>5905156</v>
      </c>
      <c r="BO148">
        <v>6010002</v>
      </c>
      <c r="BP148">
        <v>6010000</v>
      </c>
      <c r="BQ148">
        <v>14596</v>
      </c>
      <c r="BR148">
        <v>349</v>
      </c>
      <c r="BT148" s="24"/>
      <c r="BU148">
        <v>2271</v>
      </c>
      <c r="BV148">
        <v>2333</v>
      </c>
      <c r="BW148">
        <v>2297</v>
      </c>
      <c r="BX148">
        <v>22768336</v>
      </c>
      <c r="BY148">
        <v>239</v>
      </c>
      <c r="CA148" s="24"/>
      <c r="CB148">
        <v>461</v>
      </c>
      <c r="CC148">
        <v>470</v>
      </c>
      <c r="CD148">
        <v>469</v>
      </c>
      <c r="CE148">
        <v>79917271</v>
      </c>
      <c r="CF148">
        <v>317</v>
      </c>
      <c r="CH148" s="24"/>
      <c r="CI148">
        <v>24350</v>
      </c>
      <c r="CJ148">
        <v>24351</v>
      </c>
      <c r="CK148">
        <v>24350</v>
      </c>
      <c r="CL148">
        <v>549165</v>
      </c>
      <c r="CM148">
        <v>161</v>
      </c>
      <c r="CO148" s="24"/>
      <c r="CP148">
        <v>8552</v>
      </c>
      <c r="CQ148">
        <v>8877</v>
      </c>
      <c r="CR148">
        <v>8554</v>
      </c>
      <c r="CS148">
        <v>1309527</v>
      </c>
      <c r="CT148">
        <v>372</v>
      </c>
      <c r="CV148" s="24"/>
      <c r="CW148">
        <v>1319999</v>
      </c>
      <c r="CX148">
        <v>1335666</v>
      </c>
      <c r="CY148">
        <v>1329999</v>
      </c>
      <c r="CZ148">
        <v>7206</v>
      </c>
      <c r="DA148">
        <v>36</v>
      </c>
      <c r="DC148" s="24"/>
      <c r="DD148">
        <v>453</v>
      </c>
      <c r="DE148">
        <v>454</v>
      </c>
      <c r="DF148">
        <v>454</v>
      </c>
      <c r="DG148">
        <v>35905013</v>
      </c>
      <c r="DH148">
        <v>196</v>
      </c>
      <c r="DJ148" s="24"/>
      <c r="DK148">
        <v>33002200</v>
      </c>
      <c r="DL148">
        <v>34877777</v>
      </c>
      <c r="DM148">
        <v>33003009</v>
      </c>
      <c r="DN148">
        <v>288</v>
      </c>
      <c r="DO148">
        <v>72</v>
      </c>
      <c r="DQ148" s="24"/>
      <c r="DR148">
        <v>1700000</v>
      </c>
      <c r="DS148">
        <v>1780000</v>
      </c>
      <c r="DT148">
        <v>1700055</v>
      </c>
      <c r="DU148">
        <v>10756</v>
      </c>
      <c r="DV148">
        <v>286</v>
      </c>
      <c r="DX148" s="24"/>
      <c r="DY148">
        <v>18283003</v>
      </c>
      <c r="DZ148">
        <v>20488888</v>
      </c>
      <c r="EA148">
        <v>18283038</v>
      </c>
      <c r="EB148">
        <v>464</v>
      </c>
      <c r="EC148">
        <v>102</v>
      </c>
      <c r="EE148" s="24"/>
      <c r="EF148">
        <v>149</v>
      </c>
      <c r="EG148">
        <v>155</v>
      </c>
      <c r="EH148">
        <v>155</v>
      </c>
      <c r="EI148">
        <v>96620931</v>
      </c>
      <c r="EJ148">
        <v>211</v>
      </c>
      <c r="EL148" s="24"/>
      <c r="EM148">
        <v>47200</v>
      </c>
      <c r="EN148">
        <v>50211</v>
      </c>
      <c r="EO148">
        <v>47254</v>
      </c>
      <c r="EP148">
        <v>74996</v>
      </c>
      <c r="EQ148">
        <v>644</v>
      </c>
      <c r="ES148" s="24"/>
      <c r="ET148">
        <v>359</v>
      </c>
      <c r="EU148">
        <v>370</v>
      </c>
      <c r="EV148">
        <v>364</v>
      </c>
      <c r="EW148">
        <v>51151028</v>
      </c>
      <c r="EX148">
        <v>647</v>
      </c>
      <c r="EZ148" s="24"/>
      <c r="FA148">
        <v>3350000</v>
      </c>
      <c r="FB148">
        <v>3499899</v>
      </c>
      <c r="FC148">
        <v>3499899</v>
      </c>
      <c r="FD148">
        <v>1070</v>
      </c>
      <c r="FE148">
        <v>24</v>
      </c>
      <c r="FG148" s="24"/>
      <c r="FH148">
        <v>6000</v>
      </c>
      <c r="FI148">
        <v>6250</v>
      </c>
      <c r="FJ148">
        <v>6130</v>
      </c>
      <c r="FK148">
        <v>1354973</v>
      </c>
      <c r="FL148">
        <v>388</v>
      </c>
      <c r="FN148" s="24"/>
      <c r="FO148">
        <v>21971</v>
      </c>
      <c r="FP148">
        <v>22209</v>
      </c>
      <c r="FQ148">
        <v>22209</v>
      </c>
      <c r="FR148">
        <v>257371</v>
      </c>
      <c r="FS148">
        <v>113</v>
      </c>
      <c r="FU148" s="24"/>
      <c r="FV148">
        <v>20032</v>
      </c>
      <c r="FW148">
        <v>20038</v>
      </c>
      <c r="FX148">
        <v>20036</v>
      </c>
      <c r="FY148">
        <v>435697</v>
      </c>
      <c r="FZ148">
        <v>1187</v>
      </c>
      <c r="GB148" s="24"/>
      <c r="GC148">
        <v>101400200</v>
      </c>
      <c r="GD148">
        <v>110418420</v>
      </c>
      <c r="GE148">
        <v>104992709</v>
      </c>
      <c r="GF148">
        <v>78</v>
      </c>
      <c r="GG148">
        <v>61</v>
      </c>
      <c r="GI148" s="24"/>
      <c r="GJ148">
        <v>27906003</v>
      </c>
      <c r="GK148">
        <v>28489999</v>
      </c>
      <c r="GL148">
        <v>28299999</v>
      </c>
      <c r="GM148">
        <v>519</v>
      </c>
      <c r="GN148">
        <v>64</v>
      </c>
      <c r="GP148" s="24"/>
      <c r="GQ148">
        <v>73</v>
      </c>
      <c r="GR148">
        <v>73</v>
      </c>
      <c r="GS148">
        <v>73</v>
      </c>
      <c r="GT148">
        <v>125864329</v>
      </c>
      <c r="GU148">
        <v>121</v>
      </c>
      <c r="GW148" s="24"/>
      <c r="GX148">
        <v>431</v>
      </c>
      <c r="GY148">
        <v>449</v>
      </c>
      <c r="GZ148">
        <v>439</v>
      </c>
      <c r="HA148">
        <v>77972525</v>
      </c>
      <c r="HB148">
        <v>301</v>
      </c>
      <c r="HD148" s="24"/>
      <c r="HE148">
        <v>6024</v>
      </c>
      <c r="HF148">
        <v>6037</v>
      </c>
      <c r="HG148">
        <v>6037</v>
      </c>
      <c r="HH148">
        <v>17137413</v>
      </c>
      <c r="HI148">
        <v>293</v>
      </c>
      <c r="HK148" s="24"/>
      <c r="HL148">
        <v>97400500</v>
      </c>
      <c r="HM148">
        <v>104241300</v>
      </c>
      <c r="HN148">
        <v>102718631</v>
      </c>
      <c r="HO148">
        <v>64</v>
      </c>
      <c r="HP148">
        <v>56</v>
      </c>
      <c r="HR148" s="24"/>
      <c r="HS148">
        <v>6653</v>
      </c>
      <c r="HT148">
        <v>6654</v>
      </c>
      <c r="HU148">
        <v>6653</v>
      </c>
      <c r="HV148">
        <v>635163</v>
      </c>
      <c r="HW148">
        <v>133</v>
      </c>
      <c r="HY148" s="24"/>
      <c r="HZ148">
        <v>6751</v>
      </c>
      <c r="IA148">
        <v>6994</v>
      </c>
      <c r="IB148">
        <v>6989</v>
      </c>
      <c r="IC148">
        <v>1554834</v>
      </c>
      <c r="ID148">
        <v>422</v>
      </c>
      <c r="IF148" s="24"/>
      <c r="IG148">
        <v>2922</v>
      </c>
      <c r="IH148">
        <v>2925</v>
      </c>
      <c r="II148">
        <v>2925</v>
      </c>
      <c r="IJ148">
        <v>1611883</v>
      </c>
      <c r="IK148">
        <v>138</v>
      </c>
      <c r="IM148" s="24"/>
      <c r="IN148">
        <v>99113500</v>
      </c>
      <c r="IO148">
        <v>106497400</v>
      </c>
      <c r="IP148">
        <v>102797527</v>
      </c>
      <c r="IQ148">
        <v>73</v>
      </c>
      <c r="IR148">
        <v>58</v>
      </c>
      <c r="IT148" s="24"/>
      <c r="IU148">
        <v>7437</v>
      </c>
      <c r="IV148">
        <v>7650</v>
      </c>
      <c r="IW148">
        <v>7649</v>
      </c>
      <c r="IX148">
        <v>2464772</v>
      </c>
      <c r="IY148">
        <v>175</v>
      </c>
      <c r="JA148" s="24"/>
      <c r="JB148">
        <v>99005200</v>
      </c>
      <c r="JC148">
        <v>105799800</v>
      </c>
      <c r="JD148">
        <v>103190535</v>
      </c>
      <c r="JE148">
        <v>90</v>
      </c>
      <c r="JF148">
        <v>72</v>
      </c>
      <c r="JH148" s="24"/>
      <c r="JI148">
        <v>100820500</v>
      </c>
      <c r="JJ148">
        <v>108799999</v>
      </c>
      <c r="JK148">
        <v>104985722</v>
      </c>
      <c r="JL148">
        <v>57</v>
      </c>
      <c r="JM148">
        <v>45</v>
      </c>
      <c r="JO148" s="24"/>
      <c r="JP148">
        <v>68</v>
      </c>
      <c r="JQ148">
        <v>70</v>
      </c>
      <c r="JR148">
        <v>70</v>
      </c>
      <c r="JS148">
        <v>107029434</v>
      </c>
      <c r="JT148">
        <v>94</v>
      </c>
      <c r="JV148" s="24"/>
      <c r="JW148">
        <v>65</v>
      </c>
      <c r="JX148">
        <v>65</v>
      </c>
      <c r="JY148">
        <v>65</v>
      </c>
      <c r="JZ148">
        <v>171488524</v>
      </c>
      <c r="KA148">
        <v>110</v>
      </c>
      <c r="KC148" s="24"/>
      <c r="KD148">
        <v>23</v>
      </c>
      <c r="KE148">
        <v>24</v>
      </c>
      <c r="KF148">
        <v>23</v>
      </c>
      <c r="KG148">
        <v>45974833</v>
      </c>
      <c r="KH148">
        <v>310</v>
      </c>
      <c r="KJ148" s="24"/>
      <c r="KK148">
        <v>66</v>
      </c>
      <c r="KL148">
        <v>72</v>
      </c>
      <c r="KM148">
        <v>70</v>
      </c>
      <c r="KN148">
        <v>173602628</v>
      </c>
      <c r="KO148">
        <v>128</v>
      </c>
      <c r="KQ148" s="24"/>
      <c r="KR148">
        <v>85603</v>
      </c>
      <c r="KS148">
        <v>87799</v>
      </c>
      <c r="KT148">
        <v>85607</v>
      </c>
      <c r="KU148">
        <v>79301</v>
      </c>
      <c r="KV148">
        <v>653</v>
      </c>
      <c r="KX148" s="24"/>
      <c r="KY148">
        <v>558</v>
      </c>
      <c r="KZ148">
        <v>588</v>
      </c>
      <c r="LA148">
        <v>588</v>
      </c>
      <c r="LB148">
        <v>7055192</v>
      </c>
      <c r="LC148">
        <v>182</v>
      </c>
      <c r="LE148" s="24"/>
      <c r="LF148">
        <v>189100</v>
      </c>
      <c r="LG148">
        <v>189201</v>
      </c>
      <c r="LH148">
        <v>189105</v>
      </c>
      <c r="LI148">
        <v>97284</v>
      </c>
      <c r="LJ148">
        <v>865</v>
      </c>
      <c r="LL148" s="24"/>
      <c r="LM148">
        <v>74016</v>
      </c>
      <c r="LN148">
        <v>74100</v>
      </c>
      <c r="LO148">
        <v>74042</v>
      </c>
      <c r="LP148">
        <v>378621</v>
      </c>
      <c r="LQ148">
        <v>1232</v>
      </c>
      <c r="LS148" s="24"/>
      <c r="LT148">
        <v>397</v>
      </c>
      <c r="LU148">
        <v>405</v>
      </c>
      <c r="LV148">
        <v>404</v>
      </c>
      <c r="LW148">
        <v>92857369</v>
      </c>
      <c r="LX148">
        <v>359</v>
      </c>
      <c r="LZ148" s="24"/>
      <c r="MA148">
        <v>114000</v>
      </c>
      <c r="MB148">
        <v>114948</v>
      </c>
      <c r="MC148">
        <v>114749</v>
      </c>
      <c r="MD148">
        <v>935571</v>
      </c>
      <c r="ME148">
        <v>77</v>
      </c>
    </row>
    <row r="149" spans="2:343" x14ac:dyDescent="0.25">
      <c r="B149" s="24"/>
      <c r="C149">
        <v>3</v>
      </c>
      <c r="D149">
        <v>3</v>
      </c>
      <c r="E149">
        <v>3</v>
      </c>
      <c r="F149">
        <v>27599843962</v>
      </c>
      <c r="G149">
        <v>2670</v>
      </c>
      <c r="I149" s="24"/>
      <c r="J149">
        <v>4</v>
      </c>
      <c r="K149">
        <v>4</v>
      </c>
      <c r="L149">
        <v>4</v>
      </c>
      <c r="M149">
        <v>6017340615</v>
      </c>
      <c r="N149">
        <v>1997</v>
      </c>
      <c r="P149" s="24"/>
      <c r="Q149">
        <v>28</v>
      </c>
      <c r="R149">
        <v>29</v>
      </c>
      <c r="S149">
        <v>28</v>
      </c>
      <c r="T149">
        <v>2050519873</v>
      </c>
      <c r="U149">
        <v>1841</v>
      </c>
      <c r="W149" s="24"/>
      <c r="X149">
        <v>81</v>
      </c>
      <c r="Y149">
        <v>83</v>
      </c>
      <c r="Z149">
        <v>81</v>
      </c>
      <c r="AA149">
        <v>542090238</v>
      </c>
      <c r="AB149">
        <v>1461</v>
      </c>
      <c r="AD149" s="24"/>
      <c r="AE149">
        <v>509</v>
      </c>
      <c r="AF149">
        <v>525</v>
      </c>
      <c r="AG149">
        <v>515</v>
      </c>
      <c r="AH149">
        <v>132407254</v>
      </c>
      <c r="AI149">
        <v>1531</v>
      </c>
      <c r="AK149" s="24"/>
      <c r="AL149">
        <v>866</v>
      </c>
      <c r="AM149">
        <v>899</v>
      </c>
      <c r="AN149">
        <v>887</v>
      </c>
      <c r="AO149">
        <v>46822821</v>
      </c>
      <c r="AP149">
        <v>1224</v>
      </c>
      <c r="AR149" s="24"/>
      <c r="AS149">
        <v>2352</v>
      </c>
      <c r="AT149">
        <v>2378</v>
      </c>
      <c r="AU149">
        <v>2373</v>
      </c>
      <c r="AV149">
        <v>20986507</v>
      </c>
      <c r="AW149">
        <v>1147</v>
      </c>
      <c r="AY149" s="24"/>
      <c r="AZ149">
        <v>363900002</v>
      </c>
      <c r="BA149">
        <v>375000000</v>
      </c>
      <c r="BB149">
        <v>370803000</v>
      </c>
      <c r="BC149">
        <v>2429</v>
      </c>
      <c r="BD149">
        <v>1543</v>
      </c>
      <c r="BF149" s="24"/>
      <c r="BG149">
        <v>26702</v>
      </c>
      <c r="BH149">
        <v>26702</v>
      </c>
      <c r="BI149">
        <v>26702</v>
      </c>
      <c r="BJ149">
        <v>3086665</v>
      </c>
      <c r="BK149">
        <v>257</v>
      </c>
      <c r="BM149" s="24"/>
      <c r="BN149">
        <v>5911045</v>
      </c>
      <c r="BO149">
        <v>6143999</v>
      </c>
      <c r="BP149">
        <v>6000000</v>
      </c>
      <c r="BQ149">
        <v>11095</v>
      </c>
      <c r="BR149">
        <v>334</v>
      </c>
      <c r="BT149" s="24"/>
      <c r="BU149">
        <v>2240</v>
      </c>
      <c r="BV149">
        <v>2294</v>
      </c>
      <c r="BW149">
        <v>2294</v>
      </c>
      <c r="BX149">
        <v>21779639</v>
      </c>
      <c r="BY149">
        <v>249</v>
      </c>
      <c r="CA149" s="24"/>
      <c r="CB149">
        <v>453</v>
      </c>
      <c r="CC149">
        <v>469</v>
      </c>
      <c r="CD149">
        <v>469</v>
      </c>
      <c r="CE149">
        <v>80849710</v>
      </c>
      <c r="CF149">
        <v>317</v>
      </c>
      <c r="CH149" s="24"/>
      <c r="CI149">
        <v>24352</v>
      </c>
      <c r="CJ149">
        <v>25000</v>
      </c>
      <c r="CK149">
        <v>24353</v>
      </c>
      <c r="CL149">
        <v>1334690</v>
      </c>
      <c r="CM149">
        <v>191</v>
      </c>
      <c r="CO149" s="24"/>
      <c r="CP149">
        <v>8472</v>
      </c>
      <c r="CQ149">
        <v>8779</v>
      </c>
      <c r="CR149">
        <v>8768</v>
      </c>
      <c r="CS149">
        <v>1078114</v>
      </c>
      <c r="CT149">
        <v>364</v>
      </c>
      <c r="CV149" s="24"/>
      <c r="CW149">
        <v>1319999</v>
      </c>
      <c r="CX149">
        <v>1338052</v>
      </c>
      <c r="CY149">
        <v>1335689</v>
      </c>
      <c r="CZ149">
        <v>14335</v>
      </c>
      <c r="DA149">
        <v>49</v>
      </c>
      <c r="DC149" s="24"/>
      <c r="DD149">
        <v>431</v>
      </c>
      <c r="DE149">
        <v>451</v>
      </c>
      <c r="DF149">
        <v>439</v>
      </c>
      <c r="DG149">
        <v>72506731</v>
      </c>
      <c r="DH149">
        <v>217</v>
      </c>
      <c r="DJ149" s="24"/>
      <c r="DK149">
        <v>33050002</v>
      </c>
      <c r="DL149">
        <v>33999999</v>
      </c>
      <c r="DM149">
        <v>33500000</v>
      </c>
      <c r="DN149">
        <v>347</v>
      </c>
      <c r="DO149">
        <v>85</v>
      </c>
      <c r="DQ149" s="24"/>
      <c r="DR149">
        <v>1650000</v>
      </c>
      <c r="DS149">
        <v>1689998</v>
      </c>
      <c r="DT149">
        <v>1689998</v>
      </c>
      <c r="DU149">
        <v>5267</v>
      </c>
      <c r="DV149">
        <v>191</v>
      </c>
      <c r="DX149" s="24"/>
      <c r="DY149">
        <v>18391104</v>
      </c>
      <c r="DZ149">
        <v>20000000</v>
      </c>
      <c r="EA149">
        <v>19000002</v>
      </c>
      <c r="EB149">
        <v>299</v>
      </c>
      <c r="EC149">
        <v>86</v>
      </c>
      <c r="EE149" s="24"/>
      <c r="EF149">
        <v>145</v>
      </c>
      <c r="EG149">
        <v>153</v>
      </c>
      <c r="EH149">
        <v>152</v>
      </c>
      <c r="EI149">
        <v>98805348</v>
      </c>
      <c r="EJ149">
        <v>203</v>
      </c>
      <c r="EL149" s="24"/>
      <c r="EM149">
        <v>41003</v>
      </c>
      <c r="EN149">
        <v>47999</v>
      </c>
      <c r="EO149">
        <v>46750</v>
      </c>
      <c r="EP149">
        <v>67584</v>
      </c>
      <c r="EQ149">
        <v>604</v>
      </c>
      <c r="ES149" s="24"/>
      <c r="ET149">
        <v>366</v>
      </c>
      <c r="EU149">
        <v>367</v>
      </c>
      <c r="EV149">
        <v>366</v>
      </c>
      <c r="EW149">
        <v>43397193</v>
      </c>
      <c r="EX149">
        <v>619</v>
      </c>
      <c r="EZ149" s="24"/>
      <c r="FA149">
        <v>3450000</v>
      </c>
      <c r="FB149">
        <v>3584993</v>
      </c>
      <c r="FC149">
        <v>3499900</v>
      </c>
      <c r="FD149">
        <v>1189</v>
      </c>
      <c r="FE149">
        <v>25</v>
      </c>
      <c r="FG149" s="24"/>
      <c r="FH149">
        <v>5924</v>
      </c>
      <c r="FI149">
        <v>6120</v>
      </c>
      <c r="FJ149">
        <v>6100</v>
      </c>
      <c r="FK149">
        <v>1936480</v>
      </c>
      <c r="FL149">
        <v>391</v>
      </c>
      <c r="FN149" s="24"/>
      <c r="FO149">
        <v>22209</v>
      </c>
      <c r="FP149">
        <v>22209</v>
      </c>
      <c r="FQ149">
        <v>22209</v>
      </c>
      <c r="FR149">
        <v>165680</v>
      </c>
      <c r="FS149">
        <v>97</v>
      </c>
      <c r="FU149" s="24"/>
      <c r="FV149">
        <v>20000</v>
      </c>
      <c r="FW149">
        <v>20034</v>
      </c>
      <c r="FX149">
        <v>20034</v>
      </c>
      <c r="FY149">
        <v>374208</v>
      </c>
      <c r="FZ149">
        <v>1112</v>
      </c>
      <c r="GB149" s="24"/>
      <c r="GC149">
        <v>100415008</v>
      </c>
      <c r="GD149">
        <v>106101000</v>
      </c>
      <c r="GE149">
        <v>102000000</v>
      </c>
      <c r="GF149">
        <v>131</v>
      </c>
      <c r="GG149">
        <v>71</v>
      </c>
      <c r="GI149" s="24"/>
      <c r="GJ149">
        <v>27200000</v>
      </c>
      <c r="GK149">
        <v>27906000</v>
      </c>
      <c r="GL149">
        <v>27906000</v>
      </c>
      <c r="GM149">
        <v>414</v>
      </c>
      <c r="GN149">
        <v>64</v>
      </c>
      <c r="GP149" s="24"/>
      <c r="GQ149">
        <v>69</v>
      </c>
      <c r="GR149">
        <v>73</v>
      </c>
      <c r="GS149">
        <v>73</v>
      </c>
      <c r="GT149">
        <v>133132165</v>
      </c>
      <c r="GU149">
        <v>169</v>
      </c>
      <c r="GW149" s="24"/>
      <c r="GX149">
        <v>417</v>
      </c>
      <c r="GY149">
        <v>444</v>
      </c>
      <c r="GZ149">
        <v>439</v>
      </c>
      <c r="HA149">
        <v>49733399</v>
      </c>
      <c r="HB149">
        <v>239</v>
      </c>
      <c r="HD149" s="24"/>
      <c r="HE149">
        <v>5902</v>
      </c>
      <c r="HF149">
        <v>6037</v>
      </c>
      <c r="HG149">
        <v>6033</v>
      </c>
      <c r="HH149">
        <v>13585238</v>
      </c>
      <c r="HI149">
        <v>266</v>
      </c>
      <c r="HK149" s="24"/>
      <c r="HL149">
        <v>100005200</v>
      </c>
      <c r="HM149">
        <v>107535999</v>
      </c>
      <c r="HN149">
        <v>104557273</v>
      </c>
      <c r="HO149">
        <v>72</v>
      </c>
      <c r="HP149">
        <v>59</v>
      </c>
      <c r="HR149" s="24"/>
      <c r="HS149">
        <v>6601</v>
      </c>
      <c r="HT149">
        <v>6844</v>
      </c>
      <c r="HU149">
        <v>6844</v>
      </c>
      <c r="HV149">
        <v>752188</v>
      </c>
      <c r="HW149">
        <v>103</v>
      </c>
      <c r="HY149" s="24"/>
      <c r="HZ149">
        <v>6718</v>
      </c>
      <c r="IA149">
        <v>6899</v>
      </c>
      <c r="IB149">
        <v>6751</v>
      </c>
      <c r="IC149">
        <v>1991189</v>
      </c>
      <c r="ID149">
        <v>424</v>
      </c>
      <c r="IF149" s="24"/>
      <c r="IG149">
        <v>2922</v>
      </c>
      <c r="IH149">
        <v>2922</v>
      </c>
      <c r="II149">
        <v>2922</v>
      </c>
      <c r="IJ149">
        <v>1592863</v>
      </c>
      <c r="IK149">
        <v>186</v>
      </c>
      <c r="IM149" s="24"/>
      <c r="IN149">
        <v>99820000</v>
      </c>
      <c r="IO149">
        <v>106048561</v>
      </c>
      <c r="IP149">
        <v>101900664</v>
      </c>
      <c r="IQ149">
        <v>92</v>
      </c>
      <c r="IR149">
        <v>69</v>
      </c>
      <c r="IT149" s="24"/>
      <c r="IU149">
        <v>7918</v>
      </c>
      <c r="IV149">
        <v>8388</v>
      </c>
      <c r="IW149">
        <v>8278</v>
      </c>
      <c r="IX149">
        <v>985376</v>
      </c>
      <c r="IY149">
        <v>148</v>
      </c>
      <c r="JA149" s="24"/>
      <c r="JB149">
        <v>93101005</v>
      </c>
      <c r="JC149">
        <v>105795999</v>
      </c>
      <c r="JD149">
        <v>100007000</v>
      </c>
      <c r="JE149">
        <v>193</v>
      </c>
      <c r="JF149">
        <v>98</v>
      </c>
      <c r="JH149" s="24"/>
      <c r="JI149">
        <v>100189001</v>
      </c>
      <c r="JJ149">
        <v>100922000</v>
      </c>
      <c r="JK149">
        <v>100197000</v>
      </c>
      <c r="JL149">
        <v>159</v>
      </c>
      <c r="JM149">
        <v>66</v>
      </c>
      <c r="JO149" s="24"/>
      <c r="JP149">
        <v>68</v>
      </c>
      <c r="JQ149">
        <v>70</v>
      </c>
      <c r="JR149">
        <v>70</v>
      </c>
      <c r="JS149">
        <v>55470724</v>
      </c>
      <c r="JT149">
        <v>88</v>
      </c>
      <c r="JV149" s="24"/>
      <c r="JW149">
        <v>67</v>
      </c>
      <c r="JX149">
        <v>67</v>
      </c>
      <c r="JY149">
        <v>67</v>
      </c>
      <c r="JZ149">
        <v>142896474</v>
      </c>
      <c r="KA149">
        <v>117</v>
      </c>
      <c r="KC149" s="24"/>
      <c r="KD149">
        <v>24</v>
      </c>
      <c r="KE149">
        <v>24</v>
      </c>
      <c r="KF149">
        <v>24</v>
      </c>
      <c r="KG149">
        <v>50770632</v>
      </c>
      <c r="KH149">
        <v>335</v>
      </c>
      <c r="KJ149" s="24"/>
      <c r="KK149">
        <v>67</v>
      </c>
      <c r="KL149">
        <v>71</v>
      </c>
      <c r="KM149">
        <v>70</v>
      </c>
      <c r="KN149">
        <v>73766403</v>
      </c>
      <c r="KO149">
        <v>107</v>
      </c>
      <c r="KQ149" s="24"/>
      <c r="KR149">
        <v>85608</v>
      </c>
      <c r="KS149">
        <v>86002</v>
      </c>
      <c r="KT149">
        <v>85608</v>
      </c>
      <c r="KU149">
        <v>48303</v>
      </c>
      <c r="KV149">
        <v>549</v>
      </c>
      <c r="KX149" s="24"/>
      <c r="KY149">
        <v>556</v>
      </c>
      <c r="KZ149">
        <v>556</v>
      </c>
      <c r="LA149">
        <v>556</v>
      </c>
      <c r="LB149">
        <v>8375864</v>
      </c>
      <c r="LC149">
        <v>188</v>
      </c>
      <c r="LE149" s="24"/>
      <c r="LF149">
        <v>189202</v>
      </c>
      <c r="LG149">
        <v>192000</v>
      </c>
      <c r="LH149">
        <v>189207</v>
      </c>
      <c r="LI149">
        <v>112325</v>
      </c>
      <c r="LJ149">
        <v>831</v>
      </c>
      <c r="LL149" s="24"/>
      <c r="LM149">
        <v>74056</v>
      </c>
      <c r="LN149">
        <v>74077</v>
      </c>
      <c r="LO149">
        <v>74070</v>
      </c>
      <c r="LP149">
        <v>303794</v>
      </c>
      <c r="LQ149">
        <v>1118</v>
      </c>
      <c r="LS149" s="24"/>
      <c r="LT149">
        <v>404</v>
      </c>
      <c r="LU149">
        <v>404</v>
      </c>
      <c r="LV149">
        <v>404</v>
      </c>
      <c r="LW149">
        <v>84659688</v>
      </c>
      <c r="LX149">
        <v>340</v>
      </c>
      <c r="LZ149" s="24"/>
      <c r="MA149">
        <v>111050</v>
      </c>
      <c r="MB149">
        <v>114998</v>
      </c>
      <c r="MC149">
        <v>114739</v>
      </c>
      <c r="MD149">
        <v>897738</v>
      </c>
      <c r="ME149">
        <v>81</v>
      </c>
    </row>
    <row r="150" spans="2:343" x14ac:dyDescent="0.25">
      <c r="B150" s="24"/>
      <c r="C150">
        <v>3</v>
      </c>
      <c r="D150">
        <v>3</v>
      </c>
      <c r="E150">
        <v>3</v>
      </c>
      <c r="F150">
        <v>26100929241</v>
      </c>
      <c r="G150">
        <v>2797</v>
      </c>
      <c r="I150" s="24"/>
      <c r="J150">
        <v>4</v>
      </c>
      <c r="K150">
        <v>4</v>
      </c>
      <c r="L150">
        <v>4</v>
      </c>
      <c r="M150">
        <v>4845537074</v>
      </c>
      <c r="N150">
        <v>1989</v>
      </c>
      <c r="P150" s="24"/>
      <c r="Q150">
        <v>28</v>
      </c>
      <c r="R150">
        <v>28</v>
      </c>
      <c r="S150">
        <v>28</v>
      </c>
      <c r="T150">
        <v>1702488590</v>
      </c>
      <c r="U150">
        <v>1786</v>
      </c>
      <c r="W150" s="24"/>
      <c r="X150">
        <v>80</v>
      </c>
      <c r="Y150">
        <v>81</v>
      </c>
      <c r="Z150">
        <v>80</v>
      </c>
      <c r="AA150">
        <v>314622571</v>
      </c>
      <c r="AB150">
        <v>1351</v>
      </c>
      <c r="AD150" s="24"/>
      <c r="AE150">
        <v>510</v>
      </c>
      <c r="AF150">
        <v>522</v>
      </c>
      <c r="AG150">
        <v>519</v>
      </c>
      <c r="AH150">
        <v>79835390</v>
      </c>
      <c r="AI150">
        <v>1513</v>
      </c>
      <c r="AK150" s="24"/>
      <c r="AL150">
        <v>875</v>
      </c>
      <c r="AM150">
        <v>896</v>
      </c>
      <c r="AN150">
        <v>887</v>
      </c>
      <c r="AO150">
        <v>64058445</v>
      </c>
      <c r="AP150">
        <v>1261</v>
      </c>
      <c r="AR150" s="24"/>
      <c r="AS150">
        <v>2306</v>
      </c>
      <c r="AT150">
        <v>2398</v>
      </c>
      <c r="AU150">
        <v>2351</v>
      </c>
      <c r="AV150">
        <v>16163767</v>
      </c>
      <c r="AW150">
        <v>1130</v>
      </c>
      <c r="AY150" s="24"/>
      <c r="AZ150">
        <v>362500000</v>
      </c>
      <c r="BA150">
        <v>370990000</v>
      </c>
      <c r="BB150">
        <v>367999988</v>
      </c>
      <c r="BC150">
        <v>2373</v>
      </c>
      <c r="BD150">
        <v>1687</v>
      </c>
      <c r="BF150" s="24"/>
      <c r="BG150">
        <v>26121</v>
      </c>
      <c r="BH150">
        <v>26122</v>
      </c>
      <c r="BI150">
        <v>26122</v>
      </c>
      <c r="BJ150">
        <v>2175668</v>
      </c>
      <c r="BK150">
        <v>200</v>
      </c>
      <c r="BM150" s="24"/>
      <c r="BN150">
        <v>6007001</v>
      </c>
      <c r="BO150">
        <v>6007002</v>
      </c>
      <c r="BP150">
        <v>6007001</v>
      </c>
      <c r="BQ150">
        <v>6966</v>
      </c>
      <c r="BR150">
        <v>247</v>
      </c>
      <c r="BT150" s="24"/>
      <c r="BU150">
        <v>2227</v>
      </c>
      <c r="BV150">
        <v>2294</v>
      </c>
      <c r="BW150">
        <v>2229</v>
      </c>
      <c r="BX150">
        <v>21971807</v>
      </c>
      <c r="BY150">
        <v>219</v>
      </c>
      <c r="CA150" s="24"/>
      <c r="CB150">
        <v>453</v>
      </c>
      <c r="CC150">
        <v>468</v>
      </c>
      <c r="CD150">
        <v>468</v>
      </c>
      <c r="CE150">
        <v>71364249</v>
      </c>
      <c r="CF150">
        <v>247</v>
      </c>
      <c r="CH150" s="24"/>
      <c r="CI150">
        <v>24358</v>
      </c>
      <c r="CJ150">
        <v>24537</v>
      </c>
      <c r="CK150">
        <v>24359</v>
      </c>
      <c r="CL150">
        <v>1249808</v>
      </c>
      <c r="CM150">
        <v>161</v>
      </c>
      <c r="CO150" s="24"/>
      <c r="CP150">
        <v>8308</v>
      </c>
      <c r="CQ150">
        <v>8649</v>
      </c>
      <c r="CR150">
        <v>8370</v>
      </c>
      <c r="CS150">
        <v>1077343</v>
      </c>
      <c r="CT150">
        <v>351</v>
      </c>
      <c r="CV150" s="24"/>
      <c r="CW150">
        <v>1329999</v>
      </c>
      <c r="CX150">
        <v>1329999</v>
      </c>
      <c r="CY150">
        <v>1329999</v>
      </c>
      <c r="CZ150">
        <v>6758</v>
      </c>
      <c r="DA150">
        <v>27</v>
      </c>
      <c r="DC150" s="24"/>
      <c r="DD150">
        <v>426</v>
      </c>
      <c r="DE150">
        <v>438</v>
      </c>
      <c r="DF150">
        <v>435</v>
      </c>
      <c r="DG150">
        <v>37122826</v>
      </c>
      <c r="DH150">
        <v>206</v>
      </c>
      <c r="DJ150" s="24"/>
      <c r="DK150">
        <v>33507015</v>
      </c>
      <c r="DL150">
        <v>33508204</v>
      </c>
      <c r="DM150">
        <v>33508001</v>
      </c>
      <c r="DN150">
        <v>354</v>
      </c>
      <c r="DO150">
        <v>89</v>
      </c>
      <c r="DQ150" s="24"/>
      <c r="DR150">
        <v>1770100</v>
      </c>
      <c r="DS150">
        <v>2009998</v>
      </c>
      <c r="DT150">
        <v>1840000</v>
      </c>
      <c r="DU150">
        <v>5231</v>
      </c>
      <c r="DV150">
        <v>204</v>
      </c>
      <c r="DX150" s="24"/>
      <c r="DY150">
        <v>20000020</v>
      </c>
      <c r="DZ150">
        <v>20000505</v>
      </c>
      <c r="EA150">
        <v>20000020</v>
      </c>
      <c r="EB150">
        <v>333</v>
      </c>
      <c r="EC150">
        <v>91</v>
      </c>
      <c r="EE150" s="24"/>
      <c r="EF150">
        <v>144</v>
      </c>
      <c r="EG150">
        <v>149</v>
      </c>
      <c r="EH150">
        <v>144</v>
      </c>
      <c r="EI150">
        <v>64095335</v>
      </c>
      <c r="EJ150">
        <v>151</v>
      </c>
      <c r="EL150" s="24"/>
      <c r="EM150">
        <v>41313</v>
      </c>
      <c r="EN150">
        <v>46999</v>
      </c>
      <c r="EO150">
        <v>42002</v>
      </c>
      <c r="EP150">
        <v>54750</v>
      </c>
      <c r="EQ150">
        <v>551</v>
      </c>
      <c r="ES150" s="24"/>
      <c r="ET150">
        <v>361</v>
      </c>
      <c r="EU150">
        <v>369</v>
      </c>
      <c r="EV150">
        <v>369</v>
      </c>
      <c r="EW150">
        <v>33835154</v>
      </c>
      <c r="EX150">
        <v>607</v>
      </c>
      <c r="EZ150" s="24"/>
      <c r="FA150">
        <v>3499999</v>
      </c>
      <c r="FB150">
        <v>3584992</v>
      </c>
      <c r="FC150">
        <v>3580000</v>
      </c>
      <c r="FD150">
        <v>966</v>
      </c>
      <c r="FE150">
        <v>25</v>
      </c>
      <c r="FG150" s="24"/>
      <c r="FH150">
        <v>5550</v>
      </c>
      <c r="FI150">
        <v>6098</v>
      </c>
      <c r="FJ150">
        <v>6046</v>
      </c>
      <c r="FK150">
        <v>1429288</v>
      </c>
      <c r="FL150">
        <v>400</v>
      </c>
      <c r="FN150" s="24"/>
      <c r="FO150">
        <v>21501</v>
      </c>
      <c r="FP150">
        <v>21999</v>
      </c>
      <c r="FQ150">
        <v>21501</v>
      </c>
      <c r="FR150">
        <v>123932</v>
      </c>
      <c r="FS150">
        <v>67</v>
      </c>
      <c r="FU150" s="24"/>
      <c r="FV150">
        <v>19023</v>
      </c>
      <c r="FW150">
        <v>19081</v>
      </c>
      <c r="FX150">
        <v>19027</v>
      </c>
      <c r="FY150">
        <v>329717</v>
      </c>
      <c r="FZ150">
        <v>1032</v>
      </c>
      <c r="GB150" s="24"/>
      <c r="GC150">
        <v>100258000</v>
      </c>
      <c r="GD150">
        <v>101207000</v>
      </c>
      <c r="GE150">
        <v>100408012</v>
      </c>
      <c r="GF150">
        <v>146</v>
      </c>
      <c r="GG150">
        <v>73</v>
      </c>
      <c r="GI150" s="24"/>
      <c r="GJ150">
        <v>27100001</v>
      </c>
      <c r="GK150">
        <v>27819999</v>
      </c>
      <c r="GL150">
        <v>27100002</v>
      </c>
      <c r="GM150">
        <v>186</v>
      </c>
      <c r="GN150">
        <v>41</v>
      </c>
      <c r="GP150" s="24"/>
      <c r="GQ150">
        <v>68</v>
      </c>
      <c r="GR150">
        <v>72</v>
      </c>
      <c r="GS150">
        <v>69</v>
      </c>
      <c r="GT150">
        <v>122517783</v>
      </c>
      <c r="GU150">
        <v>107</v>
      </c>
      <c r="GW150" s="24"/>
      <c r="GX150">
        <v>425</v>
      </c>
      <c r="GY150">
        <v>440</v>
      </c>
      <c r="GZ150">
        <v>428</v>
      </c>
      <c r="HA150">
        <v>53336814</v>
      </c>
      <c r="HB150">
        <v>247</v>
      </c>
      <c r="HD150" s="24"/>
      <c r="HE150">
        <v>5880</v>
      </c>
      <c r="HF150">
        <v>6031</v>
      </c>
      <c r="HG150">
        <v>6027</v>
      </c>
      <c r="HH150">
        <v>11067410</v>
      </c>
      <c r="HI150">
        <v>263</v>
      </c>
      <c r="HK150" s="24"/>
      <c r="HL150">
        <v>100021123</v>
      </c>
      <c r="HM150">
        <v>100100000</v>
      </c>
      <c r="HN150">
        <v>100027400</v>
      </c>
      <c r="HO150">
        <v>149</v>
      </c>
      <c r="HP150">
        <v>77</v>
      </c>
      <c r="HR150" s="24"/>
      <c r="HS150">
        <v>6602</v>
      </c>
      <c r="HT150">
        <v>6844</v>
      </c>
      <c r="HU150">
        <v>6650</v>
      </c>
      <c r="HV150">
        <v>659796</v>
      </c>
      <c r="HW150">
        <v>130</v>
      </c>
      <c r="HY150" s="24"/>
      <c r="HZ150">
        <v>6150</v>
      </c>
      <c r="IA150">
        <v>6475</v>
      </c>
      <c r="IB150">
        <v>6399</v>
      </c>
      <c r="IC150">
        <v>1528910</v>
      </c>
      <c r="ID150">
        <v>409</v>
      </c>
      <c r="IF150" s="24"/>
      <c r="IG150">
        <v>2784</v>
      </c>
      <c r="IH150">
        <v>2820</v>
      </c>
      <c r="II150">
        <v>2791</v>
      </c>
      <c r="IJ150">
        <v>1800734</v>
      </c>
      <c r="IK150">
        <v>132</v>
      </c>
      <c r="IM150" s="24"/>
      <c r="IN150">
        <v>95081515</v>
      </c>
      <c r="IO150">
        <v>105495118</v>
      </c>
      <c r="IP150">
        <v>102566952</v>
      </c>
      <c r="IQ150">
        <v>51</v>
      </c>
      <c r="IR150">
        <v>47</v>
      </c>
      <c r="IT150" s="24"/>
      <c r="IU150">
        <v>7654</v>
      </c>
      <c r="IV150">
        <v>8268</v>
      </c>
      <c r="IW150">
        <v>8248</v>
      </c>
      <c r="IX150">
        <v>903672</v>
      </c>
      <c r="IY150">
        <v>124</v>
      </c>
      <c r="JA150" s="24"/>
      <c r="JB150">
        <v>90048096</v>
      </c>
      <c r="JC150">
        <v>100024999</v>
      </c>
      <c r="JD150">
        <v>100024199</v>
      </c>
      <c r="JE150">
        <v>117</v>
      </c>
      <c r="JF150">
        <v>72</v>
      </c>
      <c r="JH150" s="24"/>
      <c r="JI150">
        <v>85004000</v>
      </c>
      <c r="JJ150">
        <v>108990000</v>
      </c>
      <c r="JK150">
        <v>94467516</v>
      </c>
      <c r="JL150">
        <v>74</v>
      </c>
      <c r="JM150">
        <v>51</v>
      </c>
      <c r="JO150" s="24"/>
      <c r="JP150">
        <v>68</v>
      </c>
      <c r="JQ150">
        <v>70</v>
      </c>
      <c r="JR150">
        <v>68</v>
      </c>
      <c r="JS150">
        <v>44837096</v>
      </c>
      <c r="JT150">
        <v>86</v>
      </c>
      <c r="JV150" s="24"/>
      <c r="JW150">
        <v>63</v>
      </c>
      <c r="JX150">
        <v>65</v>
      </c>
      <c r="JY150">
        <v>63</v>
      </c>
      <c r="JZ150">
        <v>98385563</v>
      </c>
      <c r="KA150">
        <v>99</v>
      </c>
      <c r="KC150" s="24"/>
      <c r="KD150">
        <v>24</v>
      </c>
      <c r="KE150">
        <v>24</v>
      </c>
      <c r="KF150">
        <v>24</v>
      </c>
      <c r="KG150">
        <v>33178308</v>
      </c>
      <c r="KH150">
        <v>308</v>
      </c>
      <c r="KJ150" s="24"/>
      <c r="KK150">
        <v>67</v>
      </c>
      <c r="KL150">
        <v>70</v>
      </c>
      <c r="KM150">
        <v>67</v>
      </c>
      <c r="KN150">
        <v>136048533</v>
      </c>
      <c r="KO150">
        <v>115</v>
      </c>
      <c r="KQ150" s="24"/>
      <c r="KR150">
        <v>86061</v>
      </c>
      <c r="KS150">
        <v>86064</v>
      </c>
      <c r="KT150">
        <v>86062</v>
      </c>
      <c r="KU150">
        <v>66321</v>
      </c>
      <c r="KV150">
        <v>565</v>
      </c>
      <c r="KX150" s="24"/>
      <c r="KY150">
        <v>531</v>
      </c>
      <c r="KZ150">
        <v>553</v>
      </c>
      <c r="LA150">
        <v>550</v>
      </c>
      <c r="LB150">
        <v>4766821</v>
      </c>
      <c r="LC150">
        <v>157</v>
      </c>
      <c r="LE150" s="24"/>
      <c r="LF150">
        <v>185102</v>
      </c>
      <c r="LG150">
        <v>189999</v>
      </c>
      <c r="LH150">
        <v>189114</v>
      </c>
      <c r="LI150">
        <v>156217</v>
      </c>
      <c r="LJ150">
        <v>816</v>
      </c>
      <c r="LL150" s="24"/>
      <c r="LM150">
        <v>74079</v>
      </c>
      <c r="LN150">
        <v>74090</v>
      </c>
      <c r="LO150">
        <v>74088</v>
      </c>
      <c r="LP150">
        <v>343287</v>
      </c>
      <c r="LQ150">
        <v>1102</v>
      </c>
      <c r="LS150" s="24"/>
      <c r="LT150">
        <v>403</v>
      </c>
      <c r="LU150">
        <v>403</v>
      </c>
      <c r="LV150">
        <v>403</v>
      </c>
      <c r="LW150">
        <v>73319863</v>
      </c>
      <c r="LX150">
        <v>333</v>
      </c>
      <c r="LZ150" s="24"/>
      <c r="MA150">
        <v>110668</v>
      </c>
      <c r="MB150">
        <v>114951</v>
      </c>
      <c r="MC150">
        <v>111113</v>
      </c>
      <c r="MD150">
        <v>690312</v>
      </c>
      <c r="ME150">
        <v>62</v>
      </c>
    </row>
    <row r="151" spans="2:343" x14ac:dyDescent="0.25">
      <c r="B151" s="24"/>
      <c r="C151">
        <v>3</v>
      </c>
      <c r="D151">
        <v>3</v>
      </c>
      <c r="E151">
        <v>3</v>
      </c>
      <c r="F151">
        <v>26271086077</v>
      </c>
      <c r="G151">
        <v>2898</v>
      </c>
      <c r="I151" s="24"/>
      <c r="J151">
        <v>4</v>
      </c>
      <c r="K151">
        <v>4</v>
      </c>
      <c r="L151">
        <v>4</v>
      </c>
      <c r="M151">
        <v>6605964727</v>
      </c>
      <c r="N151">
        <v>2056</v>
      </c>
      <c r="P151" s="24"/>
      <c r="Q151">
        <v>28</v>
      </c>
      <c r="R151">
        <v>28</v>
      </c>
      <c r="S151">
        <v>28</v>
      </c>
      <c r="T151">
        <v>1340752915</v>
      </c>
      <c r="U151">
        <v>1826</v>
      </c>
      <c r="W151" s="24"/>
      <c r="X151">
        <v>77</v>
      </c>
      <c r="Y151">
        <v>79</v>
      </c>
      <c r="Z151">
        <v>78</v>
      </c>
      <c r="AA151">
        <v>381499150</v>
      </c>
      <c r="AB151">
        <v>1401</v>
      </c>
      <c r="AD151" s="24"/>
      <c r="AE151">
        <v>513</v>
      </c>
      <c r="AF151">
        <v>518</v>
      </c>
      <c r="AG151">
        <v>517</v>
      </c>
      <c r="AH151">
        <v>67420439</v>
      </c>
      <c r="AI151">
        <v>1480</v>
      </c>
      <c r="AK151" s="24"/>
      <c r="AL151">
        <v>885</v>
      </c>
      <c r="AM151">
        <v>895</v>
      </c>
      <c r="AN151">
        <v>889</v>
      </c>
      <c r="AO151">
        <v>35448079</v>
      </c>
      <c r="AP151">
        <v>1191</v>
      </c>
      <c r="AR151" s="24"/>
      <c r="AS151">
        <v>2349</v>
      </c>
      <c r="AT151">
        <v>2398</v>
      </c>
      <c r="AU151">
        <v>2354</v>
      </c>
      <c r="AV151">
        <v>8742222</v>
      </c>
      <c r="AW151">
        <v>1120</v>
      </c>
      <c r="AY151" s="24"/>
      <c r="AZ151">
        <v>357500000</v>
      </c>
      <c r="BA151">
        <v>365489999</v>
      </c>
      <c r="BB151">
        <v>360000011</v>
      </c>
      <c r="BC151">
        <v>2723</v>
      </c>
      <c r="BD151">
        <v>1777</v>
      </c>
      <c r="BF151" s="24"/>
      <c r="BG151">
        <v>25503</v>
      </c>
      <c r="BH151">
        <v>26048</v>
      </c>
      <c r="BI151">
        <v>25600</v>
      </c>
      <c r="BJ151">
        <v>3256492</v>
      </c>
      <c r="BK151">
        <v>229</v>
      </c>
      <c r="BM151" s="24"/>
      <c r="BN151">
        <v>6000056</v>
      </c>
      <c r="BO151">
        <v>6007002</v>
      </c>
      <c r="BP151">
        <v>6007002</v>
      </c>
      <c r="BQ151">
        <v>9138</v>
      </c>
      <c r="BR151">
        <v>260</v>
      </c>
      <c r="BT151" s="24"/>
      <c r="BU151">
        <v>2212</v>
      </c>
      <c r="BV151">
        <v>2293</v>
      </c>
      <c r="BW151">
        <v>2293</v>
      </c>
      <c r="BX151">
        <v>20463298</v>
      </c>
      <c r="BY151">
        <v>213</v>
      </c>
      <c r="CA151" s="24"/>
      <c r="CB151">
        <v>445</v>
      </c>
      <c r="CC151">
        <v>459</v>
      </c>
      <c r="CD151">
        <v>455</v>
      </c>
      <c r="CE151">
        <v>71857234</v>
      </c>
      <c r="CF151">
        <v>267</v>
      </c>
      <c r="CH151" s="24"/>
      <c r="CI151">
        <v>24359</v>
      </c>
      <c r="CJ151">
        <v>24361</v>
      </c>
      <c r="CK151">
        <v>24360</v>
      </c>
      <c r="CL151">
        <v>2746741</v>
      </c>
      <c r="CM151">
        <v>194</v>
      </c>
      <c r="CO151" s="24"/>
      <c r="CP151">
        <v>7952</v>
      </c>
      <c r="CQ151">
        <v>8350</v>
      </c>
      <c r="CR151">
        <v>8198</v>
      </c>
      <c r="CS151">
        <v>1098311</v>
      </c>
      <c r="CT151">
        <v>370</v>
      </c>
      <c r="CV151" s="24"/>
      <c r="CW151">
        <v>1315001</v>
      </c>
      <c r="CX151">
        <v>1329999</v>
      </c>
      <c r="CY151">
        <v>1329999</v>
      </c>
      <c r="CZ151">
        <v>14249</v>
      </c>
      <c r="DA151">
        <v>39</v>
      </c>
      <c r="DC151" s="24"/>
      <c r="DD151">
        <v>432</v>
      </c>
      <c r="DE151">
        <v>433</v>
      </c>
      <c r="DF151">
        <v>432</v>
      </c>
      <c r="DG151">
        <v>34760483</v>
      </c>
      <c r="DH151">
        <v>187</v>
      </c>
      <c r="DJ151" s="24"/>
      <c r="DK151">
        <v>33508303</v>
      </c>
      <c r="DL151">
        <v>34999990</v>
      </c>
      <c r="DM151">
        <v>33509305</v>
      </c>
      <c r="DN151">
        <v>296</v>
      </c>
      <c r="DO151">
        <v>74</v>
      </c>
      <c r="DQ151" s="24"/>
      <c r="DR151">
        <v>1780000</v>
      </c>
      <c r="DS151">
        <v>2209997</v>
      </c>
      <c r="DT151">
        <v>1950001</v>
      </c>
      <c r="DU151">
        <v>4528</v>
      </c>
      <c r="DV151">
        <v>214</v>
      </c>
      <c r="DX151" s="24"/>
      <c r="DY151">
        <v>20001001</v>
      </c>
      <c r="DZ151">
        <v>21248998</v>
      </c>
      <c r="EA151">
        <v>20999999</v>
      </c>
      <c r="EB151">
        <v>463</v>
      </c>
      <c r="EC151">
        <v>100</v>
      </c>
      <c r="EE151" s="24"/>
      <c r="EF151">
        <v>144</v>
      </c>
      <c r="EG151">
        <v>152</v>
      </c>
      <c r="EH151">
        <v>148</v>
      </c>
      <c r="EI151">
        <v>101277393</v>
      </c>
      <c r="EJ151">
        <v>173</v>
      </c>
      <c r="EL151" s="24"/>
      <c r="EM151">
        <v>43050</v>
      </c>
      <c r="EN151">
        <v>45068</v>
      </c>
      <c r="EO151">
        <v>43206</v>
      </c>
      <c r="EP151">
        <v>69917</v>
      </c>
      <c r="EQ151">
        <v>605</v>
      </c>
      <c r="ES151" s="24"/>
      <c r="ET151">
        <v>361</v>
      </c>
      <c r="EU151">
        <v>370</v>
      </c>
      <c r="EV151">
        <v>369</v>
      </c>
      <c r="EW151">
        <v>34329669</v>
      </c>
      <c r="EX151">
        <v>604</v>
      </c>
      <c r="EZ151" s="24"/>
      <c r="FA151">
        <v>3335009</v>
      </c>
      <c r="FB151">
        <v>3584991</v>
      </c>
      <c r="FC151">
        <v>3400000</v>
      </c>
      <c r="FD151">
        <v>1340</v>
      </c>
      <c r="FE151">
        <v>42</v>
      </c>
      <c r="FG151" s="24"/>
      <c r="FH151">
        <v>5672</v>
      </c>
      <c r="FI151">
        <v>6099</v>
      </c>
      <c r="FJ151">
        <v>5997</v>
      </c>
      <c r="FK151">
        <v>1713684</v>
      </c>
      <c r="FL151">
        <v>397</v>
      </c>
      <c r="FN151" s="24"/>
      <c r="FO151">
        <v>21989</v>
      </c>
      <c r="FP151">
        <v>21989</v>
      </c>
      <c r="FQ151">
        <v>21989</v>
      </c>
      <c r="FR151">
        <v>134153</v>
      </c>
      <c r="FS151">
        <v>83</v>
      </c>
      <c r="FU151" s="24"/>
      <c r="FV151">
        <v>19086</v>
      </c>
      <c r="FW151">
        <v>19221</v>
      </c>
      <c r="FX151">
        <v>19125</v>
      </c>
      <c r="FY151">
        <v>242099</v>
      </c>
      <c r="FZ151">
        <v>1077</v>
      </c>
      <c r="GB151" s="24"/>
      <c r="GC151">
        <v>93006016</v>
      </c>
      <c r="GD151">
        <v>101999999</v>
      </c>
      <c r="GE151">
        <v>99638115</v>
      </c>
      <c r="GF151">
        <v>90</v>
      </c>
      <c r="GG151">
        <v>67</v>
      </c>
      <c r="GI151" s="24"/>
      <c r="GJ151">
        <v>27201001</v>
      </c>
      <c r="GK151">
        <v>28600000</v>
      </c>
      <c r="GL151">
        <v>27201001</v>
      </c>
      <c r="GM151">
        <v>494</v>
      </c>
      <c r="GN151">
        <v>80</v>
      </c>
      <c r="GP151" s="24"/>
      <c r="GQ151">
        <v>70</v>
      </c>
      <c r="GR151">
        <v>72</v>
      </c>
      <c r="GS151">
        <v>71</v>
      </c>
      <c r="GT151">
        <v>134114683</v>
      </c>
      <c r="GU151">
        <v>124</v>
      </c>
      <c r="GW151" s="24"/>
      <c r="GX151">
        <v>439</v>
      </c>
      <c r="GY151">
        <v>440</v>
      </c>
      <c r="GZ151">
        <v>439</v>
      </c>
      <c r="HA151">
        <v>47998016</v>
      </c>
      <c r="HB151">
        <v>208</v>
      </c>
      <c r="HD151" s="24"/>
      <c r="HE151">
        <v>5881</v>
      </c>
      <c r="HF151">
        <v>6025</v>
      </c>
      <c r="HG151">
        <v>6005</v>
      </c>
      <c r="HH151">
        <v>15344104</v>
      </c>
      <c r="HI151">
        <v>261</v>
      </c>
      <c r="HK151" s="24"/>
      <c r="HL151">
        <v>97312095</v>
      </c>
      <c r="HM151">
        <v>105079395</v>
      </c>
      <c r="HN151">
        <v>104612999</v>
      </c>
      <c r="HO151">
        <v>108</v>
      </c>
      <c r="HP151">
        <v>87</v>
      </c>
      <c r="HR151" s="24"/>
      <c r="HS151">
        <v>6100</v>
      </c>
      <c r="HT151">
        <v>6740</v>
      </c>
      <c r="HU151">
        <v>6200</v>
      </c>
      <c r="HV151">
        <v>449983</v>
      </c>
      <c r="HW151">
        <v>127</v>
      </c>
      <c r="HY151" s="24"/>
      <c r="HZ151">
        <v>6001</v>
      </c>
      <c r="IA151">
        <v>6494</v>
      </c>
      <c r="IB151">
        <v>6347</v>
      </c>
      <c r="IC151">
        <v>1805918</v>
      </c>
      <c r="ID151">
        <v>391</v>
      </c>
      <c r="IF151" s="24"/>
      <c r="IG151">
        <v>2906</v>
      </c>
      <c r="IH151">
        <v>2919</v>
      </c>
      <c r="II151">
        <v>2919</v>
      </c>
      <c r="IJ151">
        <v>730716</v>
      </c>
      <c r="IK151">
        <v>125</v>
      </c>
      <c r="IM151" s="24"/>
      <c r="IN151">
        <v>98104772</v>
      </c>
      <c r="IO151">
        <v>105493421</v>
      </c>
      <c r="IP151">
        <v>102860131</v>
      </c>
      <c r="IQ151">
        <v>73</v>
      </c>
      <c r="IR151">
        <v>61</v>
      </c>
      <c r="IT151" s="24"/>
      <c r="IU151">
        <v>7600</v>
      </c>
      <c r="IV151">
        <v>8078</v>
      </c>
      <c r="IW151">
        <v>7650</v>
      </c>
      <c r="IX151">
        <v>1646364</v>
      </c>
      <c r="IY151">
        <v>137</v>
      </c>
      <c r="JA151" s="24"/>
      <c r="JB151">
        <v>93120913</v>
      </c>
      <c r="JC151">
        <v>101999999</v>
      </c>
      <c r="JD151">
        <v>100999999</v>
      </c>
      <c r="JE151">
        <v>116</v>
      </c>
      <c r="JF151">
        <v>87</v>
      </c>
      <c r="JH151" s="24"/>
      <c r="JI151">
        <v>90103000</v>
      </c>
      <c r="JJ151">
        <v>108905900</v>
      </c>
      <c r="JK151">
        <v>97047928</v>
      </c>
      <c r="JL151">
        <v>74</v>
      </c>
      <c r="JM151">
        <v>52</v>
      </c>
      <c r="JO151" s="24"/>
      <c r="JP151">
        <v>68</v>
      </c>
      <c r="JQ151">
        <v>70</v>
      </c>
      <c r="JR151">
        <v>69</v>
      </c>
      <c r="JS151">
        <v>97266395</v>
      </c>
      <c r="JT151">
        <v>94</v>
      </c>
      <c r="JV151" s="24"/>
      <c r="JW151">
        <v>62</v>
      </c>
      <c r="JX151">
        <v>65</v>
      </c>
      <c r="JY151">
        <v>65</v>
      </c>
      <c r="JZ151">
        <v>78103334</v>
      </c>
      <c r="KA151">
        <v>95</v>
      </c>
      <c r="KC151" s="24"/>
      <c r="KD151">
        <v>22</v>
      </c>
      <c r="KE151">
        <v>24</v>
      </c>
      <c r="KF151">
        <v>24</v>
      </c>
      <c r="KG151">
        <v>39625003</v>
      </c>
      <c r="KH151">
        <v>289</v>
      </c>
      <c r="KJ151" s="24"/>
      <c r="KK151">
        <v>67</v>
      </c>
      <c r="KL151">
        <v>70</v>
      </c>
      <c r="KM151">
        <v>70</v>
      </c>
      <c r="KN151">
        <v>168769223</v>
      </c>
      <c r="KO151">
        <v>115</v>
      </c>
      <c r="KQ151" s="24"/>
      <c r="KR151">
        <v>86088</v>
      </c>
      <c r="KS151">
        <v>97599</v>
      </c>
      <c r="KT151">
        <v>90798</v>
      </c>
      <c r="KU151">
        <v>75517</v>
      </c>
      <c r="KV151">
        <v>576</v>
      </c>
      <c r="KX151" s="24"/>
      <c r="KY151">
        <v>553</v>
      </c>
      <c r="KZ151">
        <v>553</v>
      </c>
      <c r="LA151">
        <v>553</v>
      </c>
      <c r="LB151">
        <v>6783923</v>
      </c>
      <c r="LC151">
        <v>152</v>
      </c>
      <c r="LE151" s="24"/>
      <c r="LF151">
        <v>186012</v>
      </c>
      <c r="LG151">
        <v>192899</v>
      </c>
      <c r="LH151">
        <v>186200</v>
      </c>
      <c r="LI151">
        <v>124771</v>
      </c>
      <c r="LJ151">
        <v>825</v>
      </c>
      <c r="LL151" s="24"/>
      <c r="LM151">
        <v>74130</v>
      </c>
      <c r="LN151">
        <v>76405</v>
      </c>
      <c r="LO151">
        <v>74183</v>
      </c>
      <c r="LP151">
        <v>316381</v>
      </c>
      <c r="LQ151">
        <v>1136</v>
      </c>
      <c r="LS151" s="24"/>
      <c r="LT151">
        <v>389</v>
      </c>
      <c r="LU151">
        <v>399</v>
      </c>
      <c r="LV151">
        <v>389</v>
      </c>
      <c r="LW151">
        <v>89931961</v>
      </c>
      <c r="LX151">
        <v>318</v>
      </c>
      <c r="LZ151" s="24"/>
      <c r="MA151">
        <v>110953</v>
      </c>
      <c r="MB151">
        <v>111005</v>
      </c>
      <c r="MC151">
        <v>111004</v>
      </c>
      <c r="MD151">
        <v>1123817</v>
      </c>
      <c r="ME151">
        <v>100</v>
      </c>
    </row>
    <row r="152" spans="2:343" x14ac:dyDescent="0.25">
      <c r="B152" s="24"/>
      <c r="C152">
        <v>3</v>
      </c>
      <c r="D152">
        <v>3</v>
      </c>
      <c r="E152">
        <v>3</v>
      </c>
      <c r="F152">
        <v>39186572401</v>
      </c>
      <c r="G152">
        <v>3128</v>
      </c>
      <c r="I152" s="24"/>
      <c r="J152">
        <v>4</v>
      </c>
      <c r="K152">
        <v>4</v>
      </c>
      <c r="L152">
        <v>4</v>
      </c>
      <c r="M152">
        <v>8914896249</v>
      </c>
      <c r="N152">
        <v>2240</v>
      </c>
      <c r="P152" s="24"/>
      <c r="Q152">
        <v>28</v>
      </c>
      <c r="R152">
        <v>28</v>
      </c>
      <c r="S152">
        <v>28</v>
      </c>
      <c r="T152">
        <v>2091292625</v>
      </c>
      <c r="U152">
        <v>2066</v>
      </c>
      <c r="W152" s="24"/>
      <c r="X152">
        <v>76</v>
      </c>
      <c r="Y152">
        <v>78</v>
      </c>
      <c r="Z152">
        <v>78</v>
      </c>
      <c r="AA152">
        <v>526555925</v>
      </c>
      <c r="AB152">
        <v>1569</v>
      </c>
      <c r="AD152" s="24"/>
      <c r="AE152">
        <v>511</v>
      </c>
      <c r="AF152">
        <v>514</v>
      </c>
      <c r="AG152">
        <v>511</v>
      </c>
      <c r="AH152">
        <v>148850586</v>
      </c>
      <c r="AI152">
        <v>1686</v>
      </c>
      <c r="AK152" s="24"/>
      <c r="AL152">
        <v>875</v>
      </c>
      <c r="AM152">
        <v>891</v>
      </c>
      <c r="AN152">
        <v>884</v>
      </c>
      <c r="AO152">
        <v>45643858</v>
      </c>
      <c r="AP152">
        <v>1394</v>
      </c>
      <c r="AR152" s="24"/>
      <c r="AS152">
        <v>2380</v>
      </c>
      <c r="AT152">
        <v>2438</v>
      </c>
      <c r="AU152">
        <v>2435</v>
      </c>
      <c r="AV152">
        <v>11623544</v>
      </c>
      <c r="AW152">
        <v>1241</v>
      </c>
      <c r="AY152" s="24"/>
      <c r="AZ152">
        <v>353150003</v>
      </c>
      <c r="BA152">
        <v>364997999</v>
      </c>
      <c r="BB152">
        <v>358899001</v>
      </c>
      <c r="BC152">
        <v>2557</v>
      </c>
      <c r="BD152">
        <v>1717</v>
      </c>
      <c r="BF152" s="24"/>
      <c r="BG152">
        <v>25503</v>
      </c>
      <c r="BH152">
        <v>25601</v>
      </c>
      <c r="BI152">
        <v>25601</v>
      </c>
      <c r="BJ152">
        <v>4736955</v>
      </c>
      <c r="BK152">
        <v>246</v>
      </c>
      <c r="BM152" s="24"/>
      <c r="BN152">
        <v>6000001</v>
      </c>
      <c r="BO152">
        <v>6187999</v>
      </c>
      <c r="BP152">
        <v>6011956</v>
      </c>
      <c r="BQ152">
        <v>12393</v>
      </c>
      <c r="BR152">
        <v>388</v>
      </c>
      <c r="BT152" s="24"/>
      <c r="BU152">
        <v>2292</v>
      </c>
      <c r="BV152">
        <v>2292</v>
      </c>
      <c r="BW152">
        <v>2292</v>
      </c>
      <c r="BX152">
        <v>18860092</v>
      </c>
      <c r="BY152">
        <v>198</v>
      </c>
      <c r="CA152" s="24"/>
      <c r="CB152">
        <v>445</v>
      </c>
      <c r="CC152">
        <v>454</v>
      </c>
      <c r="CD152">
        <v>454</v>
      </c>
      <c r="CE152">
        <v>78019937</v>
      </c>
      <c r="CF152">
        <v>270</v>
      </c>
      <c r="CH152" s="24"/>
      <c r="CI152">
        <v>21051</v>
      </c>
      <c r="CJ152">
        <v>22100</v>
      </c>
      <c r="CK152">
        <v>22003</v>
      </c>
      <c r="CL152">
        <v>1149903</v>
      </c>
      <c r="CM152">
        <v>152</v>
      </c>
      <c r="CO152" s="24"/>
      <c r="CP152">
        <v>7950</v>
      </c>
      <c r="CQ152">
        <v>8484</v>
      </c>
      <c r="CR152">
        <v>8198</v>
      </c>
      <c r="CS152">
        <v>1048114</v>
      </c>
      <c r="CT152">
        <v>366</v>
      </c>
      <c r="CV152" s="24"/>
      <c r="CW152">
        <v>1300001</v>
      </c>
      <c r="CX152">
        <v>1354499</v>
      </c>
      <c r="CY152">
        <v>1310001</v>
      </c>
      <c r="CZ152">
        <v>10855</v>
      </c>
      <c r="DA152">
        <v>45</v>
      </c>
      <c r="DC152" s="24"/>
      <c r="DD152">
        <v>433</v>
      </c>
      <c r="DE152">
        <v>438</v>
      </c>
      <c r="DF152">
        <v>437</v>
      </c>
      <c r="DG152">
        <v>44234079</v>
      </c>
      <c r="DH152">
        <v>165</v>
      </c>
      <c r="DJ152" s="24"/>
      <c r="DK152">
        <v>33510334</v>
      </c>
      <c r="DL152">
        <v>33616440</v>
      </c>
      <c r="DM152">
        <v>33513334</v>
      </c>
      <c r="DN152">
        <v>155</v>
      </c>
      <c r="DO152">
        <v>55</v>
      </c>
      <c r="DQ152" s="24"/>
      <c r="DR152">
        <v>1900000</v>
      </c>
      <c r="DS152">
        <v>2096000</v>
      </c>
      <c r="DT152">
        <v>2036001</v>
      </c>
      <c r="DU152">
        <v>4041</v>
      </c>
      <c r="DV152">
        <v>204</v>
      </c>
      <c r="DX152" s="24"/>
      <c r="DY152">
        <v>20004000</v>
      </c>
      <c r="DZ152">
        <v>21450000</v>
      </c>
      <c r="EA152">
        <v>20099999</v>
      </c>
      <c r="EB152">
        <v>471</v>
      </c>
      <c r="EC152">
        <v>119</v>
      </c>
      <c r="EE152" s="24"/>
      <c r="EF152">
        <v>152</v>
      </c>
      <c r="EG152">
        <v>153</v>
      </c>
      <c r="EH152">
        <v>153</v>
      </c>
      <c r="EI152">
        <v>71283774</v>
      </c>
      <c r="EJ152">
        <v>163</v>
      </c>
      <c r="EL152" s="24"/>
      <c r="EM152">
        <v>44171</v>
      </c>
      <c r="EN152">
        <v>44999</v>
      </c>
      <c r="EO152">
        <v>44250</v>
      </c>
      <c r="EP152">
        <v>87676</v>
      </c>
      <c r="EQ152">
        <v>649</v>
      </c>
      <c r="ES152" s="24"/>
      <c r="ET152">
        <v>353</v>
      </c>
      <c r="EU152">
        <v>374</v>
      </c>
      <c r="EV152">
        <v>373</v>
      </c>
      <c r="EW152">
        <v>36179647</v>
      </c>
      <c r="EX152">
        <v>658</v>
      </c>
      <c r="EZ152" s="24"/>
      <c r="FA152">
        <v>3582989</v>
      </c>
      <c r="FB152">
        <v>3584988</v>
      </c>
      <c r="FC152">
        <v>3584988</v>
      </c>
      <c r="FD152">
        <v>2060</v>
      </c>
      <c r="FE152">
        <v>49</v>
      </c>
      <c r="FG152" s="24"/>
      <c r="FH152">
        <v>5948</v>
      </c>
      <c r="FI152">
        <v>6149</v>
      </c>
      <c r="FJ152">
        <v>6077</v>
      </c>
      <c r="FK152">
        <v>1432912</v>
      </c>
      <c r="FL152">
        <v>404</v>
      </c>
      <c r="FN152" s="24"/>
      <c r="FO152">
        <v>20005</v>
      </c>
      <c r="FP152">
        <v>21505</v>
      </c>
      <c r="FQ152">
        <v>20505</v>
      </c>
      <c r="FR152">
        <v>334143</v>
      </c>
      <c r="FS152">
        <v>128</v>
      </c>
      <c r="FU152" s="24"/>
      <c r="FV152">
        <v>19220</v>
      </c>
      <c r="FW152">
        <v>19254</v>
      </c>
      <c r="FX152">
        <v>19252</v>
      </c>
      <c r="FY152">
        <v>339876</v>
      </c>
      <c r="FZ152">
        <v>1253</v>
      </c>
      <c r="GB152" s="24"/>
      <c r="GC152">
        <v>94520017</v>
      </c>
      <c r="GD152">
        <v>104224797</v>
      </c>
      <c r="GE152">
        <v>100532766</v>
      </c>
      <c r="GF152">
        <v>67</v>
      </c>
      <c r="GG152">
        <v>55</v>
      </c>
      <c r="GI152" s="24"/>
      <c r="GJ152">
        <v>27203000</v>
      </c>
      <c r="GK152">
        <v>28769998</v>
      </c>
      <c r="GL152">
        <v>27205001</v>
      </c>
      <c r="GM152">
        <v>288</v>
      </c>
      <c r="GN152">
        <v>72</v>
      </c>
      <c r="GP152" s="24"/>
      <c r="GQ152">
        <v>71</v>
      </c>
      <c r="GR152">
        <v>75</v>
      </c>
      <c r="GS152">
        <v>74</v>
      </c>
      <c r="GT152">
        <v>129738160</v>
      </c>
      <c r="GU152">
        <v>141</v>
      </c>
      <c r="GW152" s="24"/>
      <c r="GX152">
        <v>442</v>
      </c>
      <c r="GY152">
        <v>457</v>
      </c>
      <c r="GZ152">
        <v>449</v>
      </c>
      <c r="HA152">
        <v>47470640</v>
      </c>
      <c r="HB152">
        <v>234</v>
      </c>
      <c r="HD152" s="24"/>
      <c r="HE152">
        <v>5890</v>
      </c>
      <c r="HF152">
        <v>6005</v>
      </c>
      <c r="HG152">
        <v>6004</v>
      </c>
      <c r="HH152">
        <v>16537332</v>
      </c>
      <c r="HI152">
        <v>271</v>
      </c>
      <c r="HK152" s="24"/>
      <c r="HL152">
        <v>97512905</v>
      </c>
      <c r="HM152">
        <v>106973952</v>
      </c>
      <c r="HN152">
        <v>103434619</v>
      </c>
      <c r="HO152">
        <v>82</v>
      </c>
      <c r="HP152">
        <v>64</v>
      </c>
      <c r="HR152" s="24"/>
      <c r="HS152">
        <v>6000</v>
      </c>
      <c r="HT152">
        <v>6667</v>
      </c>
      <c r="HU152">
        <v>6358</v>
      </c>
      <c r="HV152">
        <v>588714</v>
      </c>
      <c r="HW152">
        <v>119</v>
      </c>
      <c r="HY152" s="24"/>
      <c r="HZ152">
        <v>6002</v>
      </c>
      <c r="IA152">
        <v>6339</v>
      </c>
      <c r="IB152">
        <v>6323</v>
      </c>
      <c r="IC152">
        <v>1718405</v>
      </c>
      <c r="ID152">
        <v>386</v>
      </c>
      <c r="IF152" s="24"/>
      <c r="IG152">
        <v>2874</v>
      </c>
      <c r="IH152">
        <v>2906</v>
      </c>
      <c r="II152">
        <v>2905</v>
      </c>
      <c r="IJ152">
        <v>1834285</v>
      </c>
      <c r="IK152">
        <v>171</v>
      </c>
      <c r="IM152" s="24"/>
      <c r="IN152">
        <v>98108006</v>
      </c>
      <c r="IO152">
        <v>105491990</v>
      </c>
      <c r="IP152">
        <v>98508032</v>
      </c>
      <c r="IQ152">
        <v>105</v>
      </c>
      <c r="IR152">
        <v>73</v>
      </c>
      <c r="IT152" s="24"/>
      <c r="IU152">
        <v>7700</v>
      </c>
      <c r="IV152">
        <v>8068</v>
      </c>
      <c r="IW152">
        <v>7968</v>
      </c>
      <c r="IX152">
        <v>1213146</v>
      </c>
      <c r="IY152">
        <v>162</v>
      </c>
      <c r="JA152" s="24"/>
      <c r="JB152">
        <v>90573452</v>
      </c>
      <c r="JC152">
        <v>105201989</v>
      </c>
      <c r="JD152">
        <v>98121527</v>
      </c>
      <c r="JE152">
        <v>88</v>
      </c>
      <c r="JF152">
        <v>66</v>
      </c>
      <c r="JH152" s="24"/>
      <c r="JI152">
        <v>94509003</v>
      </c>
      <c r="JJ152">
        <v>108904000</v>
      </c>
      <c r="JK152">
        <v>105263647</v>
      </c>
      <c r="JL152">
        <v>39</v>
      </c>
      <c r="JM152">
        <v>36</v>
      </c>
      <c r="JO152" s="24"/>
      <c r="JP152">
        <v>70</v>
      </c>
      <c r="JQ152">
        <v>71</v>
      </c>
      <c r="JR152">
        <v>70</v>
      </c>
      <c r="JS152">
        <v>62958454</v>
      </c>
      <c r="JT152">
        <v>83</v>
      </c>
      <c r="JV152" s="24"/>
      <c r="JW152">
        <v>63</v>
      </c>
      <c r="JX152">
        <v>65</v>
      </c>
      <c r="JY152">
        <v>65</v>
      </c>
      <c r="JZ152">
        <v>121356234</v>
      </c>
      <c r="KA152">
        <v>138</v>
      </c>
      <c r="KC152" s="24"/>
      <c r="KD152">
        <v>23</v>
      </c>
      <c r="KE152">
        <v>24</v>
      </c>
      <c r="KF152">
        <v>24</v>
      </c>
      <c r="KG152">
        <v>41953618</v>
      </c>
      <c r="KH152">
        <v>349</v>
      </c>
      <c r="KJ152" s="24"/>
      <c r="KK152">
        <v>66</v>
      </c>
      <c r="KL152">
        <v>70</v>
      </c>
      <c r="KM152">
        <v>67</v>
      </c>
      <c r="KN152">
        <v>75357236</v>
      </c>
      <c r="KO152">
        <v>103</v>
      </c>
      <c r="KQ152" s="24"/>
      <c r="KR152">
        <v>86126</v>
      </c>
      <c r="KS152">
        <v>87000</v>
      </c>
      <c r="KT152">
        <v>86150</v>
      </c>
      <c r="KU152">
        <v>63767</v>
      </c>
      <c r="KV152">
        <v>623</v>
      </c>
      <c r="KX152" s="24"/>
      <c r="KY152">
        <v>540</v>
      </c>
      <c r="KZ152">
        <v>553</v>
      </c>
      <c r="LA152">
        <v>553</v>
      </c>
      <c r="LB152">
        <v>6959633</v>
      </c>
      <c r="LC152">
        <v>192</v>
      </c>
      <c r="LE152" s="24"/>
      <c r="LF152">
        <v>186254</v>
      </c>
      <c r="LG152">
        <v>189550</v>
      </c>
      <c r="LH152">
        <v>186555</v>
      </c>
      <c r="LI152">
        <v>103862</v>
      </c>
      <c r="LJ152">
        <v>890</v>
      </c>
      <c r="LL152" s="24"/>
      <c r="LM152">
        <v>74257</v>
      </c>
      <c r="LN152">
        <v>74267</v>
      </c>
      <c r="LO152">
        <v>74266</v>
      </c>
      <c r="LP152">
        <v>342915</v>
      </c>
      <c r="LQ152">
        <v>1276</v>
      </c>
      <c r="LS152" s="24"/>
      <c r="LT152">
        <v>366</v>
      </c>
      <c r="LU152">
        <v>389</v>
      </c>
      <c r="LV152">
        <v>389</v>
      </c>
      <c r="LW152">
        <v>101386077</v>
      </c>
      <c r="LX152">
        <v>340</v>
      </c>
      <c r="LZ152" s="24"/>
      <c r="MA152">
        <v>114949</v>
      </c>
      <c r="MB152">
        <v>114951</v>
      </c>
      <c r="MC152">
        <v>114949</v>
      </c>
      <c r="MD152">
        <v>876880</v>
      </c>
      <c r="ME152">
        <v>83</v>
      </c>
    </row>
    <row r="153" spans="2:343" x14ac:dyDescent="0.25">
      <c r="B153" s="24"/>
      <c r="C153">
        <v>3</v>
      </c>
      <c r="D153">
        <v>3</v>
      </c>
      <c r="E153">
        <v>3</v>
      </c>
      <c r="F153">
        <v>33700030105</v>
      </c>
      <c r="G153">
        <v>3279</v>
      </c>
      <c r="I153" s="24"/>
      <c r="J153">
        <v>4</v>
      </c>
      <c r="K153">
        <v>4</v>
      </c>
      <c r="L153">
        <v>4</v>
      </c>
      <c r="M153">
        <v>6051391165</v>
      </c>
      <c r="N153">
        <v>2268</v>
      </c>
      <c r="P153" s="24"/>
      <c r="Q153">
        <v>28</v>
      </c>
      <c r="R153">
        <v>29</v>
      </c>
      <c r="S153">
        <v>29</v>
      </c>
      <c r="T153">
        <v>2103556122</v>
      </c>
      <c r="U153">
        <v>2204</v>
      </c>
      <c r="W153" s="24"/>
      <c r="X153">
        <v>76</v>
      </c>
      <c r="Y153">
        <v>77</v>
      </c>
      <c r="Z153">
        <v>77</v>
      </c>
      <c r="AA153">
        <v>471107488</v>
      </c>
      <c r="AB153">
        <v>1669</v>
      </c>
      <c r="AD153" s="24"/>
      <c r="AE153">
        <v>509</v>
      </c>
      <c r="AF153">
        <v>516</v>
      </c>
      <c r="AG153">
        <v>514</v>
      </c>
      <c r="AH153">
        <v>107619251</v>
      </c>
      <c r="AI153">
        <v>1816</v>
      </c>
      <c r="AK153" s="24"/>
      <c r="AL153">
        <v>841</v>
      </c>
      <c r="AM153">
        <v>886</v>
      </c>
      <c r="AN153">
        <v>860</v>
      </c>
      <c r="AO153">
        <v>56456287</v>
      </c>
      <c r="AP153">
        <v>1395</v>
      </c>
      <c r="AR153" s="24"/>
      <c r="AS153">
        <v>2384</v>
      </c>
      <c r="AT153">
        <v>2478</v>
      </c>
      <c r="AU153">
        <v>2444</v>
      </c>
      <c r="AV153">
        <v>14629275</v>
      </c>
      <c r="AW153">
        <v>1409</v>
      </c>
      <c r="AY153" s="24"/>
      <c r="AZ153">
        <v>357999741</v>
      </c>
      <c r="BA153">
        <v>367146999</v>
      </c>
      <c r="BB153">
        <v>360000000</v>
      </c>
      <c r="BC153">
        <v>2574</v>
      </c>
      <c r="BD153">
        <v>1687</v>
      </c>
      <c r="BF153" s="24"/>
      <c r="BG153">
        <v>25900</v>
      </c>
      <c r="BH153">
        <v>26440</v>
      </c>
      <c r="BI153">
        <v>25900</v>
      </c>
      <c r="BJ153">
        <v>1417841</v>
      </c>
      <c r="BK153">
        <v>201</v>
      </c>
      <c r="BM153" s="24"/>
      <c r="BN153">
        <v>6000009</v>
      </c>
      <c r="BO153">
        <v>6000010</v>
      </c>
      <c r="BP153">
        <v>6000009</v>
      </c>
      <c r="BQ153">
        <v>11639</v>
      </c>
      <c r="BR153">
        <v>318</v>
      </c>
      <c r="BT153" s="24"/>
      <c r="BU153">
        <v>2292</v>
      </c>
      <c r="BV153">
        <v>2293</v>
      </c>
      <c r="BW153">
        <v>2293</v>
      </c>
      <c r="BX153">
        <v>28620197</v>
      </c>
      <c r="BY153">
        <v>257</v>
      </c>
      <c r="CA153" s="24"/>
      <c r="CB153">
        <v>425</v>
      </c>
      <c r="CC153">
        <v>452</v>
      </c>
      <c r="CD153">
        <v>449</v>
      </c>
      <c r="CE153">
        <v>85979763</v>
      </c>
      <c r="CF153">
        <v>309</v>
      </c>
      <c r="CH153" s="24"/>
      <c r="CI153">
        <v>23250</v>
      </c>
      <c r="CJ153">
        <v>25499</v>
      </c>
      <c r="CK153">
        <v>25332</v>
      </c>
      <c r="CL153">
        <v>619821</v>
      </c>
      <c r="CM153">
        <v>165</v>
      </c>
      <c r="CO153" s="24"/>
      <c r="CP153">
        <v>8000</v>
      </c>
      <c r="CQ153">
        <v>8368</v>
      </c>
      <c r="CR153">
        <v>8149</v>
      </c>
      <c r="CS153">
        <v>1334458</v>
      </c>
      <c r="CT153">
        <v>501</v>
      </c>
      <c r="CV153" s="24"/>
      <c r="CW153">
        <v>1300001</v>
      </c>
      <c r="CX153">
        <v>1314889</v>
      </c>
      <c r="CY153">
        <v>1300002</v>
      </c>
      <c r="CZ153">
        <v>4268</v>
      </c>
      <c r="DA153">
        <v>27</v>
      </c>
      <c r="DC153" s="24"/>
      <c r="DD153">
        <v>422</v>
      </c>
      <c r="DE153">
        <v>437</v>
      </c>
      <c r="DF153">
        <v>422</v>
      </c>
      <c r="DG153">
        <v>55920772</v>
      </c>
      <c r="DH153">
        <v>208</v>
      </c>
      <c r="DJ153" s="24"/>
      <c r="DK153">
        <v>33616445</v>
      </c>
      <c r="DL153">
        <v>37869999</v>
      </c>
      <c r="DM153">
        <v>35999999</v>
      </c>
      <c r="DN153">
        <v>482</v>
      </c>
      <c r="DO153">
        <v>109</v>
      </c>
      <c r="DQ153" s="24"/>
      <c r="DR153">
        <v>1820146</v>
      </c>
      <c r="DS153">
        <v>2498999</v>
      </c>
      <c r="DT153">
        <v>2389998</v>
      </c>
      <c r="DU153">
        <v>4573</v>
      </c>
      <c r="DV153">
        <v>219</v>
      </c>
      <c r="DX153" s="24"/>
      <c r="DY153">
        <v>20043006</v>
      </c>
      <c r="DZ153">
        <v>21800000</v>
      </c>
      <c r="EA153">
        <v>20143007</v>
      </c>
      <c r="EB153">
        <v>275</v>
      </c>
      <c r="EC153">
        <v>88</v>
      </c>
      <c r="EE153" s="24"/>
      <c r="EF153">
        <v>148</v>
      </c>
      <c r="EG153">
        <v>153</v>
      </c>
      <c r="EH153">
        <v>153</v>
      </c>
      <c r="EI153">
        <v>112806727</v>
      </c>
      <c r="EJ153">
        <v>227</v>
      </c>
      <c r="EL153" s="24"/>
      <c r="EM153">
        <v>44180</v>
      </c>
      <c r="EN153">
        <v>46999</v>
      </c>
      <c r="EO153">
        <v>44186</v>
      </c>
      <c r="EP153">
        <v>74768</v>
      </c>
      <c r="EQ153">
        <v>694</v>
      </c>
      <c r="ES153" s="24"/>
      <c r="ET153">
        <v>352</v>
      </c>
      <c r="EU153">
        <v>373</v>
      </c>
      <c r="EV153">
        <v>356</v>
      </c>
      <c r="EW153">
        <v>52697802</v>
      </c>
      <c r="EX153">
        <v>703</v>
      </c>
      <c r="EZ153" s="24"/>
      <c r="FA153">
        <v>3402130</v>
      </c>
      <c r="FB153">
        <v>3450000</v>
      </c>
      <c r="FC153">
        <v>3410000</v>
      </c>
      <c r="FD153">
        <v>750</v>
      </c>
      <c r="FE153">
        <v>14</v>
      </c>
      <c r="FG153" s="24"/>
      <c r="FH153">
        <v>5795</v>
      </c>
      <c r="FI153">
        <v>6274</v>
      </c>
      <c r="FJ153">
        <v>6099</v>
      </c>
      <c r="FK153">
        <v>2158557</v>
      </c>
      <c r="FL153">
        <v>544</v>
      </c>
      <c r="FN153" s="24"/>
      <c r="FO153">
        <v>20420</v>
      </c>
      <c r="FP153">
        <v>20496</v>
      </c>
      <c r="FQ153">
        <v>20496</v>
      </c>
      <c r="FR153">
        <v>204458</v>
      </c>
      <c r="FS153">
        <v>98</v>
      </c>
      <c r="FU153" s="24"/>
      <c r="FV153">
        <v>17518</v>
      </c>
      <c r="FW153">
        <v>19131</v>
      </c>
      <c r="FX153">
        <v>17523</v>
      </c>
      <c r="FY153">
        <v>386847</v>
      </c>
      <c r="FZ153">
        <v>1286</v>
      </c>
      <c r="GB153" s="24"/>
      <c r="GC153">
        <v>94529810</v>
      </c>
      <c r="GD153">
        <v>101999898</v>
      </c>
      <c r="GE153">
        <v>94671000</v>
      </c>
      <c r="GF153">
        <v>123</v>
      </c>
      <c r="GG153">
        <v>90</v>
      </c>
      <c r="GI153" s="24"/>
      <c r="GJ153">
        <v>27205109</v>
      </c>
      <c r="GK153">
        <v>28799999</v>
      </c>
      <c r="GL153">
        <v>27206001</v>
      </c>
      <c r="GM153">
        <v>287</v>
      </c>
      <c r="GN153">
        <v>70</v>
      </c>
      <c r="GP153" s="24"/>
      <c r="GQ153">
        <v>71</v>
      </c>
      <c r="GR153">
        <v>73</v>
      </c>
      <c r="GS153">
        <v>73</v>
      </c>
      <c r="GT153">
        <v>130552519</v>
      </c>
      <c r="GU153">
        <v>159</v>
      </c>
      <c r="GW153" s="24"/>
      <c r="GX153">
        <v>432</v>
      </c>
      <c r="GY153">
        <v>453</v>
      </c>
      <c r="GZ153">
        <v>442</v>
      </c>
      <c r="HA153">
        <v>63614303</v>
      </c>
      <c r="HB153">
        <v>277</v>
      </c>
      <c r="HD153" s="24"/>
      <c r="HE153">
        <v>5913</v>
      </c>
      <c r="HF153">
        <v>6003</v>
      </c>
      <c r="HG153">
        <v>6003</v>
      </c>
      <c r="HH153">
        <v>14205866</v>
      </c>
      <c r="HI153">
        <v>257</v>
      </c>
      <c r="HK153" s="24"/>
      <c r="HL153">
        <v>97541003</v>
      </c>
      <c r="HM153">
        <v>98513701</v>
      </c>
      <c r="HN153">
        <v>97542000</v>
      </c>
      <c r="HO153">
        <v>158</v>
      </c>
      <c r="HP153">
        <v>97</v>
      </c>
      <c r="HR153" s="24"/>
      <c r="HS153">
        <v>6250</v>
      </c>
      <c r="HT153">
        <v>6768</v>
      </c>
      <c r="HU153">
        <v>6600</v>
      </c>
      <c r="HV153">
        <v>565526</v>
      </c>
      <c r="HW153">
        <v>132</v>
      </c>
      <c r="HY153" s="24"/>
      <c r="HZ153">
        <v>6002</v>
      </c>
      <c r="IA153">
        <v>6366</v>
      </c>
      <c r="IB153">
        <v>6329</v>
      </c>
      <c r="IC153">
        <v>2443991</v>
      </c>
      <c r="ID153">
        <v>489</v>
      </c>
      <c r="IF153" s="24"/>
      <c r="IG153">
        <v>2826</v>
      </c>
      <c r="IH153">
        <v>2905</v>
      </c>
      <c r="II153">
        <v>2905</v>
      </c>
      <c r="IJ153">
        <v>1583623</v>
      </c>
      <c r="IK153">
        <v>152</v>
      </c>
      <c r="IM153" s="24"/>
      <c r="IN153">
        <v>95304605</v>
      </c>
      <c r="IO153">
        <v>104997984</v>
      </c>
      <c r="IP153">
        <v>98107001</v>
      </c>
      <c r="IQ153">
        <v>145</v>
      </c>
      <c r="IR153">
        <v>84</v>
      </c>
      <c r="IT153" s="24"/>
      <c r="IU153">
        <v>7602</v>
      </c>
      <c r="IV153">
        <v>7965</v>
      </c>
      <c r="IW153">
        <v>7750</v>
      </c>
      <c r="IX153">
        <v>1421277</v>
      </c>
      <c r="IY153">
        <v>166</v>
      </c>
      <c r="JA153" s="24"/>
      <c r="JB153">
        <v>90706015</v>
      </c>
      <c r="JC153">
        <v>99999999</v>
      </c>
      <c r="JD153">
        <v>92000009</v>
      </c>
      <c r="JE153">
        <v>114</v>
      </c>
      <c r="JF153">
        <v>78</v>
      </c>
      <c r="JH153" s="24"/>
      <c r="JI153">
        <v>96633101</v>
      </c>
      <c r="JJ153">
        <v>108901494</v>
      </c>
      <c r="JK153">
        <v>99880934</v>
      </c>
      <c r="JL153">
        <v>68</v>
      </c>
      <c r="JM153">
        <v>51</v>
      </c>
      <c r="JO153" s="24"/>
      <c r="JP153">
        <v>68</v>
      </c>
      <c r="JQ153">
        <v>74</v>
      </c>
      <c r="JR153">
        <v>74</v>
      </c>
      <c r="JS153">
        <v>118581197</v>
      </c>
      <c r="JT153">
        <v>95</v>
      </c>
      <c r="JV153" s="24"/>
      <c r="JW153">
        <v>63</v>
      </c>
      <c r="JX153">
        <v>67</v>
      </c>
      <c r="JY153">
        <v>67</v>
      </c>
      <c r="JZ153">
        <v>123150445</v>
      </c>
      <c r="KA153">
        <v>150</v>
      </c>
      <c r="KC153" s="24"/>
      <c r="KD153">
        <v>23</v>
      </c>
      <c r="KE153">
        <v>26</v>
      </c>
      <c r="KF153">
        <v>26</v>
      </c>
      <c r="KG153">
        <v>46855424</v>
      </c>
      <c r="KH153">
        <v>325</v>
      </c>
      <c r="KJ153" s="24"/>
      <c r="KK153">
        <v>65</v>
      </c>
      <c r="KL153">
        <v>69</v>
      </c>
      <c r="KM153">
        <v>66</v>
      </c>
      <c r="KN153">
        <v>187451876</v>
      </c>
      <c r="KO153">
        <v>168</v>
      </c>
      <c r="KQ153" s="24"/>
      <c r="KR153">
        <v>86105</v>
      </c>
      <c r="KS153">
        <v>86150</v>
      </c>
      <c r="KT153">
        <v>86150</v>
      </c>
      <c r="KU153">
        <v>66193</v>
      </c>
      <c r="KV153">
        <v>620</v>
      </c>
      <c r="KX153" s="24"/>
      <c r="KY153">
        <v>553</v>
      </c>
      <c r="KZ153">
        <v>553</v>
      </c>
      <c r="LA153">
        <v>553</v>
      </c>
      <c r="LB153">
        <v>6872162</v>
      </c>
      <c r="LC153">
        <v>206</v>
      </c>
      <c r="LE153" s="24"/>
      <c r="LF153">
        <v>186253</v>
      </c>
      <c r="LG153">
        <v>188010</v>
      </c>
      <c r="LH153">
        <v>187500</v>
      </c>
      <c r="LI153">
        <v>193996</v>
      </c>
      <c r="LJ153">
        <v>948</v>
      </c>
      <c r="LL153" s="24"/>
      <c r="LM153">
        <v>70668</v>
      </c>
      <c r="LN153">
        <v>74079</v>
      </c>
      <c r="LO153">
        <v>71001</v>
      </c>
      <c r="LP153">
        <v>398157</v>
      </c>
      <c r="LQ153">
        <v>1301</v>
      </c>
      <c r="LS153" s="24"/>
      <c r="LT153">
        <v>384</v>
      </c>
      <c r="LU153">
        <v>386</v>
      </c>
      <c r="LV153">
        <v>385</v>
      </c>
      <c r="LW153">
        <v>87495350</v>
      </c>
      <c r="LX153">
        <v>422</v>
      </c>
      <c r="LZ153" s="24"/>
      <c r="MA153">
        <v>114951</v>
      </c>
      <c r="MB153">
        <v>116898</v>
      </c>
      <c r="MC153">
        <v>115002</v>
      </c>
      <c r="MD153">
        <v>743083</v>
      </c>
      <c r="ME153">
        <v>83</v>
      </c>
    </row>
    <row r="154" spans="2:343" x14ac:dyDescent="0.25">
      <c r="B154" s="24"/>
      <c r="C154">
        <v>3</v>
      </c>
      <c r="D154">
        <v>3</v>
      </c>
      <c r="E154">
        <v>3</v>
      </c>
      <c r="F154">
        <v>36202054578</v>
      </c>
      <c r="G154">
        <v>3192</v>
      </c>
      <c r="I154" s="24"/>
      <c r="J154">
        <v>4</v>
      </c>
      <c r="K154">
        <v>4</v>
      </c>
      <c r="L154">
        <v>4</v>
      </c>
      <c r="M154">
        <v>4130678632</v>
      </c>
      <c r="N154">
        <v>2215</v>
      </c>
      <c r="P154" s="24"/>
      <c r="Q154">
        <v>28</v>
      </c>
      <c r="R154">
        <v>29</v>
      </c>
      <c r="S154">
        <v>28</v>
      </c>
      <c r="T154">
        <v>2033509130</v>
      </c>
      <c r="U154">
        <v>2013</v>
      </c>
      <c r="W154" s="24"/>
      <c r="X154">
        <v>75</v>
      </c>
      <c r="Y154">
        <v>76</v>
      </c>
      <c r="Z154">
        <v>76</v>
      </c>
      <c r="AA154">
        <v>302033286</v>
      </c>
      <c r="AB154">
        <v>1546</v>
      </c>
      <c r="AD154" s="24"/>
      <c r="AE154">
        <v>505</v>
      </c>
      <c r="AF154">
        <v>525</v>
      </c>
      <c r="AG154">
        <v>510</v>
      </c>
      <c r="AH154">
        <v>71830125</v>
      </c>
      <c r="AI154">
        <v>1676</v>
      </c>
      <c r="AK154" s="24"/>
      <c r="AL154">
        <v>865</v>
      </c>
      <c r="AM154">
        <v>884</v>
      </c>
      <c r="AN154">
        <v>880</v>
      </c>
      <c r="AO154">
        <v>42198342</v>
      </c>
      <c r="AP154">
        <v>1345</v>
      </c>
      <c r="AR154" s="24"/>
      <c r="AS154">
        <v>2402</v>
      </c>
      <c r="AT154">
        <v>2483</v>
      </c>
      <c r="AU154">
        <v>2425</v>
      </c>
      <c r="AV154">
        <v>13674101</v>
      </c>
      <c r="AW154">
        <v>1303</v>
      </c>
      <c r="AY154" s="24"/>
      <c r="AZ154">
        <v>360106000</v>
      </c>
      <c r="BA154">
        <v>368200002</v>
      </c>
      <c r="BB154">
        <v>366599925</v>
      </c>
      <c r="BC154">
        <v>2207</v>
      </c>
      <c r="BD154">
        <v>1579</v>
      </c>
      <c r="BF154" s="24"/>
      <c r="BG154">
        <v>26006</v>
      </c>
      <c r="BH154">
        <v>27000</v>
      </c>
      <c r="BI154">
        <v>26010</v>
      </c>
      <c r="BJ154">
        <v>1511390</v>
      </c>
      <c r="BK154">
        <v>212</v>
      </c>
      <c r="BM154" s="24"/>
      <c r="BN154">
        <v>5911054</v>
      </c>
      <c r="BO154">
        <v>6053002</v>
      </c>
      <c r="BP154">
        <v>6000000</v>
      </c>
      <c r="BQ154">
        <v>9056</v>
      </c>
      <c r="BR154">
        <v>288</v>
      </c>
      <c r="BT154" s="24"/>
      <c r="BU154">
        <v>2298</v>
      </c>
      <c r="BV154">
        <v>2333</v>
      </c>
      <c r="BW154">
        <v>2299</v>
      </c>
      <c r="BX154">
        <v>16205622</v>
      </c>
      <c r="BY154">
        <v>211</v>
      </c>
      <c r="CA154" s="24"/>
      <c r="CB154">
        <v>449</v>
      </c>
      <c r="CC154">
        <v>449</v>
      </c>
      <c r="CD154">
        <v>449</v>
      </c>
      <c r="CE154">
        <v>70287299</v>
      </c>
      <c r="CF154">
        <v>315</v>
      </c>
      <c r="CH154" s="24"/>
      <c r="CI154">
        <v>24436</v>
      </c>
      <c r="CJ154">
        <v>24436</v>
      </c>
      <c r="CK154">
        <v>24436</v>
      </c>
      <c r="CL154">
        <v>2363911</v>
      </c>
      <c r="CM154">
        <v>195</v>
      </c>
      <c r="CO154" s="24"/>
      <c r="CP154">
        <v>7700</v>
      </c>
      <c r="CQ154">
        <v>8156</v>
      </c>
      <c r="CR154">
        <v>7995</v>
      </c>
      <c r="CS154">
        <v>1219787</v>
      </c>
      <c r="CT154">
        <v>413</v>
      </c>
      <c r="CV154" s="24"/>
      <c r="CW154">
        <v>1305000</v>
      </c>
      <c r="CX154">
        <v>1314887</v>
      </c>
      <c r="CY154">
        <v>1314800</v>
      </c>
      <c r="CZ154">
        <v>11183</v>
      </c>
      <c r="DA154">
        <v>38</v>
      </c>
      <c r="DC154" s="24"/>
      <c r="DD154">
        <v>412</v>
      </c>
      <c r="DE154">
        <v>437</v>
      </c>
      <c r="DF154">
        <v>436</v>
      </c>
      <c r="DG154">
        <v>49746084</v>
      </c>
      <c r="DH154">
        <v>193</v>
      </c>
      <c r="DJ154" s="24"/>
      <c r="DK154">
        <v>33618101</v>
      </c>
      <c r="DL154">
        <v>33627206</v>
      </c>
      <c r="DM154">
        <v>33627103</v>
      </c>
      <c r="DN154">
        <v>401</v>
      </c>
      <c r="DO154">
        <v>85</v>
      </c>
      <c r="DQ154" s="24"/>
      <c r="DR154">
        <v>1928115</v>
      </c>
      <c r="DS154">
        <v>1950000</v>
      </c>
      <c r="DT154">
        <v>1928121</v>
      </c>
      <c r="DU154">
        <v>6589</v>
      </c>
      <c r="DV154">
        <v>251</v>
      </c>
      <c r="DX154" s="24"/>
      <c r="DY154">
        <v>20170000</v>
      </c>
      <c r="DZ154">
        <v>21809993</v>
      </c>
      <c r="EA154">
        <v>20170102</v>
      </c>
      <c r="EB154">
        <v>640</v>
      </c>
      <c r="EC154">
        <v>121</v>
      </c>
      <c r="EE154" s="24"/>
      <c r="EF154">
        <v>148</v>
      </c>
      <c r="EG154">
        <v>153</v>
      </c>
      <c r="EH154">
        <v>148</v>
      </c>
      <c r="EI154">
        <v>107545982</v>
      </c>
      <c r="EJ154">
        <v>184</v>
      </c>
      <c r="EL154" s="24"/>
      <c r="EM154">
        <v>45000</v>
      </c>
      <c r="EN154">
        <v>45004</v>
      </c>
      <c r="EO154">
        <v>45001</v>
      </c>
      <c r="EP154">
        <v>77280</v>
      </c>
      <c r="EQ154">
        <v>680</v>
      </c>
      <c r="ES154" s="24"/>
      <c r="ET154">
        <v>342</v>
      </c>
      <c r="EU154">
        <v>373</v>
      </c>
      <c r="EV154">
        <v>344</v>
      </c>
      <c r="EW154">
        <v>80566112</v>
      </c>
      <c r="EX154">
        <v>719</v>
      </c>
      <c r="EZ154" s="24"/>
      <c r="FA154">
        <v>3269999</v>
      </c>
      <c r="FB154">
        <v>3439799</v>
      </c>
      <c r="FC154">
        <v>3439799</v>
      </c>
      <c r="FD154">
        <v>1573</v>
      </c>
      <c r="FE154">
        <v>26</v>
      </c>
      <c r="FG154" s="24"/>
      <c r="FH154">
        <v>5795</v>
      </c>
      <c r="FI154">
        <v>6099</v>
      </c>
      <c r="FJ154">
        <v>6098</v>
      </c>
      <c r="FK154">
        <v>1802085</v>
      </c>
      <c r="FL154">
        <v>397</v>
      </c>
      <c r="FN154" s="24"/>
      <c r="FO154">
        <v>20008</v>
      </c>
      <c r="FP154">
        <v>20416</v>
      </c>
      <c r="FQ154">
        <v>20415</v>
      </c>
      <c r="FR154">
        <v>196679</v>
      </c>
      <c r="FS154">
        <v>99</v>
      </c>
      <c r="FU154" s="24"/>
      <c r="FV154">
        <v>18002</v>
      </c>
      <c r="FW154">
        <v>18700</v>
      </c>
      <c r="FX154">
        <v>18040</v>
      </c>
      <c r="FY154">
        <v>365824</v>
      </c>
      <c r="FZ154">
        <v>1204</v>
      </c>
      <c r="GB154" s="24"/>
      <c r="GC154">
        <v>91001000</v>
      </c>
      <c r="GD154">
        <v>101302000</v>
      </c>
      <c r="GE154">
        <v>94729000</v>
      </c>
      <c r="GF154">
        <v>172</v>
      </c>
      <c r="GG154">
        <v>99</v>
      </c>
      <c r="GI154" s="24"/>
      <c r="GJ154">
        <v>27206001</v>
      </c>
      <c r="GK154">
        <v>27207000</v>
      </c>
      <c r="GL154">
        <v>27206001</v>
      </c>
      <c r="GM154">
        <v>372</v>
      </c>
      <c r="GN154">
        <v>89</v>
      </c>
      <c r="GP154" s="24"/>
      <c r="GQ154">
        <v>72</v>
      </c>
      <c r="GR154">
        <v>73</v>
      </c>
      <c r="GS154">
        <v>73</v>
      </c>
      <c r="GT154">
        <v>157458375</v>
      </c>
      <c r="GU154">
        <v>122</v>
      </c>
      <c r="GW154" s="24"/>
      <c r="GX154">
        <v>422</v>
      </c>
      <c r="GY154">
        <v>430</v>
      </c>
      <c r="GZ154">
        <v>429</v>
      </c>
      <c r="HA154">
        <v>67722762</v>
      </c>
      <c r="HB154">
        <v>251</v>
      </c>
      <c r="HD154" s="24"/>
      <c r="HE154">
        <v>5913</v>
      </c>
      <c r="HF154">
        <v>6001</v>
      </c>
      <c r="HG154">
        <v>5916</v>
      </c>
      <c r="HH154">
        <v>17479380</v>
      </c>
      <c r="HI154">
        <v>300</v>
      </c>
      <c r="HK154" s="24"/>
      <c r="HL154">
        <v>96208008</v>
      </c>
      <c r="HM154">
        <v>107184999</v>
      </c>
      <c r="HN154">
        <v>98388701</v>
      </c>
      <c r="HO154">
        <v>181</v>
      </c>
      <c r="HP154">
        <v>97</v>
      </c>
      <c r="HR154" s="24"/>
      <c r="HS154">
        <v>6253</v>
      </c>
      <c r="HT154">
        <v>6633</v>
      </c>
      <c r="HU154">
        <v>6254</v>
      </c>
      <c r="HV154">
        <v>1107567</v>
      </c>
      <c r="HW154">
        <v>148</v>
      </c>
      <c r="HY154" s="24"/>
      <c r="HZ154">
        <v>6010</v>
      </c>
      <c r="IA154">
        <v>6389</v>
      </c>
      <c r="IB154">
        <v>6299</v>
      </c>
      <c r="IC154">
        <v>1990895</v>
      </c>
      <c r="ID154">
        <v>409</v>
      </c>
      <c r="IF154" s="24"/>
      <c r="IG154">
        <v>2905</v>
      </c>
      <c r="IH154">
        <v>2905</v>
      </c>
      <c r="II154">
        <v>2905</v>
      </c>
      <c r="IJ154">
        <v>1849701</v>
      </c>
      <c r="IK154">
        <v>153</v>
      </c>
      <c r="IM154" s="24"/>
      <c r="IN154">
        <v>96447000</v>
      </c>
      <c r="IO154">
        <v>104997000</v>
      </c>
      <c r="IP154">
        <v>100487025</v>
      </c>
      <c r="IQ154">
        <v>90</v>
      </c>
      <c r="IR154">
        <v>71</v>
      </c>
      <c r="IT154" s="24"/>
      <c r="IU154">
        <v>7927</v>
      </c>
      <c r="IV154">
        <v>7944</v>
      </c>
      <c r="IW154">
        <v>7928</v>
      </c>
      <c r="IX154">
        <v>813181</v>
      </c>
      <c r="IY154">
        <v>141</v>
      </c>
      <c r="JA154" s="24"/>
      <c r="JB154">
        <v>96000000</v>
      </c>
      <c r="JC154">
        <v>99999999</v>
      </c>
      <c r="JD154">
        <v>96350000</v>
      </c>
      <c r="JE154">
        <v>114</v>
      </c>
      <c r="JF154">
        <v>74</v>
      </c>
      <c r="JH154" s="24"/>
      <c r="JI154">
        <v>94511000</v>
      </c>
      <c r="JJ154">
        <v>108693999</v>
      </c>
      <c r="JK154">
        <v>99619512</v>
      </c>
      <c r="JL154">
        <v>89</v>
      </c>
      <c r="JM154">
        <v>55</v>
      </c>
      <c r="JO154" s="24"/>
      <c r="JP154">
        <v>69</v>
      </c>
      <c r="JQ154">
        <v>73</v>
      </c>
      <c r="JR154">
        <v>73</v>
      </c>
      <c r="JS154">
        <v>89009909</v>
      </c>
      <c r="JT154">
        <v>93</v>
      </c>
      <c r="JV154" s="24"/>
      <c r="JW154">
        <v>64</v>
      </c>
      <c r="JX154">
        <v>67</v>
      </c>
      <c r="JY154">
        <v>67</v>
      </c>
      <c r="JZ154">
        <v>95720758</v>
      </c>
      <c r="KA154">
        <v>84</v>
      </c>
      <c r="KC154" s="24"/>
      <c r="KD154">
        <v>23</v>
      </c>
      <c r="KE154">
        <v>26</v>
      </c>
      <c r="KF154">
        <v>25</v>
      </c>
      <c r="KG154">
        <v>62284594</v>
      </c>
      <c r="KH154">
        <v>320</v>
      </c>
      <c r="KJ154" s="24"/>
      <c r="KK154">
        <v>65</v>
      </c>
      <c r="KL154">
        <v>66</v>
      </c>
      <c r="KM154">
        <v>65</v>
      </c>
      <c r="KN154">
        <v>153874409</v>
      </c>
      <c r="KO154">
        <v>122</v>
      </c>
      <c r="KQ154" s="24"/>
      <c r="KR154">
        <v>85001</v>
      </c>
      <c r="KS154">
        <v>85005</v>
      </c>
      <c r="KT154">
        <v>85004</v>
      </c>
      <c r="KU154">
        <v>94807</v>
      </c>
      <c r="KV154">
        <v>676</v>
      </c>
      <c r="KX154" s="24"/>
      <c r="KY154">
        <v>549</v>
      </c>
      <c r="KZ154">
        <v>549</v>
      </c>
      <c r="LA154">
        <v>549</v>
      </c>
      <c r="LB154">
        <v>5110809</v>
      </c>
      <c r="LC154">
        <v>189</v>
      </c>
      <c r="LE154" s="24"/>
      <c r="LF154">
        <v>185550</v>
      </c>
      <c r="LG154">
        <v>190898</v>
      </c>
      <c r="LH154">
        <v>185610</v>
      </c>
      <c r="LI154">
        <v>156227</v>
      </c>
      <c r="LJ154">
        <v>925</v>
      </c>
      <c r="LL154" s="24"/>
      <c r="LM154">
        <v>71543</v>
      </c>
      <c r="LN154">
        <v>72597</v>
      </c>
      <c r="LO154">
        <v>71600</v>
      </c>
      <c r="LP154">
        <v>481794</v>
      </c>
      <c r="LQ154">
        <v>1283</v>
      </c>
      <c r="LS154" s="24"/>
      <c r="LT154">
        <v>386</v>
      </c>
      <c r="LU154">
        <v>399</v>
      </c>
      <c r="LV154">
        <v>399</v>
      </c>
      <c r="LW154">
        <v>93765142</v>
      </c>
      <c r="LX154">
        <v>381</v>
      </c>
      <c r="LZ154" s="24"/>
      <c r="MA154">
        <v>111550</v>
      </c>
      <c r="MB154">
        <v>115725</v>
      </c>
      <c r="MC154">
        <v>113588</v>
      </c>
      <c r="MD154">
        <v>1633789</v>
      </c>
      <c r="ME154">
        <v>145</v>
      </c>
    </row>
    <row r="155" spans="2:343" x14ac:dyDescent="0.25">
      <c r="B155" s="24"/>
      <c r="C155">
        <v>3</v>
      </c>
      <c r="D155">
        <v>3</v>
      </c>
      <c r="E155">
        <v>3</v>
      </c>
      <c r="F155">
        <v>24067278537</v>
      </c>
      <c r="G155">
        <v>2747</v>
      </c>
      <c r="I155" s="24"/>
      <c r="J155">
        <v>4</v>
      </c>
      <c r="K155">
        <v>4</v>
      </c>
      <c r="L155">
        <v>4</v>
      </c>
      <c r="M155">
        <v>5986886454</v>
      </c>
      <c r="N155">
        <v>1970</v>
      </c>
      <c r="P155" s="24"/>
      <c r="Q155">
        <v>28</v>
      </c>
      <c r="R155">
        <v>28</v>
      </c>
      <c r="S155">
        <v>28</v>
      </c>
      <c r="T155">
        <v>1261899612</v>
      </c>
      <c r="U155">
        <v>1708</v>
      </c>
      <c r="W155" s="24"/>
      <c r="X155">
        <v>74</v>
      </c>
      <c r="Y155">
        <v>76</v>
      </c>
      <c r="Z155">
        <v>76</v>
      </c>
      <c r="AA155">
        <v>257753469</v>
      </c>
      <c r="AB155">
        <v>1350</v>
      </c>
      <c r="AD155" s="24"/>
      <c r="AE155">
        <v>501</v>
      </c>
      <c r="AF155">
        <v>518</v>
      </c>
      <c r="AG155">
        <v>503</v>
      </c>
      <c r="AH155">
        <v>75075236</v>
      </c>
      <c r="AI155">
        <v>1421</v>
      </c>
      <c r="AK155" s="24"/>
      <c r="AL155">
        <v>867</v>
      </c>
      <c r="AM155">
        <v>884</v>
      </c>
      <c r="AN155">
        <v>883</v>
      </c>
      <c r="AO155">
        <v>37279814</v>
      </c>
      <c r="AP155">
        <v>1124</v>
      </c>
      <c r="AR155" s="24"/>
      <c r="AS155">
        <v>2300</v>
      </c>
      <c r="AT155">
        <v>2439</v>
      </c>
      <c r="AU155">
        <v>2401</v>
      </c>
      <c r="AV155">
        <v>13526806</v>
      </c>
      <c r="AW155">
        <v>1138</v>
      </c>
      <c r="AY155" s="24"/>
      <c r="AZ155">
        <v>363250000</v>
      </c>
      <c r="BA155">
        <v>369899999</v>
      </c>
      <c r="BB155">
        <v>367400000</v>
      </c>
      <c r="BC155">
        <v>2330</v>
      </c>
      <c r="BD155">
        <v>1616</v>
      </c>
      <c r="BF155" s="24"/>
      <c r="BG155">
        <v>26010</v>
      </c>
      <c r="BH155">
        <v>26010</v>
      </c>
      <c r="BI155">
        <v>26010</v>
      </c>
      <c r="BJ155">
        <v>2590616</v>
      </c>
      <c r="BK155">
        <v>198</v>
      </c>
      <c r="BM155" s="24"/>
      <c r="BN155">
        <v>6054001</v>
      </c>
      <c r="BO155">
        <v>6100000</v>
      </c>
      <c r="BP155">
        <v>6054002</v>
      </c>
      <c r="BQ155">
        <v>9051</v>
      </c>
      <c r="BR155">
        <v>285</v>
      </c>
      <c r="BT155" s="24"/>
      <c r="BU155">
        <v>2297</v>
      </c>
      <c r="BV155">
        <v>2367</v>
      </c>
      <c r="BW155">
        <v>2367</v>
      </c>
      <c r="BX155">
        <v>19414689</v>
      </c>
      <c r="BY155">
        <v>203</v>
      </c>
      <c r="CA155" s="24"/>
      <c r="CB155">
        <v>422</v>
      </c>
      <c r="CC155">
        <v>448</v>
      </c>
      <c r="CD155">
        <v>444</v>
      </c>
      <c r="CE155">
        <v>74995156</v>
      </c>
      <c r="CF155">
        <v>262</v>
      </c>
      <c r="CH155" s="24"/>
      <c r="CI155">
        <v>24437</v>
      </c>
      <c r="CJ155">
        <v>24438</v>
      </c>
      <c r="CK155">
        <v>24438</v>
      </c>
      <c r="CL155">
        <v>1996345</v>
      </c>
      <c r="CM155">
        <v>205</v>
      </c>
      <c r="CO155" s="24"/>
      <c r="CP155">
        <v>7454</v>
      </c>
      <c r="CQ155">
        <v>7899</v>
      </c>
      <c r="CR155">
        <v>7554</v>
      </c>
      <c r="CS155">
        <v>1053324</v>
      </c>
      <c r="CT155">
        <v>364</v>
      </c>
      <c r="CV155" s="24"/>
      <c r="CW155">
        <v>1314799</v>
      </c>
      <c r="CX155">
        <v>1314799</v>
      </c>
      <c r="CY155">
        <v>1314799</v>
      </c>
      <c r="CZ155">
        <v>7190</v>
      </c>
      <c r="DA155">
        <v>40</v>
      </c>
      <c r="DC155" s="24"/>
      <c r="DD155">
        <v>414</v>
      </c>
      <c r="DE155">
        <v>434</v>
      </c>
      <c r="DF155">
        <v>431</v>
      </c>
      <c r="DG155">
        <v>47481744</v>
      </c>
      <c r="DH155">
        <v>205</v>
      </c>
      <c r="DJ155" s="24"/>
      <c r="DK155">
        <v>33628302</v>
      </c>
      <c r="DL155">
        <v>35449999</v>
      </c>
      <c r="DM155">
        <v>33629311</v>
      </c>
      <c r="DN155">
        <v>149</v>
      </c>
      <c r="DO155">
        <v>56</v>
      </c>
      <c r="DQ155" s="24"/>
      <c r="DR155">
        <v>1858005</v>
      </c>
      <c r="DS155">
        <v>2124999</v>
      </c>
      <c r="DT155">
        <v>2000000</v>
      </c>
      <c r="DU155">
        <v>4312</v>
      </c>
      <c r="DV155">
        <v>178</v>
      </c>
      <c r="DX155" s="24"/>
      <c r="DY155">
        <v>20170009</v>
      </c>
      <c r="DZ155">
        <v>22000000</v>
      </c>
      <c r="EA155">
        <v>20170010</v>
      </c>
      <c r="EB155">
        <v>341</v>
      </c>
      <c r="EC155">
        <v>93</v>
      </c>
      <c r="EE155" s="24"/>
      <c r="EF155">
        <v>143</v>
      </c>
      <c r="EG155">
        <v>154</v>
      </c>
      <c r="EH155">
        <v>153</v>
      </c>
      <c r="EI155">
        <v>70698648</v>
      </c>
      <c r="EJ155">
        <v>165</v>
      </c>
      <c r="EL155" s="24"/>
      <c r="EM155">
        <v>45001</v>
      </c>
      <c r="EN155">
        <v>45118</v>
      </c>
      <c r="EO155">
        <v>45100</v>
      </c>
      <c r="EP155">
        <v>62282</v>
      </c>
      <c r="EQ155">
        <v>633</v>
      </c>
      <c r="ES155" s="24"/>
      <c r="ET155">
        <v>350</v>
      </c>
      <c r="EU155">
        <v>365</v>
      </c>
      <c r="EV155">
        <v>359</v>
      </c>
      <c r="EW155">
        <v>54142202</v>
      </c>
      <c r="EX155">
        <v>660</v>
      </c>
      <c r="EZ155" s="24"/>
      <c r="FA155">
        <v>3268001</v>
      </c>
      <c r="FB155">
        <v>3439698</v>
      </c>
      <c r="FC155">
        <v>3270001</v>
      </c>
      <c r="FD155">
        <v>1502</v>
      </c>
      <c r="FE155">
        <v>21</v>
      </c>
      <c r="FG155" s="24"/>
      <c r="FH155">
        <v>5802</v>
      </c>
      <c r="FI155">
        <v>6199</v>
      </c>
      <c r="FJ155">
        <v>6099</v>
      </c>
      <c r="FK155">
        <v>1414564</v>
      </c>
      <c r="FL155">
        <v>361</v>
      </c>
      <c r="FN155" s="24"/>
      <c r="FO155">
        <v>20009</v>
      </c>
      <c r="FP155">
        <v>20397</v>
      </c>
      <c r="FQ155">
        <v>20397</v>
      </c>
      <c r="FR155">
        <v>165623</v>
      </c>
      <c r="FS155">
        <v>79</v>
      </c>
      <c r="FU155" s="24"/>
      <c r="FV155">
        <v>18027</v>
      </c>
      <c r="FW155">
        <v>18100</v>
      </c>
      <c r="FX155">
        <v>18038</v>
      </c>
      <c r="FY155">
        <v>337756</v>
      </c>
      <c r="FZ155">
        <v>1150</v>
      </c>
      <c r="GB155" s="24"/>
      <c r="GC155">
        <v>85216001</v>
      </c>
      <c r="GD155">
        <v>104162958</v>
      </c>
      <c r="GE155">
        <v>94020003</v>
      </c>
      <c r="GF155">
        <v>122</v>
      </c>
      <c r="GG155">
        <v>71</v>
      </c>
      <c r="GI155" s="24"/>
      <c r="GJ155">
        <v>27206001</v>
      </c>
      <c r="GK155">
        <v>27206007</v>
      </c>
      <c r="GL155">
        <v>27206002</v>
      </c>
      <c r="GM155">
        <v>249</v>
      </c>
      <c r="GN155">
        <v>58</v>
      </c>
      <c r="GP155" s="24"/>
      <c r="GQ155">
        <v>73</v>
      </c>
      <c r="GR155">
        <v>74</v>
      </c>
      <c r="GS155">
        <v>74</v>
      </c>
      <c r="GT155">
        <v>91171625</v>
      </c>
      <c r="GU155">
        <v>109</v>
      </c>
      <c r="GW155" s="24"/>
      <c r="GX155">
        <v>429</v>
      </c>
      <c r="GY155">
        <v>436</v>
      </c>
      <c r="GZ155">
        <v>429</v>
      </c>
      <c r="HA155">
        <v>58650603</v>
      </c>
      <c r="HB155">
        <v>240</v>
      </c>
      <c r="HD155" s="24"/>
      <c r="HE155">
        <v>5899</v>
      </c>
      <c r="HF155">
        <v>5979</v>
      </c>
      <c r="HG155">
        <v>5909</v>
      </c>
      <c r="HH155">
        <v>10836919</v>
      </c>
      <c r="HI155">
        <v>217</v>
      </c>
      <c r="HK155" s="24"/>
      <c r="HL155">
        <v>91356134</v>
      </c>
      <c r="HM155">
        <v>104214310</v>
      </c>
      <c r="HN155">
        <v>91364200</v>
      </c>
      <c r="HO155">
        <v>121</v>
      </c>
      <c r="HP155">
        <v>74</v>
      </c>
      <c r="HR155" s="24"/>
      <c r="HS155">
        <v>6276</v>
      </c>
      <c r="HT155">
        <v>6850</v>
      </c>
      <c r="HU155">
        <v>6666</v>
      </c>
      <c r="HV155">
        <v>546392</v>
      </c>
      <c r="HW155">
        <v>139</v>
      </c>
      <c r="HY155" s="24"/>
      <c r="HZ155">
        <v>5800</v>
      </c>
      <c r="IA155">
        <v>6291</v>
      </c>
      <c r="IB155">
        <v>6010</v>
      </c>
      <c r="IC155">
        <v>1782991</v>
      </c>
      <c r="ID155">
        <v>382</v>
      </c>
      <c r="IF155" s="24"/>
      <c r="IG155">
        <v>2815</v>
      </c>
      <c r="IH155">
        <v>2905</v>
      </c>
      <c r="II155">
        <v>2905</v>
      </c>
      <c r="IJ155">
        <v>1964965</v>
      </c>
      <c r="IK155">
        <v>159</v>
      </c>
      <c r="IM155" s="24"/>
      <c r="IN155">
        <v>96502002</v>
      </c>
      <c r="IO155">
        <v>104991999</v>
      </c>
      <c r="IP155">
        <v>103129968</v>
      </c>
      <c r="IQ155">
        <v>66</v>
      </c>
      <c r="IR155">
        <v>57</v>
      </c>
      <c r="IT155" s="24"/>
      <c r="IU155">
        <v>7623</v>
      </c>
      <c r="IV155">
        <v>7926</v>
      </c>
      <c r="IW155">
        <v>7925</v>
      </c>
      <c r="IX155">
        <v>959290</v>
      </c>
      <c r="IY155">
        <v>146</v>
      </c>
      <c r="JA155" s="24"/>
      <c r="JB155">
        <v>92747028</v>
      </c>
      <c r="JC155">
        <v>104193999</v>
      </c>
      <c r="JD155">
        <v>100314555</v>
      </c>
      <c r="JE155">
        <v>53</v>
      </c>
      <c r="JF155">
        <v>45</v>
      </c>
      <c r="JH155" s="24"/>
      <c r="JI155">
        <v>90115001</v>
      </c>
      <c r="JJ155">
        <v>108653997</v>
      </c>
      <c r="JK155">
        <v>102286687</v>
      </c>
      <c r="JL155">
        <v>26</v>
      </c>
      <c r="JM155">
        <v>23</v>
      </c>
      <c r="JO155" s="24"/>
      <c r="JP155">
        <v>70</v>
      </c>
      <c r="JQ155">
        <v>73</v>
      </c>
      <c r="JR155">
        <v>73</v>
      </c>
      <c r="JS155">
        <v>128690752</v>
      </c>
      <c r="JT155">
        <v>105</v>
      </c>
      <c r="JV155" s="24"/>
      <c r="JW155">
        <v>65</v>
      </c>
      <c r="JX155">
        <v>67</v>
      </c>
      <c r="JY155">
        <v>67</v>
      </c>
      <c r="JZ155">
        <v>75973670</v>
      </c>
      <c r="KA155">
        <v>90</v>
      </c>
      <c r="KC155" s="24"/>
      <c r="KD155">
        <v>23</v>
      </c>
      <c r="KE155">
        <v>23</v>
      </c>
      <c r="KF155">
        <v>23</v>
      </c>
      <c r="KG155">
        <v>121902931</v>
      </c>
      <c r="KH155">
        <v>318</v>
      </c>
      <c r="KJ155" s="24"/>
      <c r="KK155">
        <v>62</v>
      </c>
      <c r="KL155">
        <v>66</v>
      </c>
      <c r="KM155">
        <v>66</v>
      </c>
      <c r="KN155">
        <v>85973394</v>
      </c>
      <c r="KO155">
        <v>91</v>
      </c>
      <c r="KQ155" s="24"/>
      <c r="KR155">
        <v>84528</v>
      </c>
      <c r="KS155">
        <v>88999</v>
      </c>
      <c r="KT155">
        <v>84532</v>
      </c>
      <c r="KU155">
        <v>59062</v>
      </c>
      <c r="KV155">
        <v>570</v>
      </c>
      <c r="KX155" s="24"/>
      <c r="KY155">
        <v>549</v>
      </c>
      <c r="KZ155">
        <v>549</v>
      </c>
      <c r="LA155">
        <v>549</v>
      </c>
      <c r="LB155">
        <v>4519347</v>
      </c>
      <c r="LC155">
        <v>168</v>
      </c>
      <c r="LE155" s="24"/>
      <c r="LF155">
        <v>185627</v>
      </c>
      <c r="LG155">
        <v>189000</v>
      </c>
      <c r="LH155">
        <v>186016</v>
      </c>
      <c r="LI155">
        <v>133960</v>
      </c>
      <c r="LJ155">
        <v>840</v>
      </c>
      <c r="LL155" s="24"/>
      <c r="LM155">
        <v>71600</v>
      </c>
      <c r="LN155">
        <v>74749</v>
      </c>
      <c r="LO155">
        <v>71601</v>
      </c>
      <c r="LP155">
        <v>330559</v>
      </c>
      <c r="LQ155">
        <v>1152</v>
      </c>
      <c r="LS155" s="24"/>
      <c r="LT155">
        <v>398</v>
      </c>
      <c r="LU155">
        <v>399</v>
      </c>
      <c r="LV155">
        <v>399</v>
      </c>
      <c r="LW155">
        <v>77575121</v>
      </c>
      <c r="LX155">
        <v>345</v>
      </c>
      <c r="LZ155" s="24"/>
      <c r="MA155">
        <v>110820</v>
      </c>
      <c r="MB155">
        <v>116542</v>
      </c>
      <c r="MC155">
        <v>110837</v>
      </c>
      <c r="MD155">
        <v>1011091</v>
      </c>
      <c r="ME155">
        <v>125</v>
      </c>
    </row>
    <row r="156" spans="2:343" x14ac:dyDescent="0.25">
      <c r="B156" s="24"/>
      <c r="C156">
        <v>3</v>
      </c>
      <c r="D156">
        <v>3</v>
      </c>
      <c r="E156">
        <v>3</v>
      </c>
      <c r="F156">
        <v>26422557938</v>
      </c>
      <c r="G156">
        <v>2656</v>
      </c>
      <c r="I156" s="24"/>
      <c r="J156">
        <v>4</v>
      </c>
      <c r="K156">
        <v>4</v>
      </c>
      <c r="L156">
        <v>4</v>
      </c>
      <c r="M156">
        <v>6591212474</v>
      </c>
      <c r="N156">
        <v>1938</v>
      </c>
      <c r="P156" s="24"/>
      <c r="Q156">
        <v>28</v>
      </c>
      <c r="R156">
        <v>28</v>
      </c>
      <c r="S156">
        <v>28</v>
      </c>
      <c r="T156">
        <v>2029215071</v>
      </c>
      <c r="U156">
        <v>1730</v>
      </c>
      <c r="W156" s="24"/>
      <c r="X156">
        <v>75</v>
      </c>
      <c r="Y156">
        <v>76</v>
      </c>
      <c r="Z156">
        <v>76</v>
      </c>
      <c r="AA156">
        <v>341091601</v>
      </c>
      <c r="AB156">
        <v>1325</v>
      </c>
      <c r="AD156" s="24"/>
      <c r="AE156">
        <v>507</v>
      </c>
      <c r="AF156">
        <v>517</v>
      </c>
      <c r="AG156">
        <v>511</v>
      </c>
      <c r="AH156">
        <v>90901160</v>
      </c>
      <c r="AI156">
        <v>1411</v>
      </c>
      <c r="AK156" s="24"/>
      <c r="AL156">
        <v>886</v>
      </c>
      <c r="AM156">
        <v>900</v>
      </c>
      <c r="AN156">
        <v>891</v>
      </c>
      <c r="AO156">
        <v>41189999</v>
      </c>
      <c r="AP156">
        <v>1156</v>
      </c>
      <c r="AR156" s="24"/>
      <c r="AS156">
        <v>2300</v>
      </c>
      <c r="AT156">
        <v>2428</v>
      </c>
      <c r="AU156">
        <v>2371</v>
      </c>
      <c r="AV156">
        <v>12084289</v>
      </c>
      <c r="AW156">
        <v>1055</v>
      </c>
      <c r="AY156" s="24"/>
      <c r="AZ156">
        <v>363250001</v>
      </c>
      <c r="BA156">
        <v>371774899</v>
      </c>
      <c r="BB156">
        <v>369999941</v>
      </c>
      <c r="BC156">
        <v>2060</v>
      </c>
      <c r="BD156">
        <v>1446</v>
      </c>
      <c r="BF156" s="24"/>
      <c r="BG156">
        <v>25525</v>
      </c>
      <c r="BH156">
        <v>25540</v>
      </c>
      <c r="BI156">
        <v>25525</v>
      </c>
      <c r="BJ156">
        <v>2477315</v>
      </c>
      <c r="BK156">
        <v>183</v>
      </c>
      <c r="BM156" s="24"/>
      <c r="BN156">
        <v>6058058</v>
      </c>
      <c r="BO156">
        <v>6148988</v>
      </c>
      <c r="BP156">
        <v>6065999</v>
      </c>
      <c r="BQ156">
        <v>16063</v>
      </c>
      <c r="BR156">
        <v>358</v>
      </c>
      <c r="BT156" s="24"/>
      <c r="BU156">
        <v>2394</v>
      </c>
      <c r="BV156">
        <v>2701</v>
      </c>
      <c r="BW156">
        <v>2499</v>
      </c>
      <c r="BX156">
        <v>17600181</v>
      </c>
      <c r="BY156">
        <v>148</v>
      </c>
      <c r="CA156" s="24"/>
      <c r="CB156">
        <v>442</v>
      </c>
      <c r="CC156">
        <v>442</v>
      </c>
      <c r="CD156">
        <v>442</v>
      </c>
      <c r="CE156">
        <v>54885481</v>
      </c>
      <c r="CF156">
        <v>245</v>
      </c>
      <c r="CH156" s="24"/>
      <c r="CI156">
        <v>22110</v>
      </c>
      <c r="CJ156">
        <v>22110</v>
      </c>
      <c r="CK156">
        <v>22110</v>
      </c>
      <c r="CL156">
        <v>1665852</v>
      </c>
      <c r="CM156">
        <v>149</v>
      </c>
      <c r="CO156" s="24"/>
      <c r="CP156">
        <v>7401</v>
      </c>
      <c r="CQ156">
        <v>7878</v>
      </c>
      <c r="CR156">
        <v>7763</v>
      </c>
      <c r="CS156">
        <v>977881</v>
      </c>
      <c r="CT156">
        <v>381</v>
      </c>
      <c r="CV156" s="24"/>
      <c r="CW156">
        <v>1351994</v>
      </c>
      <c r="CX156">
        <v>1351995</v>
      </c>
      <c r="CY156">
        <v>1351995</v>
      </c>
      <c r="CZ156">
        <v>8981</v>
      </c>
      <c r="DA156">
        <v>35</v>
      </c>
      <c r="DC156" s="24"/>
      <c r="DD156">
        <v>428</v>
      </c>
      <c r="DE156">
        <v>429</v>
      </c>
      <c r="DF156">
        <v>429</v>
      </c>
      <c r="DG156">
        <v>41535716</v>
      </c>
      <c r="DH156">
        <v>199</v>
      </c>
      <c r="DJ156" s="24"/>
      <c r="DK156">
        <v>33629312</v>
      </c>
      <c r="DL156">
        <v>33637115</v>
      </c>
      <c r="DM156">
        <v>33630001</v>
      </c>
      <c r="DN156">
        <v>214</v>
      </c>
      <c r="DO156">
        <v>83</v>
      </c>
      <c r="DQ156" s="24"/>
      <c r="DR156">
        <v>1900001</v>
      </c>
      <c r="DS156">
        <v>2096997</v>
      </c>
      <c r="DT156">
        <v>2049999</v>
      </c>
      <c r="DU156">
        <v>4048</v>
      </c>
      <c r="DV156">
        <v>182</v>
      </c>
      <c r="DX156" s="24"/>
      <c r="DY156">
        <v>20030002</v>
      </c>
      <c r="DZ156">
        <v>20180000</v>
      </c>
      <c r="EA156">
        <v>20089999</v>
      </c>
      <c r="EB156">
        <v>347</v>
      </c>
      <c r="EC156">
        <v>72</v>
      </c>
      <c r="EE156" s="24"/>
      <c r="EF156">
        <v>148</v>
      </c>
      <c r="EG156">
        <v>153</v>
      </c>
      <c r="EH156">
        <v>153</v>
      </c>
      <c r="EI156">
        <v>95289826</v>
      </c>
      <c r="EJ156">
        <v>149</v>
      </c>
      <c r="EL156" s="24"/>
      <c r="EM156">
        <v>45119</v>
      </c>
      <c r="EN156">
        <v>46000</v>
      </c>
      <c r="EO156">
        <v>45119</v>
      </c>
      <c r="EP156">
        <v>58616</v>
      </c>
      <c r="EQ156">
        <v>587</v>
      </c>
      <c r="ES156" s="24"/>
      <c r="ET156">
        <v>355</v>
      </c>
      <c r="EU156">
        <v>359</v>
      </c>
      <c r="EV156">
        <v>359</v>
      </c>
      <c r="EW156">
        <v>43736410</v>
      </c>
      <c r="EX156">
        <v>571</v>
      </c>
      <c r="EZ156" s="24"/>
      <c r="FA156">
        <v>3268003</v>
      </c>
      <c r="FB156">
        <v>3439000</v>
      </c>
      <c r="FC156">
        <v>3438000</v>
      </c>
      <c r="FD156">
        <v>1957</v>
      </c>
      <c r="FE156">
        <v>26</v>
      </c>
      <c r="FG156" s="24"/>
      <c r="FH156">
        <v>5852</v>
      </c>
      <c r="FI156">
        <v>6337</v>
      </c>
      <c r="FJ156">
        <v>6209</v>
      </c>
      <c r="FK156">
        <v>1416601</v>
      </c>
      <c r="FL156">
        <v>399</v>
      </c>
      <c r="FN156" s="24"/>
      <c r="FO156">
        <v>20379</v>
      </c>
      <c r="FP156">
        <v>20379</v>
      </c>
      <c r="FQ156">
        <v>20379</v>
      </c>
      <c r="FR156">
        <v>143352</v>
      </c>
      <c r="FS156">
        <v>76</v>
      </c>
      <c r="FU156" s="24"/>
      <c r="FV156">
        <v>18271</v>
      </c>
      <c r="FW156">
        <v>18830</v>
      </c>
      <c r="FX156">
        <v>18281</v>
      </c>
      <c r="FY156">
        <v>291591</v>
      </c>
      <c r="FZ156">
        <v>1003</v>
      </c>
      <c r="GB156" s="24"/>
      <c r="GC156">
        <v>80104001</v>
      </c>
      <c r="GD156">
        <v>102101002</v>
      </c>
      <c r="GE156">
        <v>97625879</v>
      </c>
      <c r="GF156">
        <v>51</v>
      </c>
      <c r="GG156">
        <v>44</v>
      </c>
      <c r="GI156" s="24"/>
      <c r="GJ156">
        <v>27206002</v>
      </c>
      <c r="GK156">
        <v>27210001</v>
      </c>
      <c r="GL156">
        <v>27210000</v>
      </c>
      <c r="GM156">
        <v>179</v>
      </c>
      <c r="GN156">
        <v>45</v>
      </c>
      <c r="GP156" s="24"/>
      <c r="GQ156">
        <v>74</v>
      </c>
      <c r="GR156">
        <v>75</v>
      </c>
      <c r="GS156">
        <v>75</v>
      </c>
      <c r="GT156">
        <v>142537387</v>
      </c>
      <c r="GU156">
        <v>105</v>
      </c>
      <c r="GW156" s="24"/>
      <c r="GX156">
        <v>430</v>
      </c>
      <c r="GY156">
        <v>439</v>
      </c>
      <c r="GZ156">
        <v>438</v>
      </c>
      <c r="HA156">
        <v>34629727</v>
      </c>
      <c r="HB156">
        <v>180</v>
      </c>
      <c r="HD156" s="24"/>
      <c r="HE156">
        <v>5814</v>
      </c>
      <c r="HF156">
        <v>5909</v>
      </c>
      <c r="HG156">
        <v>5908</v>
      </c>
      <c r="HH156">
        <v>18276833</v>
      </c>
      <c r="HI156">
        <v>257</v>
      </c>
      <c r="HK156" s="24"/>
      <c r="HL156">
        <v>91025303</v>
      </c>
      <c r="HM156">
        <v>102005619</v>
      </c>
      <c r="HN156">
        <v>96871690</v>
      </c>
      <c r="HO156">
        <v>67</v>
      </c>
      <c r="HP156">
        <v>51</v>
      </c>
      <c r="HR156" s="24"/>
      <c r="HS156">
        <v>6275</v>
      </c>
      <c r="HT156">
        <v>6993</v>
      </c>
      <c r="HU156">
        <v>6475</v>
      </c>
      <c r="HV156">
        <v>567323</v>
      </c>
      <c r="HW156">
        <v>126</v>
      </c>
      <c r="HY156" s="24"/>
      <c r="HZ156">
        <v>5301</v>
      </c>
      <c r="IA156">
        <v>6187</v>
      </c>
      <c r="IB156">
        <v>5624</v>
      </c>
      <c r="IC156">
        <v>1681108</v>
      </c>
      <c r="ID156">
        <v>375</v>
      </c>
      <c r="IF156" s="24"/>
      <c r="IG156">
        <v>2906</v>
      </c>
      <c r="IH156">
        <v>2906</v>
      </c>
      <c r="II156">
        <v>2906</v>
      </c>
      <c r="IJ156">
        <v>1276757</v>
      </c>
      <c r="IK156">
        <v>122</v>
      </c>
      <c r="IM156" s="24"/>
      <c r="IN156">
        <v>96610048</v>
      </c>
      <c r="IO156">
        <v>104986999</v>
      </c>
      <c r="IP156">
        <v>100204786</v>
      </c>
      <c r="IQ156">
        <v>83</v>
      </c>
      <c r="IR156">
        <v>64</v>
      </c>
      <c r="IT156" s="24"/>
      <c r="IU156">
        <v>7918</v>
      </c>
      <c r="IV156">
        <v>7923</v>
      </c>
      <c r="IW156">
        <v>7922</v>
      </c>
      <c r="IX156">
        <v>1069059</v>
      </c>
      <c r="IY156">
        <v>111</v>
      </c>
      <c r="JA156" s="24"/>
      <c r="JB156">
        <v>92761004</v>
      </c>
      <c r="JC156">
        <v>104000000</v>
      </c>
      <c r="JD156">
        <v>99433526</v>
      </c>
      <c r="JE156">
        <v>56</v>
      </c>
      <c r="JF156">
        <v>46</v>
      </c>
      <c r="JH156" s="24"/>
      <c r="JI156">
        <v>90778308</v>
      </c>
      <c r="JJ156">
        <v>108620499</v>
      </c>
      <c r="JK156">
        <v>107970524</v>
      </c>
      <c r="JL156">
        <v>31</v>
      </c>
      <c r="JM156">
        <v>28</v>
      </c>
      <c r="JO156" s="24"/>
      <c r="JP156">
        <v>69</v>
      </c>
      <c r="JQ156">
        <v>73</v>
      </c>
      <c r="JR156">
        <v>73</v>
      </c>
      <c r="JS156">
        <v>85321017</v>
      </c>
      <c r="JT156">
        <v>82</v>
      </c>
      <c r="JV156" s="24"/>
      <c r="JW156">
        <v>65</v>
      </c>
      <c r="JX156">
        <v>67</v>
      </c>
      <c r="JY156">
        <v>65</v>
      </c>
      <c r="JZ156">
        <v>98348449</v>
      </c>
      <c r="KA156">
        <v>115</v>
      </c>
      <c r="KC156" s="24"/>
      <c r="KD156">
        <v>23</v>
      </c>
      <c r="KE156">
        <v>24</v>
      </c>
      <c r="KF156">
        <v>24</v>
      </c>
      <c r="KG156">
        <v>40838450</v>
      </c>
      <c r="KH156">
        <v>272</v>
      </c>
      <c r="KJ156" s="24"/>
      <c r="KK156">
        <v>66</v>
      </c>
      <c r="KL156">
        <v>68</v>
      </c>
      <c r="KM156">
        <v>68</v>
      </c>
      <c r="KN156">
        <v>88086698</v>
      </c>
      <c r="KO156">
        <v>112</v>
      </c>
      <c r="KQ156" s="24"/>
      <c r="KR156">
        <v>85000</v>
      </c>
      <c r="KS156">
        <v>85029</v>
      </c>
      <c r="KT156">
        <v>85022</v>
      </c>
      <c r="KU156">
        <v>37169</v>
      </c>
      <c r="KV156">
        <v>489</v>
      </c>
      <c r="KX156" s="24"/>
      <c r="KY156">
        <v>549</v>
      </c>
      <c r="KZ156">
        <v>552</v>
      </c>
      <c r="LA156">
        <v>552</v>
      </c>
      <c r="LB156">
        <v>5705075</v>
      </c>
      <c r="LC156">
        <v>159</v>
      </c>
      <c r="LE156" s="24"/>
      <c r="LF156">
        <v>184500</v>
      </c>
      <c r="LG156">
        <v>186700</v>
      </c>
      <c r="LH156">
        <v>186028</v>
      </c>
      <c r="LI156">
        <v>114489</v>
      </c>
      <c r="LJ156">
        <v>730</v>
      </c>
      <c r="LL156" s="24"/>
      <c r="LM156">
        <v>72001</v>
      </c>
      <c r="LN156">
        <v>72607</v>
      </c>
      <c r="LO156">
        <v>72010</v>
      </c>
      <c r="LP156">
        <v>270117</v>
      </c>
      <c r="LQ156">
        <v>1049</v>
      </c>
      <c r="LS156" s="24"/>
      <c r="LT156">
        <v>395</v>
      </c>
      <c r="LU156">
        <v>398</v>
      </c>
      <c r="LV156">
        <v>398</v>
      </c>
      <c r="LW156">
        <v>74866919</v>
      </c>
      <c r="LX156">
        <v>304</v>
      </c>
      <c r="LZ156" s="24"/>
      <c r="MA156">
        <v>114522</v>
      </c>
      <c r="MB156">
        <v>114524</v>
      </c>
      <c r="MC156">
        <v>114524</v>
      </c>
      <c r="MD156">
        <v>438652</v>
      </c>
      <c r="ME156">
        <v>72</v>
      </c>
    </row>
    <row r="157" spans="2:343" x14ac:dyDescent="0.25">
      <c r="B157" s="24"/>
      <c r="C157">
        <v>3</v>
      </c>
      <c r="D157">
        <v>3</v>
      </c>
      <c r="E157">
        <v>3</v>
      </c>
      <c r="F157">
        <v>27232949201</v>
      </c>
      <c r="G157">
        <v>2897</v>
      </c>
      <c r="I157" s="24"/>
      <c r="J157">
        <v>4</v>
      </c>
      <c r="K157">
        <v>4</v>
      </c>
      <c r="L157">
        <v>4</v>
      </c>
      <c r="M157">
        <v>4403483923</v>
      </c>
      <c r="N157">
        <v>2064</v>
      </c>
      <c r="P157" s="24"/>
      <c r="Q157">
        <v>27</v>
      </c>
      <c r="R157">
        <v>28</v>
      </c>
      <c r="S157">
        <v>27</v>
      </c>
      <c r="T157">
        <v>1444822755</v>
      </c>
      <c r="U157">
        <v>1842</v>
      </c>
      <c r="W157" s="24"/>
      <c r="X157">
        <v>75</v>
      </c>
      <c r="Y157">
        <v>75</v>
      </c>
      <c r="Z157">
        <v>75</v>
      </c>
      <c r="AA157">
        <v>362162283</v>
      </c>
      <c r="AB157">
        <v>1460</v>
      </c>
      <c r="AD157" s="24"/>
      <c r="AE157">
        <v>503</v>
      </c>
      <c r="AF157">
        <v>509</v>
      </c>
      <c r="AG157">
        <v>507</v>
      </c>
      <c r="AH157">
        <v>107638265</v>
      </c>
      <c r="AI157">
        <v>1550</v>
      </c>
      <c r="AK157" s="24"/>
      <c r="AL157">
        <v>892</v>
      </c>
      <c r="AM157">
        <v>910</v>
      </c>
      <c r="AN157">
        <v>893</v>
      </c>
      <c r="AO157">
        <v>26299626</v>
      </c>
      <c r="AP157">
        <v>1161</v>
      </c>
      <c r="AR157" s="24"/>
      <c r="AS157">
        <v>2311</v>
      </c>
      <c r="AT157">
        <v>2399</v>
      </c>
      <c r="AU157">
        <v>2378</v>
      </c>
      <c r="AV157">
        <v>11515550</v>
      </c>
      <c r="AW157">
        <v>1185</v>
      </c>
      <c r="AY157" s="24"/>
      <c r="AZ157">
        <v>364520004</v>
      </c>
      <c r="BA157">
        <v>372769999</v>
      </c>
      <c r="BB157">
        <v>371244944</v>
      </c>
      <c r="BC157">
        <v>2027</v>
      </c>
      <c r="BD157">
        <v>1486</v>
      </c>
      <c r="BF157" s="24"/>
      <c r="BG157">
        <v>25580</v>
      </c>
      <c r="BH157">
        <v>25600</v>
      </c>
      <c r="BI157">
        <v>25600</v>
      </c>
      <c r="BJ157">
        <v>3350837</v>
      </c>
      <c r="BK157">
        <v>218</v>
      </c>
      <c r="BM157" s="24"/>
      <c r="BN157">
        <v>6100116</v>
      </c>
      <c r="BO157">
        <v>6200000</v>
      </c>
      <c r="BP157">
        <v>6200000</v>
      </c>
      <c r="BQ157">
        <v>7973</v>
      </c>
      <c r="BR157">
        <v>275</v>
      </c>
      <c r="BT157" s="24"/>
      <c r="BU157">
        <v>2350</v>
      </c>
      <c r="BV157">
        <v>2527</v>
      </c>
      <c r="BW157">
        <v>2521</v>
      </c>
      <c r="BX157">
        <v>20810799</v>
      </c>
      <c r="BY157">
        <v>221</v>
      </c>
      <c r="CA157" s="24"/>
      <c r="CB157">
        <v>442</v>
      </c>
      <c r="CC157">
        <v>442</v>
      </c>
      <c r="CD157">
        <v>442</v>
      </c>
      <c r="CE157">
        <v>63719485</v>
      </c>
      <c r="CF157">
        <v>267</v>
      </c>
      <c r="CH157" s="24"/>
      <c r="CI157">
        <v>22200</v>
      </c>
      <c r="CJ157">
        <v>22222</v>
      </c>
      <c r="CK157">
        <v>22200</v>
      </c>
      <c r="CL157">
        <v>754463</v>
      </c>
      <c r="CM157">
        <v>128</v>
      </c>
      <c r="CO157" s="24"/>
      <c r="CP157">
        <v>7387</v>
      </c>
      <c r="CQ157">
        <v>7950</v>
      </c>
      <c r="CR157">
        <v>7789</v>
      </c>
      <c r="CS157">
        <v>868789</v>
      </c>
      <c r="CT157">
        <v>328</v>
      </c>
      <c r="CV157" s="24"/>
      <c r="CW157">
        <v>1350000</v>
      </c>
      <c r="CX157">
        <v>1354698</v>
      </c>
      <c r="CY157">
        <v>1351995</v>
      </c>
      <c r="CZ157">
        <v>15550</v>
      </c>
      <c r="DA157">
        <v>40</v>
      </c>
      <c r="DC157" s="24"/>
      <c r="DD157">
        <v>432</v>
      </c>
      <c r="DE157">
        <v>439</v>
      </c>
      <c r="DF157">
        <v>438</v>
      </c>
      <c r="DG157">
        <v>22987513</v>
      </c>
      <c r="DH157">
        <v>169</v>
      </c>
      <c r="DJ157" s="24"/>
      <c r="DK157">
        <v>33630003</v>
      </c>
      <c r="DL157">
        <v>33630009</v>
      </c>
      <c r="DM157">
        <v>33630005</v>
      </c>
      <c r="DN157">
        <v>299</v>
      </c>
      <c r="DO157">
        <v>65</v>
      </c>
      <c r="DQ157" s="24"/>
      <c r="DR157">
        <v>1858000</v>
      </c>
      <c r="DS157">
        <v>1901000</v>
      </c>
      <c r="DT157">
        <v>1900002</v>
      </c>
      <c r="DU157">
        <v>5648</v>
      </c>
      <c r="DV157">
        <v>215</v>
      </c>
      <c r="DX157" s="24"/>
      <c r="DY157">
        <v>18638005</v>
      </c>
      <c r="DZ157">
        <v>19599999</v>
      </c>
      <c r="EA157">
        <v>18699001</v>
      </c>
      <c r="EB157">
        <v>300</v>
      </c>
      <c r="EC157">
        <v>83</v>
      </c>
      <c r="EE157" s="24"/>
      <c r="EF157">
        <v>149</v>
      </c>
      <c r="EG157">
        <v>151</v>
      </c>
      <c r="EH157">
        <v>151</v>
      </c>
      <c r="EI157">
        <v>81128830</v>
      </c>
      <c r="EJ157">
        <v>175</v>
      </c>
      <c r="EL157" s="24"/>
      <c r="EM157">
        <v>46008</v>
      </c>
      <c r="EN157">
        <v>46080</v>
      </c>
      <c r="EO157">
        <v>46055</v>
      </c>
      <c r="EP157">
        <v>54784</v>
      </c>
      <c r="EQ157">
        <v>558</v>
      </c>
      <c r="ES157" s="24"/>
      <c r="ET157">
        <v>344</v>
      </c>
      <c r="EU157">
        <v>359</v>
      </c>
      <c r="EV157">
        <v>355</v>
      </c>
      <c r="EW157">
        <v>47059092</v>
      </c>
      <c r="EX157">
        <v>578</v>
      </c>
      <c r="EZ157" s="24"/>
      <c r="FA157">
        <v>3584989</v>
      </c>
      <c r="FB157">
        <v>3584991</v>
      </c>
      <c r="FC157">
        <v>3584989</v>
      </c>
      <c r="FD157">
        <v>1117</v>
      </c>
      <c r="FE157">
        <v>19</v>
      </c>
      <c r="FG157" s="24"/>
      <c r="FH157">
        <v>6299</v>
      </c>
      <c r="FI157">
        <v>6299</v>
      </c>
      <c r="FJ157">
        <v>6299</v>
      </c>
      <c r="FK157">
        <v>3397414</v>
      </c>
      <c r="FL157">
        <v>364</v>
      </c>
      <c r="FN157" s="24"/>
      <c r="FO157">
        <v>19978</v>
      </c>
      <c r="FP157">
        <v>20376</v>
      </c>
      <c r="FQ157">
        <v>20376</v>
      </c>
      <c r="FR157">
        <v>204628</v>
      </c>
      <c r="FS157">
        <v>78</v>
      </c>
      <c r="FU157" s="24"/>
      <c r="FV157">
        <v>18343</v>
      </c>
      <c r="FW157">
        <v>19050</v>
      </c>
      <c r="FX157">
        <v>18999</v>
      </c>
      <c r="FY157">
        <v>289830</v>
      </c>
      <c r="FZ157">
        <v>1128</v>
      </c>
      <c r="GB157" s="24"/>
      <c r="GC157">
        <v>90808008</v>
      </c>
      <c r="GD157">
        <v>101984998</v>
      </c>
      <c r="GE157">
        <v>98800159</v>
      </c>
      <c r="GF157">
        <v>53</v>
      </c>
      <c r="GG157">
        <v>47</v>
      </c>
      <c r="GI157" s="24"/>
      <c r="GJ157">
        <v>27210001</v>
      </c>
      <c r="GK157">
        <v>28723997</v>
      </c>
      <c r="GL157">
        <v>27500001</v>
      </c>
      <c r="GM157">
        <v>469</v>
      </c>
      <c r="GN157">
        <v>106</v>
      </c>
      <c r="GP157" s="24"/>
      <c r="GQ157">
        <v>76</v>
      </c>
      <c r="GR157">
        <v>78</v>
      </c>
      <c r="GS157">
        <v>77</v>
      </c>
      <c r="GT157">
        <v>129111412</v>
      </c>
      <c r="GU157">
        <v>126</v>
      </c>
      <c r="GW157" s="24"/>
      <c r="GX157">
        <v>420</v>
      </c>
      <c r="GY157">
        <v>454</v>
      </c>
      <c r="GZ157">
        <v>446</v>
      </c>
      <c r="HA157">
        <v>55810137</v>
      </c>
      <c r="HB157">
        <v>207</v>
      </c>
      <c r="HD157" s="24"/>
      <c r="HE157">
        <v>5820</v>
      </c>
      <c r="HF157">
        <v>5908</v>
      </c>
      <c r="HG157">
        <v>5907</v>
      </c>
      <c r="HH157">
        <v>11388416</v>
      </c>
      <c r="HI157">
        <v>211</v>
      </c>
      <c r="HK157" s="24"/>
      <c r="HL157">
        <v>93030010</v>
      </c>
      <c r="HM157">
        <v>101795499</v>
      </c>
      <c r="HN157">
        <v>99458810</v>
      </c>
      <c r="HO157">
        <v>37</v>
      </c>
      <c r="HP157">
        <v>34</v>
      </c>
      <c r="HR157" s="24"/>
      <c r="HS157">
        <v>6276</v>
      </c>
      <c r="HT157">
        <v>6935</v>
      </c>
      <c r="HU157">
        <v>6400</v>
      </c>
      <c r="HV157">
        <v>622588</v>
      </c>
      <c r="HW157">
        <v>116</v>
      </c>
      <c r="HY157" s="24"/>
      <c r="HZ157">
        <v>5949</v>
      </c>
      <c r="IA157">
        <v>6181</v>
      </c>
      <c r="IB157">
        <v>6147</v>
      </c>
      <c r="IC157">
        <v>1685105</v>
      </c>
      <c r="ID157">
        <v>368</v>
      </c>
      <c r="IF157" s="24"/>
      <c r="IG157">
        <v>2851</v>
      </c>
      <c r="IH157">
        <v>2932</v>
      </c>
      <c r="II157">
        <v>2922</v>
      </c>
      <c r="IJ157">
        <v>1270760</v>
      </c>
      <c r="IK157">
        <v>133</v>
      </c>
      <c r="IM157" s="24"/>
      <c r="IN157">
        <v>97418470</v>
      </c>
      <c r="IO157">
        <v>104984000</v>
      </c>
      <c r="IP157">
        <v>103365213</v>
      </c>
      <c r="IQ157">
        <v>54</v>
      </c>
      <c r="IR157">
        <v>48</v>
      </c>
      <c r="IT157" s="24"/>
      <c r="IU157">
        <v>7918</v>
      </c>
      <c r="IV157">
        <v>7918</v>
      </c>
      <c r="IW157">
        <v>7918</v>
      </c>
      <c r="IX157">
        <v>1078527</v>
      </c>
      <c r="IY157">
        <v>116</v>
      </c>
      <c r="JA157" s="24"/>
      <c r="JB157">
        <v>97896922</v>
      </c>
      <c r="JC157">
        <v>104181000</v>
      </c>
      <c r="JD157">
        <v>103334738</v>
      </c>
      <c r="JE157">
        <v>67</v>
      </c>
      <c r="JF157">
        <v>44</v>
      </c>
      <c r="JH157" s="24"/>
      <c r="JI157">
        <v>95994954</v>
      </c>
      <c r="JJ157">
        <v>108210000</v>
      </c>
      <c r="JK157">
        <v>105509342</v>
      </c>
      <c r="JL157">
        <v>32</v>
      </c>
      <c r="JM157">
        <v>30</v>
      </c>
      <c r="JO157" s="24"/>
      <c r="JP157">
        <v>70</v>
      </c>
      <c r="JQ157">
        <v>74</v>
      </c>
      <c r="JR157">
        <v>74</v>
      </c>
      <c r="JS157">
        <v>61811178</v>
      </c>
      <c r="JT157">
        <v>84</v>
      </c>
      <c r="JV157" s="24"/>
      <c r="JW157">
        <v>64</v>
      </c>
      <c r="JX157">
        <v>67</v>
      </c>
      <c r="JY157">
        <v>65</v>
      </c>
      <c r="JZ157">
        <v>114336354</v>
      </c>
      <c r="KA157">
        <v>111</v>
      </c>
      <c r="KC157" s="24"/>
      <c r="KD157">
        <v>23</v>
      </c>
      <c r="KE157">
        <v>23</v>
      </c>
      <c r="KF157">
        <v>23</v>
      </c>
      <c r="KG157">
        <v>41896055</v>
      </c>
      <c r="KH157">
        <v>262</v>
      </c>
      <c r="KJ157" s="24"/>
      <c r="KK157">
        <v>66</v>
      </c>
      <c r="KL157">
        <v>68</v>
      </c>
      <c r="KM157">
        <v>68</v>
      </c>
      <c r="KN157">
        <v>83106647</v>
      </c>
      <c r="KO157">
        <v>96</v>
      </c>
      <c r="KQ157" s="24"/>
      <c r="KR157">
        <v>85026</v>
      </c>
      <c r="KS157">
        <v>88899</v>
      </c>
      <c r="KT157">
        <v>85182</v>
      </c>
      <c r="KU157">
        <v>50405</v>
      </c>
      <c r="KV157">
        <v>536</v>
      </c>
      <c r="KX157" s="24"/>
      <c r="KY157">
        <v>526</v>
      </c>
      <c r="KZ157">
        <v>554</v>
      </c>
      <c r="LA157">
        <v>552</v>
      </c>
      <c r="LB157">
        <v>6327875</v>
      </c>
      <c r="LC157">
        <v>146</v>
      </c>
      <c r="LE157" s="24"/>
      <c r="LF157">
        <v>183555</v>
      </c>
      <c r="LG157">
        <v>185000</v>
      </c>
      <c r="LH157">
        <v>183556</v>
      </c>
      <c r="LI157">
        <v>74542</v>
      </c>
      <c r="LJ157">
        <v>766</v>
      </c>
      <c r="LL157" s="24"/>
      <c r="LM157">
        <v>72681</v>
      </c>
      <c r="LN157">
        <v>74686</v>
      </c>
      <c r="LO157">
        <v>72704</v>
      </c>
      <c r="LP157">
        <v>267643</v>
      </c>
      <c r="LQ157">
        <v>1137</v>
      </c>
      <c r="LS157" s="24"/>
      <c r="LT157">
        <v>386</v>
      </c>
      <c r="LU157">
        <v>398</v>
      </c>
      <c r="LV157">
        <v>398</v>
      </c>
      <c r="LW157">
        <v>74992349</v>
      </c>
      <c r="LX157">
        <v>331</v>
      </c>
      <c r="LZ157" s="24"/>
      <c r="MA157">
        <v>114521</v>
      </c>
      <c r="MB157">
        <v>114524</v>
      </c>
      <c r="MC157">
        <v>114524</v>
      </c>
      <c r="MD157">
        <v>805362</v>
      </c>
      <c r="ME157">
        <v>82</v>
      </c>
    </row>
    <row r="158" spans="2:343" x14ac:dyDescent="0.25">
      <c r="B158" s="24"/>
      <c r="C158">
        <v>3</v>
      </c>
      <c r="D158">
        <v>3</v>
      </c>
      <c r="E158">
        <v>3</v>
      </c>
      <c r="F158">
        <v>24513168192</v>
      </c>
      <c r="G158">
        <v>2641</v>
      </c>
      <c r="I158" s="24"/>
      <c r="J158">
        <v>4</v>
      </c>
      <c r="K158">
        <v>4</v>
      </c>
      <c r="L158">
        <v>4</v>
      </c>
      <c r="M158">
        <v>5618754394</v>
      </c>
      <c r="N158">
        <v>1852</v>
      </c>
      <c r="P158" s="24"/>
      <c r="Q158">
        <v>28</v>
      </c>
      <c r="R158">
        <v>28</v>
      </c>
      <c r="S158">
        <v>28</v>
      </c>
      <c r="T158">
        <v>1679458948</v>
      </c>
      <c r="U158">
        <v>1684</v>
      </c>
      <c r="W158" s="24"/>
      <c r="X158">
        <v>74</v>
      </c>
      <c r="Y158">
        <v>76</v>
      </c>
      <c r="Z158">
        <v>76</v>
      </c>
      <c r="AA158">
        <v>415019019</v>
      </c>
      <c r="AB158">
        <v>1297</v>
      </c>
      <c r="AD158" s="24"/>
      <c r="AE158">
        <v>500</v>
      </c>
      <c r="AF158">
        <v>506</v>
      </c>
      <c r="AG158">
        <v>506</v>
      </c>
      <c r="AH158">
        <v>95477488</v>
      </c>
      <c r="AI158">
        <v>1410</v>
      </c>
      <c r="AK158" s="24"/>
      <c r="AL158">
        <v>892</v>
      </c>
      <c r="AM158">
        <v>913</v>
      </c>
      <c r="AN158">
        <v>900</v>
      </c>
      <c r="AO158">
        <v>33412627</v>
      </c>
      <c r="AP158">
        <v>1151</v>
      </c>
      <c r="AR158" s="24"/>
      <c r="AS158">
        <v>2328</v>
      </c>
      <c r="AT158">
        <v>2429</v>
      </c>
      <c r="AU158">
        <v>2427</v>
      </c>
      <c r="AV158">
        <v>10380332</v>
      </c>
      <c r="AW158">
        <v>1163</v>
      </c>
      <c r="AY158" s="24"/>
      <c r="AZ158">
        <v>365400002</v>
      </c>
      <c r="BA158">
        <v>374498999</v>
      </c>
      <c r="BB158">
        <v>373299996</v>
      </c>
      <c r="BC158">
        <v>2158</v>
      </c>
      <c r="BD158">
        <v>1461</v>
      </c>
      <c r="BF158" s="24"/>
      <c r="BG158">
        <v>25610</v>
      </c>
      <c r="BH158">
        <v>25700</v>
      </c>
      <c r="BI158">
        <v>25610</v>
      </c>
      <c r="BJ158">
        <v>3760249</v>
      </c>
      <c r="BK158">
        <v>224</v>
      </c>
      <c r="BM158" s="24"/>
      <c r="BN158">
        <v>6110102</v>
      </c>
      <c r="BO158">
        <v>6150003</v>
      </c>
      <c r="BP158">
        <v>6150000</v>
      </c>
      <c r="BQ158">
        <v>12090</v>
      </c>
      <c r="BR158">
        <v>321</v>
      </c>
      <c r="BT158" s="24"/>
      <c r="BU158">
        <v>2339</v>
      </c>
      <c r="BV158">
        <v>2431</v>
      </c>
      <c r="BW158">
        <v>2343</v>
      </c>
      <c r="BX158">
        <v>28984324</v>
      </c>
      <c r="BY158">
        <v>292</v>
      </c>
      <c r="CA158" s="24"/>
      <c r="CB158">
        <v>442</v>
      </c>
      <c r="CC158">
        <v>442</v>
      </c>
      <c r="CD158">
        <v>442</v>
      </c>
      <c r="CE158">
        <v>69860725</v>
      </c>
      <c r="CF158">
        <v>263</v>
      </c>
      <c r="CH158" s="24"/>
      <c r="CI158">
        <v>23416</v>
      </c>
      <c r="CJ158">
        <v>23500</v>
      </c>
      <c r="CK158">
        <v>23416</v>
      </c>
      <c r="CL158">
        <v>2142586</v>
      </c>
      <c r="CM158">
        <v>170</v>
      </c>
      <c r="CO158" s="24"/>
      <c r="CP158">
        <v>7487</v>
      </c>
      <c r="CQ158">
        <v>7890</v>
      </c>
      <c r="CR158">
        <v>7856</v>
      </c>
      <c r="CS158">
        <v>1404175</v>
      </c>
      <c r="CT158">
        <v>400</v>
      </c>
      <c r="CV158" s="24"/>
      <c r="CW158">
        <v>1400000</v>
      </c>
      <c r="CX158">
        <v>1663986</v>
      </c>
      <c r="CY158">
        <v>1657996</v>
      </c>
      <c r="CZ158">
        <v>7044</v>
      </c>
      <c r="DA158">
        <v>35</v>
      </c>
      <c r="DC158" s="24"/>
      <c r="DD158">
        <v>438</v>
      </c>
      <c r="DE158">
        <v>439</v>
      </c>
      <c r="DF158">
        <v>438</v>
      </c>
      <c r="DG158">
        <v>27525446</v>
      </c>
      <c r="DH158">
        <v>157</v>
      </c>
      <c r="DJ158" s="24"/>
      <c r="DK158">
        <v>35389999</v>
      </c>
      <c r="DL158">
        <v>35389999</v>
      </c>
      <c r="DM158">
        <v>35389999</v>
      </c>
      <c r="DN158">
        <v>390</v>
      </c>
      <c r="DO158">
        <v>88</v>
      </c>
      <c r="DQ158" s="24"/>
      <c r="DR158">
        <v>1793000</v>
      </c>
      <c r="DS158">
        <v>1976999</v>
      </c>
      <c r="DT158">
        <v>1810002</v>
      </c>
      <c r="DU158">
        <v>5818</v>
      </c>
      <c r="DV158">
        <v>205</v>
      </c>
      <c r="DX158" s="24"/>
      <c r="DY158">
        <v>18700001</v>
      </c>
      <c r="DZ158">
        <v>18855001</v>
      </c>
      <c r="EA158">
        <v>18700003</v>
      </c>
      <c r="EB158">
        <v>299</v>
      </c>
      <c r="EC158">
        <v>89</v>
      </c>
      <c r="EE158" s="24"/>
      <c r="EF158">
        <v>144</v>
      </c>
      <c r="EG158">
        <v>154</v>
      </c>
      <c r="EH158">
        <v>153</v>
      </c>
      <c r="EI158">
        <v>77949526</v>
      </c>
      <c r="EJ158">
        <v>183</v>
      </c>
      <c r="EL158" s="24"/>
      <c r="EM158">
        <v>46082</v>
      </c>
      <c r="EN158">
        <v>46404</v>
      </c>
      <c r="EO158">
        <v>46107</v>
      </c>
      <c r="EP158">
        <v>73376</v>
      </c>
      <c r="EQ158">
        <v>596</v>
      </c>
      <c r="ES158" s="24"/>
      <c r="ET158">
        <v>318</v>
      </c>
      <c r="EU158">
        <v>353</v>
      </c>
      <c r="EV158">
        <v>335</v>
      </c>
      <c r="EW158">
        <v>56482487</v>
      </c>
      <c r="EX158">
        <v>611</v>
      </c>
      <c r="EZ158" s="24"/>
      <c r="FA158">
        <v>3269006</v>
      </c>
      <c r="FB158">
        <v>3269006</v>
      </c>
      <c r="FC158">
        <v>3269006</v>
      </c>
      <c r="FD158">
        <v>814</v>
      </c>
      <c r="FE158">
        <v>10</v>
      </c>
      <c r="FG158" s="24"/>
      <c r="FH158">
        <v>6003</v>
      </c>
      <c r="FI158">
        <v>6398</v>
      </c>
      <c r="FJ158">
        <v>6309</v>
      </c>
      <c r="FK158">
        <v>2060741</v>
      </c>
      <c r="FL158">
        <v>449</v>
      </c>
      <c r="FN158" s="24"/>
      <c r="FO158">
        <v>19300</v>
      </c>
      <c r="FP158">
        <v>20199</v>
      </c>
      <c r="FQ158">
        <v>19368</v>
      </c>
      <c r="FR158">
        <v>238689</v>
      </c>
      <c r="FS158">
        <v>94</v>
      </c>
      <c r="FU158" s="24"/>
      <c r="FV158">
        <v>19069</v>
      </c>
      <c r="FW158">
        <v>19092</v>
      </c>
      <c r="FX158">
        <v>19087</v>
      </c>
      <c r="FY158">
        <v>353490</v>
      </c>
      <c r="FZ158">
        <v>1109</v>
      </c>
      <c r="GB158" s="24"/>
      <c r="GC158">
        <v>92107000</v>
      </c>
      <c r="GD158">
        <v>100304011</v>
      </c>
      <c r="GE158">
        <v>97416563</v>
      </c>
      <c r="GF158">
        <v>39</v>
      </c>
      <c r="GG158">
        <v>38</v>
      </c>
      <c r="GI158" s="24"/>
      <c r="GJ158">
        <v>24991003</v>
      </c>
      <c r="GK158">
        <v>28349999</v>
      </c>
      <c r="GL158">
        <v>26500000</v>
      </c>
      <c r="GM158">
        <v>329</v>
      </c>
      <c r="GN158">
        <v>67</v>
      </c>
      <c r="GP158" s="24"/>
      <c r="GQ158">
        <v>76</v>
      </c>
      <c r="GR158">
        <v>77</v>
      </c>
      <c r="GS158">
        <v>76</v>
      </c>
      <c r="GT158">
        <v>111223897</v>
      </c>
      <c r="GU158">
        <v>120</v>
      </c>
      <c r="GW158" s="24"/>
      <c r="GX158">
        <v>426</v>
      </c>
      <c r="GY158">
        <v>440</v>
      </c>
      <c r="GZ158">
        <v>426</v>
      </c>
      <c r="HA158">
        <v>37282333</v>
      </c>
      <c r="HB158">
        <v>207</v>
      </c>
      <c r="HD158" s="24"/>
      <c r="HE158">
        <v>5801</v>
      </c>
      <c r="HF158">
        <v>5905</v>
      </c>
      <c r="HG158">
        <v>5898</v>
      </c>
      <c r="HH158">
        <v>14167295</v>
      </c>
      <c r="HI158">
        <v>258</v>
      </c>
      <c r="HK158" s="24"/>
      <c r="HL158">
        <v>93189501</v>
      </c>
      <c r="HM158">
        <v>100001700</v>
      </c>
      <c r="HN158">
        <v>98023136</v>
      </c>
      <c r="HO158">
        <v>53</v>
      </c>
      <c r="HP158">
        <v>46</v>
      </c>
      <c r="HR158" s="24"/>
      <c r="HS158">
        <v>6870</v>
      </c>
      <c r="HT158">
        <v>7269</v>
      </c>
      <c r="HU158">
        <v>6936</v>
      </c>
      <c r="HV158">
        <v>782467</v>
      </c>
      <c r="HW158">
        <v>147</v>
      </c>
      <c r="HY158" s="24"/>
      <c r="HZ158">
        <v>5850</v>
      </c>
      <c r="IA158">
        <v>6092</v>
      </c>
      <c r="IB158">
        <v>6089</v>
      </c>
      <c r="IC158">
        <v>1912185</v>
      </c>
      <c r="ID158">
        <v>389</v>
      </c>
      <c r="IF158" s="24"/>
      <c r="IG158">
        <v>3017</v>
      </c>
      <c r="IH158">
        <v>3018</v>
      </c>
      <c r="II158">
        <v>3018</v>
      </c>
      <c r="IJ158">
        <v>1087956</v>
      </c>
      <c r="IK158">
        <v>134</v>
      </c>
      <c r="IM158" s="24"/>
      <c r="IN158">
        <v>99000000</v>
      </c>
      <c r="IO158">
        <v>103998999</v>
      </c>
      <c r="IP158">
        <v>99000200</v>
      </c>
      <c r="IQ158">
        <v>104</v>
      </c>
      <c r="IR158">
        <v>69</v>
      </c>
      <c r="IT158" s="24"/>
      <c r="IU158">
        <v>7700</v>
      </c>
      <c r="IV158">
        <v>7918</v>
      </c>
      <c r="IW158">
        <v>7918</v>
      </c>
      <c r="IX158">
        <v>1327194</v>
      </c>
      <c r="IY158">
        <v>171</v>
      </c>
      <c r="JA158" s="24"/>
      <c r="JB158">
        <v>99201000</v>
      </c>
      <c r="JC158">
        <v>104000000</v>
      </c>
      <c r="JD158">
        <v>102332959</v>
      </c>
      <c r="JE158">
        <v>64</v>
      </c>
      <c r="JF158">
        <v>61</v>
      </c>
      <c r="JH158" s="24"/>
      <c r="JI158">
        <v>96101305</v>
      </c>
      <c r="JJ158">
        <v>104997053</v>
      </c>
      <c r="JK158">
        <v>98248833</v>
      </c>
      <c r="JL158">
        <v>80</v>
      </c>
      <c r="JM158">
        <v>44</v>
      </c>
      <c r="JO158" s="24"/>
      <c r="JP158">
        <v>71</v>
      </c>
      <c r="JQ158">
        <v>74</v>
      </c>
      <c r="JR158">
        <v>74</v>
      </c>
      <c r="JS158">
        <v>55790801</v>
      </c>
      <c r="JT158">
        <v>74</v>
      </c>
      <c r="JV158" s="24"/>
      <c r="JW158">
        <v>63</v>
      </c>
      <c r="JX158">
        <v>67</v>
      </c>
      <c r="JY158">
        <v>63</v>
      </c>
      <c r="JZ158">
        <v>90861788</v>
      </c>
      <c r="KA158">
        <v>77</v>
      </c>
      <c r="KC158" s="24"/>
      <c r="KD158">
        <v>23</v>
      </c>
      <c r="KE158">
        <v>23</v>
      </c>
      <c r="KF158">
        <v>23</v>
      </c>
      <c r="KG158">
        <v>50540271</v>
      </c>
      <c r="KH158">
        <v>284</v>
      </c>
      <c r="KJ158" s="24"/>
      <c r="KK158">
        <v>68</v>
      </c>
      <c r="KL158">
        <v>70</v>
      </c>
      <c r="KM158">
        <v>70</v>
      </c>
      <c r="KN158">
        <v>137603913</v>
      </c>
      <c r="KO158">
        <v>125</v>
      </c>
      <c r="KQ158" s="24"/>
      <c r="KR158">
        <v>85084</v>
      </c>
      <c r="KS158">
        <v>85420</v>
      </c>
      <c r="KT158">
        <v>85104</v>
      </c>
      <c r="KU158">
        <v>42149</v>
      </c>
      <c r="KV158">
        <v>556</v>
      </c>
      <c r="KX158" s="24"/>
      <c r="KY158">
        <v>530</v>
      </c>
      <c r="KZ158">
        <v>556</v>
      </c>
      <c r="LA158">
        <v>554</v>
      </c>
      <c r="LB158">
        <v>10063845</v>
      </c>
      <c r="LC158">
        <v>200</v>
      </c>
      <c r="LE158" s="24"/>
      <c r="LF158">
        <v>185206</v>
      </c>
      <c r="LG158">
        <v>185400</v>
      </c>
      <c r="LH158">
        <v>185207</v>
      </c>
      <c r="LI158">
        <v>97772</v>
      </c>
      <c r="LJ158">
        <v>760</v>
      </c>
      <c r="LL158" s="24"/>
      <c r="LM158">
        <v>73004</v>
      </c>
      <c r="LN158">
        <v>73201</v>
      </c>
      <c r="LO158">
        <v>73007</v>
      </c>
      <c r="LP158">
        <v>272813</v>
      </c>
      <c r="LQ158">
        <v>1092</v>
      </c>
      <c r="LS158" s="24"/>
      <c r="LT158">
        <v>397</v>
      </c>
      <c r="LU158">
        <v>398</v>
      </c>
      <c r="LV158">
        <v>397</v>
      </c>
      <c r="LW158">
        <v>62694691</v>
      </c>
      <c r="LX158">
        <v>287</v>
      </c>
      <c r="LZ158" s="24"/>
      <c r="MA158">
        <v>114520</v>
      </c>
      <c r="MB158">
        <v>114523</v>
      </c>
      <c r="MC158">
        <v>114523</v>
      </c>
      <c r="MD158">
        <v>566681</v>
      </c>
      <c r="ME158">
        <v>56</v>
      </c>
    </row>
    <row r="159" spans="2:343" x14ac:dyDescent="0.25">
      <c r="B159" s="24"/>
      <c r="C159">
        <v>3</v>
      </c>
      <c r="D159">
        <v>3</v>
      </c>
      <c r="E159">
        <v>3</v>
      </c>
      <c r="F159">
        <v>26061883465</v>
      </c>
      <c r="G159">
        <v>2973</v>
      </c>
      <c r="I159" s="24"/>
      <c r="J159">
        <v>4</v>
      </c>
      <c r="K159">
        <v>4</v>
      </c>
      <c r="L159">
        <v>4</v>
      </c>
      <c r="M159">
        <v>5310677534</v>
      </c>
      <c r="N159">
        <v>2094</v>
      </c>
      <c r="P159" s="24"/>
      <c r="Q159">
        <v>28</v>
      </c>
      <c r="R159">
        <v>28</v>
      </c>
      <c r="S159">
        <v>28</v>
      </c>
      <c r="T159">
        <v>1593457969</v>
      </c>
      <c r="U159">
        <v>1925</v>
      </c>
      <c r="W159" s="24"/>
      <c r="X159">
        <v>74</v>
      </c>
      <c r="Y159">
        <v>75</v>
      </c>
      <c r="Z159">
        <v>75</v>
      </c>
      <c r="AA159">
        <v>360740098</v>
      </c>
      <c r="AB159">
        <v>1470</v>
      </c>
      <c r="AD159" s="24"/>
      <c r="AE159">
        <v>498</v>
      </c>
      <c r="AF159">
        <v>506</v>
      </c>
      <c r="AG159">
        <v>506</v>
      </c>
      <c r="AH159">
        <v>133756540</v>
      </c>
      <c r="AI159">
        <v>1570</v>
      </c>
      <c r="AK159" s="24"/>
      <c r="AL159">
        <v>878</v>
      </c>
      <c r="AM159">
        <v>906</v>
      </c>
      <c r="AN159">
        <v>891</v>
      </c>
      <c r="AO159">
        <v>48936227</v>
      </c>
      <c r="AP159">
        <v>1273</v>
      </c>
      <c r="AR159" s="24"/>
      <c r="AS159">
        <v>2315</v>
      </c>
      <c r="AT159">
        <v>2547</v>
      </c>
      <c r="AU159">
        <v>2440</v>
      </c>
      <c r="AV159">
        <v>24804492</v>
      </c>
      <c r="AW159">
        <v>1294</v>
      </c>
      <c r="AY159" s="24"/>
      <c r="AZ159">
        <v>364400001</v>
      </c>
      <c r="BA159">
        <v>373399998</v>
      </c>
      <c r="BB159">
        <v>370099999</v>
      </c>
      <c r="BC159">
        <v>2108</v>
      </c>
      <c r="BD159">
        <v>1516</v>
      </c>
      <c r="BF159" s="24"/>
      <c r="BG159">
        <v>25625</v>
      </c>
      <c r="BH159">
        <v>25627</v>
      </c>
      <c r="BI159">
        <v>25627</v>
      </c>
      <c r="BJ159">
        <v>1977625</v>
      </c>
      <c r="BK159">
        <v>203</v>
      </c>
      <c r="BM159" s="24"/>
      <c r="BN159">
        <v>5900000</v>
      </c>
      <c r="BO159">
        <v>5900001</v>
      </c>
      <c r="BP159">
        <v>5900000</v>
      </c>
      <c r="BQ159">
        <v>12891</v>
      </c>
      <c r="BR159">
        <v>327</v>
      </c>
      <c r="BT159" s="24"/>
      <c r="BU159">
        <v>2390</v>
      </c>
      <c r="BV159">
        <v>2394</v>
      </c>
      <c r="BW159">
        <v>2391</v>
      </c>
      <c r="BX159">
        <v>20861924</v>
      </c>
      <c r="BY159">
        <v>254</v>
      </c>
      <c r="CA159" s="24"/>
      <c r="CB159">
        <v>442</v>
      </c>
      <c r="CC159">
        <v>442</v>
      </c>
      <c r="CD159">
        <v>442</v>
      </c>
      <c r="CE159">
        <v>68384709</v>
      </c>
      <c r="CF159">
        <v>277</v>
      </c>
      <c r="CH159" s="24"/>
      <c r="CI159">
        <v>23700</v>
      </c>
      <c r="CJ159">
        <v>23967</v>
      </c>
      <c r="CK159">
        <v>23701</v>
      </c>
      <c r="CL159">
        <v>892751</v>
      </c>
      <c r="CM159">
        <v>158</v>
      </c>
      <c r="CO159" s="24"/>
      <c r="CP159">
        <v>7389</v>
      </c>
      <c r="CQ159">
        <v>7864</v>
      </c>
      <c r="CR159">
        <v>7699</v>
      </c>
      <c r="CS159">
        <v>937238</v>
      </c>
      <c r="CT159">
        <v>363</v>
      </c>
      <c r="CV159" s="24"/>
      <c r="CW159">
        <v>1400000</v>
      </c>
      <c r="CX159">
        <v>1420000</v>
      </c>
      <c r="CY159">
        <v>1400006</v>
      </c>
      <c r="CZ159">
        <v>9599</v>
      </c>
      <c r="DA159">
        <v>42</v>
      </c>
      <c r="DC159" s="24"/>
      <c r="DD159">
        <v>439</v>
      </c>
      <c r="DE159">
        <v>449</v>
      </c>
      <c r="DF159">
        <v>439</v>
      </c>
      <c r="DG159">
        <v>44670550</v>
      </c>
      <c r="DH159">
        <v>211</v>
      </c>
      <c r="DJ159" s="24"/>
      <c r="DK159">
        <v>33711270</v>
      </c>
      <c r="DL159">
        <v>36949998</v>
      </c>
      <c r="DM159">
        <v>33800009</v>
      </c>
      <c r="DN159">
        <v>297</v>
      </c>
      <c r="DO159">
        <v>81</v>
      </c>
      <c r="DQ159" s="24"/>
      <c r="DR159">
        <v>1793566</v>
      </c>
      <c r="DS159">
        <v>1949998</v>
      </c>
      <c r="DT159">
        <v>1800012</v>
      </c>
      <c r="DU159">
        <v>3171</v>
      </c>
      <c r="DV159">
        <v>193</v>
      </c>
      <c r="DX159" s="24"/>
      <c r="DY159">
        <v>18702003</v>
      </c>
      <c r="DZ159">
        <v>20000000</v>
      </c>
      <c r="EA159">
        <v>19191130</v>
      </c>
      <c r="EB159">
        <v>209</v>
      </c>
      <c r="EC159">
        <v>73</v>
      </c>
      <c r="EE159" s="24"/>
      <c r="EF159">
        <v>144</v>
      </c>
      <c r="EG159">
        <v>154</v>
      </c>
      <c r="EH159">
        <v>151</v>
      </c>
      <c r="EI159">
        <v>89949051</v>
      </c>
      <c r="EJ159">
        <v>168</v>
      </c>
      <c r="EL159" s="24"/>
      <c r="EM159">
        <v>46901</v>
      </c>
      <c r="EN159">
        <v>48499</v>
      </c>
      <c r="EO159">
        <v>47000</v>
      </c>
      <c r="EP159">
        <v>71864</v>
      </c>
      <c r="EQ159">
        <v>661</v>
      </c>
      <c r="ES159" s="24"/>
      <c r="ET159">
        <v>348</v>
      </c>
      <c r="EU159">
        <v>354</v>
      </c>
      <c r="EV159">
        <v>354</v>
      </c>
      <c r="EW159">
        <v>38266697</v>
      </c>
      <c r="EX159">
        <v>677</v>
      </c>
      <c r="EZ159" s="24"/>
      <c r="FA159">
        <v>3334503</v>
      </c>
      <c r="FB159">
        <v>3449997</v>
      </c>
      <c r="FC159">
        <v>3447997</v>
      </c>
      <c r="FD159">
        <v>1084</v>
      </c>
      <c r="FE159">
        <v>21</v>
      </c>
      <c r="FG159" s="24"/>
      <c r="FH159">
        <v>6132</v>
      </c>
      <c r="FI159">
        <v>6777</v>
      </c>
      <c r="FJ159">
        <v>6699</v>
      </c>
      <c r="FK159">
        <v>1594148</v>
      </c>
      <c r="FL159">
        <v>417</v>
      </c>
      <c r="FN159" s="24"/>
      <c r="FO159">
        <v>19000</v>
      </c>
      <c r="FP159">
        <v>19599</v>
      </c>
      <c r="FQ159">
        <v>19599</v>
      </c>
      <c r="FR159">
        <v>159432</v>
      </c>
      <c r="FS159">
        <v>85</v>
      </c>
      <c r="FU159" s="24"/>
      <c r="FV159">
        <v>19090</v>
      </c>
      <c r="FW159">
        <v>19098</v>
      </c>
      <c r="FX159">
        <v>19090</v>
      </c>
      <c r="FY159">
        <v>364535</v>
      </c>
      <c r="FZ159">
        <v>1309</v>
      </c>
      <c r="GB159" s="24"/>
      <c r="GC159">
        <v>92108244</v>
      </c>
      <c r="GD159">
        <v>100106998</v>
      </c>
      <c r="GE159">
        <v>98667883</v>
      </c>
      <c r="GF159">
        <v>65</v>
      </c>
      <c r="GG159">
        <v>53</v>
      </c>
      <c r="GI159" s="24"/>
      <c r="GJ159">
        <v>26600005</v>
      </c>
      <c r="GK159">
        <v>28699999</v>
      </c>
      <c r="GL159">
        <v>26600010</v>
      </c>
      <c r="GM159">
        <v>204</v>
      </c>
      <c r="GN159">
        <v>57</v>
      </c>
      <c r="GP159" s="24"/>
      <c r="GQ159">
        <v>73</v>
      </c>
      <c r="GR159">
        <v>77</v>
      </c>
      <c r="GS159">
        <v>77</v>
      </c>
      <c r="GT159">
        <v>158594665</v>
      </c>
      <c r="GU159">
        <v>160</v>
      </c>
      <c r="GW159" s="24"/>
      <c r="GX159">
        <v>429</v>
      </c>
      <c r="GY159">
        <v>435</v>
      </c>
      <c r="GZ159">
        <v>433</v>
      </c>
      <c r="HA159">
        <v>48132175</v>
      </c>
      <c r="HB159">
        <v>249</v>
      </c>
      <c r="HD159" s="24"/>
      <c r="HE159">
        <v>5788</v>
      </c>
      <c r="HF159">
        <v>5889</v>
      </c>
      <c r="HG159">
        <v>5834</v>
      </c>
      <c r="HH159">
        <v>23343188</v>
      </c>
      <c r="HI159">
        <v>315</v>
      </c>
      <c r="HK159" s="24"/>
      <c r="HL159">
        <v>95031620</v>
      </c>
      <c r="HM159">
        <v>100001877</v>
      </c>
      <c r="HN159">
        <v>99137003</v>
      </c>
      <c r="HO159">
        <v>61</v>
      </c>
      <c r="HP159">
        <v>47</v>
      </c>
      <c r="HR159" s="24"/>
      <c r="HS159">
        <v>6308</v>
      </c>
      <c r="HT159">
        <v>6999</v>
      </c>
      <c r="HU159">
        <v>6767</v>
      </c>
      <c r="HV159">
        <v>786526</v>
      </c>
      <c r="HW159">
        <v>147</v>
      </c>
      <c r="HY159" s="24"/>
      <c r="HZ159">
        <v>5709</v>
      </c>
      <c r="IA159">
        <v>6005</v>
      </c>
      <c r="IB159">
        <v>5992</v>
      </c>
      <c r="IC159">
        <v>1719428</v>
      </c>
      <c r="ID159">
        <v>395</v>
      </c>
      <c r="IF159" s="24"/>
      <c r="IG159">
        <v>2901</v>
      </c>
      <c r="IH159">
        <v>2999</v>
      </c>
      <c r="II159">
        <v>2999</v>
      </c>
      <c r="IJ159">
        <v>2183436</v>
      </c>
      <c r="IK159">
        <v>172</v>
      </c>
      <c r="IM159" s="24"/>
      <c r="IN159">
        <v>96948008</v>
      </c>
      <c r="IO159">
        <v>104000000</v>
      </c>
      <c r="IP159">
        <v>99000100</v>
      </c>
      <c r="IQ159">
        <v>123</v>
      </c>
      <c r="IR159">
        <v>76</v>
      </c>
      <c r="IT159" s="24"/>
      <c r="IU159">
        <v>7620</v>
      </c>
      <c r="IV159">
        <v>7799</v>
      </c>
      <c r="IW159">
        <v>7700</v>
      </c>
      <c r="IX159">
        <v>1878568</v>
      </c>
      <c r="IY159">
        <v>174</v>
      </c>
      <c r="JA159" s="24"/>
      <c r="JB159">
        <v>99201106</v>
      </c>
      <c r="JC159">
        <v>106996592</v>
      </c>
      <c r="JD159">
        <v>103997563</v>
      </c>
      <c r="JE159">
        <v>62</v>
      </c>
      <c r="JF159">
        <v>44</v>
      </c>
      <c r="JH159" s="24"/>
      <c r="JI159">
        <v>96109715</v>
      </c>
      <c r="JJ159">
        <v>103999500</v>
      </c>
      <c r="JK159">
        <v>103727728</v>
      </c>
      <c r="JL159">
        <v>32</v>
      </c>
      <c r="JM159">
        <v>29</v>
      </c>
      <c r="JO159" s="24"/>
      <c r="JP159">
        <v>71</v>
      </c>
      <c r="JQ159">
        <v>73</v>
      </c>
      <c r="JR159">
        <v>71</v>
      </c>
      <c r="JS159">
        <v>108457869</v>
      </c>
      <c r="JT159">
        <v>125</v>
      </c>
      <c r="JV159" s="24"/>
      <c r="JW159">
        <v>67</v>
      </c>
      <c r="JX159">
        <v>67</v>
      </c>
      <c r="JY159">
        <v>67</v>
      </c>
      <c r="JZ159">
        <v>125364021</v>
      </c>
      <c r="KA159">
        <v>127</v>
      </c>
      <c r="KC159" s="24"/>
      <c r="KD159">
        <v>23</v>
      </c>
      <c r="KE159">
        <v>23</v>
      </c>
      <c r="KF159">
        <v>23</v>
      </c>
      <c r="KG159">
        <v>37425713</v>
      </c>
      <c r="KH159">
        <v>285</v>
      </c>
      <c r="KJ159" s="24"/>
      <c r="KK159">
        <v>70</v>
      </c>
      <c r="KL159">
        <v>70</v>
      </c>
      <c r="KM159">
        <v>70</v>
      </c>
      <c r="KN159">
        <v>122317117</v>
      </c>
      <c r="KO159">
        <v>117</v>
      </c>
      <c r="KQ159" s="24"/>
      <c r="KR159">
        <v>90000</v>
      </c>
      <c r="KS159">
        <v>90000</v>
      </c>
      <c r="KT159">
        <v>90000</v>
      </c>
      <c r="KU159">
        <v>136980</v>
      </c>
      <c r="KV159">
        <v>677</v>
      </c>
      <c r="KX159" s="24"/>
      <c r="KY159">
        <v>553</v>
      </c>
      <c r="KZ159">
        <v>597</v>
      </c>
      <c r="LA159">
        <v>595</v>
      </c>
      <c r="LB159">
        <v>3884383</v>
      </c>
      <c r="LC159">
        <v>166</v>
      </c>
      <c r="LE159" s="24"/>
      <c r="LF159">
        <v>185305</v>
      </c>
      <c r="LG159">
        <v>192999</v>
      </c>
      <c r="LH159">
        <v>185306</v>
      </c>
      <c r="LI159">
        <v>198318</v>
      </c>
      <c r="LJ159">
        <v>968</v>
      </c>
      <c r="LL159" s="24"/>
      <c r="LM159">
        <v>73303</v>
      </c>
      <c r="LN159">
        <v>75007</v>
      </c>
      <c r="LO159">
        <v>74000</v>
      </c>
      <c r="LP159">
        <v>354188</v>
      </c>
      <c r="LQ159">
        <v>1380</v>
      </c>
      <c r="LS159" s="24"/>
      <c r="LT159">
        <v>397</v>
      </c>
      <c r="LU159">
        <v>398</v>
      </c>
      <c r="LV159">
        <v>398</v>
      </c>
      <c r="LW159">
        <v>82834125</v>
      </c>
      <c r="LX159">
        <v>352</v>
      </c>
      <c r="LZ159" s="24"/>
      <c r="MA159">
        <v>114524</v>
      </c>
      <c r="MB159">
        <v>115000</v>
      </c>
      <c r="MC159">
        <v>115000</v>
      </c>
      <c r="MD159">
        <v>637312</v>
      </c>
      <c r="ME159">
        <v>73</v>
      </c>
    </row>
    <row r="160" spans="2:343" x14ac:dyDescent="0.25">
      <c r="B160" s="24"/>
      <c r="C160">
        <v>3</v>
      </c>
      <c r="D160">
        <v>3</v>
      </c>
      <c r="E160">
        <v>3</v>
      </c>
      <c r="F160">
        <v>23044382007</v>
      </c>
      <c r="G160">
        <v>3013</v>
      </c>
      <c r="I160" s="24"/>
      <c r="J160">
        <v>4</v>
      </c>
      <c r="K160">
        <v>4</v>
      </c>
      <c r="L160">
        <v>4</v>
      </c>
      <c r="M160">
        <v>4904202430</v>
      </c>
      <c r="N160">
        <v>2168</v>
      </c>
      <c r="P160" s="24"/>
      <c r="Q160">
        <v>28</v>
      </c>
      <c r="R160">
        <v>28</v>
      </c>
      <c r="S160">
        <v>28</v>
      </c>
      <c r="T160">
        <v>1367816584</v>
      </c>
      <c r="U160">
        <v>1965</v>
      </c>
      <c r="W160" s="24"/>
      <c r="X160">
        <v>72</v>
      </c>
      <c r="Y160">
        <v>75</v>
      </c>
      <c r="Z160">
        <v>75</v>
      </c>
      <c r="AA160">
        <v>297805379</v>
      </c>
      <c r="AB160">
        <v>1538</v>
      </c>
      <c r="AD160" s="24"/>
      <c r="AE160">
        <v>486</v>
      </c>
      <c r="AF160">
        <v>499</v>
      </c>
      <c r="AG160">
        <v>491</v>
      </c>
      <c r="AH160">
        <v>82173179</v>
      </c>
      <c r="AI160">
        <v>1537</v>
      </c>
      <c r="AK160" s="24"/>
      <c r="AL160">
        <v>876</v>
      </c>
      <c r="AM160">
        <v>911</v>
      </c>
      <c r="AN160">
        <v>878</v>
      </c>
      <c r="AO160">
        <v>37187429</v>
      </c>
      <c r="AP160">
        <v>1320</v>
      </c>
      <c r="AR160" s="24"/>
      <c r="AS160">
        <v>2302</v>
      </c>
      <c r="AT160">
        <v>2475</v>
      </c>
      <c r="AU160">
        <v>2335</v>
      </c>
      <c r="AV160">
        <v>12908157</v>
      </c>
      <c r="AW160">
        <v>1197</v>
      </c>
      <c r="AY160" s="24"/>
      <c r="AZ160">
        <v>369999999</v>
      </c>
      <c r="BA160">
        <v>378820049</v>
      </c>
      <c r="BB160">
        <v>373799995</v>
      </c>
      <c r="BC160">
        <v>2048</v>
      </c>
      <c r="BD160">
        <v>1468</v>
      </c>
      <c r="BF160" s="24"/>
      <c r="BG160">
        <v>26001</v>
      </c>
      <c r="BH160">
        <v>26399</v>
      </c>
      <c r="BI160">
        <v>26001</v>
      </c>
      <c r="BJ160">
        <v>1868912</v>
      </c>
      <c r="BK160">
        <v>226</v>
      </c>
      <c r="BM160" s="24"/>
      <c r="BN160">
        <v>5900001</v>
      </c>
      <c r="BO160">
        <v>6010123</v>
      </c>
      <c r="BP160">
        <v>5900002</v>
      </c>
      <c r="BQ160">
        <v>12667</v>
      </c>
      <c r="BR160">
        <v>302</v>
      </c>
      <c r="BT160" s="24"/>
      <c r="BU160">
        <v>2384</v>
      </c>
      <c r="BV160">
        <v>2388</v>
      </c>
      <c r="BW160">
        <v>2388</v>
      </c>
      <c r="BX160">
        <v>21061978</v>
      </c>
      <c r="BY160">
        <v>249</v>
      </c>
      <c r="CA160" s="24"/>
      <c r="CB160">
        <v>442</v>
      </c>
      <c r="CC160">
        <v>442</v>
      </c>
      <c r="CD160">
        <v>442</v>
      </c>
      <c r="CE160">
        <v>62075492</v>
      </c>
      <c r="CF160">
        <v>256</v>
      </c>
      <c r="CH160" s="24"/>
      <c r="CI160">
        <v>24200</v>
      </c>
      <c r="CJ160">
        <v>24301</v>
      </c>
      <c r="CK160">
        <v>24300</v>
      </c>
      <c r="CL160">
        <v>2023502</v>
      </c>
      <c r="CM160">
        <v>208</v>
      </c>
      <c r="CO160" s="24"/>
      <c r="CP160">
        <v>7380</v>
      </c>
      <c r="CQ160">
        <v>7639</v>
      </c>
      <c r="CR160">
        <v>7639</v>
      </c>
      <c r="CS160">
        <v>997474</v>
      </c>
      <c r="CT160">
        <v>351</v>
      </c>
      <c r="CV160" s="24"/>
      <c r="CW160">
        <v>1310000</v>
      </c>
      <c r="CX160">
        <v>1365001</v>
      </c>
      <c r="CY160">
        <v>1350000</v>
      </c>
      <c r="CZ160">
        <v>19388</v>
      </c>
      <c r="DA160">
        <v>53</v>
      </c>
      <c r="DC160" s="24"/>
      <c r="DD160">
        <v>443</v>
      </c>
      <c r="DE160">
        <v>473</v>
      </c>
      <c r="DF160">
        <v>448</v>
      </c>
      <c r="DG160">
        <v>51639290</v>
      </c>
      <c r="DH160">
        <v>199</v>
      </c>
      <c r="DJ160" s="24"/>
      <c r="DK160">
        <v>33938940</v>
      </c>
      <c r="DL160">
        <v>33945114</v>
      </c>
      <c r="DM160">
        <v>33945012</v>
      </c>
      <c r="DN160">
        <v>392</v>
      </c>
      <c r="DO160">
        <v>86</v>
      </c>
      <c r="DQ160" s="24"/>
      <c r="DR160">
        <v>1800717</v>
      </c>
      <c r="DS160">
        <v>1900000</v>
      </c>
      <c r="DT160">
        <v>1800737</v>
      </c>
      <c r="DU160">
        <v>6920</v>
      </c>
      <c r="DV160">
        <v>244</v>
      </c>
      <c r="DX160" s="24"/>
      <c r="DY160">
        <v>19195000</v>
      </c>
      <c r="DZ160">
        <v>20399999</v>
      </c>
      <c r="EA160">
        <v>19200002</v>
      </c>
      <c r="EB160">
        <v>442</v>
      </c>
      <c r="EC160">
        <v>110</v>
      </c>
      <c r="EE160" s="24"/>
      <c r="EF160">
        <v>146</v>
      </c>
      <c r="EG160">
        <v>153</v>
      </c>
      <c r="EH160">
        <v>152</v>
      </c>
      <c r="EI160">
        <v>107612015</v>
      </c>
      <c r="EJ160">
        <v>186</v>
      </c>
      <c r="EL160" s="24"/>
      <c r="EM160">
        <v>47213</v>
      </c>
      <c r="EN160">
        <v>47501</v>
      </c>
      <c r="EO160">
        <v>47408</v>
      </c>
      <c r="EP160">
        <v>81088</v>
      </c>
      <c r="EQ160">
        <v>694</v>
      </c>
      <c r="ES160" s="24"/>
      <c r="ET160">
        <v>355</v>
      </c>
      <c r="EU160">
        <v>358</v>
      </c>
      <c r="EV160">
        <v>355</v>
      </c>
      <c r="EW160">
        <v>47563709</v>
      </c>
      <c r="EX160">
        <v>689</v>
      </c>
      <c r="EZ160" s="24"/>
      <c r="FA160">
        <v>3269012</v>
      </c>
      <c r="FB160">
        <v>3325197</v>
      </c>
      <c r="FC160">
        <v>3320001</v>
      </c>
      <c r="FD160">
        <v>3409</v>
      </c>
      <c r="FE160">
        <v>30</v>
      </c>
      <c r="FG160" s="24"/>
      <c r="FH160">
        <v>6279</v>
      </c>
      <c r="FI160">
        <v>6767</v>
      </c>
      <c r="FJ160">
        <v>6759</v>
      </c>
      <c r="FK160">
        <v>1456901</v>
      </c>
      <c r="FL160">
        <v>423</v>
      </c>
      <c r="FN160" s="24"/>
      <c r="FO160">
        <v>17800</v>
      </c>
      <c r="FP160">
        <v>19573</v>
      </c>
      <c r="FQ160">
        <v>19553</v>
      </c>
      <c r="FR160">
        <v>291644</v>
      </c>
      <c r="FS160">
        <v>97</v>
      </c>
      <c r="FU160" s="24"/>
      <c r="FV160">
        <v>19090</v>
      </c>
      <c r="FW160">
        <v>19095</v>
      </c>
      <c r="FX160">
        <v>19091</v>
      </c>
      <c r="FY160">
        <v>451057</v>
      </c>
      <c r="FZ160">
        <v>1377</v>
      </c>
      <c r="GB160" s="24"/>
      <c r="GC160">
        <v>96023000</v>
      </c>
      <c r="GD160">
        <v>101996000</v>
      </c>
      <c r="GE160">
        <v>101169712</v>
      </c>
      <c r="GF160">
        <v>72</v>
      </c>
      <c r="GG160">
        <v>62</v>
      </c>
      <c r="GI160" s="24"/>
      <c r="GJ160">
        <v>26600039</v>
      </c>
      <c r="GK160">
        <v>27600039</v>
      </c>
      <c r="GL160">
        <v>26600041</v>
      </c>
      <c r="GM160">
        <v>454</v>
      </c>
      <c r="GN160">
        <v>90</v>
      </c>
      <c r="GP160" s="24"/>
      <c r="GQ160">
        <v>71</v>
      </c>
      <c r="GR160">
        <v>77</v>
      </c>
      <c r="GS160">
        <v>77</v>
      </c>
      <c r="GT160">
        <v>164236802</v>
      </c>
      <c r="GU160">
        <v>184</v>
      </c>
      <c r="GW160" s="24"/>
      <c r="GX160">
        <v>442</v>
      </c>
      <c r="GY160">
        <v>445</v>
      </c>
      <c r="GZ160">
        <v>443</v>
      </c>
      <c r="HA160">
        <v>60111489</v>
      </c>
      <c r="HB160">
        <v>259</v>
      </c>
      <c r="HD160" s="24"/>
      <c r="HE160">
        <v>5857</v>
      </c>
      <c r="HF160">
        <v>5868</v>
      </c>
      <c r="HG160">
        <v>5858</v>
      </c>
      <c r="HH160">
        <v>12515121</v>
      </c>
      <c r="HI160">
        <v>245</v>
      </c>
      <c r="HK160" s="24"/>
      <c r="HL160">
        <v>100001000</v>
      </c>
      <c r="HM160">
        <v>104000000</v>
      </c>
      <c r="HN160">
        <v>101491413</v>
      </c>
      <c r="HO160">
        <v>91</v>
      </c>
      <c r="HP160">
        <v>72</v>
      </c>
      <c r="HR160" s="24"/>
      <c r="HS160">
        <v>6300</v>
      </c>
      <c r="HT160">
        <v>6689</v>
      </c>
      <c r="HU160">
        <v>6310</v>
      </c>
      <c r="HV160">
        <v>1403123</v>
      </c>
      <c r="HW160">
        <v>158</v>
      </c>
      <c r="HY160" s="24"/>
      <c r="HZ160">
        <v>5949</v>
      </c>
      <c r="IA160">
        <v>6000</v>
      </c>
      <c r="IB160">
        <v>5987</v>
      </c>
      <c r="IC160">
        <v>1862071</v>
      </c>
      <c r="ID160">
        <v>421</v>
      </c>
      <c r="IF160" s="24"/>
      <c r="IG160">
        <v>2869</v>
      </c>
      <c r="IH160">
        <v>2999</v>
      </c>
      <c r="II160">
        <v>2999</v>
      </c>
      <c r="IJ160">
        <v>1329521</v>
      </c>
      <c r="IK160">
        <v>145</v>
      </c>
      <c r="IM160" s="24"/>
      <c r="IN160">
        <v>99001500</v>
      </c>
      <c r="IO160">
        <v>105495116</v>
      </c>
      <c r="IP160">
        <v>102803865</v>
      </c>
      <c r="IQ160">
        <v>69</v>
      </c>
      <c r="IR160">
        <v>56</v>
      </c>
      <c r="IT160" s="24"/>
      <c r="IU160">
        <v>7450</v>
      </c>
      <c r="IV160">
        <v>7797</v>
      </c>
      <c r="IW160">
        <v>7749</v>
      </c>
      <c r="IX160">
        <v>1339129</v>
      </c>
      <c r="IY160">
        <v>152</v>
      </c>
      <c r="JA160" s="24"/>
      <c r="JB160">
        <v>99225000</v>
      </c>
      <c r="JC160">
        <v>106992000</v>
      </c>
      <c r="JD160">
        <v>104485225</v>
      </c>
      <c r="JE160">
        <v>67</v>
      </c>
      <c r="JF160">
        <v>59</v>
      </c>
      <c r="JH160" s="24"/>
      <c r="JI160">
        <v>98995500</v>
      </c>
      <c r="JJ160">
        <v>103993700</v>
      </c>
      <c r="JK160">
        <v>103390437</v>
      </c>
      <c r="JL160">
        <v>48</v>
      </c>
      <c r="JM160">
        <v>43</v>
      </c>
      <c r="JO160" s="24"/>
      <c r="JP160">
        <v>71</v>
      </c>
      <c r="JQ160">
        <v>73</v>
      </c>
      <c r="JR160">
        <v>73</v>
      </c>
      <c r="JS160">
        <v>110087914</v>
      </c>
      <c r="JT160">
        <v>94</v>
      </c>
      <c r="JV160" s="24"/>
      <c r="JW160">
        <v>67</v>
      </c>
      <c r="JX160">
        <v>68</v>
      </c>
      <c r="JY160">
        <v>67</v>
      </c>
      <c r="JZ160">
        <v>123401969</v>
      </c>
      <c r="KA160">
        <v>125</v>
      </c>
      <c r="KC160" s="24"/>
      <c r="KD160">
        <v>23</v>
      </c>
      <c r="KE160">
        <v>23</v>
      </c>
      <c r="KF160">
        <v>23</v>
      </c>
      <c r="KG160">
        <v>32673781</v>
      </c>
      <c r="KH160">
        <v>296</v>
      </c>
      <c r="KJ160" s="24"/>
      <c r="KK160">
        <v>68</v>
      </c>
      <c r="KL160">
        <v>70</v>
      </c>
      <c r="KM160">
        <v>70</v>
      </c>
      <c r="KN160">
        <v>91919805</v>
      </c>
      <c r="KO160">
        <v>114</v>
      </c>
      <c r="KQ160" s="24"/>
      <c r="KR160">
        <v>90000</v>
      </c>
      <c r="KS160">
        <v>90000</v>
      </c>
      <c r="KT160">
        <v>90000</v>
      </c>
      <c r="KU160">
        <v>58396</v>
      </c>
      <c r="KV160">
        <v>647</v>
      </c>
      <c r="KX160" s="24"/>
      <c r="KY160">
        <v>558</v>
      </c>
      <c r="KZ160">
        <v>594</v>
      </c>
      <c r="LA160">
        <v>583</v>
      </c>
      <c r="LB160">
        <v>10508553</v>
      </c>
      <c r="LC160">
        <v>191</v>
      </c>
      <c r="LE160" s="24"/>
      <c r="LF160">
        <v>184000</v>
      </c>
      <c r="LG160">
        <v>185307</v>
      </c>
      <c r="LH160">
        <v>185304</v>
      </c>
      <c r="LI160">
        <v>166502</v>
      </c>
      <c r="LJ160">
        <v>997</v>
      </c>
      <c r="LL160" s="24"/>
      <c r="LM160">
        <v>74010</v>
      </c>
      <c r="LN160">
        <v>74010</v>
      </c>
      <c r="LO160">
        <v>74010</v>
      </c>
      <c r="LP160">
        <v>384394</v>
      </c>
      <c r="LQ160">
        <v>1389</v>
      </c>
      <c r="LS160" s="24"/>
      <c r="LT160">
        <v>397</v>
      </c>
      <c r="LU160">
        <v>399</v>
      </c>
      <c r="LV160">
        <v>399</v>
      </c>
      <c r="LW160">
        <v>76813234</v>
      </c>
      <c r="LX160">
        <v>341</v>
      </c>
      <c r="LZ160" s="24"/>
      <c r="MA160">
        <v>113001</v>
      </c>
      <c r="MB160">
        <v>116252</v>
      </c>
      <c r="MC160">
        <v>114500</v>
      </c>
      <c r="MD160">
        <v>1347429</v>
      </c>
      <c r="ME160">
        <v>98</v>
      </c>
    </row>
    <row r="161" spans="2:343" x14ac:dyDescent="0.25">
      <c r="B161" s="24"/>
      <c r="C161">
        <v>3</v>
      </c>
      <c r="D161">
        <v>3</v>
      </c>
      <c r="E161">
        <v>3</v>
      </c>
      <c r="F161">
        <v>31024904103</v>
      </c>
      <c r="G161">
        <v>2759</v>
      </c>
      <c r="I161" s="24"/>
      <c r="J161">
        <v>4</v>
      </c>
      <c r="K161">
        <v>4</v>
      </c>
      <c r="L161">
        <v>4</v>
      </c>
      <c r="M161">
        <v>6493445760</v>
      </c>
      <c r="N161">
        <v>1919</v>
      </c>
      <c r="P161" s="24"/>
      <c r="Q161">
        <v>28</v>
      </c>
      <c r="R161">
        <v>28</v>
      </c>
      <c r="S161">
        <v>28</v>
      </c>
      <c r="T161">
        <v>1873059395</v>
      </c>
      <c r="U161">
        <v>1750</v>
      </c>
      <c r="W161" s="24"/>
      <c r="X161">
        <v>72</v>
      </c>
      <c r="Y161">
        <v>75</v>
      </c>
      <c r="Z161">
        <v>75</v>
      </c>
      <c r="AA161">
        <v>288245434</v>
      </c>
      <c r="AB161">
        <v>1358</v>
      </c>
      <c r="AD161" s="24"/>
      <c r="AE161">
        <v>487</v>
      </c>
      <c r="AF161">
        <v>492</v>
      </c>
      <c r="AG161">
        <v>491</v>
      </c>
      <c r="AH161">
        <v>90716546</v>
      </c>
      <c r="AI161">
        <v>1410</v>
      </c>
      <c r="AK161" s="24"/>
      <c r="AL161">
        <v>871</v>
      </c>
      <c r="AM161">
        <v>901</v>
      </c>
      <c r="AN161">
        <v>889</v>
      </c>
      <c r="AO161">
        <v>28734870</v>
      </c>
      <c r="AP161">
        <v>1126</v>
      </c>
      <c r="AR161" s="24"/>
      <c r="AS161">
        <v>2339</v>
      </c>
      <c r="AT161">
        <v>2449</v>
      </c>
      <c r="AU161">
        <v>2429</v>
      </c>
      <c r="AV161">
        <v>14637597</v>
      </c>
      <c r="AW161">
        <v>1137</v>
      </c>
      <c r="AY161" s="24"/>
      <c r="AZ161">
        <v>376252000</v>
      </c>
      <c r="BA161">
        <v>385011000</v>
      </c>
      <c r="BB161">
        <v>377999999</v>
      </c>
      <c r="BC161">
        <v>1839</v>
      </c>
      <c r="BD161">
        <v>1339</v>
      </c>
      <c r="BF161" s="24"/>
      <c r="BG161">
        <v>26300</v>
      </c>
      <c r="BH161">
        <v>26600</v>
      </c>
      <c r="BI161">
        <v>26500</v>
      </c>
      <c r="BJ161">
        <v>2055648</v>
      </c>
      <c r="BK161">
        <v>197</v>
      </c>
      <c r="BM161" s="24"/>
      <c r="BN161">
        <v>5901102</v>
      </c>
      <c r="BO161">
        <v>6279995</v>
      </c>
      <c r="BP161">
        <v>5901102</v>
      </c>
      <c r="BQ161">
        <v>10078</v>
      </c>
      <c r="BR161">
        <v>254</v>
      </c>
      <c r="BT161" s="24"/>
      <c r="BU161">
        <v>2387</v>
      </c>
      <c r="BV161">
        <v>2387</v>
      </c>
      <c r="BW161">
        <v>2387</v>
      </c>
      <c r="BX161">
        <v>20339537</v>
      </c>
      <c r="BY161">
        <v>227</v>
      </c>
      <c r="CA161" s="24"/>
      <c r="CB161">
        <v>442</v>
      </c>
      <c r="CC161">
        <v>442</v>
      </c>
      <c r="CD161">
        <v>442</v>
      </c>
      <c r="CE161">
        <v>58324463</v>
      </c>
      <c r="CF161">
        <v>227</v>
      </c>
      <c r="CH161" s="24"/>
      <c r="CI161">
        <v>24480</v>
      </c>
      <c r="CJ161">
        <v>24481</v>
      </c>
      <c r="CK161">
        <v>24481</v>
      </c>
      <c r="CL161">
        <v>746835</v>
      </c>
      <c r="CM161">
        <v>145</v>
      </c>
      <c r="CO161" s="24"/>
      <c r="CP161">
        <v>7590</v>
      </c>
      <c r="CQ161">
        <v>7964</v>
      </c>
      <c r="CR161">
        <v>7849</v>
      </c>
      <c r="CS161">
        <v>866570</v>
      </c>
      <c r="CT161">
        <v>398</v>
      </c>
      <c r="CV161" s="24"/>
      <c r="CW161">
        <v>1308891</v>
      </c>
      <c r="CX161">
        <v>1439999</v>
      </c>
      <c r="CY161">
        <v>1308992</v>
      </c>
      <c r="CZ161">
        <v>10806</v>
      </c>
      <c r="DA161">
        <v>33</v>
      </c>
      <c r="DC161" s="24"/>
      <c r="DD161">
        <v>444</v>
      </c>
      <c r="DE161">
        <v>479</v>
      </c>
      <c r="DF161">
        <v>472</v>
      </c>
      <c r="DG161">
        <v>42820313</v>
      </c>
      <c r="DH161">
        <v>157</v>
      </c>
      <c r="DJ161" s="24"/>
      <c r="DK161">
        <v>33946009</v>
      </c>
      <c r="DL161">
        <v>33950168</v>
      </c>
      <c r="DM161">
        <v>33950126</v>
      </c>
      <c r="DN161">
        <v>172</v>
      </c>
      <c r="DO161">
        <v>67</v>
      </c>
      <c r="DQ161" s="24"/>
      <c r="DR161">
        <v>1850000</v>
      </c>
      <c r="DS161">
        <v>2125113</v>
      </c>
      <c r="DT161">
        <v>2097000</v>
      </c>
      <c r="DU161">
        <v>7190</v>
      </c>
      <c r="DV161">
        <v>245</v>
      </c>
      <c r="DX161" s="24"/>
      <c r="DY161">
        <v>18704001</v>
      </c>
      <c r="DZ161">
        <v>19010008</v>
      </c>
      <c r="EA161">
        <v>18994003</v>
      </c>
      <c r="EB161">
        <v>269</v>
      </c>
      <c r="EC161">
        <v>81</v>
      </c>
      <c r="EE161" s="24"/>
      <c r="EF161">
        <v>146</v>
      </c>
      <c r="EG161">
        <v>146</v>
      </c>
      <c r="EH161">
        <v>146</v>
      </c>
      <c r="EI161">
        <v>103163964</v>
      </c>
      <c r="EJ161">
        <v>176</v>
      </c>
      <c r="EL161" s="24"/>
      <c r="EM161">
        <v>47700</v>
      </c>
      <c r="EN161">
        <v>48204</v>
      </c>
      <c r="EO161">
        <v>48010</v>
      </c>
      <c r="EP161">
        <v>39395</v>
      </c>
      <c r="EQ161">
        <v>567</v>
      </c>
      <c r="ES161" s="24"/>
      <c r="ET161">
        <v>333</v>
      </c>
      <c r="EU161">
        <v>353</v>
      </c>
      <c r="EV161">
        <v>346</v>
      </c>
      <c r="EW161">
        <v>44037781</v>
      </c>
      <c r="EX161">
        <v>536</v>
      </c>
      <c r="EZ161" s="24"/>
      <c r="FA161">
        <v>3269114</v>
      </c>
      <c r="FB161">
        <v>3445997</v>
      </c>
      <c r="FC161">
        <v>3445996</v>
      </c>
      <c r="FD161">
        <v>1954</v>
      </c>
      <c r="FE161">
        <v>24</v>
      </c>
      <c r="FG161" s="24"/>
      <c r="FH161">
        <v>6311</v>
      </c>
      <c r="FI161">
        <v>6735</v>
      </c>
      <c r="FJ161">
        <v>6711</v>
      </c>
      <c r="FK161">
        <v>1612680</v>
      </c>
      <c r="FL161">
        <v>377</v>
      </c>
      <c r="FN161" s="24"/>
      <c r="FO161">
        <v>17302</v>
      </c>
      <c r="FP161">
        <v>18999</v>
      </c>
      <c r="FQ161">
        <v>18500</v>
      </c>
      <c r="FR161">
        <v>92758</v>
      </c>
      <c r="FS161">
        <v>84</v>
      </c>
      <c r="FU161" s="24"/>
      <c r="FV161">
        <v>19092</v>
      </c>
      <c r="FW161">
        <v>19295</v>
      </c>
      <c r="FX161">
        <v>19097</v>
      </c>
      <c r="FY161">
        <v>287391</v>
      </c>
      <c r="FZ161">
        <v>1047</v>
      </c>
      <c r="GB161" s="24"/>
      <c r="GC161">
        <v>96808008</v>
      </c>
      <c r="GD161">
        <v>104000000</v>
      </c>
      <c r="GE161">
        <v>102190310</v>
      </c>
      <c r="GF161">
        <v>69</v>
      </c>
      <c r="GG161">
        <v>43</v>
      </c>
      <c r="GI161" s="24"/>
      <c r="GJ161">
        <v>26700006</v>
      </c>
      <c r="GK161">
        <v>26801001</v>
      </c>
      <c r="GL161">
        <v>26703005</v>
      </c>
      <c r="GM161">
        <v>220</v>
      </c>
      <c r="GN161">
        <v>61</v>
      </c>
      <c r="GP161" s="24"/>
      <c r="GQ161">
        <v>71</v>
      </c>
      <c r="GR161">
        <v>76</v>
      </c>
      <c r="GS161">
        <v>71</v>
      </c>
      <c r="GT161">
        <v>140430439</v>
      </c>
      <c r="GU161">
        <v>112</v>
      </c>
      <c r="GW161" s="24"/>
      <c r="GX161">
        <v>439</v>
      </c>
      <c r="GY161">
        <v>470</v>
      </c>
      <c r="GZ161">
        <v>465</v>
      </c>
      <c r="HA161">
        <v>50454895</v>
      </c>
      <c r="HB161">
        <v>228</v>
      </c>
      <c r="HD161" s="24"/>
      <c r="HE161">
        <v>5722</v>
      </c>
      <c r="HF161">
        <v>5855</v>
      </c>
      <c r="HG161">
        <v>5854</v>
      </c>
      <c r="HH161">
        <v>14801017</v>
      </c>
      <c r="HI161">
        <v>235</v>
      </c>
      <c r="HK161" s="24"/>
      <c r="HL161">
        <v>98010000</v>
      </c>
      <c r="HM161">
        <v>107153312</v>
      </c>
      <c r="HN161">
        <v>103220110</v>
      </c>
      <c r="HO161">
        <v>87</v>
      </c>
      <c r="HP161">
        <v>61</v>
      </c>
      <c r="HR161" s="24"/>
      <c r="HS161">
        <v>6400</v>
      </c>
      <c r="HT161">
        <v>6979</v>
      </c>
      <c r="HU161">
        <v>6766</v>
      </c>
      <c r="HV161">
        <v>410441</v>
      </c>
      <c r="HW161">
        <v>105</v>
      </c>
      <c r="HY161" s="24"/>
      <c r="HZ161">
        <v>6000</v>
      </c>
      <c r="IA161">
        <v>6248</v>
      </c>
      <c r="IB161">
        <v>6147</v>
      </c>
      <c r="IC161">
        <v>1704015</v>
      </c>
      <c r="ID161">
        <v>375</v>
      </c>
      <c r="IF161" s="24"/>
      <c r="IG161">
        <v>2999</v>
      </c>
      <c r="IH161">
        <v>2999</v>
      </c>
      <c r="II161">
        <v>2999</v>
      </c>
      <c r="IJ161">
        <v>891890</v>
      </c>
      <c r="IK161">
        <v>116</v>
      </c>
      <c r="IM161" s="24"/>
      <c r="IN161">
        <v>99019500</v>
      </c>
      <c r="IO161">
        <v>108000000</v>
      </c>
      <c r="IP161">
        <v>105495120</v>
      </c>
      <c r="IQ161">
        <v>109</v>
      </c>
      <c r="IR161">
        <v>63</v>
      </c>
      <c r="IT161" s="24"/>
      <c r="IU161">
        <v>7411</v>
      </c>
      <c r="IV161">
        <v>7411</v>
      </c>
      <c r="IW161">
        <v>7411</v>
      </c>
      <c r="IX161">
        <v>1167370</v>
      </c>
      <c r="IY161">
        <v>120</v>
      </c>
      <c r="JA161" s="24"/>
      <c r="JB161">
        <v>99266000</v>
      </c>
      <c r="JC161">
        <v>106899999</v>
      </c>
      <c r="JD161">
        <v>103165944</v>
      </c>
      <c r="JE161">
        <v>77</v>
      </c>
      <c r="JF161">
        <v>67</v>
      </c>
      <c r="JH161" s="24"/>
      <c r="JI161">
        <v>99114310</v>
      </c>
      <c r="JJ161">
        <v>108104699</v>
      </c>
      <c r="JK161">
        <v>104084794</v>
      </c>
      <c r="JL161">
        <v>89</v>
      </c>
      <c r="JM161">
        <v>53</v>
      </c>
      <c r="JO161" s="24"/>
      <c r="JP161">
        <v>70</v>
      </c>
      <c r="JQ161">
        <v>73</v>
      </c>
      <c r="JR161">
        <v>73</v>
      </c>
      <c r="JS161">
        <v>77020311</v>
      </c>
      <c r="JT161">
        <v>89</v>
      </c>
      <c r="JV161" s="24"/>
      <c r="JW161">
        <v>65</v>
      </c>
      <c r="JX161">
        <v>67</v>
      </c>
      <c r="JY161">
        <v>67</v>
      </c>
      <c r="JZ161">
        <v>80577030</v>
      </c>
      <c r="KA161">
        <v>104</v>
      </c>
      <c r="KC161" s="24"/>
      <c r="KD161">
        <v>22</v>
      </c>
      <c r="KE161">
        <v>23</v>
      </c>
      <c r="KF161">
        <v>22</v>
      </c>
      <c r="KG161">
        <v>47093916</v>
      </c>
      <c r="KH161">
        <v>254</v>
      </c>
      <c r="KJ161" s="24"/>
      <c r="KK161">
        <v>69</v>
      </c>
      <c r="KL161">
        <v>71</v>
      </c>
      <c r="KM161">
        <v>69</v>
      </c>
      <c r="KN161">
        <v>118656882</v>
      </c>
      <c r="KO161">
        <v>94</v>
      </c>
      <c r="KQ161" s="24"/>
      <c r="KR161">
        <v>90000</v>
      </c>
      <c r="KS161">
        <v>90001</v>
      </c>
      <c r="KT161">
        <v>90000</v>
      </c>
      <c r="KU161">
        <v>48758</v>
      </c>
      <c r="KV161">
        <v>475</v>
      </c>
      <c r="KX161" s="24"/>
      <c r="KY161">
        <v>516</v>
      </c>
      <c r="KZ161">
        <v>583</v>
      </c>
      <c r="LA161">
        <v>579</v>
      </c>
      <c r="LB161">
        <v>4080521</v>
      </c>
      <c r="LC161">
        <v>152</v>
      </c>
      <c r="LE161" s="24"/>
      <c r="LF161">
        <v>184250</v>
      </c>
      <c r="LG161">
        <v>185000</v>
      </c>
      <c r="LH161">
        <v>184255</v>
      </c>
      <c r="LI161">
        <v>62373</v>
      </c>
      <c r="LJ161">
        <v>676</v>
      </c>
      <c r="LL161" s="24"/>
      <c r="LM161">
        <v>74101</v>
      </c>
      <c r="LN161">
        <v>75126</v>
      </c>
      <c r="LO161">
        <v>74124</v>
      </c>
      <c r="LP161">
        <v>273852</v>
      </c>
      <c r="LQ161">
        <v>1060</v>
      </c>
      <c r="LS161" s="24"/>
      <c r="LT161">
        <v>399</v>
      </c>
      <c r="LU161">
        <v>399</v>
      </c>
      <c r="LV161">
        <v>399</v>
      </c>
      <c r="LW161">
        <v>71721148</v>
      </c>
      <c r="LX161">
        <v>311</v>
      </c>
      <c r="LZ161" s="24"/>
      <c r="MA161">
        <v>118949</v>
      </c>
      <c r="MB161">
        <v>119999</v>
      </c>
      <c r="MC161">
        <v>118950</v>
      </c>
      <c r="MD161">
        <v>863704</v>
      </c>
      <c r="ME161">
        <v>88</v>
      </c>
    </row>
    <row r="162" spans="2:343" x14ac:dyDescent="0.25">
      <c r="B162" s="24"/>
      <c r="C162">
        <v>3</v>
      </c>
      <c r="D162">
        <v>3</v>
      </c>
      <c r="E162">
        <v>3</v>
      </c>
      <c r="F162">
        <v>23279043302</v>
      </c>
      <c r="G162">
        <v>2648</v>
      </c>
      <c r="I162" s="24"/>
      <c r="J162">
        <v>4</v>
      </c>
      <c r="K162">
        <v>4</v>
      </c>
      <c r="L162">
        <v>4</v>
      </c>
      <c r="M162">
        <v>3715027014</v>
      </c>
      <c r="N162">
        <v>1836</v>
      </c>
      <c r="P162" s="24"/>
      <c r="Q162">
        <v>28</v>
      </c>
      <c r="R162">
        <v>28</v>
      </c>
      <c r="S162">
        <v>28</v>
      </c>
      <c r="T162">
        <v>1500475304</v>
      </c>
      <c r="U162">
        <v>1780</v>
      </c>
      <c r="W162" s="24"/>
      <c r="X162">
        <v>75</v>
      </c>
      <c r="Y162">
        <v>75</v>
      </c>
      <c r="Z162">
        <v>75</v>
      </c>
      <c r="AA162">
        <v>361298842</v>
      </c>
      <c r="AB162">
        <v>1369</v>
      </c>
      <c r="AD162" s="24"/>
      <c r="AE162">
        <v>489</v>
      </c>
      <c r="AF162">
        <v>503</v>
      </c>
      <c r="AG162">
        <v>498</v>
      </c>
      <c r="AH162">
        <v>59785267</v>
      </c>
      <c r="AI162">
        <v>1400</v>
      </c>
      <c r="AK162" s="24"/>
      <c r="AL162">
        <v>869</v>
      </c>
      <c r="AM162">
        <v>889</v>
      </c>
      <c r="AN162">
        <v>869</v>
      </c>
      <c r="AO162">
        <v>38746164</v>
      </c>
      <c r="AP162">
        <v>1148</v>
      </c>
      <c r="AR162" s="24"/>
      <c r="AS162">
        <v>2250</v>
      </c>
      <c r="AT162">
        <v>2371</v>
      </c>
      <c r="AU162">
        <v>2335</v>
      </c>
      <c r="AV162">
        <v>13092853</v>
      </c>
      <c r="AW162">
        <v>1093</v>
      </c>
      <c r="AY162" s="24"/>
      <c r="AZ162">
        <v>377600000</v>
      </c>
      <c r="BA162">
        <v>384999997</v>
      </c>
      <c r="BB162">
        <v>383500000</v>
      </c>
      <c r="BC162">
        <v>2192</v>
      </c>
      <c r="BD162">
        <v>1491</v>
      </c>
      <c r="BF162" s="24"/>
      <c r="BG162">
        <v>26500</v>
      </c>
      <c r="BH162">
        <v>26500</v>
      </c>
      <c r="BI162">
        <v>26500</v>
      </c>
      <c r="BJ162">
        <v>2409803</v>
      </c>
      <c r="BK162">
        <v>186</v>
      </c>
      <c r="BM162" s="24"/>
      <c r="BN162">
        <v>5852003</v>
      </c>
      <c r="BO162">
        <v>5852016</v>
      </c>
      <c r="BP162">
        <v>5852016</v>
      </c>
      <c r="BQ162">
        <v>7096</v>
      </c>
      <c r="BR162">
        <v>268</v>
      </c>
      <c r="BT162" s="24"/>
      <c r="BU162">
        <v>2387</v>
      </c>
      <c r="BV162">
        <v>2387</v>
      </c>
      <c r="BW162">
        <v>2387</v>
      </c>
      <c r="BX162">
        <v>22201320</v>
      </c>
      <c r="BY162">
        <v>204</v>
      </c>
      <c r="CA162" s="24"/>
      <c r="CB162">
        <v>442</v>
      </c>
      <c r="CC162">
        <v>442</v>
      </c>
      <c r="CD162">
        <v>442</v>
      </c>
      <c r="CE162">
        <v>59631967</v>
      </c>
      <c r="CF162">
        <v>234</v>
      </c>
      <c r="CH162" s="24"/>
      <c r="CI162">
        <v>24481</v>
      </c>
      <c r="CJ162">
        <v>24481</v>
      </c>
      <c r="CK162">
        <v>24481</v>
      </c>
      <c r="CL162">
        <v>1418075</v>
      </c>
      <c r="CM162">
        <v>147</v>
      </c>
      <c r="CO162" s="24"/>
      <c r="CP162">
        <v>7624</v>
      </c>
      <c r="CQ162">
        <v>7998</v>
      </c>
      <c r="CR162">
        <v>7850</v>
      </c>
      <c r="CS162">
        <v>691974</v>
      </c>
      <c r="CT162">
        <v>319</v>
      </c>
      <c r="CV162" s="24"/>
      <c r="CW162">
        <v>1300000</v>
      </c>
      <c r="CX162">
        <v>1320994</v>
      </c>
      <c r="CY162">
        <v>1300000</v>
      </c>
      <c r="CZ162">
        <v>4830</v>
      </c>
      <c r="DA162">
        <v>20</v>
      </c>
      <c r="DC162" s="24"/>
      <c r="DD162">
        <v>477</v>
      </c>
      <c r="DE162">
        <v>484</v>
      </c>
      <c r="DF162">
        <v>484</v>
      </c>
      <c r="DG162">
        <v>22271196</v>
      </c>
      <c r="DH162">
        <v>159</v>
      </c>
      <c r="DJ162" s="24"/>
      <c r="DK162">
        <v>34000007</v>
      </c>
      <c r="DL162">
        <v>34400000</v>
      </c>
      <c r="DM162">
        <v>34000008</v>
      </c>
      <c r="DN162">
        <v>540</v>
      </c>
      <c r="DO162">
        <v>91</v>
      </c>
      <c r="DQ162" s="24"/>
      <c r="DR162">
        <v>1800718</v>
      </c>
      <c r="DS162">
        <v>1851503</v>
      </c>
      <c r="DT162">
        <v>1851410</v>
      </c>
      <c r="DU162">
        <v>7518</v>
      </c>
      <c r="DV162">
        <v>226</v>
      </c>
      <c r="DX162" s="24"/>
      <c r="DY162">
        <v>19500004</v>
      </c>
      <c r="DZ162">
        <v>20500000</v>
      </c>
      <c r="EA162">
        <v>19600002</v>
      </c>
      <c r="EB162">
        <v>426</v>
      </c>
      <c r="EC162">
        <v>91</v>
      </c>
      <c r="EE162" s="24"/>
      <c r="EF162">
        <v>146</v>
      </c>
      <c r="EG162">
        <v>153</v>
      </c>
      <c r="EH162">
        <v>150</v>
      </c>
      <c r="EI162">
        <v>45833648</v>
      </c>
      <c r="EJ162">
        <v>131</v>
      </c>
      <c r="EL162" s="24"/>
      <c r="EM162">
        <v>48206</v>
      </c>
      <c r="EN162">
        <v>50518</v>
      </c>
      <c r="EO162">
        <v>48355</v>
      </c>
      <c r="EP162">
        <v>72185</v>
      </c>
      <c r="EQ162">
        <v>646</v>
      </c>
      <c r="ES162" s="24"/>
      <c r="ET162">
        <v>342</v>
      </c>
      <c r="EU162">
        <v>352</v>
      </c>
      <c r="EV162">
        <v>352</v>
      </c>
      <c r="EW162">
        <v>33872106</v>
      </c>
      <c r="EX162">
        <v>540</v>
      </c>
      <c r="EZ162" s="24"/>
      <c r="FA162">
        <v>3320000</v>
      </c>
      <c r="FB162">
        <v>3439000</v>
      </c>
      <c r="FC162">
        <v>3430000</v>
      </c>
      <c r="FD162">
        <v>414</v>
      </c>
      <c r="FE162">
        <v>10</v>
      </c>
      <c r="FG162" s="24"/>
      <c r="FH162">
        <v>6313</v>
      </c>
      <c r="FI162">
        <v>6699</v>
      </c>
      <c r="FJ162">
        <v>6620</v>
      </c>
      <c r="FK162">
        <v>2269184</v>
      </c>
      <c r="FL162">
        <v>337</v>
      </c>
      <c r="FN162" s="24"/>
      <c r="FO162">
        <v>18999</v>
      </c>
      <c r="FP162">
        <v>18999</v>
      </c>
      <c r="FQ162">
        <v>18999</v>
      </c>
      <c r="FR162">
        <v>65489</v>
      </c>
      <c r="FS162">
        <v>64</v>
      </c>
      <c r="FU162" s="24"/>
      <c r="FV162">
        <v>19103</v>
      </c>
      <c r="FW162">
        <v>19118</v>
      </c>
      <c r="FX162">
        <v>19117</v>
      </c>
      <c r="FY162">
        <v>330223</v>
      </c>
      <c r="FZ162">
        <v>1060</v>
      </c>
      <c r="GB162" s="24"/>
      <c r="GC162">
        <v>98117000</v>
      </c>
      <c r="GD162">
        <v>105000000</v>
      </c>
      <c r="GE162">
        <v>104221999</v>
      </c>
      <c r="GF162">
        <v>117</v>
      </c>
      <c r="GG162">
        <v>75</v>
      </c>
      <c r="GI162" s="24"/>
      <c r="GJ162">
        <v>26600025</v>
      </c>
      <c r="GK162">
        <v>27000000</v>
      </c>
      <c r="GL162">
        <v>26703002</v>
      </c>
      <c r="GM162">
        <v>378</v>
      </c>
      <c r="GN162">
        <v>87</v>
      </c>
      <c r="GP162" s="24"/>
      <c r="GQ162">
        <v>71</v>
      </c>
      <c r="GR162">
        <v>75</v>
      </c>
      <c r="GS162">
        <v>75</v>
      </c>
      <c r="GT162">
        <v>117300598</v>
      </c>
      <c r="GU162">
        <v>122</v>
      </c>
      <c r="GW162" s="24"/>
      <c r="GX162">
        <v>442</v>
      </c>
      <c r="GY162">
        <v>450</v>
      </c>
      <c r="GZ162">
        <v>449</v>
      </c>
      <c r="HA162">
        <v>44445057</v>
      </c>
      <c r="HB162">
        <v>201</v>
      </c>
      <c r="HD162" s="24"/>
      <c r="HE162">
        <v>5782</v>
      </c>
      <c r="HF162">
        <v>5843</v>
      </c>
      <c r="HG162">
        <v>5843</v>
      </c>
      <c r="HH162">
        <v>8574458</v>
      </c>
      <c r="HI162">
        <v>193</v>
      </c>
      <c r="HK162" s="24"/>
      <c r="HL162">
        <v>98513002</v>
      </c>
      <c r="HM162">
        <v>107153308</v>
      </c>
      <c r="HN162">
        <v>103731493</v>
      </c>
      <c r="HO162">
        <v>80</v>
      </c>
      <c r="HP162">
        <v>57</v>
      </c>
      <c r="HR162" s="24"/>
      <c r="HS162">
        <v>6001</v>
      </c>
      <c r="HT162">
        <v>6800</v>
      </c>
      <c r="HU162">
        <v>6747</v>
      </c>
      <c r="HV162">
        <v>586304</v>
      </c>
      <c r="HW162">
        <v>105</v>
      </c>
      <c r="HY162" s="24"/>
      <c r="HZ162">
        <v>5604</v>
      </c>
      <c r="IA162">
        <v>6297</v>
      </c>
      <c r="IB162">
        <v>6243</v>
      </c>
      <c r="IC162">
        <v>1547084</v>
      </c>
      <c r="ID162">
        <v>386</v>
      </c>
      <c r="IF162" s="24"/>
      <c r="IG162">
        <v>2867</v>
      </c>
      <c r="IH162">
        <v>2970</v>
      </c>
      <c r="II162">
        <v>2922</v>
      </c>
      <c r="IJ162">
        <v>1302759</v>
      </c>
      <c r="IK162">
        <v>129</v>
      </c>
      <c r="IM162" s="24"/>
      <c r="IN162">
        <v>99042001</v>
      </c>
      <c r="IO162">
        <v>110926898</v>
      </c>
      <c r="IP162">
        <v>106579666</v>
      </c>
      <c r="IQ162">
        <v>78</v>
      </c>
      <c r="IR162">
        <v>58</v>
      </c>
      <c r="IT162" s="24"/>
      <c r="IU162">
        <v>7413</v>
      </c>
      <c r="IV162">
        <v>7793</v>
      </c>
      <c r="IW162">
        <v>7650</v>
      </c>
      <c r="IX162">
        <v>891253</v>
      </c>
      <c r="IY162">
        <v>128</v>
      </c>
      <c r="JA162" s="24"/>
      <c r="JB162">
        <v>99501006</v>
      </c>
      <c r="JC162">
        <v>106767996</v>
      </c>
      <c r="JD162">
        <v>99504000</v>
      </c>
      <c r="JE162">
        <v>138</v>
      </c>
      <c r="JF162">
        <v>73</v>
      </c>
      <c r="JH162" s="24"/>
      <c r="JI162">
        <v>99224000</v>
      </c>
      <c r="JJ162">
        <v>108206990</v>
      </c>
      <c r="JK162">
        <v>106853784</v>
      </c>
      <c r="JL162">
        <v>59</v>
      </c>
      <c r="JM162">
        <v>51</v>
      </c>
      <c r="JO162" s="24"/>
      <c r="JP162">
        <v>70</v>
      </c>
      <c r="JQ162">
        <v>73</v>
      </c>
      <c r="JR162">
        <v>70</v>
      </c>
      <c r="JS162">
        <v>71739654</v>
      </c>
      <c r="JT162">
        <v>81</v>
      </c>
      <c r="JV162" s="24"/>
      <c r="JW162">
        <v>65</v>
      </c>
      <c r="JX162">
        <v>65</v>
      </c>
      <c r="JY162">
        <v>65</v>
      </c>
      <c r="JZ162">
        <v>104218597</v>
      </c>
      <c r="KA162">
        <v>104</v>
      </c>
      <c r="KC162" s="24"/>
      <c r="KD162">
        <v>23</v>
      </c>
      <c r="KE162">
        <v>23</v>
      </c>
      <c r="KF162">
        <v>23</v>
      </c>
      <c r="KG162">
        <v>50510912</v>
      </c>
      <c r="KH162">
        <v>257</v>
      </c>
      <c r="KJ162" s="24"/>
      <c r="KK162">
        <v>69</v>
      </c>
      <c r="KL162">
        <v>72</v>
      </c>
      <c r="KM162">
        <v>71</v>
      </c>
      <c r="KN162">
        <v>77070393</v>
      </c>
      <c r="KO162">
        <v>103</v>
      </c>
      <c r="KQ162" s="24"/>
      <c r="KR162">
        <v>90002</v>
      </c>
      <c r="KS162">
        <v>90010</v>
      </c>
      <c r="KT162">
        <v>90006</v>
      </c>
      <c r="KU162">
        <v>62970</v>
      </c>
      <c r="KV162">
        <v>557</v>
      </c>
      <c r="KX162" s="24"/>
      <c r="KY162">
        <v>560</v>
      </c>
      <c r="KZ162">
        <v>579</v>
      </c>
      <c r="LA162">
        <v>579</v>
      </c>
      <c r="LB162">
        <v>4773791</v>
      </c>
      <c r="LC162">
        <v>150</v>
      </c>
      <c r="LE162" s="24"/>
      <c r="LF162">
        <v>184101</v>
      </c>
      <c r="LG162">
        <v>187424</v>
      </c>
      <c r="LH162">
        <v>184256</v>
      </c>
      <c r="LI162">
        <v>143163</v>
      </c>
      <c r="LJ162">
        <v>834</v>
      </c>
      <c r="LL162" s="24"/>
      <c r="LM162">
        <v>74252</v>
      </c>
      <c r="LN162">
        <v>75000</v>
      </c>
      <c r="LO162">
        <v>74273</v>
      </c>
      <c r="LP162">
        <v>328732</v>
      </c>
      <c r="LQ162">
        <v>1131</v>
      </c>
      <c r="LS162" s="24"/>
      <c r="LT162">
        <v>398</v>
      </c>
      <c r="LU162">
        <v>399</v>
      </c>
      <c r="LV162">
        <v>398</v>
      </c>
      <c r="LW162">
        <v>54352378</v>
      </c>
      <c r="LX162">
        <v>291</v>
      </c>
      <c r="LZ162" s="24"/>
      <c r="MA162">
        <v>122600</v>
      </c>
      <c r="MB162">
        <v>129499</v>
      </c>
      <c r="MC162">
        <v>129480</v>
      </c>
      <c r="MD162">
        <v>421680</v>
      </c>
      <c r="ME162">
        <v>62</v>
      </c>
    </row>
    <row r="163" spans="2:343" x14ac:dyDescent="0.25">
      <c r="B163" s="24"/>
      <c r="C163">
        <v>3</v>
      </c>
      <c r="D163">
        <v>3</v>
      </c>
      <c r="E163">
        <v>3</v>
      </c>
      <c r="F163">
        <v>27975887089</v>
      </c>
      <c r="G163">
        <v>2584</v>
      </c>
      <c r="I163" s="24"/>
      <c r="J163">
        <v>4</v>
      </c>
      <c r="K163">
        <v>4</v>
      </c>
      <c r="L163">
        <v>4</v>
      </c>
      <c r="M163">
        <v>4190653517</v>
      </c>
      <c r="N163">
        <v>1861</v>
      </c>
      <c r="P163" s="24"/>
      <c r="Q163">
        <v>27</v>
      </c>
      <c r="R163">
        <v>28</v>
      </c>
      <c r="S163">
        <v>28</v>
      </c>
      <c r="T163">
        <v>1521854787</v>
      </c>
      <c r="U163">
        <v>1648</v>
      </c>
      <c r="W163" s="24"/>
      <c r="X163">
        <v>75</v>
      </c>
      <c r="Y163">
        <v>75</v>
      </c>
      <c r="Z163">
        <v>75</v>
      </c>
      <c r="AA163">
        <v>268864011</v>
      </c>
      <c r="AB163">
        <v>1316</v>
      </c>
      <c r="AD163" s="24"/>
      <c r="AE163">
        <v>497</v>
      </c>
      <c r="AF163">
        <v>504</v>
      </c>
      <c r="AG163">
        <v>502</v>
      </c>
      <c r="AH163">
        <v>102640229</v>
      </c>
      <c r="AI163">
        <v>1411</v>
      </c>
      <c r="AK163" s="24"/>
      <c r="AL163">
        <v>875</v>
      </c>
      <c r="AM163">
        <v>897</v>
      </c>
      <c r="AN163">
        <v>896</v>
      </c>
      <c r="AO163">
        <v>45334064</v>
      </c>
      <c r="AP163">
        <v>1133</v>
      </c>
      <c r="AR163" s="24"/>
      <c r="AS163">
        <v>2230</v>
      </c>
      <c r="AT163">
        <v>2332</v>
      </c>
      <c r="AU163">
        <v>2260</v>
      </c>
      <c r="AV163">
        <v>14480065</v>
      </c>
      <c r="AW163">
        <v>1065</v>
      </c>
      <c r="AY163" s="24"/>
      <c r="AZ163">
        <v>375800003</v>
      </c>
      <c r="BA163">
        <v>387835000</v>
      </c>
      <c r="BB163">
        <v>383500000</v>
      </c>
      <c r="BC163">
        <v>2149</v>
      </c>
      <c r="BD163">
        <v>1547</v>
      </c>
      <c r="BF163" s="24"/>
      <c r="BG163">
        <v>25751</v>
      </c>
      <c r="BH163">
        <v>26600</v>
      </c>
      <c r="BI163">
        <v>25751</v>
      </c>
      <c r="BJ163">
        <v>4739132</v>
      </c>
      <c r="BK163">
        <v>236</v>
      </c>
      <c r="BM163" s="24"/>
      <c r="BN163">
        <v>5900000</v>
      </c>
      <c r="BO163">
        <v>5999998</v>
      </c>
      <c r="BP163">
        <v>5944999</v>
      </c>
      <c r="BQ163">
        <v>9573</v>
      </c>
      <c r="BR163">
        <v>315</v>
      </c>
      <c r="BT163" s="24"/>
      <c r="BU163">
        <v>2394</v>
      </c>
      <c r="BV163">
        <v>2584</v>
      </c>
      <c r="BW163">
        <v>2455</v>
      </c>
      <c r="BX163">
        <v>15680009</v>
      </c>
      <c r="BY163">
        <v>198</v>
      </c>
      <c r="CA163" s="24"/>
      <c r="CB163">
        <v>430</v>
      </c>
      <c r="CC163">
        <v>442</v>
      </c>
      <c r="CD163">
        <v>442</v>
      </c>
      <c r="CE163">
        <v>49403991</v>
      </c>
      <c r="CF163">
        <v>253</v>
      </c>
      <c r="CH163" s="24"/>
      <c r="CI163">
        <v>24485</v>
      </c>
      <c r="CJ163">
        <v>24485</v>
      </c>
      <c r="CK163">
        <v>24485</v>
      </c>
      <c r="CL163">
        <v>603307</v>
      </c>
      <c r="CM163">
        <v>143</v>
      </c>
      <c r="CO163" s="24"/>
      <c r="CP163">
        <v>7153</v>
      </c>
      <c r="CQ163">
        <v>7992</v>
      </c>
      <c r="CR163">
        <v>7899</v>
      </c>
      <c r="CS163">
        <v>787547</v>
      </c>
      <c r="CT163">
        <v>337</v>
      </c>
      <c r="CV163" s="24"/>
      <c r="CW163">
        <v>1320000</v>
      </c>
      <c r="CX163">
        <v>1320993</v>
      </c>
      <c r="CY163">
        <v>1320799</v>
      </c>
      <c r="CZ163">
        <v>8898</v>
      </c>
      <c r="DA163">
        <v>36</v>
      </c>
      <c r="DC163" s="24"/>
      <c r="DD163">
        <v>477</v>
      </c>
      <c r="DE163">
        <v>483</v>
      </c>
      <c r="DF163">
        <v>483</v>
      </c>
      <c r="DG163">
        <v>25192479</v>
      </c>
      <c r="DH163">
        <v>171</v>
      </c>
      <c r="DJ163" s="24"/>
      <c r="DK163">
        <v>34001258</v>
      </c>
      <c r="DL163">
        <v>34001303</v>
      </c>
      <c r="DM163">
        <v>34001302</v>
      </c>
      <c r="DN163">
        <v>433</v>
      </c>
      <c r="DO163">
        <v>77</v>
      </c>
      <c r="DQ163" s="24"/>
      <c r="DR163">
        <v>1770012</v>
      </c>
      <c r="DS163">
        <v>1800111</v>
      </c>
      <c r="DT163">
        <v>1782009</v>
      </c>
      <c r="DU163">
        <v>5988</v>
      </c>
      <c r="DV163">
        <v>197</v>
      </c>
      <c r="DX163" s="24"/>
      <c r="DY163">
        <v>19200124</v>
      </c>
      <c r="DZ163">
        <v>19999000</v>
      </c>
      <c r="EA163">
        <v>19200125</v>
      </c>
      <c r="EB163">
        <v>495</v>
      </c>
      <c r="EC163">
        <v>100</v>
      </c>
      <c r="EE163" s="24"/>
      <c r="EF163">
        <v>147</v>
      </c>
      <c r="EG163">
        <v>153</v>
      </c>
      <c r="EH163">
        <v>153</v>
      </c>
      <c r="EI163">
        <v>68284373</v>
      </c>
      <c r="EJ163">
        <v>166</v>
      </c>
      <c r="EL163" s="24"/>
      <c r="EM163">
        <v>50551</v>
      </c>
      <c r="EN163">
        <v>64534</v>
      </c>
      <c r="EO163">
        <v>50569</v>
      </c>
      <c r="EP163">
        <v>108082</v>
      </c>
      <c r="EQ163">
        <v>614</v>
      </c>
      <c r="ES163" s="24"/>
      <c r="ET163">
        <v>329</v>
      </c>
      <c r="EU163">
        <v>353</v>
      </c>
      <c r="EV163">
        <v>353</v>
      </c>
      <c r="EW163">
        <v>32632192</v>
      </c>
      <c r="EX163">
        <v>546</v>
      </c>
      <c r="EZ163" s="24"/>
      <c r="FA163">
        <v>3322004</v>
      </c>
      <c r="FB163">
        <v>3399999</v>
      </c>
      <c r="FC163">
        <v>3399999</v>
      </c>
      <c r="FD163">
        <v>1111</v>
      </c>
      <c r="FE163">
        <v>17</v>
      </c>
      <c r="FG163" s="24"/>
      <c r="FH163">
        <v>6301</v>
      </c>
      <c r="FI163">
        <v>6499</v>
      </c>
      <c r="FJ163">
        <v>6301</v>
      </c>
      <c r="FK163">
        <v>1361699</v>
      </c>
      <c r="FL163">
        <v>337</v>
      </c>
      <c r="FN163" s="24"/>
      <c r="FO163">
        <v>18999</v>
      </c>
      <c r="FP163">
        <v>19499</v>
      </c>
      <c r="FQ163">
        <v>19000</v>
      </c>
      <c r="FR163">
        <v>235048</v>
      </c>
      <c r="FS163">
        <v>96</v>
      </c>
      <c r="FU163" s="24"/>
      <c r="FV163">
        <v>19126</v>
      </c>
      <c r="FW163">
        <v>19989</v>
      </c>
      <c r="FX163">
        <v>19127</v>
      </c>
      <c r="FY163">
        <v>356783</v>
      </c>
      <c r="FZ163">
        <v>1058</v>
      </c>
      <c r="GB163" s="24"/>
      <c r="GC163">
        <v>101308700</v>
      </c>
      <c r="GD163">
        <v>105598400</v>
      </c>
      <c r="GE163">
        <v>105241605</v>
      </c>
      <c r="GF163">
        <v>61</v>
      </c>
      <c r="GG163">
        <v>45</v>
      </c>
      <c r="GI163" s="24"/>
      <c r="GJ163">
        <v>25055000</v>
      </c>
      <c r="GK163">
        <v>26550000</v>
      </c>
      <c r="GL163">
        <v>25999996</v>
      </c>
      <c r="GM163">
        <v>503</v>
      </c>
      <c r="GN163">
        <v>92</v>
      </c>
      <c r="GP163" s="24"/>
      <c r="GQ163">
        <v>76</v>
      </c>
      <c r="GR163">
        <v>76</v>
      </c>
      <c r="GS163">
        <v>76</v>
      </c>
      <c r="GT163">
        <v>84458670</v>
      </c>
      <c r="GU163">
        <v>108</v>
      </c>
      <c r="GW163" s="24"/>
      <c r="GX163">
        <v>435</v>
      </c>
      <c r="GY163">
        <v>448</v>
      </c>
      <c r="GZ163">
        <v>442</v>
      </c>
      <c r="HA163">
        <v>34257423</v>
      </c>
      <c r="HB163">
        <v>201</v>
      </c>
      <c r="HD163" s="24"/>
      <c r="HE163">
        <v>5785</v>
      </c>
      <c r="HF163">
        <v>5843</v>
      </c>
      <c r="HG163">
        <v>5842</v>
      </c>
      <c r="HH163">
        <v>24241394</v>
      </c>
      <c r="HI163">
        <v>286</v>
      </c>
      <c r="HK163" s="24"/>
      <c r="HL163">
        <v>100156812</v>
      </c>
      <c r="HM163">
        <v>107153306</v>
      </c>
      <c r="HN163">
        <v>106005031</v>
      </c>
      <c r="HO163">
        <v>38</v>
      </c>
      <c r="HP163">
        <v>37</v>
      </c>
      <c r="HR163" s="24"/>
      <c r="HS163">
        <v>5502</v>
      </c>
      <c r="HT163">
        <v>7269</v>
      </c>
      <c r="HU163">
        <v>5900</v>
      </c>
      <c r="HV163">
        <v>465954</v>
      </c>
      <c r="HW163">
        <v>97</v>
      </c>
      <c r="HY163" s="24"/>
      <c r="HZ163">
        <v>5618</v>
      </c>
      <c r="IA163">
        <v>6446</v>
      </c>
      <c r="IB163">
        <v>6300</v>
      </c>
      <c r="IC163">
        <v>1353831</v>
      </c>
      <c r="ID163">
        <v>335</v>
      </c>
      <c r="IF163" s="24"/>
      <c r="IG163">
        <v>2949</v>
      </c>
      <c r="IH163">
        <v>2965</v>
      </c>
      <c r="II163">
        <v>2965</v>
      </c>
      <c r="IJ163">
        <v>765520</v>
      </c>
      <c r="IK163">
        <v>108</v>
      </c>
      <c r="IM163" s="24"/>
      <c r="IN163">
        <v>102000102</v>
      </c>
      <c r="IO163">
        <v>110917899</v>
      </c>
      <c r="IP163">
        <v>106816865</v>
      </c>
      <c r="IQ163">
        <v>63</v>
      </c>
      <c r="IR163">
        <v>57</v>
      </c>
      <c r="IT163" s="24"/>
      <c r="IU163">
        <v>7789</v>
      </c>
      <c r="IV163">
        <v>7798</v>
      </c>
      <c r="IW163">
        <v>7796</v>
      </c>
      <c r="IX163">
        <v>818244</v>
      </c>
      <c r="IY163">
        <v>131</v>
      </c>
      <c r="JA163" s="24"/>
      <c r="JB163">
        <v>99763004</v>
      </c>
      <c r="JC163">
        <v>106762997</v>
      </c>
      <c r="JD163">
        <v>105913322</v>
      </c>
      <c r="JE163">
        <v>43</v>
      </c>
      <c r="JF163">
        <v>40</v>
      </c>
      <c r="JH163" s="24"/>
      <c r="JI163">
        <v>102085389</v>
      </c>
      <c r="JJ163">
        <v>108990800</v>
      </c>
      <c r="JK163">
        <v>108390290</v>
      </c>
      <c r="JL163">
        <v>23</v>
      </c>
      <c r="JM163">
        <v>22</v>
      </c>
      <c r="JO163" s="24"/>
      <c r="JP163">
        <v>70</v>
      </c>
      <c r="JQ163">
        <v>72</v>
      </c>
      <c r="JR163">
        <v>70</v>
      </c>
      <c r="JS163">
        <v>50733049</v>
      </c>
      <c r="JT163">
        <v>93</v>
      </c>
      <c r="JV163" s="24"/>
      <c r="JW163">
        <v>64</v>
      </c>
      <c r="JX163">
        <v>67</v>
      </c>
      <c r="JY163">
        <v>64</v>
      </c>
      <c r="JZ163">
        <v>117936296</v>
      </c>
      <c r="KA163">
        <v>120</v>
      </c>
      <c r="KC163" s="24"/>
      <c r="KD163">
        <v>22</v>
      </c>
      <c r="KE163">
        <v>24</v>
      </c>
      <c r="KF163">
        <v>23</v>
      </c>
      <c r="KG163">
        <v>37051143</v>
      </c>
      <c r="KH163">
        <v>261</v>
      </c>
      <c r="KJ163" s="24"/>
      <c r="KK163">
        <v>72</v>
      </c>
      <c r="KL163">
        <v>72</v>
      </c>
      <c r="KM163">
        <v>72</v>
      </c>
      <c r="KN163">
        <v>70091069</v>
      </c>
      <c r="KO163">
        <v>97</v>
      </c>
      <c r="KQ163" s="24"/>
      <c r="KR163">
        <v>90010</v>
      </c>
      <c r="KS163">
        <v>90013</v>
      </c>
      <c r="KT163">
        <v>90013</v>
      </c>
      <c r="KU163">
        <v>95416</v>
      </c>
      <c r="KV163">
        <v>557</v>
      </c>
      <c r="KX163" s="24"/>
      <c r="KY163">
        <v>570</v>
      </c>
      <c r="KZ163">
        <v>579</v>
      </c>
      <c r="LA163">
        <v>579</v>
      </c>
      <c r="LB163">
        <v>3177182</v>
      </c>
      <c r="LC163">
        <v>141</v>
      </c>
      <c r="LE163" s="24"/>
      <c r="LF163">
        <v>180004</v>
      </c>
      <c r="LG163">
        <v>184000</v>
      </c>
      <c r="LH163">
        <v>181000</v>
      </c>
      <c r="LI163">
        <v>98114</v>
      </c>
      <c r="LJ163">
        <v>773</v>
      </c>
      <c r="LL163" s="24"/>
      <c r="LM163">
        <v>74286</v>
      </c>
      <c r="LN163">
        <v>76498</v>
      </c>
      <c r="LO163">
        <v>74289</v>
      </c>
      <c r="LP163">
        <v>341494</v>
      </c>
      <c r="LQ163">
        <v>1070</v>
      </c>
      <c r="LS163" s="24"/>
      <c r="LT163">
        <v>398</v>
      </c>
      <c r="LU163">
        <v>399</v>
      </c>
      <c r="LV163">
        <v>399</v>
      </c>
      <c r="LW163">
        <v>47875042</v>
      </c>
      <c r="LX163">
        <v>267</v>
      </c>
      <c r="LZ163" s="24"/>
      <c r="MA163">
        <v>120000</v>
      </c>
      <c r="MB163">
        <v>126248</v>
      </c>
      <c r="MC163">
        <v>122501</v>
      </c>
      <c r="MD163">
        <v>852976</v>
      </c>
      <c r="ME163">
        <v>108</v>
      </c>
    </row>
    <row r="164" spans="2:343" x14ac:dyDescent="0.25">
      <c r="B164" s="24"/>
      <c r="C164">
        <v>3</v>
      </c>
      <c r="D164">
        <v>3</v>
      </c>
      <c r="E164">
        <v>3</v>
      </c>
      <c r="F164">
        <v>21908540074</v>
      </c>
      <c r="G164">
        <v>2517</v>
      </c>
      <c r="I164" s="24"/>
      <c r="J164">
        <v>4</v>
      </c>
      <c r="K164">
        <v>4</v>
      </c>
      <c r="L164">
        <v>4</v>
      </c>
      <c r="M164">
        <v>5546621968</v>
      </c>
      <c r="N164">
        <v>1805</v>
      </c>
      <c r="P164" s="24"/>
      <c r="Q164">
        <v>27</v>
      </c>
      <c r="R164">
        <v>28</v>
      </c>
      <c r="S164">
        <v>28</v>
      </c>
      <c r="T164">
        <v>1457872626</v>
      </c>
      <c r="U164">
        <v>1597</v>
      </c>
      <c r="W164" s="24"/>
      <c r="X164">
        <v>75</v>
      </c>
      <c r="Y164">
        <v>75</v>
      </c>
      <c r="Z164">
        <v>75</v>
      </c>
      <c r="AA164">
        <v>337104471</v>
      </c>
      <c r="AB164">
        <v>1312</v>
      </c>
      <c r="AD164" s="24"/>
      <c r="AE164">
        <v>500</v>
      </c>
      <c r="AF164">
        <v>515</v>
      </c>
      <c r="AG164">
        <v>501</v>
      </c>
      <c r="AH164">
        <v>75785727</v>
      </c>
      <c r="AI164">
        <v>1461</v>
      </c>
      <c r="AK164" s="24"/>
      <c r="AL164">
        <v>871</v>
      </c>
      <c r="AM164">
        <v>888</v>
      </c>
      <c r="AN164">
        <v>875</v>
      </c>
      <c r="AO164">
        <v>27456628</v>
      </c>
      <c r="AP164">
        <v>1122</v>
      </c>
      <c r="AR164" s="24"/>
      <c r="AS164">
        <v>2262</v>
      </c>
      <c r="AT164">
        <v>2368</v>
      </c>
      <c r="AU164">
        <v>2330</v>
      </c>
      <c r="AV164">
        <v>12045679</v>
      </c>
      <c r="AW164">
        <v>1085</v>
      </c>
      <c r="AY164" s="24"/>
      <c r="AZ164">
        <v>376025000</v>
      </c>
      <c r="BA164">
        <v>385500499</v>
      </c>
      <c r="BB164">
        <v>384519699</v>
      </c>
      <c r="BC164">
        <v>1964</v>
      </c>
      <c r="BD164">
        <v>1423</v>
      </c>
      <c r="BF164" s="24"/>
      <c r="BG164">
        <v>25900</v>
      </c>
      <c r="BH164">
        <v>26499</v>
      </c>
      <c r="BI164">
        <v>25900</v>
      </c>
      <c r="BJ164">
        <v>3040011</v>
      </c>
      <c r="BK164">
        <v>231</v>
      </c>
      <c r="BM164" s="24"/>
      <c r="BN164">
        <v>5900000</v>
      </c>
      <c r="BO164">
        <v>6057001</v>
      </c>
      <c r="BP164">
        <v>5900008</v>
      </c>
      <c r="BQ164">
        <v>12734</v>
      </c>
      <c r="BR164">
        <v>353</v>
      </c>
      <c r="BT164" s="24"/>
      <c r="BU164">
        <v>2550</v>
      </c>
      <c r="BV164">
        <v>2583</v>
      </c>
      <c r="BW164">
        <v>2583</v>
      </c>
      <c r="BX164">
        <v>22460992</v>
      </c>
      <c r="BY164">
        <v>239</v>
      </c>
      <c r="CA164" s="24"/>
      <c r="CB164">
        <v>438</v>
      </c>
      <c r="CC164">
        <v>439</v>
      </c>
      <c r="CD164">
        <v>438</v>
      </c>
      <c r="CE164">
        <v>43333782</v>
      </c>
      <c r="CF164">
        <v>211</v>
      </c>
      <c r="CH164" s="24"/>
      <c r="CI164">
        <v>24485</v>
      </c>
      <c r="CJ164">
        <v>24485</v>
      </c>
      <c r="CK164">
        <v>24485</v>
      </c>
      <c r="CL164">
        <v>2128768</v>
      </c>
      <c r="CM164">
        <v>172</v>
      </c>
      <c r="CO164" s="24"/>
      <c r="CP164">
        <v>7600</v>
      </c>
      <c r="CQ164">
        <v>8048</v>
      </c>
      <c r="CR164">
        <v>7990</v>
      </c>
      <c r="CS164">
        <v>776465</v>
      </c>
      <c r="CT164">
        <v>352</v>
      </c>
      <c r="CV164" s="24"/>
      <c r="CW164">
        <v>1320799</v>
      </c>
      <c r="CX164">
        <v>1400000</v>
      </c>
      <c r="CY164">
        <v>1320995</v>
      </c>
      <c r="CZ164">
        <v>8569</v>
      </c>
      <c r="DA164">
        <v>35</v>
      </c>
      <c r="DC164" s="24"/>
      <c r="DD164">
        <v>483</v>
      </c>
      <c r="DE164">
        <v>503</v>
      </c>
      <c r="DF164">
        <v>501</v>
      </c>
      <c r="DG164">
        <v>27801784</v>
      </c>
      <c r="DH164">
        <v>138</v>
      </c>
      <c r="DJ164" s="24"/>
      <c r="DK164">
        <v>34001307</v>
      </c>
      <c r="DL164">
        <v>34060165</v>
      </c>
      <c r="DM164">
        <v>34001307</v>
      </c>
      <c r="DN164">
        <v>596</v>
      </c>
      <c r="DO164">
        <v>98</v>
      </c>
      <c r="DQ164" s="24"/>
      <c r="DR164">
        <v>1700000</v>
      </c>
      <c r="DS164">
        <v>1819999</v>
      </c>
      <c r="DT164">
        <v>1711000</v>
      </c>
      <c r="DU164">
        <v>4599</v>
      </c>
      <c r="DV164">
        <v>169</v>
      </c>
      <c r="DX164" s="24"/>
      <c r="DY164">
        <v>19200706</v>
      </c>
      <c r="DZ164">
        <v>21000000</v>
      </c>
      <c r="EA164">
        <v>19250000</v>
      </c>
      <c r="EB164">
        <v>431</v>
      </c>
      <c r="EC164">
        <v>95</v>
      </c>
      <c r="EE164" s="24"/>
      <c r="EF164">
        <v>145</v>
      </c>
      <c r="EG164">
        <v>153</v>
      </c>
      <c r="EH164">
        <v>147</v>
      </c>
      <c r="EI164">
        <v>74822769</v>
      </c>
      <c r="EJ164">
        <v>156</v>
      </c>
      <c r="EL164" s="24"/>
      <c r="EM164">
        <v>51704</v>
      </c>
      <c r="EN164">
        <v>56999</v>
      </c>
      <c r="EO164">
        <v>52025</v>
      </c>
      <c r="EP164">
        <v>66169</v>
      </c>
      <c r="EQ164">
        <v>566</v>
      </c>
      <c r="ES164" s="24"/>
      <c r="ET164">
        <v>337</v>
      </c>
      <c r="EU164">
        <v>353</v>
      </c>
      <c r="EV164">
        <v>351</v>
      </c>
      <c r="EW164">
        <v>39160188</v>
      </c>
      <c r="EX164">
        <v>583</v>
      </c>
      <c r="EZ164" s="24"/>
      <c r="FA164">
        <v>3323000</v>
      </c>
      <c r="FB164">
        <v>3416989</v>
      </c>
      <c r="FC164">
        <v>3405500</v>
      </c>
      <c r="FD164">
        <v>1775</v>
      </c>
      <c r="FE164">
        <v>33</v>
      </c>
      <c r="FG164" s="24"/>
      <c r="FH164">
        <v>6301</v>
      </c>
      <c r="FI164">
        <v>6498</v>
      </c>
      <c r="FJ164">
        <v>6461</v>
      </c>
      <c r="FK164">
        <v>1060212</v>
      </c>
      <c r="FL164">
        <v>360</v>
      </c>
      <c r="FN164" s="24"/>
      <c r="FO164">
        <v>18600</v>
      </c>
      <c r="FP164">
        <v>19497</v>
      </c>
      <c r="FQ164">
        <v>18600</v>
      </c>
      <c r="FR164">
        <v>340547</v>
      </c>
      <c r="FS164">
        <v>114</v>
      </c>
      <c r="FU164" s="24"/>
      <c r="FV164">
        <v>19137</v>
      </c>
      <c r="FW164">
        <v>19151</v>
      </c>
      <c r="FX164">
        <v>19137</v>
      </c>
      <c r="FY164">
        <v>386227</v>
      </c>
      <c r="FZ164">
        <v>1121</v>
      </c>
      <c r="GB164" s="24"/>
      <c r="GC164">
        <v>101312704</v>
      </c>
      <c r="GD164">
        <v>110198987</v>
      </c>
      <c r="GE164">
        <v>106831479</v>
      </c>
      <c r="GF164">
        <v>66</v>
      </c>
      <c r="GG164">
        <v>56</v>
      </c>
      <c r="GI164" s="24"/>
      <c r="GJ164">
        <v>25500001</v>
      </c>
      <c r="GK164">
        <v>26745999</v>
      </c>
      <c r="GL164">
        <v>25600000</v>
      </c>
      <c r="GM164">
        <v>338</v>
      </c>
      <c r="GN164">
        <v>67</v>
      </c>
      <c r="GP164" s="24"/>
      <c r="GQ164">
        <v>72</v>
      </c>
      <c r="GR164">
        <v>73</v>
      </c>
      <c r="GS164">
        <v>72</v>
      </c>
      <c r="GT164">
        <v>190277761</v>
      </c>
      <c r="GU164">
        <v>132</v>
      </c>
      <c r="GW164" s="24"/>
      <c r="GX164">
        <v>417</v>
      </c>
      <c r="GY164">
        <v>438</v>
      </c>
      <c r="GZ164">
        <v>436</v>
      </c>
      <c r="HA164">
        <v>39737276</v>
      </c>
      <c r="HB164">
        <v>220</v>
      </c>
      <c r="HD164" s="24"/>
      <c r="HE164">
        <v>5800</v>
      </c>
      <c r="HF164">
        <v>5845</v>
      </c>
      <c r="HG164">
        <v>5843</v>
      </c>
      <c r="HH164">
        <v>14611656</v>
      </c>
      <c r="HI164">
        <v>294</v>
      </c>
      <c r="HK164" s="24"/>
      <c r="HL164">
        <v>100162004</v>
      </c>
      <c r="HM164">
        <v>107480800</v>
      </c>
      <c r="HN164">
        <v>105990501</v>
      </c>
      <c r="HO164">
        <v>50</v>
      </c>
      <c r="HP164">
        <v>47</v>
      </c>
      <c r="HR164" s="24"/>
      <c r="HS164">
        <v>6243</v>
      </c>
      <c r="HT164">
        <v>6289</v>
      </c>
      <c r="HU164">
        <v>6288</v>
      </c>
      <c r="HV164">
        <v>492157</v>
      </c>
      <c r="HW164">
        <v>77</v>
      </c>
      <c r="HY164" s="24"/>
      <c r="HZ164">
        <v>5622</v>
      </c>
      <c r="IA164">
        <v>6098</v>
      </c>
      <c r="IB164">
        <v>5967</v>
      </c>
      <c r="IC164">
        <v>1525756</v>
      </c>
      <c r="ID164">
        <v>374</v>
      </c>
      <c r="IF164" s="24"/>
      <c r="IG164">
        <v>2866</v>
      </c>
      <c r="IH164">
        <v>2938</v>
      </c>
      <c r="II164">
        <v>2938</v>
      </c>
      <c r="IJ164">
        <v>1113207</v>
      </c>
      <c r="IK164">
        <v>128</v>
      </c>
      <c r="IM164" s="24"/>
      <c r="IN164">
        <v>102026892</v>
      </c>
      <c r="IO164">
        <v>110809895</v>
      </c>
      <c r="IP164">
        <v>107226241</v>
      </c>
      <c r="IQ164">
        <v>61</v>
      </c>
      <c r="IR164">
        <v>54</v>
      </c>
      <c r="IT164" s="24"/>
      <c r="IU164">
        <v>7795</v>
      </c>
      <c r="IV164">
        <v>7798</v>
      </c>
      <c r="IW164">
        <v>7797</v>
      </c>
      <c r="IX164">
        <v>1094886</v>
      </c>
      <c r="IY164">
        <v>136</v>
      </c>
      <c r="JA164" s="24"/>
      <c r="JB164">
        <v>99766042</v>
      </c>
      <c r="JC164">
        <v>106762996</v>
      </c>
      <c r="JD164">
        <v>104267169</v>
      </c>
      <c r="JE164">
        <v>82</v>
      </c>
      <c r="JF164">
        <v>70</v>
      </c>
      <c r="JH164" s="24"/>
      <c r="JI164">
        <v>102090197</v>
      </c>
      <c r="JJ164">
        <v>108990800</v>
      </c>
      <c r="JK164">
        <v>105137148</v>
      </c>
      <c r="JL164">
        <v>66</v>
      </c>
      <c r="JM164">
        <v>44</v>
      </c>
      <c r="JO164" s="24"/>
      <c r="JP164">
        <v>70</v>
      </c>
      <c r="JQ164">
        <v>70</v>
      </c>
      <c r="JR164">
        <v>70</v>
      </c>
      <c r="JS164">
        <v>73159464</v>
      </c>
      <c r="JT164">
        <v>70</v>
      </c>
      <c r="JV164" s="24"/>
      <c r="JW164">
        <v>62</v>
      </c>
      <c r="JX164">
        <v>63</v>
      </c>
      <c r="JY164">
        <v>63</v>
      </c>
      <c r="JZ164">
        <v>155211843</v>
      </c>
      <c r="KA164">
        <v>118</v>
      </c>
      <c r="KC164" s="24"/>
      <c r="KD164">
        <v>23</v>
      </c>
      <c r="KE164">
        <v>24</v>
      </c>
      <c r="KF164">
        <v>24</v>
      </c>
      <c r="KG164">
        <v>44956816</v>
      </c>
      <c r="KH164">
        <v>299</v>
      </c>
      <c r="KJ164" s="24"/>
      <c r="KK164">
        <v>70</v>
      </c>
      <c r="KL164">
        <v>70</v>
      </c>
      <c r="KM164">
        <v>70</v>
      </c>
      <c r="KN164">
        <v>139578588</v>
      </c>
      <c r="KO164">
        <v>125</v>
      </c>
      <c r="KQ164" s="24"/>
      <c r="KR164">
        <v>90000</v>
      </c>
      <c r="KS164">
        <v>92499</v>
      </c>
      <c r="KT164">
        <v>90000</v>
      </c>
      <c r="KU164">
        <v>55869</v>
      </c>
      <c r="KV164">
        <v>561</v>
      </c>
      <c r="KX164" s="24"/>
      <c r="KY164">
        <v>531</v>
      </c>
      <c r="KZ164">
        <v>548</v>
      </c>
      <c r="LA164">
        <v>547</v>
      </c>
      <c r="LB164">
        <v>6959556</v>
      </c>
      <c r="LC164">
        <v>166</v>
      </c>
      <c r="LE164" s="24"/>
      <c r="LF164">
        <v>186104</v>
      </c>
      <c r="LG164">
        <v>190000</v>
      </c>
      <c r="LH164">
        <v>186109</v>
      </c>
      <c r="LI164">
        <v>102299</v>
      </c>
      <c r="LJ164">
        <v>812</v>
      </c>
      <c r="LL164" s="24"/>
      <c r="LM164">
        <v>75000</v>
      </c>
      <c r="LN164">
        <v>76200</v>
      </c>
      <c r="LO164">
        <v>76007</v>
      </c>
      <c r="LP164">
        <v>274985</v>
      </c>
      <c r="LQ164">
        <v>1086</v>
      </c>
      <c r="LS164" s="24"/>
      <c r="LT164">
        <v>439</v>
      </c>
      <c r="LU164">
        <v>448</v>
      </c>
      <c r="LV164">
        <v>448</v>
      </c>
      <c r="LW164">
        <v>79534609</v>
      </c>
      <c r="LX164">
        <v>297</v>
      </c>
      <c r="LZ164" s="24"/>
      <c r="MA164">
        <v>115105</v>
      </c>
      <c r="MB164">
        <v>121996</v>
      </c>
      <c r="MC164">
        <v>118005</v>
      </c>
      <c r="MD164">
        <v>1154576</v>
      </c>
      <c r="ME164">
        <v>102</v>
      </c>
    </row>
    <row r="165" spans="2:343" x14ac:dyDescent="0.25">
      <c r="B165" s="24"/>
      <c r="C165">
        <v>3</v>
      </c>
      <c r="D165">
        <v>3</v>
      </c>
      <c r="E165">
        <v>3</v>
      </c>
      <c r="F165">
        <v>25969534591</v>
      </c>
      <c r="G165">
        <v>2719</v>
      </c>
      <c r="I165" s="24"/>
      <c r="J165">
        <v>4</v>
      </c>
      <c r="K165">
        <v>4</v>
      </c>
      <c r="L165">
        <v>4</v>
      </c>
      <c r="M165">
        <v>6740498494</v>
      </c>
      <c r="N165">
        <v>1990</v>
      </c>
      <c r="P165" s="24"/>
      <c r="Q165">
        <v>27</v>
      </c>
      <c r="R165">
        <v>28</v>
      </c>
      <c r="S165">
        <v>28</v>
      </c>
      <c r="T165">
        <v>1846544752</v>
      </c>
      <c r="U165">
        <v>1749</v>
      </c>
      <c r="W165" s="24"/>
      <c r="X165">
        <v>73</v>
      </c>
      <c r="Y165">
        <v>75</v>
      </c>
      <c r="Z165">
        <v>75</v>
      </c>
      <c r="AA165">
        <v>327531888</v>
      </c>
      <c r="AB165">
        <v>1437</v>
      </c>
      <c r="AD165" s="24"/>
      <c r="AE165">
        <v>497</v>
      </c>
      <c r="AF165">
        <v>506</v>
      </c>
      <c r="AG165">
        <v>503</v>
      </c>
      <c r="AH165">
        <v>84119373</v>
      </c>
      <c r="AI165">
        <v>1404</v>
      </c>
      <c r="AK165" s="24"/>
      <c r="AL165">
        <v>874</v>
      </c>
      <c r="AM165">
        <v>886</v>
      </c>
      <c r="AN165">
        <v>886</v>
      </c>
      <c r="AO165">
        <v>39325381</v>
      </c>
      <c r="AP165">
        <v>1196</v>
      </c>
      <c r="AR165" s="24"/>
      <c r="AS165">
        <v>2294</v>
      </c>
      <c r="AT165">
        <v>2348</v>
      </c>
      <c r="AU165">
        <v>2303</v>
      </c>
      <c r="AV165">
        <v>14306407</v>
      </c>
      <c r="AW165">
        <v>1145</v>
      </c>
      <c r="AY165" s="24"/>
      <c r="AZ165">
        <v>376501001</v>
      </c>
      <c r="BA165">
        <v>384888999</v>
      </c>
      <c r="BB165">
        <v>382999999</v>
      </c>
      <c r="BC165">
        <v>2248</v>
      </c>
      <c r="BD165">
        <v>1602</v>
      </c>
      <c r="BF165" s="24"/>
      <c r="BG165">
        <v>25500</v>
      </c>
      <c r="BH165">
        <v>25750</v>
      </c>
      <c r="BI165">
        <v>25651</v>
      </c>
      <c r="BJ165">
        <v>2994195</v>
      </c>
      <c r="BK165">
        <v>208</v>
      </c>
      <c r="BM165" s="24"/>
      <c r="BN165">
        <v>5857000</v>
      </c>
      <c r="BO165">
        <v>5857003</v>
      </c>
      <c r="BP165">
        <v>5857001</v>
      </c>
      <c r="BQ165">
        <v>9092</v>
      </c>
      <c r="BR165">
        <v>298</v>
      </c>
      <c r="BT165" s="24"/>
      <c r="BU165">
        <v>2548</v>
      </c>
      <c r="BV165">
        <v>2570</v>
      </c>
      <c r="BW165">
        <v>2549</v>
      </c>
      <c r="BX165">
        <v>17137912</v>
      </c>
      <c r="BY165">
        <v>215</v>
      </c>
      <c r="CA165" s="24"/>
      <c r="CB165">
        <v>432</v>
      </c>
      <c r="CC165">
        <v>439</v>
      </c>
      <c r="CD165">
        <v>438</v>
      </c>
      <c r="CE165">
        <v>59163115</v>
      </c>
      <c r="CF165">
        <v>265</v>
      </c>
      <c r="CH165" s="24"/>
      <c r="CI165">
        <v>24485</v>
      </c>
      <c r="CJ165">
        <v>24485</v>
      </c>
      <c r="CK165">
        <v>24485</v>
      </c>
      <c r="CL165">
        <v>1122278</v>
      </c>
      <c r="CM165">
        <v>146</v>
      </c>
      <c r="CO165" s="24"/>
      <c r="CP165">
        <v>7252</v>
      </c>
      <c r="CQ165">
        <v>7908</v>
      </c>
      <c r="CR165">
        <v>7600</v>
      </c>
      <c r="CS165">
        <v>1101296</v>
      </c>
      <c r="CT165">
        <v>370</v>
      </c>
      <c r="CV165" s="24"/>
      <c r="CW165">
        <v>1350994</v>
      </c>
      <c r="CX165">
        <v>1398879</v>
      </c>
      <c r="CY165">
        <v>1395000</v>
      </c>
      <c r="CZ165">
        <v>4742</v>
      </c>
      <c r="DA165">
        <v>18</v>
      </c>
      <c r="DC165" s="24"/>
      <c r="DD165">
        <v>480</v>
      </c>
      <c r="DE165">
        <v>503</v>
      </c>
      <c r="DF165">
        <v>501</v>
      </c>
      <c r="DG165">
        <v>52675736</v>
      </c>
      <c r="DH165">
        <v>214</v>
      </c>
      <c r="DJ165" s="24"/>
      <c r="DK165">
        <v>34001312</v>
      </c>
      <c r="DL165">
        <v>34002001</v>
      </c>
      <c r="DM165">
        <v>34001327</v>
      </c>
      <c r="DN165">
        <v>228</v>
      </c>
      <c r="DO165">
        <v>61</v>
      </c>
      <c r="DQ165" s="24"/>
      <c r="DR165">
        <v>1660005</v>
      </c>
      <c r="DS165">
        <v>1819999</v>
      </c>
      <c r="DT165">
        <v>1756000</v>
      </c>
      <c r="DU165">
        <v>6809</v>
      </c>
      <c r="DV165">
        <v>209</v>
      </c>
      <c r="DX165" s="24"/>
      <c r="DY165">
        <v>19250090</v>
      </c>
      <c r="DZ165">
        <v>20999999</v>
      </c>
      <c r="EA165">
        <v>19250103</v>
      </c>
      <c r="EB165">
        <v>288</v>
      </c>
      <c r="EC165">
        <v>86</v>
      </c>
      <c r="EE165" s="24"/>
      <c r="EF165">
        <v>148</v>
      </c>
      <c r="EG165">
        <v>153</v>
      </c>
      <c r="EH165">
        <v>153</v>
      </c>
      <c r="EI165">
        <v>97080314</v>
      </c>
      <c r="EJ165">
        <v>131</v>
      </c>
      <c r="EL165" s="24"/>
      <c r="EM165">
        <v>58503</v>
      </c>
      <c r="EN165">
        <v>58511</v>
      </c>
      <c r="EO165">
        <v>58510</v>
      </c>
      <c r="EP165">
        <v>80829</v>
      </c>
      <c r="EQ165">
        <v>591</v>
      </c>
      <c r="ES165" s="24"/>
      <c r="ET165">
        <v>339</v>
      </c>
      <c r="EU165">
        <v>358</v>
      </c>
      <c r="EV165">
        <v>351</v>
      </c>
      <c r="EW165">
        <v>84778290</v>
      </c>
      <c r="EX165">
        <v>680</v>
      </c>
      <c r="EZ165" s="24"/>
      <c r="FA165">
        <v>3415000</v>
      </c>
      <c r="FB165">
        <v>3416983</v>
      </c>
      <c r="FC165">
        <v>3416983</v>
      </c>
      <c r="FD165">
        <v>898</v>
      </c>
      <c r="FE165">
        <v>17</v>
      </c>
      <c r="FG165" s="24"/>
      <c r="FH165">
        <v>6014</v>
      </c>
      <c r="FI165">
        <v>6610</v>
      </c>
      <c r="FJ165">
        <v>6113</v>
      </c>
      <c r="FK165">
        <v>1431627</v>
      </c>
      <c r="FL165">
        <v>389</v>
      </c>
      <c r="FN165" s="24"/>
      <c r="FO165">
        <v>17533</v>
      </c>
      <c r="FP165">
        <v>18500</v>
      </c>
      <c r="FQ165">
        <v>18000</v>
      </c>
      <c r="FR165">
        <v>175865</v>
      </c>
      <c r="FS165">
        <v>68</v>
      </c>
      <c r="FU165" s="24"/>
      <c r="FV165">
        <v>19000</v>
      </c>
      <c r="FW165">
        <v>19137</v>
      </c>
      <c r="FX165">
        <v>19128</v>
      </c>
      <c r="FY165">
        <v>275868</v>
      </c>
      <c r="FZ165">
        <v>1062</v>
      </c>
      <c r="GB165" s="24"/>
      <c r="GC165">
        <v>101521024</v>
      </c>
      <c r="GD165">
        <v>110194979</v>
      </c>
      <c r="GE165">
        <v>106244705</v>
      </c>
      <c r="GF165">
        <v>78</v>
      </c>
      <c r="GG165">
        <v>60</v>
      </c>
      <c r="GI165" s="24"/>
      <c r="GJ165">
        <v>26600001</v>
      </c>
      <c r="GK165">
        <v>26752000</v>
      </c>
      <c r="GL165">
        <v>26630000</v>
      </c>
      <c r="GM165">
        <v>282</v>
      </c>
      <c r="GN165">
        <v>68</v>
      </c>
      <c r="GP165" s="24"/>
      <c r="GQ165">
        <v>73</v>
      </c>
      <c r="GR165">
        <v>74</v>
      </c>
      <c r="GS165">
        <v>73</v>
      </c>
      <c r="GT165">
        <v>142807861</v>
      </c>
      <c r="GU165">
        <v>103</v>
      </c>
      <c r="GW165" s="24"/>
      <c r="GX165">
        <v>418</v>
      </c>
      <c r="GY165">
        <v>436</v>
      </c>
      <c r="GZ165">
        <v>434</v>
      </c>
      <c r="HA165">
        <v>45434167</v>
      </c>
      <c r="HB165">
        <v>220</v>
      </c>
      <c r="HD165" s="24"/>
      <c r="HE165">
        <v>5857</v>
      </c>
      <c r="HF165">
        <v>5906</v>
      </c>
      <c r="HG165">
        <v>5857</v>
      </c>
      <c r="HH165">
        <v>14188121</v>
      </c>
      <c r="HI165">
        <v>220</v>
      </c>
      <c r="HK165" s="24"/>
      <c r="HL165">
        <v>100192002</v>
      </c>
      <c r="HM165">
        <v>113998987</v>
      </c>
      <c r="HN165">
        <v>106614934</v>
      </c>
      <c r="HO165">
        <v>85</v>
      </c>
      <c r="HP165">
        <v>62</v>
      </c>
      <c r="HR165" s="24"/>
      <c r="HS165">
        <v>5875</v>
      </c>
      <c r="HT165">
        <v>6118</v>
      </c>
      <c r="HU165">
        <v>6049</v>
      </c>
      <c r="HV165">
        <v>633336</v>
      </c>
      <c r="HW165">
        <v>109</v>
      </c>
      <c r="HY165" s="24"/>
      <c r="HZ165">
        <v>5658</v>
      </c>
      <c r="IA165">
        <v>5969</v>
      </c>
      <c r="IB165">
        <v>5959</v>
      </c>
      <c r="IC165">
        <v>1738463</v>
      </c>
      <c r="ID165">
        <v>414</v>
      </c>
      <c r="IF165" s="24"/>
      <c r="IG165">
        <v>2937</v>
      </c>
      <c r="IH165">
        <v>2937</v>
      </c>
      <c r="II165">
        <v>2937</v>
      </c>
      <c r="IJ165">
        <v>1469236</v>
      </c>
      <c r="IK165">
        <v>120</v>
      </c>
      <c r="IM165" s="24"/>
      <c r="IN165">
        <v>102040000</v>
      </c>
      <c r="IO165">
        <v>105999999</v>
      </c>
      <c r="IP165">
        <v>102045128</v>
      </c>
      <c r="IQ165">
        <v>131</v>
      </c>
      <c r="IR165">
        <v>69</v>
      </c>
      <c r="IT165" s="24"/>
      <c r="IU165">
        <v>7925</v>
      </c>
      <c r="IV165">
        <v>7925</v>
      </c>
      <c r="IW165">
        <v>7925</v>
      </c>
      <c r="IX165">
        <v>1273721</v>
      </c>
      <c r="IY165">
        <v>115</v>
      </c>
      <c r="JA165" s="24"/>
      <c r="JB165">
        <v>100131000</v>
      </c>
      <c r="JC165">
        <v>106729000</v>
      </c>
      <c r="JD165">
        <v>104999999</v>
      </c>
      <c r="JE165">
        <v>169</v>
      </c>
      <c r="JF165">
        <v>86</v>
      </c>
      <c r="JH165" s="24"/>
      <c r="JI165">
        <v>102098000</v>
      </c>
      <c r="JJ165">
        <v>110376899</v>
      </c>
      <c r="JK165">
        <v>102124200</v>
      </c>
      <c r="JL165">
        <v>126</v>
      </c>
      <c r="JM165">
        <v>55</v>
      </c>
      <c r="JO165" s="24"/>
      <c r="JP165">
        <v>71</v>
      </c>
      <c r="JQ165">
        <v>71</v>
      </c>
      <c r="JR165">
        <v>71</v>
      </c>
      <c r="JS165">
        <v>129932098</v>
      </c>
      <c r="JT165">
        <v>97</v>
      </c>
      <c r="JV165" s="24"/>
      <c r="JW165">
        <v>63</v>
      </c>
      <c r="JX165">
        <v>66</v>
      </c>
      <c r="JY165">
        <v>65</v>
      </c>
      <c r="JZ165">
        <v>86207571</v>
      </c>
      <c r="KA165">
        <v>79</v>
      </c>
      <c r="KC165" s="24"/>
      <c r="KD165">
        <v>23</v>
      </c>
      <c r="KE165">
        <v>24</v>
      </c>
      <c r="KF165">
        <v>24</v>
      </c>
      <c r="KG165">
        <v>53716034</v>
      </c>
      <c r="KH165">
        <v>284</v>
      </c>
      <c r="KJ165" s="24"/>
      <c r="KK165">
        <v>69</v>
      </c>
      <c r="KL165">
        <v>72</v>
      </c>
      <c r="KM165">
        <v>70</v>
      </c>
      <c r="KN165">
        <v>137702946</v>
      </c>
      <c r="KO165">
        <v>117</v>
      </c>
      <c r="KQ165" s="24"/>
      <c r="KR165">
        <v>90100</v>
      </c>
      <c r="KS165">
        <v>90101</v>
      </c>
      <c r="KT165">
        <v>90100</v>
      </c>
      <c r="KU165">
        <v>63142</v>
      </c>
      <c r="KV165">
        <v>538</v>
      </c>
      <c r="KX165" s="24"/>
      <c r="KY165">
        <v>544</v>
      </c>
      <c r="KZ165">
        <v>547</v>
      </c>
      <c r="LA165">
        <v>547</v>
      </c>
      <c r="LB165">
        <v>5181474</v>
      </c>
      <c r="LC165">
        <v>141</v>
      </c>
      <c r="LE165" s="24"/>
      <c r="LF165">
        <v>186603</v>
      </c>
      <c r="LG165">
        <v>189002</v>
      </c>
      <c r="LH165">
        <v>188000</v>
      </c>
      <c r="LI165">
        <v>163755</v>
      </c>
      <c r="LJ165">
        <v>800</v>
      </c>
      <c r="LL165" s="24"/>
      <c r="LM165">
        <v>76109</v>
      </c>
      <c r="LN165">
        <v>76504</v>
      </c>
      <c r="LO165">
        <v>76114</v>
      </c>
      <c r="LP165">
        <v>339338</v>
      </c>
      <c r="LQ165">
        <v>1084</v>
      </c>
      <c r="LS165" s="24"/>
      <c r="LT165">
        <v>452</v>
      </c>
      <c r="LU165">
        <v>489</v>
      </c>
      <c r="LV165">
        <v>485</v>
      </c>
      <c r="LW165">
        <v>55241330</v>
      </c>
      <c r="LX165">
        <v>325</v>
      </c>
      <c r="LZ165" s="24"/>
      <c r="MA165">
        <v>115106</v>
      </c>
      <c r="MB165">
        <v>117800</v>
      </c>
      <c r="MC165">
        <v>115111</v>
      </c>
      <c r="MD165">
        <v>612756</v>
      </c>
      <c r="ME165">
        <v>87</v>
      </c>
    </row>
    <row r="166" spans="2:343" x14ac:dyDescent="0.25">
      <c r="B166" s="24"/>
      <c r="C166">
        <v>3</v>
      </c>
      <c r="D166">
        <v>3</v>
      </c>
      <c r="E166">
        <v>3</v>
      </c>
      <c r="F166">
        <v>29035018248</v>
      </c>
      <c r="G166">
        <v>3061</v>
      </c>
      <c r="I166" s="24"/>
      <c r="J166">
        <v>4</v>
      </c>
      <c r="K166">
        <v>4</v>
      </c>
      <c r="L166">
        <v>4</v>
      </c>
      <c r="M166">
        <v>7730649005</v>
      </c>
      <c r="N166">
        <v>2238</v>
      </c>
      <c r="P166" s="24"/>
      <c r="Q166">
        <v>27</v>
      </c>
      <c r="R166">
        <v>27</v>
      </c>
      <c r="S166">
        <v>27</v>
      </c>
      <c r="T166">
        <v>1982629669</v>
      </c>
      <c r="U166">
        <v>1934</v>
      </c>
      <c r="W166" s="24"/>
      <c r="X166">
        <v>73</v>
      </c>
      <c r="Y166">
        <v>73</v>
      </c>
      <c r="Z166">
        <v>73</v>
      </c>
      <c r="AA166">
        <v>457743351</v>
      </c>
      <c r="AB166">
        <v>1568</v>
      </c>
      <c r="AD166" s="24"/>
      <c r="AE166">
        <v>490</v>
      </c>
      <c r="AF166">
        <v>500</v>
      </c>
      <c r="AG166">
        <v>495</v>
      </c>
      <c r="AH166">
        <v>116444916</v>
      </c>
      <c r="AI166">
        <v>1621</v>
      </c>
      <c r="AK166" s="24"/>
      <c r="AL166">
        <v>874</v>
      </c>
      <c r="AM166">
        <v>884</v>
      </c>
      <c r="AN166">
        <v>879</v>
      </c>
      <c r="AO166">
        <v>48260493</v>
      </c>
      <c r="AP166">
        <v>1373</v>
      </c>
      <c r="AR166" s="24"/>
      <c r="AS166">
        <v>2271</v>
      </c>
      <c r="AT166">
        <v>2340</v>
      </c>
      <c r="AU166">
        <v>2290</v>
      </c>
      <c r="AV166">
        <v>17752356</v>
      </c>
      <c r="AW166">
        <v>1301</v>
      </c>
      <c r="AY166" s="24"/>
      <c r="AZ166">
        <v>374959995</v>
      </c>
      <c r="BA166">
        <v>381899997</v>
      </c>
      <c r="BB166">
        <v>377000000</v>
      </c>
      <c r="BC166">
        <v>2425</v>
      </c>
      <c r="BD166">
        <v>1616</v>
      </c>
      <c r="BF166" s="24"/>
      <c r="BG166">
        <v>24556</v>
      </c>
      <c r="BH166">
        <v>25200</v>
      </c>
      <c r="BI166">
        <v>24560</v>
      </c>
      <c r="BJ166">
        <v>2652923</v>
      </c>
      <c r="BK166">
        <v>294</v>
      </c>
      <c r="BM166" s="24"/>
      <c r="BN166">
        <v>5857003</v>
      </c>
      <c r="BO166">
        <v>6000000</v>
      </c>
      <c r="BP166">
        <v>5857013</v>
      </c>
      <c r="BQ166">
        <v>10432</v>
      </c>
      <c r="BR166">
        <v>312</v>
      </c>
      <c r="BT166" s="24"/>
      <c r="BU166">
        <v>2547</v>
      </c>
      <c r="BV166">
        <v>2570</v>
      </c>
      <c r="BW166">
        <v>2570</v>
      </c>
      <c r="BX166">
        <v>23229899</v>
      </c>
      <c r="BY166">
        <v>258</v>
      </c>
      <c r="CA166" s="24"/>
      <c r="CB166">
        <v>442</v>
      </c>
      <c r="CC166">
        <v>448</v>
      </c>
      <c r="CD166">
        <v>444</v>
      </c>
      <c r="CE166">
        <v>84865829</v>
      </c>
      <c r="CF166">
        <v>301</v>
      </c>
      <c r="CH166" s="24"/>
      <c r="CI166">
        <v>24550</v>
      </c>
      <c r="CJ166">
        <v>24650</v>
      </c>
      <c r="CK166">
        <v>24555</v>
      </c>
      <c r="CL166">
        <v>363124</v>
      </c>
      <c r="CM166">
        <v>192</v>
      </c>
      <c r="CO166" s="24"/>
      <c r="CP166">
        <v>7250</v>
      </c>
      <c r="CQ166">
        <v>7524</v>
      </c>
      <c r="CR166">
        <v>7399</v>
      </c>
      <c r="CS166">
        <v>1105933</v>
      </c>
      <c r="CT166">
        <v>414</v>
      </c>
      <c r="CV166" s="24"/>
      <c r="CW166">
        <v>1347999</v>
      </c>
      <c r="CX166">
        <v>1347999</v>
      </c>
      <c r="CY166">
        <v>1347999</v>
      </c>
      <c r="CZ166">
        <v>16667</v>
      </c>
      <c r="DA166">
        <v>53</v>
      </c>
      <c r="DC166" s="24"/>
      <c r="DD166">
        <v>500</v>
      </c>
      <c r="DE166">
        <v>503</v>
      </c>
      <c r="DF166">
        <v>502</v>
      </c>
      <c r="DG166">
        <v>25315295</v>
      </c>
      <c r="DH166">
        <v>170</v>
      </c>
      <c r="DJ166" s="24"/>
      <c r="DK166">
        <v>34004001</v>
      </c>
      <c r="DL166">
        <v>34008004</v>
      </c>
      <c r="DM166">
        <v>34007001</v>
      </c>
      <c r="DN166">
        <v>252</v>
      </c>
      <c r="DO166">
        <v>101</v>
      </c>
      <c r="DQ166" s="24"/>
      <c r="DR166">
        <v>1669002</v>
      </c>
      <c r="DS166">
        <v>1918994</v>
      </c>
      <c r="DT166">
        <v>1800000</v>
      </c>
      <c r="DU166">
        <v>4546</v>
      </c>
      <c r="DV166">
        <v>180</v>
      </c>
      <c r="DX166" s="24"/>
      <c r="DY166">
        <v>19267500</v>
      </c>
      <c r="DZ166">
        <v>19303000</v>
      </c>
      <c r="EA166">
        <v>19300000</v>
      </c>
      <c r="EB166">
        <v>265</v>
      </c>
      <c r="EC166">
        <v>89</v>
      </c>
      <c r="EE166" s="24"/>
      <c r="EF166">
        <v>144</v>
      </c>
      <c r="EG166">
        <v>151</v>
      </c>
      <c r="EH166">
        <v>145</v>
      </c>
      <c r="EI166">
        <v>120660415</v>
      </c>
      <c r="EJ166">
        <v>191</v>
      </c>
      <c r="EL166" s="24"/>
      <c r="EM166">
        <v>58523</v>
      </c>
      <c r="EN166">
        <v>58901</v>
      </c>
      <c r="EO166">
        <v>58528</v>
      </c>
      <c r="EP166">
        <v>90649</v>
      </c>
      <c r="EQ166">
        <v>700</v>
      </c>
      <c r="ES166" s="24"/>
      <c r="ET166">
        <v>352</v>
      </c>
      <c r="EU166">
        <v>354</v>
      </c>
      <c r="EV166">
        <v>352</v>
      </c>
      <c r="EW166">
        <v>33617742</v>
      </c>
      <c r="EX166">
        <v>658</v>
      </c>
      <c r="EZ166" s="24"/>
      <c r="FA166">
        <v>3332009</v>
      </c>
      <c r="FB166">
        <v>3414000</v>
      </c>
      <c r="FC166">
        <v>3332009</v>
      </c>
      <c r="FD166">
        <v>885</v>
      </c>
      <c r="FE166">
        <v>16</v>
      </c>
      <c r="FG166" s="24"/>
      <c r="FH166">
        <v>6245</v>
      </c>
      <c r="FI166">
        <v>6597</v>
      </c>
      <c r="FJ166">
        <v>6499</v>
      </c>
      <c r="FK166">
        <v>1321475</v>
      </c>
      <c r="FL166">
        <v>473</v>
      </c>
      <c r="FN166" s="24"/>
      <c r="FO166">
        <v>17979</v>
      </c>
      <c r="FP166">
        <v>17979</v>
      </c>
      <c r="FQ166">
        <v>17979</v>
      </c>
      <c r="FR166">
        <v>258887</v>
      </c>
      <c r="FS166">
        <v>81</v>
      </c>
      <c r="FU166" s="24"/>
      <c r="FV166">
        <v>17546</v>
      </c>
      <c r="FW166">
        <v>17559</v>
      </c>
      <c r="FX166">
        <v>17556</v>
      </c>
      <c r="FY166">
        <v>345537</v>
      </c>
      <c r="FZ166">
        <v>1277</v>
      </c>
      <c r="GB166" s="24"/>
      <c r="GC166">
        <v>103011000</v>
      </c>
      <c r="GD166">
        <v>110086992</v>
      </c>
      <c r="GE166">
        <v>105759084</v>
      </c>
      <c r="GF166">
        <v>94</v>
      </c>
      <c r="GG166">
        <v>65</v>
      </c>
      <c r="GI166" s="24"/>
      <c r="GJ166">
        <v>25101122</v>
      </c>
      <c r="GK166">
        <v>26753111</v>
      </c>
      <c r="GL166">
        <v>25101122</v>
      </c>
      <c r="GM166">
        <v>531</v>
      </c>
      <c r="GN166">
        <v>72</v>
      </c>
      <c r="GP166" s="24"/>
      <c r="GQ166">
        <v>73</v>
      </c>
      <c r="GR166">
        <v>76</v>
      </c>
      <c r="GS166">
        <v>74</v>
      </c>
      <c r="GT166">
        <v>147551011</v>
      </c>
      <c r="GU166">
        <v>178</v>
      </c>
      <c r="GW166" s="24"/>
      <c r="GX166">
        <v>426</v>
      </c>
      <c r="GY166">
        <v>438</v>
      </c>
      <c r="GZ166">
        <v>436</v>
      </c>
      <c r="HA166">
        <v>54184915</v>
      </c>
      <c r="HB166">
        <v>274</v>
      </c>
      <c r="HD166" s="24"/>
      <c r="HE166">
        <v>5865</v>
      </c>
      <c r="HF166">
        <v>5993</v>
      </c>
      <c r="HG166">
        <v>5989</v>
      </c>
      <c r="HH166">
        <v>15811918</v>
      </c>
      <c r="HI166">
        <v>295</v>
      </c>
      <c r="HK166" s="24"/>
      <c r="HL166">
        <v>102205308</v>
      </c>
      <c r="HM166">
        <v>113996079</v>
      </c>
      <c r="HN166">
        <v>107676401</v>
      </c>
      <c r="HO166">
        <v>66</v>
      </c>
      <c r="HP166">
        <v>47</v>
      </c>
      <c r="HR166" s="24"/>
      <c r="HS166">
        <v>5872</v>
      </c>
      <c r="HT166">
        <v>6119</v>
      </c>
      <c r="HU166">
        <v>6119</v>
      </c>
      <c r="HV166">
        <v>757933</v>
      </c>
      <c r="HW166">
        <v>125</v>
      </c>
      <c r="HY166" s="24"/>
      <c r="HZ166">
        <v>5658</v>
      </c>
      <c r="IA166">
        <v>6138</v>
      </c>
      <c r="IB166">
        <v>6000</v>
      </c>
      <c r="IC166">
        <v>1749448</v>
      </c>
      <c r="ID166">
        <v>420</v>
      </c>
      <c r="IF166" s="24"/>
      <c r="IG166">
        <v>2822</v>
      </c>
      <c r="IH166">
        <v>2936</v>
      </c>
      <c r="II166">
        <v>2935</v>
      </c>
      <c r="IJ166">
        <v>1690695</v>
      </c>
      <c r="IK166">
        <v>153</v>
      </c>
      <c r="IM166" s="24"/>
      <c r="IN166">
        <v>102039000</v>
      </c>
      <c r="IO166">
        <v>106039000</v>
      </c>
      <c r="IP166">
        <v>104632261</v>
      </c>
      <c r="IQ166">
        <v>94</v>
      </c>
      <c r="IR166">
        <v>65</v>
      </c>
      <c r="IT166" s="24"/>
      <c r="IU166">
        <v>8000</v>
      </c>
      <c r="IV166">
        <v>8218</v>
      </c>
      <c r="IW166">
        <v>8207</v>
      </c>
      <c r="IX166">
        <v>1125454</v>
      </c>
      <c r="IY166">
        <v>144</v>
      </c>
      <c r="JA166" s="24"/>
      <c r="JB166">
        <v>100009002</v>
      </c>
      <c r="JC166">
        <v>106720870</v>
      </c>
      <c r="JD166">
        <v>100010000</v>
      </c>
      <c r="JE166">
        <v>101</v>
      </c>
      <c r="JF166">
        <v>66</v>
      </c>
      <c r="JH166" s="24"/>
      <c r="JI166">
        <v>102003300</v>
      </c>
      <c r="JJ166">
        <v>110370975</v>
      </c>
      <c r="JK166">
        <v>105591373</v>
      </c>
      <c r="JL166">
        <v>44</v>
      </c>
      <c r="JM166">
        <v>32</v>
      </c>
      <c r="JO166" s="24"/>
      <c r="JP166">
        <v>69</v>
      </c>
      <c r="JQ166">
        <v>71</v>
      </c>
      <c r="JR166">
        <v>71</v>
      </c>
      <c r="JS166">
        <v>59671927</v>
      </c>
      <c r="JT166">
        <v>92</v>
      </c>
      <c r="JV166" s="24"/>
      <c r="JW166">
        <v>62</v>
      </c>
      <c r="JX166">
        <v>65</v>
      </c>
      <c r="JY166">
        <v>63</v>
      </c>
      <c r="JZ166">
        <v>118338062</v>
      </c>
      <c r="KA166">
        <v>116</v>
      </c>
      <c r="KC166" s="24"/>
      <c r="KD166">
        <v>23</v>
      </c>
      <c r="KE166">
        <v>24</v>
      </c>
      <c r="KF166">
        <v>24</v>
      </c>
      <c r="KG166">
        <v>56413834</v>
      </c>
      <c r="KH166">
        <v>366</v>
      </c>
      <c r="KJ166" s="24"/>
      <c r="KK166">
        <v>69</v>
      </c>
      <c r="KL166">
        <v>69</v>
      </c>
      <c r="KM166">
        <v>69</v>
      </c>
      <c r="KN166">
        <v>160948926</v>
      </c>
      <c r="KO166">
        <v>113</v>
      </c>
      <c r="KQ166" s="24"/>
      <c r="KR166">
        <v>90317</v>
      </c>
      <c r="KS166">
        <v>95799</v>
      </c>
      <c r="KT166">
        <v>90323</v>
      </c>
      <c r="KU166">
        <v>77142</v>
      </c>
      <c r="KV166">
        <v>692</v>
      </c>
      <c r="KX166" s="24"/>
      <c r="KY166">
        <v>530</v>
      </c>
      <c r="KZ166">
        <v>546</v>
      </c>
      <c r="LA166">
        <v>546</v>
      </c>
      <c r="LB166">
        <v>4719555</v>
      </c>
      <c r="LC166">
        <v>177</v>
      </c>
      <c r="LE166" s="24"/>
      <c r="LF166">
        <v>186706</v>
      </c>
      <c r="LG166">
        <v>187152</v>
      </c>
      <c r="LH166">
        <v>187006</v>
      </c>
      <c r="LI166">
        <v>127597</v>
      </c>
      <c r="LJ166">
        <v>960</v>
      </c>
      <c r="LL166" s="24"/>
      <c r="LM166">
        <v>76511</v>
      </c>
      <c r="LN166">
        <v>76527</v>
      </c>
      <c r="LO166">
        <v>76514</v>
      </c>
      <c r="LP166">
        <v>326564</v>
      </c>
      <c r="LQ166">
        <v>1367</v>
      </c>
      <c r="LS166" s="24"/>
      <c r="LT166">
        <v>463</v>
      </c>
      <c r="LU166">
        <v>483</v>
      </c>
      <c r="LV166">
        <v>481</v>
      </c>
      <c r="LW166">
        <v>87586782</v>
      </c>
      <c r="LX166">
        <v>398</v>
      </c>
      <c r="LZ166" s="24"/>
      <c r="MA166">
        <v>113809</v>
      </c>
      <c r="MB166">
        <v>115010</v>
      </c>
      <c r="MC166">
        <v>114811</v>
      </c>
      <c r="MD166">
        <v>1497706</v>
      </c>
      <c r="ME166">
        <v>113</v>
      </c>
    </row>
    <row r="167" spans="2:343" x14ac:dyDescent="0.25">
      <c r="B167" s="24"/>
      <c r="C167">
        <v>3</v>
      </c>
      <c r="D167">
        <v>3</v>
      </c>
      <c r="E167">
        <v>3</v>
      </c>
      <c r="F167">
        <v>35129036876</v>
      </c>
      <c r="G167">
        <v>3473</v>
      </c>
      <c r="I167" s="24"/>
      <c r="J167">
        <v>4</v>
      </c>
      <c r="K167">
        <v>4</v>
      </c>
      <c r="L167">
        <v>4</v>
      </c>
      <c r="M167">
        <v>6528154888</v>
      </c>
      <c r="N167">
        <v>2416</v>
      </c>
      <c r="P167" s="24"/>
      <c r="Q167">
        <v>27</v>
      </c>
      <c r="R167">
        <v>28</v>
      </c>
      <c r="S167">
        <v>28</v>
      </c>
      <c r="T167">
        <v>2070906842</v>
      </c>
      <c r="U167">
        <v>2168</v>
      </c>
      <c r="W167" s="24"/>
      <c r="X167">
        <v>70</v>
      </c>
      <c r="Y167">
        <v>73</v>
      </c>
      <c r="Z167">
        <v>72</v>
      </c>
      <c r="AA167">
        <v>393841997</v>
      </c>
      <c r="AB167">
        <v>1756</v>
      </c>
      <c r="AD167" s="24"/>
      <c r="AE167">
        <v>500</v>
      </c>
      <c r="AF167">
        <v>528</v>
      </c>
      <c r="AG167">
        <v>501</v>
      </c>
      <c r="AH167">
        <v>121391967</v>
      </c>
      <c r="AI167">
        <v>1831</v>
      </c>
      <c r="AK167" s="24"/>
      <c r="AL167">
        <v>870</v>
      </c>
      <c r="AM167">
        <v>880</v>
      </c>
      <c r="AN167">
        <v>870</v>
      </c>
      <c r="AO167">
        <v>74248840</v>
      </c>
      <c r="AP167">
        <v>1556</v>
      </c>
      <c r="AR167" s="24"/>
      <c r="AS167">
        <v>2268</v>
      </c>
      <c r="AT167">
        <v>2341</v>
      </c>
      <c r="AU167">
        <v>2273</v>
      </c>
      <c r="AV167">
        <v>20859230</v>
      </c>
      <c r="AW167">
        <v>1508</v>
      </c>
      <c r="AY167" s="24"/>
      <c r="AZ167">
        <v>372000004</v>
      </c>
      <c r="BA167">
        <v>379739998</v>
      </c>
      <c r="BB167">
        <v>377249999</v>
      </c>
      <c r="BC167">
        <v>2281</v>
      </c>
      <c r="BD167">
        <v>1638</v>
      </c>
      <c r="BF167" s="24"/>
      <c r="BG167">
        <v>25806</v>
      </c>
      <c r="BH167">
        <v>26301</v>
      </c>
      <c r="BI167">
        <v>26200</v>
      </c>
      <c r="BJ167">
        <v>4968706</v>
      </c>
      <c r="BK167">
        <v>239</v>
      </c>
      <c r="BM167" s="24"/>
      <c r="BN167">
        <v>5857017</v>
      </c>
      <c r="BO167">
        <v>5859042</v>
      </c>
      <c r="BP167">
        <v>5858024</v>
      </c>
      <c r="BQ167">
        <v>10297</v>
      </c>
      <c r="BR167">
        <v>381</v>
      </c>
      <c r="BT167" s="24"/>
      <c r="BU167">
        <v>2570</v>
      </c>
      <c r="BV167">
        <v>2675</v>
      </c>
      <c r="BW167">
        <v>2599</v>
      </c>
      <c r="BX167">
        <v>27670457</v>
      </c>
      <c r="BY167">
        <v>260</v>
      </c>
      <c r="CA167" s="24"/>
      <c r="CB167">
        <v>473</v>
      </c>
      <c r="CC167">
        <v>510</v>
      </c>
      <c r="CD167">
        <v>498</v>
      </c>
      <c r="CE167">
        <v>77675786</v>
      </c>
      <c r="CF167">
        <v>327</v>
      </c>
      <c r="CH167" s="24"/>
      <c r="CI167">
        <v>24651</v>
      </c>
      <c r="CJ167">
        <v>24857</v>
      </c>
      <c r="CK167">
        <v>24850</v>
      </c>
      <c r="CL167">
        <v>2744468</v>
      </c>
      <c r="CM167">
        <v>236</v>
      </c>
      <c r="CO167" s="24"/>
      <c r="CP167">
        <v>7175</v>
      </c>
      <c r="CQ167">
        <v>7399</v>
      </c>
      <c r="CR167">
        <v>7339</v>
      </c>
      <c r="CS167">
        <v>1467135</v>
      </c>
      <c r="CT167">
        <v>432</v>
      </c>
      <c r="CV167" s="24"/>
      <c r="CW167">
        <v>1320000</v>
      </c>
      <c r="CX167">
        <v>1335000</v>
      </c>
      <c r="CY167">
        <v>1320000</v>
      </c>
      <c r="CZ167">
        <v>6442</v>
      </c>
      <c r="DA167">
        <v>27</v>
      </c>
      <c r="DC167" s="24"/>
      <c r="DD167">
        <v>499</v>
      </c>
      <c r="DE167">
        <v>504</v>
      </c>
      <c r="DF167">
        <v>501</v>
      </c>
      <c r="DG167">
        <v>32216638</v>
      </c>
      <c r="DH167">
        <v>179</v>
      </c>
      <c r="DJ167" s="24"/>
      <c r="DK167">
        <v>34012003</v>
      </c>
      <c r="DL167">
        <v>34013002</v>
      </c>
      <c r="DM167">
        <v>34013002</v>
      </c>
      <c r="DN167">
        <v>493</v>
      </c>
      <c r="DO167">
        <v>94</v>
      </c>
      <c r="DQ167" s="24"/>
      <c r="DR167">
        <v>1800001</v>
      </c>
      <c r="DS167">
        <v>1800014</v>
      </c>
      <c r="DT167">
        <v>1800003</v>
      </c>
      <c r="DU167">
        <v>4415</v>
      </c>
      <c r="DV167">
        <v>248</v>
      </c>
      <c r="DX167" s="24"/>
      <c r="DY167">
        <v>19305002</v>
      </c>
      <c r="DZ167">
        <v>19309999</v>
      </c>
      <c r="EA167">
        <v>19306003</v>
      </c>
      <c r="EB167">
        <v>333</v>
      </c>
      <c r="EC167">
        <v>110</v>
      </c>
      <c r="EE167" s="24"/>
      <c r="EF167">
        <v>144</v>
      </c>
      <c r="EG167">
        <v>149</v>
      </c>
      <c r="EH167">
        <v>149</v>
      </c>
      <c r="EI167">
        <v>100307759</v>
      </c>
      <c r="EJ167">
        <v>200</v>
      </c>
      <c r="EL167" s="24"/>
      <c r="EM167">
        <v>52052</v>
      </c>
      <c r="EN167">
        <v>58526</v>
      </c>
      <c r="EO167">
        <v>52660</v>
      </c>
      <c r="EP167">
        <v>90050</v>
      </c>
      <c r="EQ167">
        <v>763</v>
      </c>
      <c r="ES167" s="24"/>
      <c r="ET167">
        <v>366</v>
      </c>
      <c r="EU167">
        <v>408</v>
      </c>
      <c r="EV167">
        <v>375</v>
      </c>
      <c r="EW167">
        <v>45737900</v>
      </c>
      <c r="EX167">
        <v>731</v>
      </c>
      <c r="EZ167" s="24"/>
      <c r="FA167">
        <v>3350001</v>
      </c>
      <c r="FB167">
        <v>3399999</v>
      </c>
      <c r="FC167">
        <v>3380000</v>
      </c>
      <c r="FD167">
        <v>1508</v>
      </c>
      <c r="FE167">
        <v>16</v>
      </c>
      <c r="FG167" s="24"/>
      <c r="FH167">
        <v>6253</v>
      </c>
      <c r="FI167">
        <v>6596</v>
      </c>
      <c r="FJ167">
        <v>6499</v>
      </c>
      <c r="FK167">
        <v>1993740</v>
      </c>
      <c r="FL167">
        <v>552</v>
      </c>
      <c r="FN167" s="24"/>
      <c r="FO167">
        <v>17979</v>
      </c>
      <c r="FP167">
        <v>18499</v>
      </c>
      <c r="FQ167">
        <v>18499</v>
      </c>
      <c r="FR167">
        <v>211125</v>
      </c>
      <c r="FS167">
        <v>102</v>
      </c>
      <c r="FU167" s="24"/>
      <c r="FV167">
        <v>17604</v>
      </c>
      <c r="FW167">
        <v>18100</v>
      </c>
      <c r="FX167">
        <v>17611</v>
      </c>
      <c r="FY167">
        <v>317734</v>
      </c>
      <c r="FZ167">
        <v>1397</v>
      </c>
      <c r="GB167" s="24"/>
      <c r="GC167">
        <v>101541010</v>
      </c>
      <c r="GD167">
        <v>110003997</v>
      </c>
      <c r="GE167">
        <v>105195299</v>
      </c>
      <c r="GF167">
        <v>77</v>
      </c>
      <c r="GG167">
        <v>61</v>
      </c>
      <c r="GI167" s="24"/>
      <c r="GJ167">
        <v>25101122</v>
      </c>
      <c r="GK167">
        <v>25900000</v>
      </c>
      <c r="GL167">
        <v>25101122</v>
      </c>
      <c r="GM167">
        <v>447</v>
      </c>
      <c r="GN167">
        <v>81</v>
      </c>
      <c r="GP167" s="24"/>
      <c r="GQ167">
        <v>76</v>
      </c>
      <c r="GR167">
        <v>87</v>
      </c>
      <c r="GS167">
        <v>81</v>
      </c>
      <c r="GT167">
        <v>222833514</v>
      </c>
      <c r="GU167">
        <v>198</v>
      </c>
      <c r="GW167" s="24"/>
      <c r="GX167">
        <v>460</v>
      </c>
      <c r="GY167">
        <v>483</v>
      </c>
      <c r="GZ167">
        <v>479</v>
      </c>
      <c r="HA167">
        <v>80454070</v>
      </c>
      <c r="HB167">
        <v>257</v>
      </c>
      <c r="HD167" s="24"/>
      <c r="HE167">
        <v>5726</v>
      </c>
      <c r="HF167">
        <v>5986</v>
      </c>
      <c r="HG167">
        <v>5959</v>
      </c>
      <c r="HH167">
        <v>19252950</v>
      </c>
      <c r="HI167">
        <v>329</v>
      </c>
      <c r="HK167" s="24"/>
      <c r="HL167">
        <v>102209309</v>
      </c>
      <c r="HM167">
        <v>108510001</v>
      </c>
      <c r="HN167">
        <v>107180181</v>
      </c>
      <c r="HO167">
        <v>72</v>
      </c>
      <c r="HP167">
        <v>63</v>
      </c>
      <c r="HR167" s="24"/>
      <c r="HS167">
        <v>5610</v>
      </c>
      <c r="HT167">
        <v>6000</v>
      </c>
      <c r="HU167">
        <v>5998</v>
      </c>
      <c r="HV167">
        <v>1064920</v>
      </c>
      <c r="HW167">
        <v>148</v>
      </c>
      <c r="HY167" s="24"/>
      <c r="HZ167">
        <v>5680</v>
      </c>
      <c r="IA167">
        <v>5999</v>
      </c>
      <c r="IB167">
        <v>5949</v>
      </c>
      <c r="IC167">
        <v>2569743</v>
      </c>
      <c r="ID167">
        <v>537</v>
      </c>
      <c r="IF167" s="24"/>
      <c r="IG167">
        <v>2933</v>
      </c>
      <c r="IH167">
        <v>2933</v>
      </c>
      <c r="II167">
        <v>2933</v>
      </c>
      <c r="IJ167">
        <v>1969781</v>
      </c>
      <c r="IK167">
        <v>185</v>
      </c>
      <c r="IM167" s="24"/>
      <c r="IN167">
        <v>102026000</v>
      </c>
      <c r="IO167">
        <v>108995997</v>
      </c>
      <c r="IP167">
        <v>105709692</v>
      </c>
      <c r="IQ167">
        <v>81</v>
      </c>
      <c r="IR167">
        <v>63</v>
      </c>
      <c r="IT167" s="24"/>
      <c r="IU167">
        <v>8158</v>
      </c>
      <c r="IV167">
        <v>8209</v>
      </c>
      <c r="IW167">
        <v>8197</v>
      </c>
      <c r="IX167">
        <v>1835581</v>
      </c>
      <c r="IY167">
        <v>196</v>
      </c>
      <c r="JA167" s="24"/>
      <c r="JB167">
        <v>100132024</v>
      </c>
      <c r="JC167">
        <v>107297999</v>
      </c>
      <c r="JD167">
        <v>106720949</v>
      </c>
      <c r="JE167">
        <v>120</v>
      </c>
      <c r="JF167">
        <v>94</v>
      </c>
      <c r="JH167" s="24"/>
      <c r="JI167">
        <v>102265301</v>
      </c>
      <c r="JJ167">
        <v>110351985</v>
      </c>
      <c r="JK167">
        <v>107179446</v>
      </c>
      <c r="JL167">
        <v>48</v>
      </c>
      <c r="JM167">
        <v>42</v>
      </c>
      <c r="JO167" s="24"/>
      <c r="JP167">
        <v>71</v>
      </c>
      <c r="JQ167">
        <v>71</v>
      </c>
      <c r="JR167">
        <v>71</v>
      </c>
      <c r="JS167">
        <v>78178716</v>
      </c>
      <c r="JT167">
        <v>118</v>
      </c>
      <c r="JV167" s="24"/>
      <c r="JW167">
        <v>62</v>
      </c>
      <c r="JX167">
        <v>64</v>
      </c>
      <c r="JY167">
        <v>64</v>
      </c>
      <c r="JZ167">
        <v>192329651</v>
      </c>
      <c r="KA167">
        <v>162</v>
      </c>
      <c r="KC167" s="24"/>
      <c r="KD167">
        <v>23</v>
      </c>
      <c r="KE167">
        <v>24</v>
      </c>
      <c r="KF167">
        <v>24</v>
      </c>
      <c r="KG167">
        <v>60500964</v>
      </c>
      <c r="KH167">
        <v>371</v>
      </c>
      <c r="KJ167" s="24"/>
      <c r="KK167">
        <v>69</v>
      </c>
      <c r="KL167">
        <v>72</v>
      </c>
      <c r="KM167">
        <v>72</v>
      </c>
      <c r="KN167">
        <v>132302374</v>
      </c>
      <c r="KO167">
        <v>130</v>
      </c>
      <c r="KQ167" s="24"/>
      <c r="KR167">
        <v>90611</v>
      </c>
      <c r="KS167">
        <v>95348</v>
      </c>
      <c r="KT167">
        <v>90647</v>
      </c>
      <c r="KU167">
        <v>62000</v>
      </c>
      <c r="KV167">
        <v>695</v>
      </c>
      <c r="KX167" s="24"/>
      <c r="KY167">
        <v>525</v>
      </c>
      <c r="KZ167">
        <v>546</v>
      </c>
      <c r="LA167">
        <v>546</v>
      </c>
      <c r="LB167">
        <v>7408320</v>
      </c>
      <c r="LC167">
        <v>217</v>
      </c>
      <c r="LE167" s="24"/>
      <c r="LF167">
        <v>187607</v>
      </c>
      <c r="LG167">
        <v>187650</v>
      </c>
      <c r="LH167">
        <v>187619</v>
      </c>
      <c r="LI167">
        <v>130690</v>
      </c>
      <c r="LJ167">
        <v>977</v>
      </c>
      <c r="LL167" s="24"/>
      <c r="LM167">
        <v>76547</v>
      </c>
      <c r="LN167">
        <v>76591</v>
      </c>
      <c r="LO167">
        <v>76555</v>
      </c>
      <c r="LP167">
        <v>317643</v>
      </c>
      <c r="LQ167">
        <v>1452</v>
      </c>
      <c r="LS167" s="24"/>
      <c r="LT167">
        <v>474</v>
      </c>
      <c r="LU167">
        <v>488</v>
      </c>
      <c r="LV167">
        <v>480</v>
      </c>
      <c r="LW167">
        <v>135084677</v>
      </c>
      <c r="LX167">
        <v>406</v>
      </c>
      <c r="LZ167" s="24"/>
      <c r="MA167">
        <v>114999</v>
      </c>
      <c r="MB167">
        <v>115000</v>
      </c>
      <c r="MC167">
        <v>115000</v>
      </c>
      <c r="MD167">
        <v>929610</v>
      </c>
      <c r="ME167">
        <v>74</v>
      </c>
    </row>
    <row r="168" spans="2:343" x14ac:dyDescent="0.25">
      <c r="B168" s="24"/>
      <c r="C168">
        <v>3</v>
      </c>
      <c r="D168">
        <v>3</v>
      </c>
      <c r="E168">
        <v>3</v>
      </c>
      <c r="F168">
        <v>26337982271</v>
      </c>
      <c r="G168">
        <v>2790</v>
      </c>
      <c r="I168" s="24"/>
      <c r="J168">
        <v>4</v>
      </c>
      <c r="K168">
        <v>4</v>
      </c>
      <c r="L168">
        <v>4</v>
      </c>
      <c r="M168">
        <v>5428042125</v>
      </c>
      <c r="N168">
        <v>1903</v>
      </c>
      <c r="P168" s="24"/>
      <c r="Q168">
        <v>27</v>
      </c>
      <c r="R168">
        <v>28</v>
      </c>
      <c r="S168">
        <v>28</v>
      </c>
      <c r="T168">
        <v>1620219318</v>
      </c>
      <c r="U168">
        <v>1758</v>
      </c>
      <c r="W168" s="24"/>
      <c r="X168">
        <v>70</v>
      </c>
      <c r="Y168">
        <v>72</v>
      </c>
      <c r="Z168">
        <v>72</v>
      </c>
      <c r="AA168">
        <v>392098623</v>
      </c>
      <c r="AB168">
        <v>1384</v>
      </c>
      <c r="AD168" s="24"/>
      <c r="AE168">
        <v>499</v>
      </c>
      <c r="AF168">
        <v>504</v>
      </c>
      <c r="AG168">
        <v>500</v>
      </c>
      <c r="AH168">
        <v>129938763</v>
      </c>
      <c r="AI168">
        <v>1463</v>
      </c>
      <c r="AK168" s="24"/>
      <c r="AL168">
        <v>870</v>
      </c>
      <c r="AM168">
        <v>890</v>
      </c>
      <c r="AN168">
        <v>872</v>
      </c>
      <c r="AO168">
        <v>35714767</v>
      </c>
      <c r="AP168">
        <v>1206</v>
      </c>
      <c r="AR168" s="24"/>
      <c r="AS168">
        <v>2240</v>
      </c>
      <c r="AT168">
        <v>2336</v>
      </c>
      <c r="AU168">
        <v>2280</v>
      </c>
      <c r="AV168">
        <v>14883418</v>
      </c>
      <c r="AW168">
        <v>1151</v>
      </c>
      <c r="AY168" s="24"/>
      <c r="AZ168">
        <v>373000002</v>
      </c>
      <c r="BA168">
        <v>379239900</v>
      </c>
      <c r="BB168">
        <v>377998995</v>
      </c>
      <c r="BC168">
        <v>1968</v>
      </c>
      <c r="BD168">
        <v>1411</v>
      </c>
      <c r="BF168" s="24"/>
      <c r="BG168">
        <v>25500</v>
      </c>
      <c r="BH168">
        <v>25500</v>
      </c>
      <c r="BI168">
        <v>25500</v>
      </c>
      <c r="BJ168">
        <v>2956183</v>
      </c>
      <c r="BK168">
        <v>206</v>
      </c>
      <c r="BM168" s="24"/>
      <c r="BN168">
        <v>5858030</v>
      </c>
      <c r="BO168">
        <v>6053998</v>
      </c>
      <c r="BP168">
        <v>5858034</v>
      </c>
      <c r="BQ168">
        <v>13436</v>
      </c>
      <c r="BR168">
        <v>376</v>
      </c>
      <c r="BT168" s="24"/>
      <c r="BU168">
        <v>2612</v>
      </c>
      <c r="BV168">
        <v>2738</v>
      </c>
      <c r="BW168">
        <v>2737</v>
      </c>
      <c r="BX168">
        <v>30593270</v>
      </c>
      <c r="BY168">
        <v>252</v>
      </c>
      <c r="CA168" s="24"/>
      <c r="CB168">
        <v>489</v>
      </c>
      <c r="CC168">
        <v>494</v>
      </c>
      <c r="CD168">
        <v>494</v>
      </c>
      <c r="CE168">
        <v>57071479</v>
      </c>
      <c r="CF168">
        <v>270</v>
      </c>
      <c r="CH168" s="24"/>
      <c r="CI168">
        <v>23419</v>
      </c>
      <c r="CJ168">
        <v>23701</v>
      </c>
      <c r="CK168">
        <v>23419</v>
      </c>
      <c r="CL168">
        <v>956586</v>
      </c>
      <c r="CM168">
        <v>158</v>
      </c>
      <c r="CO168" s="24"/>
      <c r="CP168">
        <v>7442</v>
      </c>
      <c r="CQ168">
        <v>7495</v>
      </c>
      <c r="CR168">
        <v>7450</v>
      </c>
      <c r="CS168">
        <v>1145508</v>
      </c>
      <c r="CT168">
        <v>395</v>
      </c>
      <c r="CV168" s="24"/>
      <c r="CW168">
        <v>1333877</v>
      </c>
      <c r="CX168">
        <v>1333879</v>
      </c>
      <c r="CY168">
        <v>1333878</v>
      </c>
      <c r="CZ168">
        <v>7584</v>
      </c>
      <c r="DA168">
        <v>35</v>
      </c>
      <c r="DC168" s="24"/>
      <c r="DD168">
        <v>510</v>
      </c>
      <c r="DE168">
        <v>520</v>
      </c>
      <c r="DF168">
        <v>515</v>
      </c>
      <c r="DG168">
        <v>24693245</v>
      </c>
      <c r="DH168">
        <v>222</v>
      </c>
      <c r="DJ168" s="24"/>
      <c r="DK168">
        <v>34013005</v>
      </c>
      <c r="DL168">
        <v>34999998</v>
      </c>
      <c r="DM168">
        <v>34013011</v>
      </c>
      <c r="DN168">
        <v>359</v>
      </c>
      <c r="DO168">
        <v>92</v>
      </c>
      <c r="DQ168" s="24"/>
      <c r="DR168">
        <v>1669010</v>
      </c>
      <c r="DS168">
        <v>1920111</v>
      </c>
      <c r="DT168">
        <v>1700000</v>
      </c>
      <c r="DU168">
        <v>7009</v>
      </c>
      <c r="DV168">
        <v>252</v>
      </c>
      <c r="DX168" s="24"/>
      <c r="DY168">
        <v>19200717</v>
      </c>
      <c r="DZ168">
        <v>19310000</v>
      </c>
      <c r="EA168">
        <v>19300001</v>
      </c>
      <c r="EB168">
        <v>437</v>
      </c>
      <c r="EC168">
        <v>103</v>
      </c>
      <c r="EE168" s="24"/>
      <c r="EF168">
        <v>144</v>
      </c>
      <c r="EG168">
        <v>151</v>
      </c>
      <c r="EH168">
        <v>148</v>
      </c>
      <c r="EI168">
        <v>96105170</v>
      </c>
      <c r="EJ168">
        <v>151</v>
      </c>
      <c r="EL168" s="24"/>
      <c r="EM168">
        <v>52054</v>
      </c>
      <c r="EN168">
        <v>52055</v>
      </c>
      <c r="EO168">
        <v>52054</v>
      </c>
      <c r="EP168">
        <v>76769</v>
      </c>
      <c r="EQ168">
        <v>660</v>
      </c>
      <c r="ES168" s="24"/>
      <c r="ET168">
        <v>367</v>
      </c>
      <c r="EU168">
        <v>389</v>
      </c>
      <c r="EV168">
        <v>384</v>
      </c>
      <c r="EW168">
        <v>53473942</v>
      </c>
      <c r="EX168">
        <v>660</v>
      </c>
      <c r="EZ168" s="24"/>
      <c r="FA168">
        <v>3412991</v>
      </c>
      <c r="FB168">
        <v>3412991</v>
      </c>
      <c r="FC168">
        <v>3412991</v>
      </c>
      <c r="FD168">
        <v>827</v>
      </c>
      <c r="FE168">
        <v>16</v>
      </c>
      <c r="FG168" s="24"/>
      <c r="FH168">
        <v>6263</v>
      </c>
      <c r="FI168">
        <v>6600</v>
      </c>
      <c r="FJ168">
        <v>6444</v>
      </c>
      <c r="FK168">
        <v>2281858</v>
      </c>
      <c r="FL168">
        <v>482</v>
      </c>
      <c r="FN168" s="24"/>
      <c r="FO168">
        <v>17973</v>
      </c>
      <c r="FP168">
        <v>18499</v>
      </c>
      <c r="FQ168">
        <v>17999</v>
      </c>
      <c r="FR168">
        <v>294726</v>
      </c>
      <c r="FS168">
        <v>95</v>
      </c>
      <c r="FU168" s="24"/>
      <c r="FV168">
        <v>17639</v>
      </c>
      <c r="FW168">
        <v>17657</v>
      </c>
      <c r="FX168">
        <v>17645</v>
      </c>
      <c r="FY168">
        <v>342813</v>
      </c>
      <c r="FZ168">
        <v>1155</v>
      </c>
      <c r="GB168" s="24"/>
      <c r="GC168">
        <v>101552103</v>
      </c>
      <c r="GD168">
        <v>106559005</v>
      </c>
      <c r="GE168">
        <v>104430065</v>
      </c>
      <c r="GF168">
        <v>71</v>
      </c>
      <c r="GG168">
        <v>59</v>
      </c>
      <c r="GI168" s="24"/>
      <c r="GJ168">
        <v>24215001</v>
      </c>
      <c r="GK168">
        <v>24915002</v>
      </c>
      <c r="GL168">
        <v>24215002</v>
      </c>
      <c r="GM168">
        <v>315</v>
      </c>
      <c r="GN168">
        <v>87</v>
      </c>
      <c r="GP168" s="24"/>
      <c r="GQ168">
        <v>82</v>
      </c>
      <c r="GR168">
        <v>85</v>
      </c>
      <c r="GS168">
        <v>82</v>
      </c>
      <c r="GT168">
        <v>168925088</v>
      </c>
      <c r="GU168">
        <v>122</v>
      </c>
      <c r="GW168" s="24"/>
      <c r="GX168">
        <v>434</v>
      </c>
      <c r="GY168">
        <v>475</v>
      </c>
      <c r="GZ168">
        <v>464</v>
      </c>
      <c r="HA168">
        <v>71314552</v>
      </c>
      <c r="HB168">
        <v>248</v>
      </c>
      <c r="HD168" s="24"/>
      <c r="HE168">
        <v>5725</v>
      </c>
      <c r="HF168">
        <v>5947</v>
      </c>
      <c r="HG168">
        <v>5843</v>
      </c>
      <c r="HH168">
        <v>21883790</v>
      </c>
      <c r="HI168">
        <v>320</v>
      </c>
      <c r="HK168" s="24"/>
      <c r="HL168">
        <v>102558423</v>
      </c>
      <c r="HM168">
        <v>113868398</v>
      </c>
      <c r="HN168">
        <v>109704331</v>
      </c>
      <c r="HO168">
        <v>48</v>
      </c>
      <c r="HP168">
        <v>42</v>
      </c>
      <c r="HR168" s="24"/>
      <c r="HS168">
        <v>5221</v>
      </c>
      <c r="HT168">
        <v>5938</v>
      </c>
      <c r="HU168">
        <v>5555</v>
      </c>
      <c r="HV168">
        <v>710295</v>
      </c>
      <c r="HW168">
        <v>130</v>
      </c>
      <c r="HY168" s="24"/>
      <c r="HZ168">
        <v>5607</v>
      </c>
      <c r="IA168">
        <v>6094</v>
      </c>
      <c r="IB168">
        <v>5998</v>
      </c>
      <c r="IC168">
        <v>2259450</v>
      </c>
      <c r="ID168">
        <v>484</v>
      </c>
      <c r="IF168" s="24"/>
      <c r="IG168">
        <v>2800</v>
      </c>
      <c r="IH168">
        <v>2933</v>
      </c>
      <c r="II168">
        <v>2933</v>
      </c>
      <c r="IJ168">
        <v>1729944</v>
      </c>
      <c r="IK168">
        <v>141</v>
      </c>
      <c r="IM168" s="24"/>
      <c r="IN168">
        <v>102029123</v>
      </c>
      <c r="IO168">
        <v>106992821</v>
      </c>
      <c r="IP168">
        <v>104346614</v>
      </c>
      <c r="IQ168">
        <v>92</v>
      </c>
      <c r="IR168">
        <v>66</v>
      </c>
      <c r="IT168" s="24"/>
      <c r="IU168">
        <v>8207</v>
      </c>
      <c r="IV168">
        <v>8207</v>
      </c>
      <c r="IW168">
        <v>8207</v>
      </c>
      <c r="IX168">
        <v>1032612</v>
      </c>
      <c r="IY168">
        <v>134</v>
      </c>
      <c r="JA168" s="24"/>
      <c r="JB168">
        <v>100135129</v>
      </c>
      <c r="JC168">
        <v>107295989</v>
      </c>
      <c r="JD168">
        <v>105151190</v>
      </c>
      <c r="JE168">
        <v>52</v>
      </c>
      <c r="JF168">
        <v>46</v>
      </c>
      <c r="JH168" s="24"/>
      <c r="JI168">
        <v>102303308</v>
      </c>
      <c r="JJ168">
        <v>110338999</v>
      </c>
      <c r="JK168">
        <v>106137500</v>
      </c>
      <c r="JL168">
        <v>44</v>
      </c>
      <c r="JM168">
        <v>33</v>
      </c>
      <c r="JO168" s="24"/>
      <c r="JP168">
        <v>69</v>
      </c>
      <c r="JQ168">
        <v>72</v>
      </c>
      <c r="JR168">
        <v>71</v>
      </c>
      <c r="JS168">
        <v>72561485</v>
      </c>
      <c r="JT168">
        <v>80</v>
      </c>
      <c r="JV168" s="24"/>
      <c r="JW168">
        <v>62</v>
      </c>
      <c r="JX168">
        <v>64</v>
      </c>
      <c r="JY168">
        <v>64</v>
      </c>
      <c r="JZ168">
        <v>135080318</v>
      </c>
      <c r="KA168">
        <v>128</v>
      </c>
      <c r="KC168" s="24"/>
      <c r="KD168">
        <v>23</v>
      </c>
      <c r="KE168">
        <v>24</v>
      </c>
      <c r="KF168">
        <v>24</v>
      </c>
      <c r="KG168">
        <v>66113959</v>
      </c>
      <c r="KH168">
        <v>349</v>
      </c>
      <c r="KJ168" s="24"/>
      <c r="KK168">
        <v>69</v>
      </c>
      <c r="KL168">
        <v>72</v>
      </c>
      <c r="KM168">
        <v>72</v>
      </c>
      <c r="KN168">
        <v>142962137</v>
      </c>
      <c r="KO168">
        <v>138</v>
      </c>
      <c r="KQ168" s="24"/>
      <c r="KR168">
        <v>90656</v>
      </c>
      <c r="KS168">
        <v>93899</v>
      </c>
      <c r="KT168">
        <v>90691</v>
      </c>
      <c r="KU168">
        <v>54928</v>
      </c>
      <c r="KV168">
        <v>572</v>
      </c>
      <c r="KX168" s="24"/>
      <c r="KY168">
        <v>544</v>
      </c>
      <c r="KZ168">
        <v>546</v>
      </c>
      <c r="LA168">
        <v>545</v>
      </c>
      <c r="LB168">
        <v>6384504</v>
      </c>
      <c r="LC168">
        <v>187</v>
      </c>
      <c r="LE168" s="24"/>
      <c r="LF168">
        <v>181604</v>
      </c>
      <c r="LG168">
        <v>187620</v>
      </c>
      <c r="LH168">
        <v>187618</v>
      </c>
      <c r="LI168">
        <v>107442</v>
      </c>
      <c r="LJ168">
        <v>821</v>
      </c>
      <c r="LL168" s="24"/>
      <c r="LM168">
        <v>76589</v>
      </c>
      <c r="LN168">
        <v>76604</v>
      </c>
      <c r="LO168">
        <v>76593</v>
      </c>
      <c r="LP168">
        <v>330064</v>
      </c>
      <c r="LQ168">
        <v>1184</v>
      </c>
      <c r="LS168" s="24"/>
      <c r="LT168">
        <v>462</v>
      </c>
      <c r="LU168">
        <v>492</v>
      </c>
      <c r="LV168">
        <v>485</v>
      </c>
      <c r="LW168">
        <v>96430319</v>
      </c>
      <c r="LX168">
        <v>396</v>
      </c>
      <c r="LZ168" s="24"/>
      <c r="MA168">
        <v>111000</v>
      </c>
      <c r="MB168">
        <v>116249</v>
      </c>
      <c r="MC168">
        <v>112750</v>
      </c>
      <c r="MD168">
        <v>880762</v>
      </c>
      <c r="ME168">
        <v>81</v>
      </c>
    </row>
    <row r="169" spans="2:343" x14ac:dyDescent="0.25">
      <c r="B169" s="24"/>
      <c r="C169">
        <v>3</v>
      </c>
      <c r="D169">
        <v>3</v>
      </c>
      <c r="E169">
        <v>3</v>
      </c>
      <c r="F169">
        <v>44374952187</v>
      </c>
      <c r="G169">
        <v>2732</v>
      </c>
      <c r="I169" s="24"/>
      <c r="J169">
        <v>4</v>
      </c>
      <c r="K169">
        <v>4</v>
      </c>
      <c r="L169">
        <v>4</v>
      </c>
      <c r="M169">
        <v>6663783955</v>
      </c>
      <c r="N169">
        <v>1956</v>
      </c>
      <c r="P169" s="24"/>
      <c r="Q169">
        <v>27</v>
      </c>
      <c r="R169">
        <v>27</v>
      </c>
      <c r="S169">
        <v>27</v>
      </c>
      <c r="T169">
        <v>2410738872</v>
      </c>
      <c r="U169">
        <v>1702</v>
      </c>
      <c r="W169" s="24"/>
      <c r="X169">
        <v>70</v>
      </c>
      <c r="Y169">
        <v>72</v>
      </c>
      <c r="Z169">
        <v>71</v>
      </c>
      <c r="AA169">
        <v>382765583</v>
      </c>
      <c r="AB169">
        <v>1321</v>
      </c>
      <c r="AD169" s="24"/>
      <c r="AE169">
        <v>505</v>
      </c>
      <c r="AF169">
        <v>520</v>
      </c>
      <c r="AG169">
        <v>518</v>
      </c>
      <c r="AH169">
        <v>121629201</v>
      </c>
      <c r="AI169">
        <v>1534</v>
      </c>
      <c r="AK169" s="24"/>
      <c r="AL169">
        <v>851</v>
      </c>
      <c r="AM169">
        <v>887</v>
      </c>
      <c r="AN169">
        <v>879</v>
      </c>
      <c r="AO169">
        <v>36379997</v>
      </c>
      <c r="AP169">
        <v>1145</v>
      </c>
      <c r="AR169" s="24"/>
      <c r="AS169">
        <v>2272</v>
      </c>
      <c r="AT169">
        <v>2375</v>
      </c>
      <c r="AU169">
        <v>2363</v>
      </c>
      <c r="AV169">
        <v>11458322</v>
      </c>
      <c r="AW169">
        <v>1119</v>
      </c>
      <c r="AY169" s="24"/>
      <c r="AZ169">
        <v>374000000</v>
      </c>
      <c r="BA169">
        <v>380490000</v>
      </c>
      <c r="BB169">
        <v>378246998</v>
      </c>
      <c r="BC169">
        <v>2270</v>
      </c>
      <c r="BD169">
        <v>1557</v>
      </c>
      <c r="BF169" s="24"/>
      <c r="BG169">
        <v>25501</v>
      </c>
      <c r="BH169">
        <v>25550</v>
      </c>
      <c r="BI169">
        <v>25501</v>
      </c>
      <c r="BJ169">
        <v>3260294</v>
      </c>
      <c r="BK169">
        <v>217</v>
      </c>
      <c r="BM169" s="24"/>
      <c r="BN169">
        <v>5750000</v>
      </c>
      <c r="BO169">
        <v>5862000</v>
      </c>
      <c r="BP169">
        <v>5858034</v>
      </c>
      <c r="BQ169">
        <v>12957</v>
      </c>
      <c r="BR169">
        <v>330</v>
      </c>
      <c r="BT169" s="24"/>
      <c r="BU169">
        <v>2647</v>
      </c>
      <c r="BV169">
        <v>2722</v>
      </c>
      <c r="BW169">
        <v>2719</v>
      </c>
      <c r="BX169">
        <v>16881822</v>
      </c>
      <c r="BY169">
        <v>211</v>
      </c>
      <c r="CA169" s="24"/>
      <c r="CB169">
        <v>492</v>
      </c>
      <c r="CC169">
        <v>494</v>
      </c>
      <c r="CD169">
        <v>493</v>
      </c>
      <c r="CE169">
        <v>90385175</v>
      </c>
      <c r="CF169">
        <v>254</v>
      </c>
      <c r="CH169" s="24"/>
      <c r="CI169">
        <v>24305</v>
      </c>
      <c r="CJ169">
        <v>25198</v>
      </c>
      <c r="CK169">
        <v>24305</v>
      </c>
      <c r="CL169">
        <v>1490144</v>
      </c>
      <c r="CM169">
        <v>191</v>
      </c>
      <c r="CO169" s="24"/>
      <c r="CP169">
        <v>7500</v>
      </c>
      <c r="CQ169">
        <v>7989</v>
      </c>
      <c r="CR169">
        <v>7872</v>
      </c>
      <c r="CS169">
        <v>964655</v>
      </c>
      <c r="CT169">
        <v>374</v>
      </c>
      <c r="CV169" s="24"/>
      <c r="CW169">
        <v>1300000</v>
      </c>
      <c r="CX169">
        <v>1333876</v>
      </c>
      <c r="CY169">
        <v>1300000</v>
      </c>
      <c r="CZ169">
        <v>9760</v>
      </c>
      <c r="DA169">
        <v>31</v>
      </c>
      <c r="DC169" s="24"/>
      <c r="DD169">
        <v>495</v>
      </c>
      <c r="DE169">
        <v>592</v>
      </c>
      <c r="DF169">
        <v>530</v>
      </c>
      <c r="DG169">
        <v>65557920</v>
      </c>
      <c r="DH169">
        <v>186</v>
      </c>
      <c r="DJ169" s="24"/>
      <c r="DK169">
        <v>34013046</v>
      </c>
      <c r="DL169">
        <v>35999999</v>
      </c>
      <c r="DM169">
        <v>34013054</v>
      </c>
      <c r="DN169">
        <v>329</v>
      </c>
      <c r="DO169">
        <v>121</v>
      </c>
      <c r="DQ169" s="24"/>
      <c r="DR169">
        <v>1669009</v>
      </c>
      <c r="DS169">
        <v>1790000</v>
      </c>
      <c r="DT169">
        <v>1699999</v>
      </c>
      <c r="DU169">
        <v>5038</v>
      </c>
      <c r="DV169">
        <v>219</v>
      </c>
      <c r="DX169" s="24"/>
      <c r="DY169">
        <v>18283027</v>
      </c>
      <c r="DZ169">
        <v>20594999</v>
      </c>
      <c r="EA169">
        <v>18400050</v>
      </c>
      <c r="EB169">
        <v>337</v>
      </c>
      <c r="EC169">
        <v>73</v>
      </c>
      <c r="EE169" s="24"/>
      <c r="EF169">
        <v>143</v>
      </c>
      <c r="EG169">
        <v>149</v>
      </c>
      <c r="EH169">
        <v>148</v>
      </c>
      <c r="EI169">
        <v>78728973</v>
      </c>
      <c r="EJ169">
        <v>181</v>
      </c>
      <c r="EL169" s="24"/>
      <c r="EM169">
        <v>48002</v>
      </c>
      <c r="EN169">
        <v>49402</v>
      </c>
      <c r="EO169">
        <v>48005</v>
      </c>
      <c r="EP169">
        <v>53875</v>
      </c>
      <c r="EQ169">
        <v>570</v>
      </c>
      <c r="ES169" s="24"/>
      <c r="ET169">
        <v>371</v>
      </c>
      <c r="EU169">
        <v>382</v>
      </c>
      <c r="EV169">
        <v>375</v>
      </c>
      <c r="EW169">
        <v>41097917</v>
      </c>
      <c r="EX169">
        <v>571</v>
      </c>
      <c r="EZ169" s="24"/>
      <c r="FA169">
        <v>3351002</v>
      </c>
      <c r="FB169">
        <v>3412991</v>
      </c>
      <c r="FC169">
        <v>3351002</v>
      </c>
      <c r="FD169">
        <v>2360</v>
      </c>
      <c r="FE169">
        <v>29</v>
      </c>
      <c r="FG169" s="24"/>
      <c r="FH169">
        <v>6410</v>
      </c>
      <c r="FI169">
        <v>6699</v>
      </c>
      <c r="FJ169">
        <v>6600</v>
      </c>
      <c r="FK169">
        <v>1812571</v>
      </c>
      <c r="FL169">
        <v>396</v>
      </c>
      <c r="FN169" s="24"/>
      <c r="FO169">
        <v>18000</v>
      </c>
      <c r="FP169">
        <v>18000</v>
      </c>
      <c r="FQ169">
        <v>18000</v>
      </c>
      <c r="FR169">
        <v>577289</v>
      </c>
      <c r="FS169">
        <v>93</v>
      </c>
      <c r="FU169" s="24"/>
      <c r="FV169">
        <v>18300</v>
      </c>
      <c r="FW169">
        <v>18996</v>
      </c>
      <c r="FX169">
        <v>18528</v>
      </c>
      <c r="FY169">
        <v>333752</v>
      </c>
      <c r="FZ169">
        <v>1073</v>
      </c>
      <c r="GB169" s="24"/>
      <c r="GC169">
        <v>101809000</v>
      </c>
      <c r="GD169">
        <v>105564922</v>
      </c>
      <c r="GE169">
        <v>101874123</v>
      </c>
      <c r="GF169">
        <v>155</v>
      </c>
      <c r="GG169">
        <v>93</v>
      </c>
      <c r="GI169" s="24"/>
      <c r="GJ169">
        <v>23300000</v>
      </c>
      <c r="GK169">
        <v>25899997</v>
      </c>
      <c r="GL169">
        <v>24800000</v>
      </c>
      <c r="GM169">
        <v>300</v>
      </c>
      <c r="GN169">
        <v>57</v>
      </c>
      <c r="GP169" s="24"/>
      <c r="GQ169">
        <v>79</v>
      </c>
      <c r="GR169">
        <v>81</v>
      </c>
      <c r="GS169">
        <v>80</v>
      </c>
      <c r="GT169">
        <v>64048714</v>
      </c>
      <c r="GU169">
        <v>111</v>
      </c>
      <c r="GW169" s="24"/>
      <c r="GX169">
        <v>455</v>
      </c>
      <c r="GY169">
        <v>469</v>
      </c>
      <c r="GZ169">
        <v>465</v>
      </c>
      <c r="HA169">
        <v>53962086</v>
      </c>
      <c r="HB169">
        <v>241</v>
      </c>
      <c r="HD169" s="24"/>
      <c r="HE169">
        <v>5839</v>
      </c>
      <c r="HF169">
        <v>5842</v>
      </c>
      <c r="HG169">
        <v>5840</v>
      </c>
      <c r="HH169">
        <v>14615270</v>
      </c>
      <c r="HI169">
        <v>237</v>
      </c>
      <c r="HK169" s="24"/>
      <c r="HL169">
        <v>103583000</v>
      </c>
      <c r="HM169">
        <v>103609015</v>
      </c>
      <c r="HN169">
        <v>103603000</v>
      </c>
      <c r="HO169">
        <v>185</v>
      </c>
      <c r="HP169">
        <v>83</v>
      </c>
      <c r="HR169" s="24"/>
      <c r="HS169">
        <v>5550</v>
      </c>
      <c r="HT169">
        <v>5898</v>
      </c>
      <c r="HU169">
        <v>5889</v>
      </c>
      <c r="HV169">
        <v>641143</v>
      </c>
      <c r="HW169">
        <v>126</v>
      </c>
      <c r="HY169" s="24"/>
      <c r="HZ169">
        <v>5607</v>
      </c>
      <c r="IA169">
        <v>6081</v>
      </c>
      <c r="IB169">
        <v>6006</v>
      </c>
      <c r="IC169">
        <v>2074113</v>
      </c>
      <c r="ID169">
        <v>462</v>
      </c>
      <c r="IF169" s="24"/>
      <c r="IG169">
        <v>2790</v>
      </c>
      <c r="IH169">
        <v>2900</v>
      </c>
      <c r="II169">
        <v>2899</v>
      </c>
      <c r="IJ169">
        <v>1046074</v>
      </c>
      <c r="IK169">
        <v>139</v>
      </c>
      <c r="IM169" s="24"/>
      <c r="IN169">
        <v>99059001</v>
      </c>
      <c r="IO169">
        <v>102196123</v>
      </c>
      <c r="IP169">
        <v>102195889</v>
      </c>
      <c r="IQ169">
        <v>138</v>
      </c>
      <c r="IR169">
        <v>69</v>
      </c>
      <c r="IT169" s="24"/>
      <c r="IU169">
        <v>8200</v>
      </c>
      <c r="IV169">
        <v>8200</v>
      </c>
      <c r="IW169">
        <v>8200</v>
      </c>
      <c r="IX169">
        <v>1785970</v>
      </c>
      <c r="IY169">
        <v>145</v>
      </c>
      <c r="JA169" s="24"/>
      <c r="JB169">
        <v>101200000</v>
      </c>
      <c r="JC169">
        <v>101275113</v>
      </c>
      <c r="JD169">
        <v>101202000</v>
      </c>
      <c r="JE169">
        <v>163</v>
      </c>
      <c r="JF169">
        <v>72</v>
      </c>
      <c r="JH169" s="24"/>
      <c r="JI169">
        <v>102306951</v>
      </c>
      <c r="JJ169">
        <v>102309200</v>
      </c>
      <c r="JK169">
        <v>102309000</v>
      </c>
      <c r="JL169">
        <v>129</v>
      </c>
      <c r="JM169">
        <v>51</v>
      </c>
      <c r="JO169" s="24"/>
      <c r="JP169">
        <v>70</v>
      </c>
      <c r="JQ169">
        <v>71</v>
      </c>
      <c r="JR169">
        <v>70</v>
      </c>
      <c r="JS169">
        <v>96030042</v>
      </c>
      <c r="JT169">
        <v>91</v>
      </c>
      <c r="JV169" s="24"/>
      <c r="JW169">
        <v>64</v>
      </c>
      <c r="JX169">
        <v>65</v>
      </c>
      <c r="JY169">
        <v>65</v>
      </c>
      <c r="JZ169">
        <v>110928440</v>
      </c>
      <c r="KA169">
        <v>109</v>
      </c>
      <c r="KC169" s="24"/>
      <c r="KD169">
        <v>23</v>
      </c>
      <c r="KE169">
        <v>23</v>
      </c>
      <c r="KF169">
        <v>23</v>
      </c>
      <c r="KG169">
        <v>44059373</v>
      </c>
      <c r="KH169">
        <v>299</v>
      </c>
      <c r="KJ169" s="24"/>
      <c r="KK169">
        <v>68</v>
      </c>
      <c r="KL169">
        <v>73</v>
      </c>
      <c r="KM169">
        <v>68</v>
      </c>
      <c r="KN169">
        <v>95300385</v>
      </c>
      <c r="KO169">
        <v>90</v>
      </c>
      <c r="KQ169" s="24"/>
      <c r="KR169">
        <v>91466</v>
      </c>
      <c r="KS169">
        <v>94899</v>
      </c>
      <c r="KT169">
        <v>91700</v>
      </c>
      <c r="KU169">
        <v>99913</v>
      </c>
      <c r="KV169">
        <v>560</v>
      </c>
      <c r="KX169" s="24"/>
      <c r="KY169">
        <v>543</v>
      </c>
      <c r="KZ169">
        <v>543</v>
      </c>
      <c r="LA169">
        <v>543</v>
      </c>
      <c r="LB169">
        <v>5432361</v>
      </c>
      <c r="LC169">
        <v>160</v>
      </c>
      <c r="LE169" s="24"/>
      <c r="LF169">
        <v>182027</v>
      </c>
      <c r="LG169">
        <v>183000</v>
      </c>
      <c r="LH169">
        <v>182114</v>
      </c>
      <c r="LI169">
        <v>94220</v>
      </c>
      <c r="LJ169">
        <v>802</v>
      </c>
      <c r="LL169" s="24"/>
      <c r="LM169">
        <v>76635</v>
      </c>
      <c r="LN169">
        <v>78499</v>
      </c>
      <c r="LO169">
        <v>76646</v>
      </c>
      <c r="LP169">
        <v>478460</v>
      </c>
      <c r="LQ169">
        <v>1090</v>
      </c>
      <c r="LS169" s="24"/>
      <c r="LT169">
        <v>494</v>
      </c>
      <c r="LU169">
        <v>509</v>
      </c>
      <c r="LV169">
        <v>504</v>
      </c>
      <c r="LW169">
        <v>81052501</v>
      </c>
      <c r="LX169">
        <v>316</v>
      </c>
      <c r="LZ169" s="24"/>
      <c r="MA169">
        <v>112012</v>
      </c>
      <c r="MB169">
        <v>116228</v>
      </c>
      <c r="MC169">
        <v>116000</v>
      </c>
      <c r="MD169">
        <v>1794171</v>
      </c>
      <c r="ME169">
        <v>95</v>
      </c>
    </row>
    <row r="170" spans="2:343" x14ac:dyDescent="0.25">
      <c r="B170" s="24"/>
      <c r="C170">
        <v>3</v>
      </c>
      <c r="D170">
        <v>3</v>
      </c>
      <c r="E170">
        <v>3</v>
      </c>
      <c r="F170">
        <v>19754488591</v>
      </c>
      <c r="G170">
        <v>2703</v>
      </c>
      <c r="I170" s="24"/>
      <c r="J170">
        <v>4</v>
      </c>
      <c r="K170">
        <v>4</v>
      </c>
      <c r="L170">
        <v>4</v>
      </c>
      <c r="M170">
        <v>5029042893</v>
      </c>
      <c r="N170">
        <v>1849</v>
      </c>
      <c r="P170" s="24"/>
      <c r="Q170">
        <v>27</v>
      </c>
      <c r="R170">
        <v>28</v>
      </c>
      <c r="S170">
        <v>27</v>
      </c>
      <c r="T170">
        <v>1236155103</v>
      </c>
      <c r="U170">
        <v>1657</v>
      </c>
      <c r="W170" s="24"/>
      <c r="X170">
        <v>50</v>
      </c>
      <c r="Y170">
        <v>71</v>
      </c>
      <c r="Z170">
        <v>69</v>
      </c>
      <c r="AA170">
        <v>453587092</v>
      </c>
      <c r="AB170">
        <v>1283</v>
      </c>
      <c r="AD170" s="24"/>
      <c r="AE170">
        <v>497</v>
      </c>
      <c r="AF170">
        <v>514</v>
      </c>
      <c r="AG170">
        <v>506</v>
      </c>
      <c r="AH170">
        <v>78121936</v>
      </c>
      <c r="AI170">
        <v>1334</v>
      </c>
      <c r="AK170" s="24"/>
      <c r="AL170">
        <v>860</v>
      </c>
      <c r="AM170">
        <v>878</v>
      </c>
      <c r="AN170">
        <v>863</v>
      </c>
      <c r="AO170">
        <v>33031957</v>
      </c>
      <c r="AP170">
        <v>1144</v>
      </c>
      <c r="AR170" s="24"/>
      <c r="AS170">
        <v>2276</v>
      </c>
      <c r="AT170">
        <v>2343</v>
      </c>
      <c r="AU170">
        <v>2281</v>
      </c>
      <c r="AV170">
        <v>11674385</v>
      </c>
      <c r="AW170">
        <v>1022</v>
      </c>
      <c r="AY170" s="24"/>
      <c r="AZ170">
        <v>374252000</v>
      </c>
      <c r="BA170">
        <v>380899884</v>
      </c>
      <c r="BB170">
        <v>379999954</v>
      </c>
      <c r="BC170">
        <v>2117</v>
      </c>
      <c r="BD170">
        <v>1493</v>
      </c>
      <c r="BF170" s="24"/>
      <c r="BG170">
        <v>25506</v>
      </c>
      <c r="BH170">
        <v>26000</v>
      </c>
      <c r="BI170">
        <v>25550</v>
      </c>
      <c r="BJ170">
        <v>2573787</v>
      </c>
      <c r="BK170">
        <v>198</v>
      </c>
      <c r="BM170" s="24"/>
      <c r="BN170">
        <v>5650007</v>
      </c>
      <c r="BO170">
        <v>5800000</v>
      </c>
      <c r="BP170">
        <v>5735007</v>
      </c>
      <c r="BQ170">
        <v>9110</v>
      </c>
      <c r="BR170">
        <v>324</v>
      </c>
      <c r="BT170" s="24"/>
      <c r="BU170">
        <v>2644</v>
      </c>
      <c r="BV170">
        <v>2718</v>
      </c>
      <c r="BW170">
        <v>2654</v>
      </c>
      <c r="BX170">
        <v>16567836</v>
      </c>
      <c r="BY170">
        <v>191</v>
      </c>
      <c r="CA170" s="24"/>
      <c r="CB170">
        <v>494</v>
      </c>
      <c r="CC170">
        <v>587</v>
      </c>
      <c r="CD170">
        <v>521</v>
      </c>
      <c r="CE170">
        <v>64274346</v>
      </c>
      <c r="CF170">
        <v>231</v>
      </c>
      <c r="CH170" s="24"/>
      <c r="CI170">
        <v>24305</v>
      </c>
      <c r="CJ170">
        <v>24320</v>
      </c>
      <c r="CK170">
        <v>24306</v>
      </c>
      <c r="CL170">
        <v>968476</v>
      </c>
      <c r="CM170">
        <v>140</v>
      </c>
      <c r="CO170" s="24"/>
      <c r="CP170">
        <v>7594</v>
      </c>
      <c r="CQ170">
        <v>8194</v>
      </c>
      <c r="CR170">
        <v>8048</v>
      </c>
      <c r="CS170">
        <v>1078341</v>
      </c>
      <c r="CT170">
        <v>381</v>
      </c>
      <c r="CV170" s="24"/>
      <c r="CW170">
        <v>1300001</v>
      </c>
      <c r="CX170">
        <v>1332999</v>
      </c>
      <c r="CY170">
        <v>1322999</v>
      </c>
      <c r="CZ170">
        <v>6022</v>
      </c>
      <c r="DA170">
        <v>22</v>
      </c>
      <c r="DC170" s="24"/>
      <c r="DD170">
        <v>528</v>
      </c>
      <c r="DE170">
        <v>559</v>
      </c>
      <c r="DF170">
        <v>545</v>
      </c>
      <c r="DG170">
        <v>39718073</v>
      </c>
      <c r="DH170">
        <v>179</v>
      </c>
      <c r="DJ170" s="24"/>
      <c r="DK170">
        <v>34500009</v>
      </c>
      <c r="DL170">
        <v>36000000</v>
      </c>
      <c r="DM170">
        <v>34501003</v>
      </c>
      <c r="DN170">
        <v>276</v>
      </c>
      <c r="DO170">
        <v>78</v>
      </c>
      <c r="DQ170" s="24"/>
      <c r="DR170">
        <v>1670001</v>
      </c>
      <c r="DS170">
        <v>1913999</v>
      </c>
      <c r="DT170">
        <v>1795000</v>
      </c>
      <c r="DU170">
        <v>5577</v>
      </c>
      <c r="DV170">
        <v>233</v>
      </c>
      <c r="DX170" s="24"/>
      <c r="DY170">
        <v>19500004</v>
      </c>
      <c r="DZ170">
        <v>20899998</v>
      </c>
      <c r="EA170">
        <v>20000000</v>
      </c>
      <c r="EB170">
        <v>360</v>
      </c>
      <c r="EC170">
        <v>86</v>
      </c>
      <c r="EE170" s="24"/>
      <c r="EF170">
        <v>147</v>
      </c>
      <c r="EG170">
        <v>149</v>
      </c>
      <c r="EH170">
        <v>149</v>
      </c>
      <c r="EI170">
        <v>59294014</v>
      </c>
      <c r="EJ170">
        <v>132</v>
      </c>
      <c r="EL170" s="24"/>
      <c r="EM170">
        <v>48023</v>
      </c>
      <c r="EN170">
        <v>52000</v>
      </c>
      <c r="EO170">
        <v>48071</v>
      </c>
      <c r="EP170">
        <v>43666</v>
      </c>
      <c r="EQ170">
        <v>564</v>
      </c>
      <c r="ES170" s="24"/>
      <c r="ET170">
        <v>369</v>
      </c>
      <c r="EU170">
        <v>382</v>
      </c>
      <c r="EV170">
        <v>375</v>
      </c>
      <c r="EW170">
        <v>43569749</v>
      </c>
      <c r="EX170">
        <v>571</v>
      </c>
      <c r="EZ170" s="24"/>
      <c r="FA170">
        <v>3411998</v>
      </c>
      <c r="FB170">
        <v>3412991</v>
      </c>
      <c r="FC170">
        <v>3411998</v>
      </c>
      <c r="FD170">
        <v>643</v>
      </c>
      <c r="FE170">
        <v>12</v>
      </c>
      <c r="FG170" s="24"/>
      <c r="FH170">
        <v>6420</v>
      </c>
      <c r="FI170">
        <v>6695</v>
      </c>
      <c r="FJ170">
        <v>6586</v>
      </c>
      <c r="FK170">
        <v>1710471</v>
      </c>
      <c r="FL170">
        <v>424</v>
      </c>
      <c r="FN170" s="24"/>
      <c r="FO170">
        <v>17905</v>
      </c>
      <c r="FP170">
        <v>18499</v>
      </c>
      <c r="FQ170">
        <v>17925</v>
      </c>
      <c r="FR170">
        <v>215890</v>
      </c>
      <c r="FS170">
        <v>70</v>
      </c>
      <c r="FU170" s="24"/>
      <c r="FV170">
        <v>18001</v>
      </c>
      <c r="FW170">
        <v>18559</v>
      </c>
      <c r="FX170">
        <v>18550</v>
      </c>
      <c r="FY170">
        <v>347585</v>
      </c>
      <c r="FZ170">
        <v>990</v>
      </c>
      <c r="GB170" s="24"/>
      <c r="GC170">
        <v>92250000</v>
      </c>
      <c r="GD170">
        <v>104998988</v>
      </c>
      <c r="GE170">
        <v>98700902</v>
      </c>
      <c r="GF170">
        <v>80</v>
      </c>
      <c r="GG170">
        <v>59</v>
      </c>
      <c r="GI170" s="24"/>
      <c r="GJ170">
        <v>24100014</v>
      </c>
      <c r="GK170">
        <v>25894999</v>
      </c>
      <c r="GL170">
        <v>24200012</v>
      </c>
      <c r="GM170">
        <v>295</v>
      </c>
      <c r="GN170">
        <v>83</v>
      </c>
      <c r="GP170" s="24"/>
      <c r="GQ170">
        <v>77</v>
      </c>
      <c r="GR170">
        <v>78</v>
      </c>
      <c r="GS170">
        <v>77</v>
      </c>
      <c r="GT170">
        <v>165487582</v>
      </c>
      <c r="GU170">
        <v>122</v>
      </c>
      <c r="GW170" s="24"/>
      <c r="GX170">
        <v>474</v>
      </c>
      <c r="GY170">
        <v>477</v>
      </c>
      <c r="GZ170">
        <v>477</v>
      </c>
      <c r="HA170">
        <v>42380826</v>
      </c>
      <c r="HB170">
        <v>188</v>
      </c>
      <c r="HD170" s="24"/>
      <c r="HE170">
        <v>5727</v>
      </c>
      <c r="HF170">
        <v>5839</v>
      </c>
      <c r="HG170">
        <v>5833</v>
      </c>
      <c r="HH170">
        <v>11016430</v>
      </c>
      <c r="HI170">
        <v>212</v>
      </c>
      <c r="HK170" s="24"/>
      <c r="HL170">
        <v>99203300</v>
      </c>
      <c r="HM170">
        <v>104999987</v>
      </c>
      <c r="HN170">
        <v>103020049</v>
      </c>
      <c r="HO170">
        <v>68</v>
      </c>
      <c r="HP170">
        <v>52</v>
      </c>
      <c r="HR170" s="24"/>
      <c r="HS170">
        <v>5600</v>
      </c>
      <c r="HT170">
        <v>5900</v>
      </c>
      <c r="HU170">
        <v>5651</v>
      </c>
      <c r="HV170">
        <v>728692</v>
      </c>
      <c r="HW170">
        <v>104</v>
      </c>
      <c r="HY170" s="24"/>
      <c r="HZ170">
        <v>5600</v>
      </c>
      <c r="IA170">
        <v>6006</v>
      </c>
      <c r="IB170">
        <v>5995</v>
      </c>
      <c r="IC170">
        <v>2485556</v>
      </c>
      <c r="ID170">
        <v>454</v>
      </c>
      <c r="IF170" s="24"/>
      <c r="IG170">
        <v>2839</v>
      </c>
      <c r="IH170">
        <v>2851</v>
      </c>
      <c r="II170">
        <v>2840</v>
      </c>
      <c r="IJ170">
        <v>2625448</v>
      </c>
      <c r="IK170">
        <v>127</v>
      </c>
      <c r="IM170" s="24"/>
      <c r="IN170">
        <v>99031000</v>
      </c>
      <c r="IO170">
        <v>104951000</v>
      </c>
      <c r="IP170">
        <v>99100002</v>
      </c>
      <c r="IQ170">
        <v>106</v>
      </c>
      <c r="IR170">
        <v>71</v>
      </c>
      <c r="IT170" s="24"/>
      <c r="IU170">
        <v>8117</v>
      </c>
      <c r="IV170">
        <v>8207</v>
      </c>
      <c r="IW170">
        <v>8118</v>
      </c>
      <c r="IX170">
        <v>682887</v>
      </c>
      <c r="IY170">
        <v>109</v>
      </c>
      <c r="JA170" s="24"/>
      <c r="JB170">
        <v>93203000</v>
      </c>
      <c r="JC170">
        <v>104997000</v>
      </c>
      <c r="JD170">
        <v>100118000</v>
      </c>
      <c r="JE170">
        <v>155</v>
      </c>
      <c r="JF170">
        <v>84</v>
      </c>
      <c r="JH170" s="24"/>
      <c r="JI170">
        <v>99358000</v>
      </c>
      <c r="JJ170">
        <v>104953903</v>
      </c>
      <c r="JK170">
        <v>99361300</v>
      </c>
      <c r="JL170">
        <v>130</v>
      </c>
      <c r="JM170">
        <v>69</v>
      </c>
      <c r="JO170" s="24"/>
      <c r="JP170">
        <v>71</v>
      </c>
      <c r="JQ170">
        <v>71</v>
      </c>
      <c r="JR170">
        <v>71</v>
      </c>
      <c r="JS170">
        <v>58458940</v>
      </c>
      <c r="JT170">
        <v>75</v>
      </c>
      <c r="JV170" s="24"/>
      <c r="JW170">
        <v>64</v>
      </c>
      <c r="JX170">
        <v>65</v>
      </c>
      <c r="JY170">
        <v>65</v>
      </c>
      <c r="JZ170">
        <v>90704202</v>
      </c>
      <c r="KA170">
        <v>80</v>
      </c>
      <c r="KC170" s="24"/>
      <c r="KD170">
        <v>22</v>
      </c>
      <c r="KE170">
        <v>23</v>
      </c>
      <c r="KF170">
        <v>23</v>
      </c>
      <c r="KG170">
        <v>35147247</v>
      </c>
      <c r="KH170">
        <v>273</v>
      </c>
      <c r="KJ170" s="24"/>
      <c r="KK170">
        <v>69</v>
      </c>
      <c r="KL170">
        <v>72</v>
      </c>
      <c r="KM170">
        <v>69</v>
      </c>
      <c r="KN170">
        <v>79242409</v>
      </c>
      <c r="KO170">
        <v>92</v>
      </c>
      <c r="KQ170" s="24"/>
      <c r="KR170">
        <v>91769</v>
      </c>
      <c r="KS170">
        <v>93999</v>
      </c>
      <c r="KT170">
        <v>92851</v>
      </c>
      <c r="KU170">
        <v>68353</v>
      </c>
      <c r="KV170">
        <v>524</v>
      </c>
      <c r="KX170" s="24"/>
      <c r="KY170">
        <v>535</v>
      </c>
      <c r="KZ170">
        <v>542</v>
      </c>
      <c r="LA170">
        <v>536</v>
      </c>
      <c r="LB170">
        <v>7777546</v>
      </c>
      <c r="LC170">
        <v>170</v>
      </c>
      <c r="LE170" s="24"/>
      <c r="LF170">
        <v>184020</v>
      </c>
      <c r="LG170">
        <v>184600</v>
      </c>
      <c r="LH170">
        <v>184100</v>
      </c>
      <c r="LI170">
        <v>134503</v>
      </c>
      <c r="LJ170">
        <v>779</v>
      </c>
      <c r="LL170" s="24"/>
      <c r="LM170">
        <v>76663</v>
      </c>
      <c r="LN170">
        <v>76713</v>
      </c>
      <c r="LO170">
        <v>76709</v>
      </c>
      <c r="LP170">
        <v>243464</v>
      </c>
      <c r="LQ170">
        <v>994</v>
      </c>
      <c r="LS170" s="24"/>
      <c r="LT170">
        <v>499</v>
      </c>
      <c r="LU170">
        <v>574</v>
      </c>
      <c r="LV170">
        <v>553</v>
      </c>
      <c r="LW170">
        <v>96483849</v>
      </c>
      <c r="LX170">
        <v>422</v>
      </c>
      <c r="LZ170" s="24"/>
      <c r="MA170">
        <v>116223</v>
      </c>
      <c r="MB170">
        <v>116226</v>
      </c>
      <c r="MC170">
        <v>116225</v>
      </c>
      <c r="MD170">
        <v>437718</v>
      </c>
      <c r="ME170">
        <v>56</v>
      </c>
    </row>
    <row r="171" spans="2:343" x14ac:dyDescent="0.25">
      <c r="B171" s="24"/>
      <c r="C171">
        <v>3</v>
      </c>
      <c r="D171">
        <v>3</v>
      </c>
      <c r="E171">
        <v>3</v>
      </c>
      <c r="F171">
        <v>18601707040</v>
      </c>
      <c r="G171">
        <v>1957</v>
      </c>
      <c r="I171" s="24"/>
      <c r="J171">
        <v>4</v>
      </c>
      <c r="K171">
        <v>4</v>
      </c>
      <c r="L171">
        <v>4</v>
      </c>
      <c r="M171">
        <v>2907161922</v>
      </c>
      <c r="N171">
        <v>1352</v>
      </c>
      <c r="P171" s="24"/>
      <c r="Q171">
        <v>27</v>
      </c>
      <c r="R171">
        <v>27</v>
      </c>
      <c r="S171">
        <v>27</v>
      </c>
      <c r="T171">
        <v>1113271713</v>
      </c>
      <c r="U171">
        <v>1189</v>
      </c>
      <c r="W171" s="24"/>
      <c r="X171">
        <v>68</v>
      </c>
      <c r="Y171">
        <v>70</v>
      </c>
      <c r="Z171">
        <v>69</v>
      </c>
      <c r="AA171">
        <v>233397206</v>
      </c>
      <c r="AB171">
        <v>891</v>
      </c>
      <c r="AD171" s="24"/>
      <c r="AE171">
        <v>490</v>
      </c>
      <c r="AF171">
        <v>506</v>
      </c>
      <c r="AG171">
        <v>500</v>
      </c>
      <c r="AH171">
        <v>77888102</v>
      </c>
      <c r="AI171">
        <v>1019</v>
      </c>
      <c r="AK171" s="24"/>
      <c r="AL171">
        <v>862</v>
      </c>
      <c r="AM171">
        <v>870</v>
      </c>
      <c r="AN171">
        <v>864</v>
      </c>
      <c r="AO171">
        <v>32532562</v>
      </c>
      <c r="AP171">
        <v>832</v>
      </c>
      <c r="AR171" s="24"/>
      <c r="AS171">
        <v>2276</v>
      </c>
      <c r="AT171">
        <v>2299</v>
      </c>
      <c r="AU171">
        <v>2277</v>
      </c>
      <c r="AV171">
        <v>10769851</v>
      </c>
      <c r="AW171">
        <v>805</v>
      </c>
      <c r="AY171" s="24"/>
      <c r="AZ171">
        <v>376500000</v>
      </c>
      <c r="BA171">
        <v>384999712</v>
      </c>
      <c r="BB171">
        <v>382990000</v>
      </c>
      <c r="BC171">
        <v>1688</v>
      </c>
      <c r="BD171">
        <v>1147</v>
      </c>
      <c r="BF171" s="24"/>
      <c r="BG171">
        <v>25508</v>
      </c>
      <c r="BH171">
        <v>25508</v>
      </c>
      <c r="BI171">
        <v>25508</v>
      </c>
      <c r="BJ171">
        <v>1356203</v>
      </c>
      <c r="BK171">
        <v>106</v>
      </c>
      <c r="BM171" s="24"/>
      <c r="BN171">
        <v>5650007</v>
      </c>
      <c r="BO171">
        <v>5870007</v>
      </c>
      <c r="BP171">
        <v>5660004</v>
      </c>
      <c r="BQ171">
        <v>4774</v>
      </c>
      <c r="BR171">
        <v>185</v>
      </c>
      <c r="BT171" s="24"/>
      <c r="BU171">
        <v>2611</v>
      </c>
      <c r="BV171">
        <v>2710</v>
      </c>
      <c r="BW171">
        <v>2699</v>
      </c>
      <c r="BX171">
        <v>13565351</v>
      </c>
      <c r="BY171">
        <v>145</v>
      </c>
      <c r="CA171" s="24"/>
      <c r="CB171">
        <v>527</v>
      </c>
      <c r="CC171">
        <v>572</v>
      </c>
      <c r="CD171">
        <v>564</v>
      </c>
      <c r="CE171">
        <v>32263618</v>
      </c>
      <c r="CF171">
        <v>189</v>
      </c>
      <c r="CH171" s="24"/>
      <c r="CI171">
        <v>24307</v>
      </c>
      <c r="CJ171">
        <v>24307</v>
      </c>
      <c r="CK171">
        <v>24307</v>
      </c>
      <c r="CL171">
        <v>310419</v>
      </c>
      <c r="CM171">
        <v>99</v>
      </c>
      <c r="CO171" s="24"/>
      <c r="CP171">
        <v>7330</v>
      </c>
      <c r="CQ171">
        <v>7699</v>
      </c>
      <c r="CR171">
        <v>7499</v>
      </c>
      <c r="CS171">
        <v>1013727</v>
      </c>
      <c r="CT171">
        <v>261</v>
      </c>
      <c r="CV171" s="24"/>
      <c r="CW171">
        <v>1300000</v>
      </c>
      <c r="CX171">
        <v>1322877</v>
      </c>
      <c r="CY171">
        <v>1322874</v>
      </c>
      <c r="CZ171">
        <v>4396</v>
      </c>
      <c r="DA171">
        <v>24</v>
      </c>
      <c r="DC171" s="24"/>
      <c r="DD171">
        <v>529</v>
      </c>
      <c r="DE171">
        <v>554</v>
      </c>
      <c r="DF171">
        <v>541</v>
      </c>
      <c r="DG171">
        <v>24838260</v>
      </c>
      <c r="DH171">
        <v>126</v>
      </c>
      <c r="DJ171" s="24"/>
      <c r="DK171">
        <v>34520023</v>
      </c>
      <c r="DL171">
        <v>34600000</v>
      </c>
      <c r="DM171">
        <v>34521011</v>
      </c>
      <c r="DN171">
        <v>110</v>
      </c>
      <c r="DO171">
        <v>29</v>
      </c>
      <c r="DQ171" s="24"/>
      <c r="DR171">
        <v>1777000</v>
      </c>
      <c r="DS171">
        <v>1900000</v>
      </c>
      <c r="DT171">
        <v>1799001</v>
      </c>
      <c r="DU171">
        <v>3777</v>
      </c>
      <c r="DV171">
        <v>157</v>
      </c>
      <c r="DX171" s="24"/>
      <c r="DY171">
        <v>19500020</v>
      </c>
      <c r="DZ171">
        <v>20800015</v>
      </c>
      <c r="EA171">
        <v>19500020</v>
      </c>
      <c r="EB171">
        <v>337</v>
      </c>
      <c r="EC171">
        <v>51</v>
      </c>
      <c r="EE171" s="24"/>
      <c r="EF171">
        <v>147</v>
      </c>
      <c r="EG171">
        <v>149</v>
      </c>
      <c r="EH171">
        <v>149</v>
      </c>
      <c r="EI171">
        <v>66968978</v>
      </c>
      <c r="EJ171">
        <v>99</v>
      </c>
      <c r="EL171" s="24"/>
      <c r="EM171">
        <v>50016</v>
      </c>
      <c r="EN171">
        <v>51500</v>
      </c>
      <c r="EO171">
        <v>50053</v>
      </c>
      <c r="EP171">
        <v>36623</v>
      </c>
      <c r="EQ171">
        <v>415</v>
      </c>
      <c r="ES171" s="24"/>
      <c r="ET171">
        <v>363</v>
      </c>
      <c r="EU171">
        <v>377</v>
      </c>
      <c r="EV171">
        <v>376</v>
      </c>
      <c r="EW171">
        <v>19742333</v>
      </c>
      <c r="EX171">
        <v>411</v>
      </c>
      <c r="EZ171" s="24"/>
      <c r="FA171">
        <v>3351002</v>
      </c>
      <c r="FB171">
        <v>3412000</v>
      </c>
      <c r="FC171">
        <v>3352000</v>
      </c>
      <c r="FD171">
        <v>2340</v>
      </c>
      <c r="FE171">
        <v>24</v>
      </c>
      <c r="FG171" s="24"/>
      <c r="FH171">
        <v>6403</v>
      </c>
      <c r="FI171">
        <v>6768</v>
      </c>
      <c r="FJ171">
        <v>6403</v>
      </c>
      <c r="FK171">
        <v>1035358</v>
      </c>
      <c r="FL171">
        <v>281</v>
      </c>
      <c r="FN171" s="24"/>
      <c r="FO171">
        <v>18499</v>
      </c>
      <c r="FP171">
        <v>18499</v>
      </c>
      <c r="FQ171">
        <v>18499</v>
      </c>
      <c r="FR171">
        <v>89908</v>
      </c>
      <c r="FS171">
        <v>52</v>
      </c>
      <c r="FU171" s="24"/>
      <c r="FV171">
        <v>18011</v>
      </c>
      <c r="FW171">
        <v>18021</v>
      </c>
      <c r="FX171">
        <v>18019</v>
      </c>
      <c r="FY171">
        <v>167491</v>
      </c>
      <c r="FZ171">
        <v>790</v>
      </c>
      <c r="GB171" s="24"/>
      <c r="GC171">
        <v>92369001</v>
      </c>
      <c r="GD171">
        <v>104555500</v>
      </c>
      <c r="GE171">
        <v>101058648</v>
      </c>
      <c r="GF171">
        <v>37</v>
      </c>
      <c r="GG171">
        <v>30</v>
      </c>
      <c r="GI171" s="24"/>
      <c r="GJ171">
        <v>23900114</v>
      </c>
      <c r="GK171">
        <v>24200000</v>
      </c>
      <c r="GL171">
        <v>24100013</v>
      </c>
      <c r="GM171">
        <v>329</v>
      </c>
      <c r="GN171">
        <v>53</v>
      </c>
      <c r="GP171" s="24"/>
      <c r="GQ171">
        <v>77</v>
      </c>
      <c r="GR171">
        <v>78</v>
      </c>
      <c r="GS171">
        <v>78</v>
      </c>
      <c r="GT171">
        <v>61987565</v>
      </c>
      <c r="GU171">
        <v>60</v>
      </c>
      <c r="GW171" s="24"/>
      <c r="GX171">
        <v>471</v>
      </c>
      <c r="GY171">
        <v>476</v>
      </c>
      <c r="GZ171">
        <v>476</v>
      </c>
      <c r="HA171">
        <v>34822957</v>
      </c>
      <c r="HB171">
        <v>150</v>
      </c>
      <c r="HD171" s="24"/>
      <c r="HE171">
        <v>5726</v>
      </c>
      <c r="HF171">
        <v>5829</v>
      </c>
      <c r="HG171">
        <v>5819</v>
      </c>
      <c r="HH171">
        <v>10560278</v>
      </c>
      <c r="HI171">
        <v>166</v>
      </c>
      <c r="HK171" s="24"/>
      <c r="HL171">
        <v>99154000</v>
      </c>
      <c r="HM171">
        <v>104988682</v>
      </c>
      <c r="HN171">
        <v>99202000</v>
      </c>
      <c r="HO171">
        <v>120</v>
      </c>
      <c r="HP171">
        <v>70</v>
      </c>
      <c r="HR171" s="24"/>
      <c r="HS171">
        <v>5899</v>
      </c>
      <c r="HT171">
        <v>5936</v>
      </c>
      <c r="HU171">
        <v>5935</v>
      </c>
      <c r="HV171">
        <v>440367</v>
      </c>
      <c r="HW171">
        <v>83</v>
      </c>
      <c r="HY171" s="24"/>
      <c r="HZ171">
        <v>5509</v>
      </c>
      <c r="IA171">
        <v>5884</v>
      </c>
      <c r="IB171">
        <v>5700</v>
      </c>
      <c r="IC171">
        <v>1276010</v>
      </c>
      <c r="ID171">
        <v>299</v>
      </c>
      <c r="IF171" s="24"/>
      <c r="IG171">
        <v>2933</v>
      </c>
      <c r="IH171">
        <v>2937</v>
      </c>
      <c r="II171">
        <v>2936</v>
      </c>
      <c r="IJ171">
        <v>1245631</v>
      </c>
      <c r="IK171">
        <v>83</v>
      </c>
      <c r="IM171" s="24"/>
      <c r="IN171">
        <v>96600004</v>
      </c>
      <c r="IO171">
        <v>104949999</v>
      </c>
      <c r="IP171">
        <v>100505675</v>
      </c>
      <c r="IQ171">
        <v>65</v>
      </c>
      <c r="IR171">
        <v>45</v>
      </c>
      <c r="IT171" s="24"/>
      <c r="IU171">
        <v>8100</v>
      </c>
      <c r="IV171">
        <v>8246</v>
      </c>
      <c r="IW171">
        <v>8120</v>
      </c>
      <c r="IX171">
        <v>1375432</v>
      </c>
      <c r="IY171">
        <v>111</v>
      </c>
      <c r="JA171" s="24"/>
      <c r="JB171">
        <v>93285561</v>
      </c>
      <c r="JC171">
        <v>104797000</v>
      </c>
      <c r="JD171">
        <v>98213234</v>
      </c>
      <c r="JE171">
        <v>50</v>
      </c>
      <c r="JF171">
        <v>41</v>
      </c>
      <c r="JH171" s="24"/>
      <c r="JI171">
        <v>97500001</v>
      </c>
      <c r="JJ171">
        <v>104987398</v>
      </c>
      <c r="JK171">
        <v>100320020</v>
      </c>
      <c r="JL171">
        <v>56</v>
      </c>
      <c r="JM171">
        <v>36</v>
      </c>
      <c r="JO171" s="24"/>
      <c r="JP171">
        <v>69</v>
      </c>
      <c r="JQ171">
        <v>71</v>
      </c>
      <c r="JR171">
        <v>71</v>
      </c>
      <c r="JS171">
        <v>73325649</v>
      </c>
      <c r="JT171">
        <v>75</v>
      </c>
      <c r="JV171" s="24"/>
      <c r="JW171">
        <v>64</v>
      </c>
      <c r="JX171">
        <v>66</v>
      </c>
      <c r="JY171">
        <v>65</v>
      </c>
      <c r="JZ171">
        <v>113630631</v>
      </c>
      <c r="KA171">
        <v>84</v>
      </c>
      <c r="KC171" s="24"/>
      <c r="KD171">
        <v>23</v>
      </c>
      <c r="KE171">
        <v>23</v>
      </c>
      <c r="KF171">
        <v>23</v>
      </c>
      <c r="KG171">
        <v>23195252</v>
      </c>
      <c r="KH171">
        <v>211</v>
      </c>
      <c r="KJ171" s="24"/>
      <c r="KK171">
        <v>69</v>
      </c>
      <c r="KL171">
        <v>72</v>
      </c>
      <c r="KM171">
        <v>71</v>
      </c>
      <c r="KN171">
        <v>71088092</v>
      </c>
      <c r="KO171">
        <v>62</v>
      </c>
      <c r="KQ171" s="24"/>
      <c r="KR171">
        <v>92888</v>
      </c>
      <c r="KS171">
        <v>95889</v>
      </c>
      <c r="KT171">
        <v>92904</v>
      </c>
      <c r="KU171">
        <v>36192</v>
      </c>
      <c r="KV171">
        <v>376</v>
      </c>
      <c r="KX171" s="24"/>
      <c r="KY171">
        <v>542</v>
      </c>
      <c r="KZ171">
        <v>542</v>
      </c>
      <c r="LA171">
        <v>542</v>
      </c>
      <c r="LB171">
        <v>1873151</v>
      </c>
      <c r="LC171">
        <v>93</v>
      </c>
      <c r="LE171" s="24"/>
      <c r="LF171">
        <v>185016</v>
      </c>
      <c r="LG171">
        <v>185069</v>
      </c>
      <c r="LH171">
        <v>185040</v>
      </c>
      <c r="LI171">
        <v>47841</v>
      </c>
      <c r="LJ171">
        <v>551</v>
      </c>
      <c r="LL171" s="24"/>
      <c r="LM171">
        <v>76725</v>
      </c>
      <c r="LN171">
        <v>77015</v>
      </c>
      <c r="LO171">
        <v>77008</v>
      </c>
      <c r="LP171">
        <v>143260</v>
      </c>
      <c r="LQ171">
        <v>792</v>
      </c>
      <c r="LS171" s="24"/>
      <c r="LT171">
        <v>522</v>
      </c>
      <c r="LU171">
        <v>573</v>
      </c>
      <c r="LV171">
        <v>553</v>
      </c>
      <c r="LW171">
        <v>88098302</v>
      </c>
      <c r="LX171">
        <v>336</v>
      </c>
      <c r="LZ171" s="24"/>
      <c r="MA171">
        <v>114004</v>
      </c>
      <c r="MB171">
        <v>116226</v>
      </c>
      <c r="MC171">
        <v>116226</v>
      </c>
      <c r="MD171">
        <v>513846</v>
      </c>
      <c r="ME171">
        <v>41</v>
      </c>
    </row>
    <row r="172" spans="2:343" x14ac:dyDescent="0.25">
      <c r="B172" s="24"/>
      <c r="C172">
        <v>3</v>
      </c>
      <c r="D172">
        <v>3</v>
      </c>
      <c r="E172">
        <v>3</v>
      </c>
      <c r="F172">
        <v>22916133310</v>
      </c>
      <c r="G172">
        <v>2944</v>
      </c>
      <c r="I172" s="24"/>
      <c r="J172">
        <v>4</v>
      </c>
      <c r="K172">
        <v>4</v>
      </c>
      <c r="L172">
        <v>4</v>
      </c>
      <c r="M172">
        <v>5096241171</v>
      </c>
      <c r="N172">
        <v>2060</v>
      </c>
      <c r="P172" s="24"/>
      <c r="Q172">
        <v>27</v>
      </c>
      <c r="R172">
        <v>27</v>
      </c>
      <c r="S172">
        <v>27</v>
      </c>
      <c r="T172">
        <v>1127617656</v>
      </c>
      <c r="U172">
        <v>1887</v>
      </c>
      <c r="W172" s="24"/>
      <c r="X172">
        <v>69</v>
      </c>
      <c r="Y172">
        <v>70</v>
      </c>
      <c r="Z172">
        <v>69</v>
      </c>
      <c r="AA172">
        <v>191639395</v>
      </c>
      <c r="AB172">
        <v>1423</v>
      </c>
      <c r="AD172" s="24"/>
      <c r="AE172">
        <v>487</v>
      </c>
      <c r="AF172">
        <v>499</v>
      </c>
      <c r="AG172">
        <v>497</v>
      </c>
      <c r="AH172">
        <v>92790902</v>
      </c>
      <c r="AI172">
        <v>1578</v>
      </c>
      <c r="AK172" s="24"/>
      <c r="AL172">
        <v>826</v>
      </c>
      <c r="AM172">
        <v>861</v>
      </c>
      <c r="AN172">
        <v>840</v>
      </c>
      <c r="AO172">
        <v>34302837</v>
      </c>
      <c r="AP172">
        <v>1236</v>
      </c>
      <c r="AR172" s="24"/>
      <c r="AS172">
        <v>2278</v>
      </c>
      <c r="AT172">
        <v>2299</v>
      </c>
      <c r="AU172">
        <v>2295</v>
      </c>
      <c r="AV172">
        <v>16320666</v>
      </c>
      <c r="AW172">
        <v>1194</v>
      </c>
      <c r="AY172" s="24"/>
      <c r="AZ172">
        <v>377501507</v>
      </c>
      <c r="BA172">
        <v>388000000</v>
      </c>
      <c r="BB172">
        <v>385694997</v>
      </c>
      <c r="BC172">
        <v>2370</v>
      </c>
      <c r="BD172">
        <v>1568</v>
      </c>
      <c r="BF172" s="24"/>
      <c r="BG172">
        <v>25305</v>
      </c>
      <c r="BH172">
        <v>25703</v>
      </c>
      <c r="BI172">
        <v>25325</v>
      </c>
      <c r="BJ172">
        <v>2010297</v>
      </c>
      <c r="BK172">
        <v>229</v>
      </c>
      <c r="BM172" s="24"/>
      <c r="BN172">
        <v>5660004</v>
      </c>
      <c r="BO172">
        <v>5664000</v>
      </c>
      <c r="BP172">
        <v>5661000</v>
      </c>
      <c r="BQ172">
        <v>12680</v>
      </c>
      <c r="BR172">
        <v>292</v>
      </c>
      <c r="BT172" s="24"/>
      <c r="BU172">
        <v>2615</v>
      </c>
      <c r="BV172">
        <v>2705</v>
      </c>
      <c r="BW172">
        <v>2643</v>
      </c>
      <c r="BX172">
        <v>15704556</v>
      </c>
      <c r="BY172">
        <v>188</v>
      </c>
      <c r="CA172" s="24"/>
      <c r="CB172">
        <v>527</v>
      </c>
      <c r="CC172">
        <v>558</v>
      </c>
      <c r="CD172">
        <v>539</v>
      </c>
      <c r="CE172">
        <v>59085755</v>
      </c>
      <c r="CF172">
        <v>274</v>
      </c>
      <c r="CH172" s="24"/>
      <c r="CI172">
        <v>23421</v>
      </c>
      <c r="CJ172">
        <v>23421</v>
      </c>
      <c r="CK172">
        <v>23421</v>
      </c>
      <c r="CL172">
        <v>1918889</v>
      </c>
      <c r="CM172">
        <v>184</v>
      </c>
      <c r="CO172" s="24"/>
      <c r="CP172">
        <v>7400</v>
      </c>
      <c r="CQ172">
        <v>7969</v>
      </c>
      <c r="CR172">
        <v>7689</v>
      </c>
      <c r="CS172">
        <v>1177550</v>
      </c>
      <c r="CT172">
        <v>379</v>
      </c>
      <c r="CV172" s="24"/>
      <c r="CW172">
        <v>1302000</v>
      </c>
      <c r="CX172">
        <v>1319998</v>
      </c>
      <c r="CY172">
        <v>1319001</v>
      </c>
      <c r="CZ172">
        <v>6697</v>
      </c>
      <c r="DA172">
        <v>28</v>
      </c>
      <c r="DC172" s="24"/>
      <c r="DD172">
        <v>538</v>
      </c>
      <c r="DE172">
        <v>590</v>
      </c>
      <c r="DF172">
        <v>580</v>
      </c>
      <c r="DG172">
        <v>41718738</v>
      </c>
      <c r="DH172">
        <v>214</v>
      </c>
      <c r="DJ172" s="24"/>
      <c r="DK172">
        <v>34523022</v>
      </c>
      <c r="DL172">
        <v>35999999</v>
      </c>
      <c r="DM172">
        <v>34523060</v>
      </c>
      <c r="DN172">
        <v>319</v>
      </c>
      <c r="DO172">
        <v>77</v>
      </c>
      <c r="DQ172" s="24"/>
      <c r="DR172">
        <v>1675004</v>
      </c>
      <c r="DS172">
        <v>1999998</v>
      </c>
      <c r="DT172">
        <v>1850000</v>
      </c>
      <c r="DU172">
        <v>8472</v>
      </c>
      <c r="DV172">
        <v>230</v>
      </c>
      <c r="DX172" s="24"/>
      <c r="DY172">
        <v>19000000</v>
      </c>
      <c r="DZ172">
        <v>20349999</v>
      </c>
      <c r="EA172">
        <v>19300000</v>
      </c>
      <c r="EB172">
        <v>430</v>
      </c>
      <c r="EC172">
        <v>98</v>
      </c>
      <c r="EE172" s="24"/>
      <c r="EF172">
        <v>143</v>
      </c>
      <c r="EG172">
        <v>149</v>
      </c>
      <c r="EH172">
        <v>144</v>
      </c>
      <c r="EI172">
        <v>93214200</v>
      </c>
      <c r="EJ172">
        <v>164</v>
      </c>
      <c r="EL172" s="24"/>
      <c r="EM172">
        <v>50064</v>
      </c>
      <c r="EN172">
        <v>50600</v>
      </c>
      <c r="EO172">
        <v>50500</v>
      </c>
      <c r="EP172">
        <v>54451</v>
      </c>
      <c r="EQ172">
        <v>661</v>
      </c>
      <c r="ES172" s="24"/>
      <c r="ET172">
        <v>352</v>
      </c>
      <c r="EU172">
        <v>375</v>
      </c>
      <c r="EV172">
        <v>369</v>
      </c>
      <c r="EW172">
        <v>38296230</v>
      </c>
      <c r="EX172">
        <v>589</v>
      </c>
      <c r="EZ172" s="24"/>
      <c r="FA172">
        <v>3400000</v>
      </c>
      <c r="FB172">
        <v>3549999</v>
      </c>
      <c r="FC172">
        <v>3412991</v>
      </c>
      <c r="FD172">
        <v>1543</v>
      </c>
      <c r="FE172">
        <v>35</v>
      </c>
      <c r="FG172" s="24"/>
      <c r="FH172">
        <v>6500</v>
      </c>
      <c r="FI172">
        <v>6955</v>
      </c>
      <c r="FJ172">
        <v>6769</v>
      </c>
      <c r="FK172">
        <v>1597394</v>
      </c>
      <c r="FL172">
        <v>440</v>
      </c>
      <c r="FN172" s="24"/>
      <c r="FO172">
        <v>18750</v>
      </c>
      <c r="FP172">
        <v>18750</v>
      </c>
      <c r="FQ172">
        <v>18750</v>
      </c>
      <c r="FR172">
        <v>283254</v>
      </c>
      <c r="FS172">
        <v>75</v>
      </c>
      <c r="FU172" s="24"/>
      <c r="FV172">
        <v>18000</v>
      </c>
      <c r="FW172">
        <v>18002</v>
      </c>
      <c r="FX172">
        <v>18000</v>
      </c>
      <c r="FY172">
        <v>433329</v>
      </c>
      <c r="FZ172">
        <v>1218</v>
      </c>
      <c r="GB172" s="24"/>
      <c r="GC172">
        <v>98500000</v>
      </c>
      <c r="GD172">
        <v>103999999</v>
      </c>
      <c r="GE172">
        <v>100221420</v>
      </c>
      <c r="GF172">
        <v>86</v>
      </c>
      <c r="GG172">
        <v>69</v>
      </c>
      <c r="GI172" s="24"/>
      <c r="GJ172">
        <v>22149191</v>
      </c>
      <c r="GK172">
        <v>24000000</v>
      </c>
      <c r="GL172">
        <v>22149191</v>
      </c>
      <c r="GM172">
        <v>309</v>
      </c>
      <c r="GN172">
        <v>60</v>
      </c>
      <c r="GP172" s="24"/>
      <c r="GQ172">
        <v>73</v>
      </c>
      <c r="GR172">
        <v>77</v>
      </c>
      <c r="GS172">
        <v>74</v>
      </c>
      <c r="GT172">
        <v>146850108</v>
      </c>
      <c r="GU172">
        <v>118</v>
      </c>
      <c r="GW172" s="24"/>
      <c r="GX172">
        <v>470</v>
      </c>
      <c r="GY172">
        <v>486</v>
      </c>
      <c r="GZ172">
        <v>486</v>
      </c>
      <c r="HA172">
        <v>39034145</v>
      </c>
      <c r="HB172">
        <v>200</v>
      </c>
      <c r="HD172" s="24"/>
      <c r="HE172">
        <v>5735</v>
      </c>
      <c r="HF172">
        <v>5819</v>
      </c>
      <c r="HG172">
        <v>5809</v>
      </c>
      <c r="HH172">
        <v>12607364</v>
      </c>
      <c r="HI172">
        <v>230</v>
      </c>
      <c r="HK172" s="24"/>
      <c r="HL172">
        <v>95092000</v>
      </c>
      <c r="HM172">
        <v>104985999</v>
      </c>
      <c r="HN172">
        <v>95093000</v>
      </c>
      <c r="HO172">
        <v>292</v>
      </c>
      <c r="HP172">
        <v>110</v>
      </c>
      <c r="HR172" s="24"/>
      <c r="HS172">
        <v>5780</v>
      </c>
      <c r="HT172">
        <v>5945</v>
      </c>
      <c r="HU172">
        <v>5788</v>
      </c>
      <c r="HV172">
        <v>528633</v>
      </c>
      <c r="HW172">
        <v>101</v>
      </c>
      <c r="HY172" s="24"/>
      <c r="HZ172">
        <v>5509</v>
      </c>
      <c r="IA172">
        <v>5798</v>
      </c>
      <c r="IB172">
        <v>5797</v>
      </c>
      <c r="IC172">
        <v>1955283</v>
      </c>
      <c r="ID172">
        <v>445</v>
      </c>
      <c r="IF172" s="24"/>
      <c r="IG172">
        <v>2851</v>
      </c>
      <c r="IH172">
        <v>2937</v>
      </c>
      <c r="II172">
        <v>2900</v>
      </c>
      <c r="IJ172">
        <v>2896631</v>
      </c>
      <c r="IK172">
        <v>137</v>
      </c>
      <c r="IM172" s="24"/>
      <c r="IN172">
        <v>90000000</v>
      </c>
      <c r="IO172">
        <v>103894998</v>
      </c>
      <c r="IP172">
        <v>96575000</v>
      </c>
      <c r="IQ172">
        <v>197</v>
      </c>
      <c r="IR172">
        <v>109</v>
      </c>
      <c r="IT172" s="24"/>
      <c r="IU172">
        <v>8099</v>
      </c>
      <c r="IV172">
        <v>8246</v>
      </c>
      <c r="IW172">
        <v>8100</v>
      </c>
      <c r="IX172">
        <v>831040</v>
      </c>
      <c r="IY172">
        <v>115</v>
      </c>
      <c r="JA172" s="24"/>
      <c r="JB172">
        <v>93474012</v>
      </c>
      <c r="JC172">
        <v>104789994</v>
      </c>
      <c r="JD172">
        <v>97953179</v>
      </c>
      <c r="JE172">
        <v>88</v>
      </c>
      <c r="JF172">
        <v>61</v>
      </c>
      <c r="JH172" s="24"/>
      <c r="JI172">
        <v>90825001</v>
      </c>
      <c r="JJ172">
        <v>104267999</v>
      </c>
      <c r="JK172">
        <v>93001222</v>
      </c>
      <c r="JL172">
        <v>121</v>
      </c>
      <c r="JM172">
        <v>74</v>
      </c>
      <c r="JO172" s="24"/>
      <c r="JP172">
        <v>72</v>
      </c>
      <c r="JQ172">
        <v>72</v>
      </c>
      <c r="JR172">
        <v>72</v>
      </c>
      <c r="JS172">
        <v>78639311</v>
      </c>
      <c r="JT172">
        <v>85</v>
      </c>
      <c r="JV172" s="24"/>
      <c r="JW172">
        <v>63</v>
      </c>
      <c r="JX172">
        <v>65</v>
      </c>
      <c r="JY172">
        <v>64</v>
      </c>
      <c r="JZ172">
        <v>77897325</v>
      </c>
      <c r="KA172">
        <v>89</v>
      </c>
      <c r="KC172" s="24"/>
      <c r="KD172">
        <v>22</v>
      </c>
      <c r="KE172">
        <v>23</v>
      </c>
      <c r="KF172">
        <v>22</v>
      </c>
      <c r="KG172">
        <v>57265253</v>
      </c>
      <c r="KH172">
        <v>292</v>
      </c>
      <c r="KJ172" s="24"/>
      <c r="KK172">
        <v>69</v>
      </c>
      <c r="KL172">
        <v>69</v>
      </c>
      <c r="KM172">
        <v>69</v>
      </c>
      <c r="KN172">
        <v>105469688</v>
      </c>
      <c r="KO172">
        <v>101</v>
      </c>
      <c r="KQ172" s="24"/>
      <c r="KR172">
        <v>90690</v>
      </c>
      <c r="KS172">
        <v>92887</v>
      </c>
      <c r="KT172">
        <v>91637</v>
      </c>
      <c r="KU172">
        <v>115476</v>
      </c>
      <c r="KV172">
        <v>649</v>
      </c>
      <c r="KX172" s="24"/>
      <c r="KY172">
        <v>533</v>
      </c>
      <c r="KZ172">
        <v>542</v>
      </c>
      <c r="LA172">
        <v>542</v>
      </c>
      <c r="LB172">
        <v>4677238</v>
      </c>
      <c r="LC172">
        <v>160</v>
      </c>
      <c r="LE172" s="24"/>
      <c r="LF172">
        <v>187010</v>
      </c>
      <c r="LG172">
        <v>189398</v>
      </c>
      <c r="LH172">
        <v>187012</v>
      </c>
      <c r="LI172">
        <v>171235</v>
      </c>
      <c r="LJ172">
        <v>969</v>
      </c>
      <c r="LL172" s="24"/>
      <c r="LM172">
        <v>74801</v>
      </c>
      <c r="LN172">
        <v>76747</v>
      </c>
      <c r="LO172">
        <v>74813</v>
      </c>
      <c r="LP172">
        <v>524732</v>
      </c>
      <c r="LQ172">
        <v>1236</v>
      </c>
      <c r="LS172" s="24"/>
      <c r="LT172">
        <v>535</v>
      </c>
      <c r="LU172">
        <v>547</v>
      </c>
      <c r="LV172">
        <v>539</v>
      </c>
      <c r="LW172">
        <v>84854546</v>
      </c>
      <c r="LX172">
        <v>394</v>
      </c>
      <c r="LZ172" s="24"/>
      <c r="MA172">
        <v>118090</v>
      </c>
      <c r="MB172">
        <v>122995</v>
      </c>
      <c r="MC172">
        <v>122981</v>
      </c>
      <c r="MD172">
        <v>950885</v>
      </c>
      <c r="ME172">
        <v>104</v>
      </c>
    </row>
    <row r="173" spans="2:343" x14ac:dyDescent="0.25">
      <c r="B173" s="24"/>
      <c r="C173">
        <v>3</v>
      </c>
      <c r="D173">
        <v>3</v>
      </c>
      <c r="E173">
        <v>3</v>
      </c>
      <c r="F173">
        <v>25196543603</v>
      </c>
      <c r="G173">
        <v>3214</v>
      </c>
      <c r="I173" s="24"/>
      <c r="J173">
        <v>4</v>
      </c>
      <c r="K173">
        <v>4</v>
      </c>
      <c r="L173">
        <v>4</v>
      </c>
      <c r="M173">
        <v>5005604646</v>
      </c>
      <c r="N173">
        <v>2197</v>
      </c>
      <c r="P173" s="24"/>
      <c r="Q173">
        <v>27</v>
      </c>
      <c r="R173">
        <v>27</v>
      </c>
      <c r="S173">
        <v>27</v>
      </c>
      <c r="T173">
        <v>1692493747</v>
      </c>
      <c r="U173">
        <v>1949</v>
      </c>
      <c r="W173" s="24"/>
      <c r="X173">
        <v>69</v>
      </c>
      <c r="Y173">
        <v>70</v>
      </c>
      <c r="Z173">
        <v>70</v>
      </c>
      <c r="AA173">
        <v>415519657</v>
      </c>
      <c r="AB173">
        <v>1605</v>
      </c>
      <c r="AD173" s="24"/>
      <c r="AE173">
        <v>477</v>
      </c>
      <c r="AF173">
        <v>491</v>
      </c>
      <c r="AG173">
        <v>489</v>
      </c>
      <c r="AH173">
        <v>105865514</v>
      </c>
      <c r="AI173">
        <v>1596</v>
      </c>
      <c r="AK173" s="24"/>
      <c r="AL173">
        <v>831</v>
      </c>
      <c r="AM173">
        <v>862</v>
      </c>
      <c r="AN173">
        <v>854</v>
      </c>
      <c r="AO173">
        <v>31482754</v>
      </c>
      <c r="AP173">
        <v>1281</v>
      </c>
      <c r="AR173" s="24"/>
      <c r="AS173">
        <v>2226</v>
      </c>
      <c r="AT173">
        <v>2304</v>
      </c>
      <c r="AU173">
        <v>2275</v>
      </c>
      <c r="AV173">
        <v>14658753</v>
      </c>
      <c r="AW173">
        <v>1272</v>
      </c>
      <c r="AY173" s="24"/>
      <c r="AZ173">
        <v>375103049</v>
      </c>
      <c r="BA173">
        <v>385500000</v>
      </c>
      <c r="BB173">
        <v>382000000</v>
      </c>
      <c r="BC173">
        <v>2542</v>
      </c>
      <c r="BD173">
        <v>1663</v>
      </c>
      <c r="BF173" s="24"/>
      <c r="BG173">
        <v>25000</v>
      </c>
      <c r="BH173">
        <v>25000</v>
      </c>
      <c r="BI173">
        <v>25000</v>
      </c>
      <c r="BJ173">
        <v>2547910</v>
      </c>
      <c r="BK173">
        <v>216</v>
      </c>
      <c r="BM173" s="24"/>
      <c r="BN173">
        <v>5500140</v>
      </c>
      <c r="BO173">
        <v>5500150</v>
      </c>
      <c r="BP173">
        <v>5500145</v>
      </c>
      <c r="BQ173">
        <v>11389</v>
      </c>
      <c r="BR173">
        <v>335</v>
      </c>
      <c r="BT173" s="24"/>
      <c r="BU173">
        <v>2689</v>
      </c>
      <c r="BV173">
        <v>2693</v>
      </c>
      <c r="BW173">
        <v>2689</v>
      </c>
      <c r="BX173">
        <v>22072839</v>
      </c>
      <c r="BY173">
        <v>257</v>
      </c>
      <c r="CA173" s="24"/>
      <c r="CB173">
        <v>549</v>
      </c>
      <c r="CC173">
        <v>564</v>
      </c>
      <c r="CD173">
        <v>558</v>
      </c>
      <c r="CE173">
        <v>42249301</v>
      </c>
      <c r="CF173">
        <v>246</v>
      </c>
      <c r="CH173" s="24"/>
      <c r="CI173">
        <v>23422</v>
      </c>
      <c r="CJ173">
        <v>23423</v>
      </c>
      <c r="CK173">
        <v>23422</v>
      </c>
      <c r="CL173">
        <v>1383744</v>
      </c>
      <c r="CM173">
        <v>182</v>
      </c>
      <c r="CO173" s="24"/>
      <c r="CP173">
        <v>7051</v>
      </c>
      <c r="CQ173">
        <v>7800</v>
      </c>
      <c r="CR173">
        <v>7649</v>
      </c>
      <c r="CS173">
        <v>1199515</v>
      </c>
      <c r="CT173">
        <v>417</v>
      </c>
      <c r="CV173" s="24"/>
      <c r="CW173">
        <v>1300000</v>
      </c>
      <c r="CX173">
        <v>1309999</v>
      </c>
      <c r="CY173">
        <v>1301001</v>
      </c>
      <c r="CZ173">
        <v>16409</v>
      </c>
      <c r="DA173">
        <v>57</v>
      </c>
      <c r="DC173" s="24"/>
      <c r="DD173">
        <v>542</v>
      </c>
      <c r="DE173">
        <v>583</v>
      </c>
      <c r="DF173">
        <v>579</v>
      </c>
      <c r="DG173">
        <v>49633979</v>
      </c>
      <c r="DH173">
        <v>214</v>
      </c>
      <c r="DJ173" s="24"/>
      <c r="DK173">
        <v>34525069</v>
      </c>
      <c r="DL173">
        <v>34532150</v>
      </c>
      <c r="DM173">
        <v>34531006</v>
      </c>
      <c r="DN173">
        <v>322</v>
      </c>
      <c r="DO173">
        <v>82</v>
      </c>
      <c r="DQ173" s="24"/>
      <c r="DR173">
        <v>1851112</v>
      </c>
      <c r="DS173">
        <v>1914574</v>
      </c>
      <c r="DT173">
        <v>1914573</v>
      </c>
      <c r="DU173">
        <v>5832</v>
      </c>
      <c r="DV173">
        <v>239</v>
      </c>
      <c r="DX173" s="24"/>
      <c r="DY173">
        <v>19350010</v>
      </c>
      <c r="DZ173">
        <v>20698599</v>
      </c>
      <c r="EA173">
        <v>19350020</v>
      </c>
      <c r="EB173">
        <v>368</v>
      </c>
      <c r="EC173">
        <v>100</v>
      </c>
      <c r="EE173" s="24"/>
      <c r="EF173">
        <v>147</v>
      </c>
      <c r="EG173">
        <v>149</v>
      </c>
      <c r="EH173">
        <v>149</v>
      </c>
      <c r="EI173">
        <v>114864823</v>
      </c>
      <c r="EJ173">
        <v>191</v>
      </c>
      <c r="EL173" s="24"/>
      <c r="EM173">
        <v>50602</v>
      </c>
      <c r="EN173">
        <v>55005</v>
      </c>
      <c r="EO173">
        <v>50622</v>
      </c>
      <c r="EP173">
        <v>60524</v>
      </c>
      <c r="EQ173">
        <v>728</v>
      </c>
      <c r="ES173" s="24"/>
      <c r="ET173">
        <v>370</v>
      </c>
      <c r="EU173">
        <v>382</v>
      </c>
      <c r="EV173">
        <v>378</v>
      </c>
      <c r="EW173">
        <v>33794032</v>
      </c>
      <c r="EX173">
        <v>637</v>
      </c>
      <c r="EZ173" s="24"/>
      <c r="FA173">
        <v>3353003</v>
      </c>
      <c r="FB173">
        <v>3500000</v>
      </c>
      <c r="FC173">
        <v>3353003</v>
      </c>
      <c r="FD173">
        <v>1487</v>
      </c>
      <c r="FE173">
        <v>28</v>
      </c>
      <c r="FG173" s="24"/>
      <c r="FH173">
        <v>6600</v>
      </c>
      <c r="FI173">
        <v>7196</v>
      </c>
      <c r="FJ173">
        <v>7136</v>
      </c>
      <c r="FK173">
        <v>1469332</v>
      </c>
      <c r="FL173">
        <v>451</v>
      </c>
      <c r="FN173" s="24"/>
      <c r="FO173">
        <v>18300</v>
      </c>
      <c r="FP173">
        <v>18300</v>
      </c>
      <c r="FQ173">
        <v>18300</v>
      </c>
      <c r="FR173">
        <v>299338</v>
      </c>
      <c r="FS173">
        <v>102</v>
      </c>
      <c r="FU173" s="24"/>
      <c r="FV173">
        <v>18012</v>
      </c>
      <c r="FW173">
        <v>19000</v>
      </c>
      <c r="FX173">
        <v>18013</v>
      </c>
      <c r="FY173">
        <v>321834</v>
      </c>
      <c r="FZ173">
        <v>1285</v>
      </c>
      <c r="GB173" s="24"/>
      <c r="GC173">
        <v>98501005</v>
      </c>
      <c r="GD173">
        <v>103049988</v>
      </c>
      <c r="GE173">
        <v>101520417</v>
      </c>
      <c r="GF173">
        <v>79</v>
      </c>
      <c r="GG173">
        <v>66</v>
      </c>
      <c r="GI173" s="24"/>
      <c r="GJ173">
        <v>22500235</v>
      </c>
      <c r="GK173">
        <v>23999999</v>
      </c>
      <c r="GL173">
        <v>22500348</v>
      </c>
      <c r="GM173">
        <v>388</v>
      </c>
      <c r="GN173">
        <v>85</v>
      </c>
      <c r="GP173" s="24"/>
      <c r="GQ173">
        <v>73</v>
      </c>
      <c r="GR173">
        <v>79</v>
      </c>
      <c r="GS173">
        <v>77</v>
      </c>
      <c r="GT173">
        <v>215354970</v>
      </c>
      <c r="GU173">
        <v>171</v>
      </c>
      <c r="GW173" s="24"/>
      <c r="GX173">
        <v>466</v>
      </c>
      <c r="GY173">
        <v>489</v>
      </c>
      <c r="GZ173">
        <v>484</v>
      </c>
      <c r="HA173">
        <v>51481929</v>
      </c>
      <c r="HB173">
        <v>222</v>
      </c>
      <c r="HD173" s="24"/>
      <c r="HE173">
        <v>5809</v>
      </c>
      <c r="HF173">
        <v>5809</v>
      </c>
      <c r="HG173">
        <v>5809</v>
      </c>
      <c r="HH173">
        <v>19371911</v>
      </c>
      <c r="HI173">
        <v>286</v>
      </c>
      <c r="HK173" s="24"/>
      <c r="HL173">
        <v>81002006</v>
      </c>
      <c r="HM173">
        <v>104778997</v>
      </c>
      <c r="HN173">
        <v>93000000</v>
      </c>
      <c r="HO173">
        <v>128</v>
      </c>
      <c r="HP173">
        <v>88</v>
      </c>
      <c r="HR173" s="24"/>
      <c r="HS173">
        <v>5665</v>
      </c>
      <c r="HT173">
        <v>6098</v>
      </c>
      <c r="HU173">
        <v>6000</v>
      </c>
      <c r="HV173">
        <v>712238</v>
      </c>
      <c r="HW173">
        <v>123</v>
      </c>
      <c r="HY173" s="24"/>
      <c r="HZ173">
        <v>5508</v>
      </c>
      <c r="IA173">
        <v>5774</v>
      </c>
      <c r="IB173">
        <v>5759</v>
      </c>
      <c r="IC173">
        <v>1582665</v>
      </c>
      <c r="ID173">
        <v>455</v>
      </c>
      <c r="IF173" s="24"/>
      <c r="IG173">
        <v>2851</v>
      </c>
      <c r="IH173">
        <v>2999</v>
      </c>
      <c r="II173">
        <v>2997</v>
      </c>
      <c r="IJ173">
        <v>2515990</v>
      </c>
      <c r="IK173">
        <v>180</v>
      </c>
      <c r="IM173" s="24"/>
      <c r="IN173">
        <v>85250000</v>
      </c>
      <c r="IO173">
        <v>102894998</v>
      </c>
      <c r="IP173">
        <v>98892113</v>
      </c>
      <c r="IQ173">
        <v>68</v>
      </c>
      <c r="IR173">
        <v>59</v>
      </c>
      <c r="IT173" s="24"/>
      <c r="IU173">
        <v>7629</v>
      </c>
      <c r="IV173">
        <v>8245</v>
      </c>
      <c r="IW173">
        <v>8245</v>
      </c>
      <c r="IX173">
        <v>1685435</v>
      </c>
      <c r="IY173">
        <v>177</v>
      </c>
      <c r="JA173" s="24"/>
      <c r="JB173">
        <v>94500001</v>
      </c>
      <c r="JC173">
        <v>104691999</v>
      </c>
      <c r="JD173">
        <v>101627215</v>
      </c>
      <c r="JE173">
        <v>62</v>
      </c>
      <c r="JF173">
        <v>57</v>
      </c>
      <c r="JH173" s="24"/>
      <c r="JI173">
        <v>86001000</v>
      </c>
      <c r="JJ173">
        <v>102545000</v>
      </c>
      <c r="JK173">
        <v>96634055</v>
      </c>
      <c r="JL173">
        <v>56</v>
      </c>
      <c r="JM173">
        <v>45</v>
      </c>
      <c r="JO173" s="24"/>
      <c r="JP173">
        <v>65</v>
      </c>
      <c r="JQ173">
        <v>72</v>
      </c>
      <c r="JR173">
        <v>72</v>
      </c>
      <c r="JS173">
        <v>89913483</v>
      </c>
      <c r="JT173">
        <v>105</v>
      </c>
      <c r="JV173" s="24"/>
      <c r="JW173">
        <v>62</v>
      </c>
      <c r="JX173">
        <v>65</v>
      </c>
      <c r="JY173">
        <v>65</v>
      </c>
      <c r="JZ173">
        <v>124039669</v>
      </c>
      <c r="KA173">
        <v>122</v>
      </c>
      <c r="KC173" s="24"/>
      <c r="KD173">
        <v>22</v>
      </c>
      <c r="KE173">
        <v>23</v>
      </c>
      <c r="KF173">
        <v>22</v>
      </c>
      <c r="KG173">
        <v>42066025</v>
      </c>
      <c r="KH173">
        <v>294</v>
      </c>
      <c r="KJ173" s="24"/>
      <c r="KK173">
        <v>66</v>
      </c>
      <c r="KL173">
        <v>69</v>
      </c>
      <c r="KM173">
        <v>69</v>
      </c>
      <c r="KN173">
        <v>155963654</v>
      </c>
      <c r="KO173">
        <v>130</v>
      </c>
      <c r="KQ173" s="24"/>
      <c r="KR173">
        <v>90027</v>
      </c>
      <c r="KS173">
        <v>95100</v>
      </c>
      <c r="KT173">
        <v>90161</v>
      </c>
      <c r="KU173">
        <v>58338</v>
      </c>
      <c r="KV173">
        <v>680</v>
      </c>
      <c r="KX173" s="24"/>
      <c r="KY173">
        <v>519</v>
      </c>
      <c r="KZ173">
        <v>541</v>
      </c>
      <c r="LA173">
        <v>530</v>
      </c>
      <c r="LB173">
        <v>10202179</v>
      </c>
      <c r="LC173">
        <v>215</v>
      </c>
      <c r="LE173" s="24"/>
      <c r="LF173">
        <v>187021</v>
      </c>
      <c r="LG173">
        <v>190000</v>
      </c>
      <c r="LH173">
        <v>187302</v>
      </c>
      <c r="LI173">
        <v>103624</v>
      </c>
      <c r="LJ173">
        <v>934</v>
      </c>
      <c r="LL173" s="24"/>
      <c r="LM173">
        <v>75000</v>
      </c>
      <c r="LN173">
        <v>75250</v>
      </c>
      <c r="LO173">
        <v>75001</v>
      </c>
      <c r="LP173">
        <v>390765</v>
      </c>
      <c r="LQ173">
        <v>1332</v>
      </c>
      <c r="LS173" s="24"/>
      <c r="LT173">
        <v>543</v>
      </c>
      <c r="LU173">
        <v>572</v>
      </c>
      <c r="LV173">
        <v>570</v>
      </c>
      <c r="LW173">
        <v>63646663</v>
      </c>
      <c r="LX173">
        <v>379</v>
      </c>
      <c r="LZ173" s="24"/>
      <c r="MA173">
        <v>122222</v>
      </c>
      <c r="MB173">
        <v>124960</v>
      </c>
      <c r="MC173">
        <v>124907</v>
      </c>
      <c r="MD173">
        <v>789221</v>
      </c>
      <c r="ME173">
        <v>84</v>
      </c>
    </row>
    <row r="174" spans="2:343" x14ac:dyDescent="0.25">
      <c r="B174" s="24"/>
      <c r="C174">
        <v>3</v>
      </c>
      <c r="D174">
        <v>3</v>
      </c>
      <c r="E174">
        <v>3</v>
      </c>
      <c r="F174">
        <v>27362659332</v>
      </c>
      <c r="G174">
        <v>3607</v>
      </c>
      <c r="I174" s="24"/>
      <c r="J174">
        <v>4</v>
      </c>
      <c r="K174">
        <v>4</v>
      </c>
      <c r="L174">
        <v>4</v>
      </c>
      <c r="M174">
        <v>6006517574</v>
      </c>
      <c r="N174">
        <v>2560</v>
      </c>
      <c r="P174" s="24"/>
      <c r="Q174">
        <v>26</v>
      </c>
      <c r="R174">
        <v>27</v>
      </c>
      <c r="S174">
        <v>27</v>
      </c>
      <c r="T174">
        <v>1537924837</v>
      </c>
      <c r="U174">
        <v>2167</v>
      </c>
      <c r="W174" s="24"/>
      <c r="X174">
        <v>68</v>
      </c>
      <c r="Y174">
        <v>68</v>
      </c>
      <c r="Z174">
        <v>68</v>
      </c>
      <c r="AA174">
        <v>462417394</v>
      </c>
      <c r="AB174">
        <v>1771</v>
      </c>
      <c r="AD174" s="24"/>
      <c r="AE174">
        <v>482</v>
      </c>
      <c r="AF174">
        <v>491</v>
      </c>
      <c r="AG174">
        <v>483</v>
      </c>
      <c r="AH174">
        <v>100464632</v>
      </c>
      <c r="AI174">
        <v>1859</v>
      </c>
      <c r="AK174" s="24"/>
      <c r="AL174">
        <v>842</v>
      </c>
      <c r="AM174">
        <v>859</v>
      </c>
      <c r="AN174">
        <v>846</v>
      </c>
      <c r="AO174">
        <v>42207319</v>
      </c>
      <c r="AP174">
        <v>1472</v>
      </c>
      <c r="AR174" s="24"/>
      <c r="AS174">
        <v>2265</v>
      </c>
      <c r="AT174">
        <v>2323</v>
      </c>
      <c r="AU174">
        <v>2313</v>
      </c>
      <c r="AV174">
        <v>15008580</v>
      </c>
      <c r="AW174">
        <v>1433</v>
      </c>
      <c r="AY174" s="24"/>
      <c r="AZ174">
        <v>379105638</v>
      </c>
      <c r="BA174">
        <v>386889000</v>
      </c>
      <c r="BB174">
        <v>385473498</v>
      </c>
      <c r="BC174">
        <v>2464</v>
      </c>
      <c r="BD174">
        <v>1751</v>
      </c>
      <c r="BF174" s="24"/>
      <c r="BG174">
        <v>24500</v>
      </c>
      <c r="BH174">
        <v>24600</v>
      </c>
      <c r="BI174">
        <v>24509</v>
      </c>
      <c r="BJ174">
        <v>2451612</v>
      </c>
      <c r="BK174">
        <v>271</v>
      </c>
      <c r="BM174" s="24"/>
      <c r="BN174">
        <v>5502003</v>
      </c>
      <c r="BO174">
        <v>5502012</v>
      </c>
      <c r="BP174">
        <v>5502009</v>
      </c>
      <c r="BQ174">
        <v>12506</v>
      </c>
      <c r="BR174">
        <v>352</v>
      </c>
      <c r="BT174" s="24"/>
      <c r="BU174">
        <v>2638</v>
      </c>
      <c r="BV174">
        <v>2688</v>
      </c>
      <c r="BW174">
        <v>2684</v>
      </c>
      <c r="BX174">
        <v>25699831</v>
      </c>
      <c r="BY174">
        <v>251</v>
      </c>
      <c r="CA174" s="24"/>
      <c r="CB174">
        <v>562</v>
      </c>
      <c r="CC174">
        <v>564</v>
      </c>
      <c r="CD174">
        <v>563</v>
      </c>
      <c r="CE174">
        <v>65111459</v>
      </c>
      <c r="CF174">
        <v>294</v>
      </c>
      <c r="CH174" s="24"/>
      <c r="CI174">
        <v>23922</v>
      </c>
      <c r="CJ174">
        <v>23922</v>
      </c>
      <c r="CK174">
        <v>23922</v>
      </c>
      <c r="CL174">
        <v>478277</v>
      </c>
      <c r="CM174">
        <v>207</v>
      </c>
      <c r="CO174" s="24"/>
      <c r="CP174">
        <v>7400</v>
      </c>
      <c r="CQ174">
        <v>7738</v>
      </c>
      <c r="CR174">
        <v>7695</v>
      </c>
      <c r="CS174">
        <v>1120757</v>
      </c>
      <c r="CT174">
        <v>414</v>
      </c>
      <c r="CV174" s="24"/>
      <c r="CW174">
        <v>1280000</v>
      </c>
      <c r="CX174">
        <v>1309999</v>
      </c>
      <c r="CY174">
        <v>1309998</v>
      </c>
      <c r="CZ174">
        <v>8654</v>
      </c>
      <c r="DA174">
        <v>35</v>
      </c>
      <c r="DC174" s="24"/>
      <c r="DD174">
        <v>543</v>
      </c>
      <c r="DE174">
        <v>576</v>
      </c>
      <c r="DF174">
        <v>574</v>
      </c>
      <c r="DG174">
        <v>42057085</v>
      </c>
      <c r="DH174">
        <v>236</v>
      </c>
      <c r="DJ174" s="24"/>
      <c r="DK174">
        <v>34544570</v>
      </c>
      <c r="DL174">
        <v>35522051</v>
      </c>
      <c r="DM174">
        <v>35221084</v>
      </c>
      <c r="DN174">
        <v>467</v>
      </c>
      <c r="DO174">
        <v>121</v>
      </c>
      <c r="DQ174" s="24"/>
      <c r="DR174">
        <v>1815012</v>
      </c>
      <c r="DS174">
        <v>1873097</v>
      </c>
      <c r="DT174">
        <v>1831098</v>
      </c>
      <c r="DU174">
        <v>7147</v>
      </c>
      <c r="DV174">
        <v>286</v>
      </c>
      <c r="DX174" s="24"/>
      <c r="DY174">
        <v>19399099</v>
      </c>
      <c r="DZ174">
        <v>20099899</v>
      </c>
      <c r="EA174">
        <v>19600000</v>
      </c>
      <c r="EB174">
        <v>460</v>
      </c>
      <c r="EC174">
        <v>126</v>
      </c>
      <c r="EE174" s="24"/>
      <c r="EF174">
        <v>142</v>
      </c>
      <c r="EG174">
        <v>149</v>
      </c>
      <c r="EH174">
        <v>143</v>
      </c>
      <c r="EI174">
        <v>70518606</v>
      </c>
      <c r="EJ174">
        <v>161</v>
      </c>
      <c r="EL174" s="24"/>
      <c r="EM174">
        <v>55000</v>
      </c>
      <c r="EN174">
        <v>60000</v>
      </c>
      <c r="EO174">
        <v>55005</v>
      </c>
      <c r="EP174">
        <v>92062</v>
      </c>
      <c r="EQ174">
        <v>865</v>
      </c>
      <c r="ES174" s="24"/>
      <c r="ET174">
        <v>381</v>
      </c>
      <c r="EU174">
        <v>384</v>
      </c>
      <c r="EV174">
        <v>382</v>
      </c>
      <c r="EW174">
        <v>46124755</v>
      </c>
      <c r="EX174">
        <v>709</v>
      </c>
      <c r="EZ174" s="24"/>
      <c r="FA174">
        <v>3499999</v>
      </c>
      <c r="FB174">
        <v>3499999</v>
      </c>
      <c r="FC174">
        <v>3499999</v>
      </c>
      <c r="FD174">
        <v>1295</v>
      </c>
      <c r="FE174">
        <v>30</v>
      </c>
      <c r="FG174" s="24"/>
      <c r="FH174">
        <v>6603</v>
      </c>
      <c r="FI174">
        <v>7098</v>
      </c>
      <c r="FJ174">
        <v>6620</v>
      </c>
      <c r="FK174">
        <v>3379202</v>
      </c>
      <c r="FL174">
        <v>512</v>
      </c>
      <c r="FN174" s="24"/>
      <c r="FO174">
        <v>19355</v>
      </c>
      <c r="FP174">
        <v>19373</v>
      </c>
      <c r="FQ174">
        <v>19356</v>
      </c>
      <c r="FR174">
        <v>185144</v>
      </c>
      <c r="FS174">
        <v>93</v>
      </c>
      <c r="FU174" s="24"/>
      <c r="FV174">
        <v>19000</v>
      </c>
      <c r="FW174">
        <v>19155</v>
      </c>
      <c r="FX174">
        <v>19004</v>
      </c>
      <c r="FY174">
        <v>464461</v>
      </c>
      <c r="FZ174">
        <v>1479</v>
      </c>
      <c r="GB174" s="24"/>
      <c r="GC174">
        <v>98505001</v>
      </c>
      <c r="GD174">
        <v>103994500</v>
      </c>
      <c r="GE174">
        <v>98505113</v>
      </c>
      <c r="GF174">
        <v>132</v>
      </c>
      <c r="GG174">
        <v>97</v>
      </c>
      <c r="GI174" s="24"/>
      <c r="GJ174">
        <v>22701007</v>
      </c>
      <c r="GK174">
        <v>23776989</v>
      </c>
      <c r="GL174">
        <v>22703046</v>
      </c>
      <c r="GM174">
        <v>359</v>
      </c>
      <c r="GN174">
        <v>81</v>
      </c>
      <c r="GP174" s="24"/>
      <c r="GQ174">
        <v>76</v>
      </c>
      <c r="GR174">
        <v>81</v>
      </c>
      <c r="GS174">
        <v>77</v>
      </c>
      <c r="GT174">
        <v>117633756</v>
      </c>
      <c r="GU174">
        <v>141</v>
      </c>
      <c r="GW174" s="24"/>
      <c r="GX174">
        <v>475</v>
      </c>
      <c r="GY174">
        <v>484</v>
      </c>
      <c r="GZ174">
        <v>482</v>
      </c>
      <c r="HA174">
        <v>45270976</v>
      </c>
      <c r="HB174">
        <v>263</v>
      </c>
      <c r="HD174" s="24"/>
      <c r="HE174">
        <v>5800</v>
      </c>
      <c r="HF174">
        <v>5896</v>
      </c>
      <c r="HG174">
        <v>5839</v>
      </c>
      <c r="HH174">
        <v>13861270</v>
      </c>
      <c r="HI174">
        <v>250</v>
      </c>
      <c r="HK174" s="24"/>
      <c r="HL174">
        <v>96132121</v>
      </c>
      <c r="HM174">
        <v>102896995</v>
      </c>
      <c r="HN174">
        <v>98524999</v>
      </c>
      <c r="HO174">
        <v>104</v>
      </c>
      <c r="HP174">
        <v>81</v>
      </c>
      <c r="HR174" s="24"/>
      <c r="HS174">
        <v>5722</v>
      </c>
      <c r="HT174">
        <v>6098</v>
      </c>
      <c r="HU174">
        <v>6098</v>
      </c>
      <c r="HV174">
        <v>868600</v>
      </c>
      <c r="HW174">
        <v>121</v>
      </c>
      <c r="HY174" s="24"/>
      <c r="HZ174">
        <v>5508</v>
      </c>
      <c r="IA174">
        <v>5739</v>
      </c>
      <c r="IB174">
        <v>5699</v>
      </c>
      <c r="IC174">
        <v>2496224</v>
      </c>
      <c r="ID174">
        <v>468</v>
      </c>
      <c r="IF174" s="24"/>
      <c r="IG174">
        <v>2865</v>
      </c>
      <c r="IH174">
        <v>2995</v>
      </c>
      <c r="II174">
        <v>2994</v>
      </c>
      <c r="IJ174">
        <v>1446409</v>
      </c>
      <c r="IK174">
        <v>152</v>
      </c>
      <c r="IM174" s="24"/>
      <c r="IN174">
        <v>96002002</v>
      </c>
      <c r="IO174">
        <v>101887999</v>
      </c>
      <c r="IP174">
        <v>98001004</v>
      </c>
      <c r="IQ174">
        <v>122</v>
      </c>
      <c r="IR174">
        <v>83</v>
      </c>
      <c r="IT174" s="24"/>
      <c r="IU174">
        <v>7960</v>
      </c>
      <c r="IV174">
        <v>8235</v>
      </c>
      <c r="IW174">
        <v>8149</v>
      </c>
      <c r="IX174">
        <v>1308645</v>
      </c>
      <c r="IY174">
        <v>165</v>
      </c>
      <c r="JA174" s="24"/>
      <c r="JB174">
        <v>95725849</v>
      </c>
      <c r="JC174">
        <v>104651499</v>
      </c>
      <c r="JD174">
        <v>99883703</v>
      </c>
      <c r="JE174">
        <v>122</v>
      </c>
      <c r="JF174">
        <v>95</v>
      </c>
      <c r="JH174" s="24"/>
      <c r="JI174">
        <v>90000000</v>
      </c>
      <c r="JJ174">
        <v>102448989</v>
      </c>
      <c r="JK174">
        <v>98852709</v>
      </c>
      <c r="JL174">
        <v>53</v>
      </c>
      <c r="JM174">
        <v>46</v>
      </c>
      <c r="JO174" s="24"/>
      <c r="JP174">
        <v>65</v>
      </c>
      <c r="JQ174">
        <v>72</v>
      </c>
      <c r="JR174">
        <v>70</v>
      </c>
      <c r="JS174">
        <v>83000385</v>
      </c>
      <c r="JT174">
        <v>106</v>
      </c>
      <c r="JV174" s="24"/>
      <c r="JW174">
        <v>64</v>
      </c>
      <c r="JX174">
        <v>65</v>
      </c>
      <c r="JY174">
        <v>65</v>
      </c>
      <c r="JZ174">
        <v>212467145</v>
      </c>
      <c r="KA174">
        <v>146</v>
      </c>
      <c r="KC174" s="24"/>
      <c r="KD174">
        <v>23</v>
      </c>
      <c r="KE174">
        <v>23</v>
      </c>
      <c r="KF174">
        <v>23</v>
      </c>
      <c r="KG174">
        <v>52916620</v>
      </c>
      <c r="KH174">
        <v>374</v>
      </c>
      <c r="KJ174" s="24"/>
      <c r="KK174">
        <v>65</v>
      </c>
      <c r="KL174">
        <v>69</v>
      </c>
      <c r="KM174">
        <v>65</v>
      </c>
      <c r="KN174">
        <v>85341584</v>
      </c>
      <c r="KO174">
        <v>118</v>
      </c>
      <c r="KQ174" s="24"/>
      <c r="KR174">
        <v>95000</v>
      </c>
      <c r="KS174">
        <v>96496</v>
      </c>
      <c r="KT174">
        <v>95100</v>
      </c>
      <c r="KU174">
        <v>71221</v>
      </c>
      <c r="KV174">
        <v>806</v>
      </c>
      <c r="KX174" s="24"/>
      <c r="KY174">
        <v>540</v>
      </c>
      <c r="KZ174">
        <v>541</v>
      </c>
      <c r="LA174">
        <v>541</v>
      </c>
      <c r="LB174">
        <v>4356983</v>
      </c>
      <c r="LC174">
        <v>188</v>
      </c>
      <c r="LE174" s="24"/>
      <c r="LF174">
        <v>188002</v>
      </c>
      <c r="LG174">
        <v>190002</v>
      </c>
      <c r="LH174">
        <v>189000</v>
      </c>
      <c r="LI174">
        <v>169007</v>
      </c>
      <c r="LJ174">
        <v>1194</v>
      </c>
      <c r="LL174" s="24"/>
      <c r="LM174">
        <v>75254</v>
      </c>
      <c r="LN174">
        <v>76001</v>
      </c>
      <c r="LO174">
        <v>75256</v>
      </c>
      <c r="LP174">
        <v>396950</v>
      </c>
      <c r="LQ174">
        <v>1575</v>
      </c>
      <c r="LS174" s="24"/>
      <c r="LT174">
        <v>568</v>
      </c>
      <c r="LU174">
        <v>572</v>
      </c>
      <c r="LV174">
        <v>572</v>
      </c>
      <c r="LW174">
        <v>87803465</v>
      </c>
      <c r="LX174">
        <v>415</v>
      </c>
      <c r="LZ174" s="24"/>
      <c r="MA174">
        <v>119504</v>
      </c>
      <c r="MB174">
        <v>124967</v>
      </c>
      <c r="MC174">
        <v>124964</v>
      </c>
      <c r="MD174">
        <v>774715</v>
      </c>
      <c r="ME174">
        <v>98</v>
      </c>
    </row>
    <row r="175" spans="2:343" x14ac:dyDescent="0.25">
      <c r="B175" s="24"/>
      <c r="C175">
        <v>3</v>
      </c>
      <c r="D175">
        <v>3</v>
      </c>
      <c r="E175">
        <v>3</v>
      </c>
      <c r="F175">
        <v>31810927582</v>
      </c>
      <c r="G175">
        <v>3269</v>
      </c>
      <c r="I175" s="24"/>
      <c r="J175">
        <v>4</v>
      </c>
      <c r="K175">
        <v>4</v>
      </c>
      <c r="L175">
        <v>4</v>
      </c>
      <c r="M175">
        <v>4746604221</v>
      </c>
      <c r="N175">
        <v>2255</v>
      </c>
      <c r="P175" s="24"/>
      <c r="Q175">
        <v>26</v>
      </c>
      <c r="R175">
        <v>27</v>
      </c>
      <c r="S175">
        <v>27</v>
      </c>
      <c r="T175">
        <v>1476061016</v>
      </c>
      <c r="U175">
        <v>1982</v>
      </c>
      <c r="W175" s="24"/>
      <c r="X175">
        <v>67</v>
      </c>
      <c r="Y175">
        <v>68</v>
      </c>
      <c r="Z175">
        <v>68</v>
      </c>
      <c r="AA175">
        <v>213999050</v>
      </c>
      <c r="AB175">
        <v>1583</v>
      </c>
      <c r="AD175" s="24"/>
      <c r="AE175">
        <v>484</v>
      </c>
      <c r="AF175">
        <v>503</v>
      </c>
      <c r="AG175">
        <v>490</v>
      </c>
      <c r="AH175">
        <v>68017867</v>
      </c>
      <c r="AI175">
        <v>1621</v>
      </c>
      <c r="AK175" s="24"/>
      <c r="AL175">
        <v>845</v>
      </c>
      <c r="AM175">
        <v>877</v>
      </c>
      <c r="AN175">
        <v>859</v>
      </c>
      <c r="AO175">
        <v>37690303</v>
      </c>
      <c r="AP175">
        <v>1351</v>
      </c>
      <c r="AR175" s="24"/>
      <c r="AS175">
        <v>2287</v>
      </c>
      <c r="AT175">
        <v>2343</v>
      </c>
      <c r="AU175">
        <v>2323</v>
      </c>
      <c r="AV175">
        <v>14085983</v>
      </c>
      <c r="AW175">
        <v>1263</v>
      </c>
      <c r="AY175" s="24"/>
      <c r="AZ175">
        <v>380000001</v>
      </c>
      <c r="BA175">
        <v>386979998</v>
      </c>
      <c r="BB175">
        <v>385500000</v>
      </c>
      <c r="BC175">
        <v>2292</v>
      </c>
      <c r="BD175">
        <v>1554</v>
      </c>
      <c r="BF175" s="24"/>
      <c r="BG175">
        <v>24706</v>
      </c>
      <c r="BH175">
        <v>24806</v>
      </c>
      <c r="BI175">
        <v>24801</v>
      </c>
      <c r="BJ175">
        <v>1542450</v>
      </c>
      <c r="BK175">
        <v>217</v>
      </c>
      <c r="BM175" s="24"/>
      <c r="BN175">
        <v>5502014</v>
      </c>
      <c r="BO175">
        <v>5520001</v>
      </c>
      <c r="BP175">
        <v>5520000</v>
      </c>
      <c r="BQ175">
        <v>12466</v>
      </c>
      <c r="BR175">
        <v>338</v>
      </c>
      <c r="BT175" s="24"/>
      <c r="BU175">
        <v>2669</v>
      </c>
      <c r="BV175">
        <v>2669</v>
      </c>
      <c r="BW175">
        <v>2669</v>
      </c>
      <c r="BX175">
        <v>23719334</v>
      </c>
      <c r="BY175">
        <v>233</v>
      </c>
      <c r="CA175" s="24"/>
      <c r="CB175">
        <v>554</v>
      </c>
      <c r="CC175">
        <v>563</v>
      </c>
      <c r="CD175">
        <v>558</v>
      </c>
      <c r="CE175">
        <v>52095952</v>
      </c>
      <c r="CF175">
        <v>245</v>
      </c>
      <c r="CH175" s="24"/>
      <c r="CI175">
        <v>23421</v>
      </c>
      <c r="CJ175">
        <v>23923</v>
      </c>
      <c r="CK175">
        <v>23421</v>
      </c>
      <c r="CL175">
        <v>1805401</v>
      </c>
      <c r="CM175">
        <v>201</v>
      </c>
      <c r="CO175" s="24"/>
      <c r="CP175">
        <v>7112</v>
      </c>
      <c r="CQ175">
        <v>7299</v>
      </c>
      <c r="CR175">
        <v>7298</v>
      </c>
      <c r="CS175">
        <v>923350</v>
      </c>
      <c r="CT175">
        <v>337</v>
      </c>
      <c r="CV175" s="24"/>
      <c r="CW175">
        <v>1270000</v>
      </c>
      <c r="CX175">
        <v>1308950</v>
      </c>
      <c r="CY175">
        <v>1308950</v>
      </c>
      <c r="CZ175">
        <v>7405</v>
      </c>
      <c r="DA175">
        <v>38</v>
      </c>
      <c r="DC175" s="24"/>
      <c r="DD175">
        <v>545</v>
      </c>
      <c r="DE175">
        <v>563</v>
      </c>
      <c r="DF175">
        <v>563</v>
      </c>
      <c r="DG175">
        <v>46960741</v>
      </c>
      <c r="DH175">
        <v>195</v>
      </c>
      <c r="DJ175" s="24"/>
      <c r="DK175">
        <v>35000046</v>
      </c>
      <c r="DL175">
        <v>36844669</v>
      </c>
      <c r="DM175">
        <v>35375077</v>
      </c>
      <c r="DN175">
        <v>234</v>
      </c>
      <c r="DO175">
        <v>56</v>
      </c>
      <c r="DQ175" s="24"/>
      <c r="DR175">
        <v>1730005</v>
      </c>
      <c r="DS175">
        <v>1968990</v>
      </c>
      <c r="DT175">
        <v>1965990</v>
      </c>
      <c r="DU175">
        <v>5003</v>
      </c>
      <c r="DV175">
        <v>191</v>
      </c>
      <c r="DX175" s="24"/>
      <c r="DY175">
        <v>19400000</v>
      </c>
      <c r="DZ175">
        <v>21298996</v>
      </c>
      <c r="EA175">
        <v>19409009</v>
      </c>
      <c r="EB175">
        <v>307</v>
      </c>
      <c r="EC175">
        <v>84</v>
      </c>
      <c r="EE175" s="24"/>
      <c r="EF175">
        <v>143</v>
      </c>
      <c r="EG175">
        <v>149</v>
      </c>
      <c r="EH175">
        <v>148</v>
      </c>
      <c r="EI175">
        <v>120006435</v>
      </c>
      <c r="EJ175">
        <v>174</v>
      </c>
      <c r="EL175" s="24"/>
      <c r="EM175">
        <v>60000</v>
      </c>
      <c r="EN175">
        <v>60000</v>
      </c>
      <c r="EO175">
        <v>60000</v>
      </c>
      <c r="EP175">
        <v>65739</v>
      </c>
      <c r="EQ175">
        <v>647</v>
      </c>
      <c r="ES175" s="24"/>
      <c r="ET175">
        <v>372</v>
      </c>
      <c r="EU175">
        <v>400</v>
      </c>
      <c r="EV175">
        <v>400</v>
      </c>
      <c r="EW175">
        <v>33109130</v>
      </c>
      <c r="EX175">
        <v>576</v>
      </c>
      <c r="EZ175" s="24"/>
      <c r="FA175">
        <v>3360001</v>
      </c>
      <c r="FB175">
        <v>3499997</v>
      </c>
      <c r="FC175">
        <v>3360002</v>
      </c>
      <c r="FD175">
        <v>1607</v>
      </c>
      <c r="FE175">
        <v>34</v>
      </c>
      <c r="FG175" s="24"/>
      <c r="FH175">
        <v>6244</v>
      </c>
      <c r="FI175">
        <v>6458</v>
      </c>
      <c r="FJ175">
        <v>6246</v>
      </c>
      <c r="FK175">
        <v>2710664</v>
      </c>
      <c r="FL175">
        <v>437</v>
      </c>
      <c r="FN175" s="24"/>
      <c r="FO175">
        <v>19355</v>
      </c>
      <c r="FP175">
        <v>19355</v>
      </c>
      <c r="FQ175">
        <v>19355</v>
      </c>
      <c r="FR175">
        <v>72280</v>
      </c>
      <c r="FS175">
        <v>66</v>
      </c>
      <c r="FU175" s="24"/>
      <c r="FV175">
        <v>19000</v>
      </c>
      <c r="FW175">
        <v>19003</v>
      </c>
      <c r="FX175">
        <v>19003</v>
      </c>
      <c r="FY175">
        <v>349197</v>
      </c>
      <c r="FZ175">
        <v>1274</v>
      </c>
      <c r="GB175" s="24"/>
      <c r="GC175">
        <v>98505622</v>
      </c>
      <c r="GD175">
        <v>103990822</v>
      </c>
      <c r="GE175">
        <v>102768867</v>
      </c>
      <c r="GF175">
        <v>74</v>
      </c>
      <c r="GG175">
        <v>65</v>
      </c>
      <c r="GI175" s="24"/>
      <c r="GJ175">
        <v>23080019</v>
      </c>
      <c r="GK175">
        <v>24379000</v>
      </c>
      <c r="GL175">
        <v>24170000</v>
      </c>
      <c r="GM175">
        <v>538</v>
      </c>
      <c r="GN175">
        <v>96</v>
      </c>
      <c r="GP175" s="24"/>
      <c r="GQ175">
        <v>76</v>
      </c>
      <c r="GR175">
        <v>79</v>
      </c>
      <c r="GS175">
        <v>79</v>
      </c>
      <c r="GT175">
        <v>129060271</v>
      </c>
      <c r="GU175">
        <v>106</v>
      </c>
      <c r="GW175" s="24"/>
      <c r="GX175">
        <v>483</v>
      </c>
      <c r="GY175">
        <v>483</v>
      </c>
      <c r="GZ175">
        <v>483</v>
      </c>
      <c r="HA175">
        <v>60502519</v>
      </c>
      <c r="HB175">
        <v>227</v>
      </c>
      <c r="HD175" s="24"/>
      <c r="HE175">
        <v>5899</v>
      </c>
      <c r="HF175">
        <v>5916</v>
      </c>
      <c r="HG175">
        <v>5915</v>
      </c>
      <c r="HH175">
        <v>18750397</v>
      </c>
      <c r="HI175">
        <v>257</v>
      </c>
      <c r="HK175" s="24"/>
      <c r="HL175">
        <v>96204000</v>
      </c>
      <c r="HM175">
        <v>102365999</v>
      </c>
      <c r="HN175">
        <v>100444012</v>
      </c>
      <c r="HO175">
        <v>78</v>
      </c>
      <c r="HP175">
        <v>65</v>
      </c>
      <c r="HR175" s="24"/>
      <c r="HS175">
        <v>5820</v>
      </c>
      <c r="HT175">
        <v>6098</v>
      </c>
      <c r="HU175">
        <v>6048</v>
      </c>
      <c r="HV175">
        <v>781784</v>
      </c>
      <c r="HW175">
        <v>140</v>
      </c>
      <c r="HY175" s="24"/>
      <c r="HZ175">
        <v>5015</v>
      </c>
      <c r="IA175">
        <v>5511</v>
      </c>
      <c r="IB175">
        <v>5399</v>
      </c>
      <c r="IC175">
        <v>2127835</v>
      </c>
      <c r="ID175">
        <v>404</v>
      </c>
      <c r="IF175" s="24"/>
      <c r="IG175">
        <v>2994</v>
      </c>
      <c r="IH175">
        <v>2994</v>
      </c>
      <c r="II175">
        <v>2994</v>
      </c>
      <c r="IJ175">
        <v>1915143</v>
      </c>
      <c r="IK175">
        <v>145</v>
      </c>
      <c r="IM175" s="24"/>
      <c r="IN175">
        <v>96007009</v>
      </c>
      <c r="IO175">
        <v>101777982</v>
      </c>
      <c r="IP175">
        <v>99589570</v>
      </c>
      <c r="IQ175">
        <v>83</v>
      </c>
      <c r="IR175">
        <v>68</v>
      </c>
      <c r="IT175" s="24"/>
      <c r="IU175">
        <v>8144</v>
      </c>
      <c r="IV175">
        <v>8145</v>
      </c>
      <c r="IW175">
        <v>8145</v>
      </c>
      <c r="IX175">
        <v>1219660</v>
      </c>
      <c r="IY175">
        <v>145</v>
      </c>
      <c r="JA175" s="24"/>
      <c r="JB175">
        <v>94618012</v>
      </c>
      <c r="JC175">
        <v>104604491</v>
      </c>
      <c r="JD175">
        <v>100907628</v>
      </c>
      <c r="JE175">
        <v>71</v>
      </c>
      <c r="JF175">
        <v>62</v>
      </c>
      <c r="JH175" s="24"/>
      <c r="JI175">
        <v>97000000</v>
      </c>
      <c r="JJ175">
        <v>100495987</v>
      </c>
      <c r="JK175">
        <v>99985828</v>
      </c>
      <c r="JL175">
        <v>64</v>
      </c>
      <c r="JM175">
        <v>57</v>
      </c>
      <c r="JO175" s="24"/>
      <c r="JP175">
        <v>68</v>
      </c>
      <c r="JQ175">
        <v>70</v>
      </c>
      <c r="JR175">
        <v>68</v>
      </c>
      <c r="JS175">
        <v>67377638</v>
      </c>
      <c r="JT175">
        <v>93</v>
      </c>
      <c r="JV175" s="24"/>
      <c r="JW175">
        <v>62</v>
      </c>
      <c r="JX175">
        <v>65</v>
      </c>
      <c r="JY175">
        <v>65</v>
      </c>
      <c r="JZ175">
        <v>114512668</v>
      </c>
      <c r="KA175">
        <v>101</v>
      </c>
      <c r="KC175" s="24"/>
      <c r="KD175">
        <v>21</v>
      </c>
      <c r="KE175">
        <v>23</v>
      </c>
      <c r="KF175">
        <v>22</v>
      </c>
      <c r="KG175">
        <v>41674565</v>
      </c>
      <c r="KH175">
        <v>337</v>
      </c>
      <c r="KJ175" s="24"/>
      <c r="KK175">
        <v>65</v>
      </c>
      <c r="KL175">
        <v>69</v>
      </c>
      <c r="KM175">
        <v>68</v>
      </c>
      <c r="KN175">
        <v>162770674</v>
      </c>
      <c r="KO175">
        <v>127</v>
      </c>
      <c r="KQ175" s="24"/>
      <c r="KR175">
        <v>96499</v>
      </c>
      <c r="KS175">
        <v>100000</v>
      </c>
      <c r="KT175">
        <v>100000</v>
      </c>
      <c r="KU175">
        <v>73391</v>
      </c>
      <c r="KV175">
        <v>655</v>
      </c>
      <c r="KX175" s="24"/>
      <c r="KY175">
        <v>531</v>
      </c>
      <c r="KZ175">
        <v>541</v>
      </c>
      <c r="LA175">
        <v>541</v>
      </c>
      <c r="LB175">
        <v>8422987</v>
      </c>
      <c r="LC175">
        <v>191</v>
      </c>
      <c r="LE175" s="24"/>
      <c r="LF175">
        <v>190004</v>
      </c>
      <c r="LG175">
        <v>190026</v>
      </c>
      <c r="LH175">
        <v>190009</v>
      </c>
      <c r="LI175">
        <v>144172</v>
      </c>
      <c r="LJ175">
        <v>982</v>
      </c>
      <c r="LL175" s="24"/>
      <c r="LM175">
        <v>76003</v>
      </c>
      <c r="LN175">
        <v>77645</v>
      </c>
      <c r="LO175">
        <v>76003</v>
      </c>
      <c r="LP175">
        <v>352717</v>
      </c>
      <c r="LQ175">
        <v>1304</v>
      </c>
      <c r="LS175" s="24"/>
      <c r="LT175">
        <v>555</v>
      </c>
      <c r="LU175">
        <v>572</v>
      </c>
      <c r="LV175">
        <v>567</v>
      </c>
      <c r="LW175">
        <v>74308188</v>
      </c>
      <c r="LX175">
        <v>374</v>
      </c>
      <c r="LZ175" s="24"/>
      <c r="MA175">
        <v>120039</v>
      </c>
      <c r="MB175">
        <v>124954</v>
      </c>
      <c r="MC175">
        <v>124953</v>
      </c>
      <c r="MD175">
        <v>1005107</v>
      </c>
      <c r="ME175">
        <v>113</v>
      </c>
    </row>
    <row r="176" spans="2:343" x14ac:dyDescent="0.25">
      <c r="B176" s="24"/>
      <c r="C176">
        <v>3</v>
      </c>
      <c r="D176">
        <v>3</v>
      </c>
      <c r="E176">
        <v>3</v>
      </c>
      <c r="F176">
        <v>29596629061</v>
      </c>
      <c r="G176">
        <v>2958</v>
      </c>
      <c r="I176" s="24"/>
      <c r="J176">
        <v>4</v>
      </c>
      <c r="K176">
        <v>4</v>
      </c>
      <c r="L176">
        <v>4</v>
      </c>
      <c r="M176">
        <v>4842116700</v>
      </c>
      <c r="N176">
        <v>2081</v>
      </c>
      <c r="P176" s="24"/>
      <c r="Q176">
        <v>26</v>
      </c>
      <c r="R176">
        <v>27</v>
      </c>
      <c r="S176">
        <v>26</v>
      </c>
      <c r="T176">
        <v>1414293075</v>
      </c>
      <c r="U176">
        <v>1908</v>
      </c>
      <c r="W176" s="24"/>
      <c r="X176">
        <v>68</v>
      </c>
      <c r="Y176">
        <v>68</v>
      </c>
      <c r="Z176">
        <v>68</v>
      </c>
      <c r="AA176">
        <v>363341923</v>
      </c>
      <c r="AB176">
        <v>1488</v>
      </c>
      <c r="AD176" s="24"/>
      <c r="AE176">
        <v>489</v>
      </c>
      <c r="AF176">
        <v>499</v>
      </c>
      <c r="AG176">
        <v>490</v>
      </c>
      <c r="AH176">
        <v>83907881</v>
      </c>
      <c r="AI176">
        <v>1504</v>
      </c>
      <c r="AK176" s="24"/>
      <c r="AL176">
        <v>846</v>
      </c>
      <c r="AM176">
        <v>869</v>
      </c>
      <c r="AN176">
        <v>848</v>
      </c>
      <c r="AO176">
        <v>30469277</v>
      </c>
      <c r="AP176">
        <v>1223</v>
      </c>
      <c r="AR176" s="24"/>
      <c r="AS176">
        <v>2290</v>
      </c>
      <c r="AT176">
        <v>2379</v>
      </c>
      <c r="AU176">
        <v>2364</v>
      </c>
      <c r="AV176">
        <v>15161202</v>
      </c>
      <c r="AW176">
        <v>1218</v>
      </c>
      <c r="AY176" s="24"/>
      <c r="AZ176">
        <v>383700000</v>
      </c>
      <c r="BA176">
        <v>389999796</v>
      </c>
      <c r="BB176">
        <v>387999962</v>
      </c>
      <c r="BC176">
        <v>2203</v>
      </c>
      <c r="BD176">
        <v>1493</v>
      </c>
      <c r="BF176" s="24"/>
      <c r="BG176">
        <v>24806</v>
      </c>
      <c r="BH176">
        <v>24806</v>
      </c>
      <c r="BI176">
        <v>24806</v>
      </c>
      <c r="BJ176">
        <v>1875330</v>
      </c>
      <c r="BK176">
        <v>186</v>
      </c>
      <c r="BM176" s="24"/>
      <c r="BN176">
        <v>5172500</v>
      </c>
      <c r="BO176">
        <v>5497000</v>
      </c>
      <c r="BP176">
        <v>5173003</v>
      </c>
      <c r="BQ176">
        <v>12349</v>
      </c>
      <c r="BR176">
        <v>325</v>
      </c>
      <c r="BT176" s="24"/>
      <c r="BU176">
        <v>2573</v>
      </c>
      <c r="BV176">
        <v>2687</v>
      </c>
      <c r="BW176">
        <v>2683</v>
      </c>
      <c r="BX176">
        <v>16496762</v>
      </c>
      <c r="BY176">
        <v>188</v>
      </c>
      <c r="CA176" s="24"/>
      <c r="CB176">
        <v>547</v>
      </c>
      <c r="CC176">
        <v>555</v>
      </c>
      <c r="CD176">
        <v>553</v>
      </c>
      <c r="CE176">
        <v>55860341</v>
      </c>
      <c r="CF176">
        <v>235</v>
      </c>
      <c r="CH176" s="24"/>
      <c r="CI176">
        <v>23421</v>
      </c>
      <c r="CJ176">
        <v>23421</v>
      </c>
      <c r="CK176">
        <v>23421</v>
      </c>
      <c r="CL176">
        <v>563160</v>
      </c>
      <c r="CM176">
        <v>165</v>
      </c>
      <c r="CO176" s="24"/>
      <c r="CP176">
        <v>6700</v>
      </c>
      <c r="CQ176">
        <v>7097</v>
      </c>
      <c r="CR176">
        <v>7046</v>
      </c>
      <c r="CS176">
        <v>803610</v>
      </c>
      <c r="CT176">
        <v>352</v>
      </c>
      <c r="CV176" s="24"/>
      <c r="CW176">
        <v>1308950</v>
      </c>
      <c r="CX176">
        <v>1308950</v>
      </c>
      <c r="CY176">
        <v>1308950</v>
      </c>
      <c r="CZ176">
        <v>12778</v>
      </c>
      <c r="DA176">
        <v>60</v>
      </c>
      <c r="DC176" s="24"/>
      <c r="DD176">
        <v>543</v>
      </c>
      <c r="DE176">
        <v>563</v>
      </c>
      <c r="DF176">
        <v>561</v>
      </c>
      <c r="DG176">
        <v>49467330</v>
      </c>
      <c r="DH176">
        <v>180</v>
      </c>
      <c r="DJ176" s="24"/>
      <c r="DK176">
        <v>35004011</v>
      </c>
      <c r="DL176">
        <v>36978000</v>
      </c>
      <c r="DM176">
        <v>35007021</v>
      </c>
      <c r="DN176">
        <v>332</v>
      </c>
      <c r="DO176">
        <v>91</v>
      </c>
      <c r="DQ176" s="24"/>
      <c r="DR176">
        <v>1795044</v>
      </c>
      <c r="DS176">
        <v>1968990</v>
      </c>
      <c r="DT176">
        <v>1954998</v>
      </c>
      <c r="DU176">
        <v>4112</v>
      </c>
      <c r="DV176">
        <v>177</v>
      </c>
      <c r="DX176" s="24"/>
      <c r="DY176">
        <v>19400011</v>
      </c>
      <c r="DZ176">
        <v>20999998</v>
      </c>
      <c r="EA176">
        <v>19415020</v>
      </c>
      <c r="EB176">
        <v>269</v>
      </c>
      <c r="EC176">
        <v>80</v>
      </c>
      <c r="EE176" s="24"/>
      <c r="EF176">
        <v>136</v>
      </c>
      <c r="EG176">
        <v>146</v>
      </c>
      <c r="EH176">
        <v>139</v>
      </c>
      <c r="EI176">
        <v>70370060</v>
      </c>
      <c r="EJ176">
        <v>162</v>
      </c>
      <c r="EL176" s="24"/>
      <c r="EM176">
        <v>58002</v>
      </c>
      <c r="EN176">
        <v>59019</v>
      </c>
      <c r="EO176">
        <v>59000</v>
      </c>
      <c r="EP176">
        <v>52266</v>
      </c>
      <c r="EQ176">
        <v>697</v>
      </c>
      <c r="ES176" s="24"/>
      <c r="ET176">
        <v>395</v>
      </c>
      <c r="EU176">
        <v>397</v>
      </c>
      <c r="EV176">
        <v>395</v>
      </c>
      <c r="EW176">
        <v>27898486</v>
      </c>
      <c r="EX176">
        <v>600</v>
      </c>
      <c r="EZ176" s="24"/>
      <c r="FA176">
        <v>3499988</v>
      </c>
      <c r="FB176">
        <v>3499998</v>
      </c>
      <c r="FC176">
        <v>3499998</v>
      </c>
      <c r="FD176">
        <v>2142</v>
      </c>
      <c r="FE176">
        <v>38</v>
      </c>
      <c r="FG176" s="24"/>
      <c r="FH176">
        <v>5972</v>
      </c>
      <c r="FI176">
        <v>6300</v>
      </c>
      <c r="FJ176">
        <v>6100</v>
      </c>
      <c r="FK176">
        <v>1153566</v>
      </c>
      <c r="FL176">
        <v>403</v>
      </c>
      <c r="FN176" s="24"/>
      <c r="FO176">
        <v>19347</v>
      </c>
      <c r="FP176">
        <v>19352</v>
      </c>
      <c r="FQ176">
        <v>19349</v>
      </c>
      <c r="FR176">
        <v>162261</v>
      </c>
      <c r="FS176">
        <v>74</v>
      </c>
      <c r="FU176" s="24"/>
      <c r="FV176">
        <v>19000</v>
      </c>
      <c r="FW176">
        <v>19499</v>
      </c>
      <c r="FX176">
        <v>19000</v>
      </c>
      <c r="FY176">
        <v>427869</v>
      </c>
      <c r="FZ176">
        <v>1230</v>
      </c>
      <c r="GB176" s="24"/>
      <c r="GC176">
        <v>98508002</v>
      </c>
      <c r="GD176">
        <v>103990981</v>
      </c>
      <c r="GE176">
        <v>100967077</v>
      </c>
      <c r="GF176">
        <v>69</v>
      </c>
      <c r="GG176">
        <v>58</v>
      </c>
      <c r="GI176" s="24"/>
      <c r="GJ176">
        <v>23504001</v>
      </c>
      <c r="GK176">
        <v>26889998</v>
      </c>
      <c r="GL176">
        <v>23552001</v>
      </c>
      <c r="GM176">
        <v>232</v>
      </c>
      <c r="GN176">
        <v>55</v>
      </c>
      <c r="GP176" s="24"/>
      <c r="GQ176">
        <v>76</v>
      </c>
      <c r="GR176">
        <v>76</v>
      </c>
      <c r="GS176">
        <v>76</v>
      </c>
      <c r="GT176">
        <v>77343248</v>
      </c>
      <c r="GU176">
        <v>115</v>
      </c>
      <c r="GW176" s="24"/>
      <c r="GX176">
        <v>485</v>
      </c>
      <c r="GY176">
        <v>504</v>
      </c>
      <c r="GZ176">
        <v>495</v>
      </c>
      <c r="HA176">
        <v>41903554</v>
      </c>
      <c r="HB176">
        <v>253</v>
      </c>
      <c r="HD176" s="24"/>
      <c r="HE176">
        <v>5865</v>
      </c>
      <c r="HF176">
        <v>5914</v>
      </c>
      <c r="HG176">
        <v>5914</v>
      </c>
      <c r="HH176">
        <v>11177047</v>
      </c>
      <c r="HI176">
        <v>221</v>
      </c>
      <c r="HK176" s="24"/>
      <c r="HL176">
        <v>96507001</v>
      </c>
      <c r="HM176">
        <v>101545491</v>
      </c>
      <c r="HN176">
        <v>99699936</v>
      </c>
      <c r="HO176">
        <v>60</v>
      </c>
      <c r="HP176">
        <v>51</v>
      </c>
      <c r="HR176" s="24"/>
      <c r="HS176">
        <v>5800</v>
      </c>
      <c r="HT176">
        <v>6495</v>
      </c>
      <c r="HU176">
        <v>6439</v>
      </c>
      <c r="HV176">
        <v>434923</v>
      </c>
      <c r="HW176">
        <v>108</v>
      </c>
      <c r="HY176" s="24"/>
      <c r="HZ176">
        <v>5013</v>
      </c>
      <c r="IA176">
        <v>5298</v>
      </c>
      <c r="IB176">
        <v>5200</v>
      </c>
      <c r="IC176">
        <v>1818812</v>
      </c>
      <c r="ID176">
        <v>429</v>
      </c>
      <c r="IF176" s="24"/>
      <c r="IG176">
        <v>2981</v>
      </c>
      <c r="IH176">
        <v>2993</v>
      </c>
      <c r="II176">
        <v>2993</v>
      </c>
      <c r="IJ176">
        <v>1845010</v>
      </c>
      <c r="IK176">
        <v>153</v>
      </c>
      <c r="IM176" s="24"/>
      <c r="IN176">
        <v>96008100</v>
      </c>
      <c r="IO176">
        <v>101677499</v>
      </c>
      <c r="IP176">
        <v>99362415</v>
      </c>
      <c r="IQ176">
        <v>54</v>
      </c>
      <c r="IR176">
        <v>45</v>
      </c>
      <c r="IT176" s="24"/>
      <c r="IU176">
        <v>7942</v>
      </c>
      <c r="IV176">
        <v>8142</v>
      </c>
      <c r="IW176">
        <v>8139</v>
      </c>
      <c r="IX176">
        <v>1137672</v>
      </c>
      <c r="IY176">
        <v>150</v>
      </c>
      <c r="JA176" s="24"/>
      <c r="JB176">
        <v>94799005</v>
      </c>
      <c r="JC176">
        <v>104599884</v>
      </c>
      <c r="JD176">
        <v>96000001</v>
      </c>
      <c r="JE176">
        <v>113</v>
      </c>
      <c r="JF176">
        <v>80</v>
      </c>
      <c r="JH176" s="24"/>
      <c r="JI176">
        <v>96260105</v>
      </c>
      <c r="JJ176">
        <v>100497000</v>
      </c>
      <c r="JK176">
        <v>97905952</v>
      </c>
      <c r="JL176">
        <v>47</v>
      </c>
      <c r="JM176">
        <v>36</v>
      </c>
      <c r="JO176" s="24"/>
      <c r="JP176">
        <v>70</v>
      </c>
      <c r="JQ176">
        <v>70</v>
      </c>
      <c r="JR176">
        <v>70</v>
      </c>
      <c r="JS176">
        <v>39373847</v>
      </c>
      <c r="JT176">
        <v>81</v>
      </c>
      <c r="JV176" s="24"/>
      <c r="JW176">
        <v>61</v>
      </c>
      <c r="JX176">
        <v>62</v>
      </c>
      <c r="JY176">
        <v>62</v>
      </c>
      <c r="JZ176">
        <v>129341835</v>
      </c>
      <c r="KA176">
        <v>124</v>
      </c>
      <c r="KC176" s="24"/>
      <c r="KD176">
        <v>22</v>
      </c>
      <c r="KE176">
        <v>23</v>
      </c>
      <c r="KF176">
        <v>23</v>
      </c>
      <c r="KG176">
        <v>30590050</v>
      </c>
      <c r="KH176">
        <v>302</v>
      </c>
      <c r="KJ176" s="24"/>
      <c r="KK176">
        <v>68</v>
      </c>
      <c r="KL176">
        <v>68</v>
      </c>
      <c r="KM176">
        <v>68</v>
      </c>
      <c r="KN176">
        <v>74390399</v>
      </c>
      <c r="KO176">
        <v>113</v>
      </c>
      <c r="KQ176" s="24"/>
      <c r="KR176">
        <v>100000</v>
      </c>
      <c r="KS176">
        <v>110000</v>
      </c>
      <c r="KT176">
        <v>100000</v>
      </c>
      <c r="KU176">
        <v>51937</v>
      </c>
      <c r="KV176">
        <v>609</v>
      </c>
      <c r="KX176" s="24"/>
      <c r="KY176">
        <v>518</v>
      </c>
      <c r="KZ176">
        <v>538</v>
      </c>
      <c r="LA176">
        <v>527</v>
      </c>
      <c r="LB176">
        <v>8470860</v>
      </c>
      <c r="LC176">
        <v>180</v>
      </c>
      <c r="LE176" s="24"/>
      <c r="LF176">
        <v>190000</v>
      </c>
      <c r="LG176">
        <v>190004</v>
      </c>
      <c r="LH176">
        <v>190004</v>
      </c>
      <c r="LI176">
        <v>161893</v>
      </c>
      <c r="LJ176">
        <v>941</v>
      </c>
      <c r="LL176" s="24"/>
      <c r="LM176">
        <v>76003</v>
      </c>
      <c r="LN176">
        <v>76003</v>
      </c>
      <c r="LO176">
        <v>76003</v>
      </c>
      <c r="LP176">
        <v>608569</v>
      </c>
      <c r="LQ176">
        <v>1321</v>
      </c>
      <c r="LS176" s="24"/>
      <c r="LT176">
        <v>564</v>
      </c>
      <c r="LU176">
        <v>573</v>
      </c>
      <c r="LV176">
        <v>570</v>
      </c>
      <c r="LW176">
        <v>65336415</v>
      </c>
      <c r="LX176">
        <v>362</v>
      </c>
      <c r="LZ176" s="24"/>
      <c r="MA176">
        <v>120010</v>
      </c>
      <c r="MB176">
        <v>124887</v>
      </c>
      <c r="MC176">
        <v>120016</v>
      </c>
      <c r="MD176">
        <v>881903</v>
      </c>
      <c r="ME176">
        <v>89</v>
      </c>
    </row>
    <row r="177" spans="2:343" x14ac:dyDescent="0.25">
      <c r="B177" s="24"/>
      <c r="C177">
        <v>3</v>
      </c>
      <c r="D177">
        <v>3</v>
      </c>
      <c r="E177">
        <v>3</v>
      </c>
      <c r="F177">
        <v>31050657961</v>
      </c>
      <c r="G177">
        <v>2935</v>
      </c>
      <c r="I177" s="24"/>
      <c r="J177">
        <v>4</v>
      </c>
      <c r="K177">
        <v>4</v>
      </c>
      <c r="L177">
        <v>4</v>
      </c>
      <c r="M177">
        <v>4197001490</v>
      </c>
      <c r="N177">
        <v>2006</v>
      </c>
      <c r="P177" s="24"/>
      <c r="Q177">
        <v>26</v>
      </c>
      <c r="R177">
        <v>27</v>
      </c>
      <c r="S177">
        <v>26</v>
      </c>
      <c r="T177">
        <v>1322072825</v>
      </c>
      <c r="U177">
        <v>1776</v>
      </c>
      <c r="W177" s="24"/>
      <c r="X177">
        <v>69</v>
      </c>
      <c r="Y177">
        <v>70</v>
      </c>
      <c r="Z177">
        <v>70</v>
      </c>
      <c r="AA177">
        <v>247709935</v>
      </c>
      <c r="AB177">
        <v>1429</v>
      </c>
      <c r="AD177" s="24"/>
      <c r="AE177">
        <v>480</v>
      </c>
      <c r="AF177">
        <v>490</v>
      </c>
      <c r="AG177">
        <v>488</v>
      </c>
      <c r="AH177">
        <v>86406336</v>
      </c>
      <c r="AI177">
        <v>1475</v>
      </c>
      <c r="AK177" s="24"/>
      <c r="AL177">
        <v>848</v>
      </c>
      <c r="AM177">
        <v>872</v>
      </c>
      <c r="AN177">
        <v>865</v>
      </c>
      <c r="AO177">
        <v>31201891</v>
      </c>
      <c r="AP177">
        <v>1244</v>
      </c>
      <c r="AR177" s="24"/>
      <c r="AS177">
        <v>2320</v>
      </c>
      <c r="AT177">
        <v>2390</v>
      </c>
      <c r="AU177">
        <v>2350</v>
      </c>
      <c r="AV177">
        <v>11881556</v>
      </c>
      <c r="AW177">
        <v>1166</v>
      </c>
      <c r="AY177" s="24"/>
      <c r="AZ177">
        <v>383851000</v>
      </c>
      <c r="BA177">
        <v>389999991</v>
      </c>
      <c r="BB177">
        <v>388745993</v>
      </c>
      <c r="BC177">
        <v>2150</v>
      </c>
      <c r="BD177">
        <v>1493</v>
      </c>
      <c r="BF177" s="24"/>
      <c r="BG177">
        <v>24885</v>
      </c>
      <c r="BH177">
        <v>25250</v>
      </c>
      <c r="BI177">
        <v>24900</v>
      </c>
      <c r="BJ177">
        <v>2078442</v>
      </c>
      <c r="BK177">
        <v>203</v>
      </c>
      <c r="BM177" s="24"/>
      <c r="BN177">
        <v>5187500</v>
      </c>
      <c r="BO177">
        <v>5400000</v>
      </c>
      <c r="BP177">
        <v>5200604</v>
      </c>
      <c r="BQ177">
        <v>11220</v>
      </c>
      <c r="BR177">
        <v>356</v>
      </c>
      <c r="BT177" s="24"/>
      <c r="BU177">
        <v>2615</v>
      </c>
      <c r="BV177">
        <v>2683</v>
      </c>
      <c r="BW177">
        <v>2683</v>
      </c>
      <c r="BX177">
        <v>18140259</v>
      </c>
      <c r="BY177">
        <v>206</v>
      </c>
      <c r="CA177" s="24"/>
      <c r="CB177">
        <v>542</v>
      </c>
      <c r="CC177">
        <v>543</v>
      </c>
      <c r="CD177">
        <v>543</v>
      </c>
      <c r="CE177">
        <v>80155279</v>
      </c>
      <c r="CF177">
        <v>292</v>
      </c>
      <c r="CH177" s="24"/>
      <c r="CI177">
        <v>23421</v>
      </c>
      <c r="CJ177">
        <v>24100</v>
      </c>
      <c r="CK177">
        <v>23421</v>
      </c>
      <c r="CL177">
        <v>1596224</v>
      </c>
      <c r="CM177">
        <v>163</v>
      </c>
      <c r="CO177" s="24"/>
      <c r="CP177">
        <v>6661</v>
      </c>
      <c r="CQ177">
        <v>7079</v>
      </c>
      <c r="CR177">
        <v>7079</v>
      </c>
      <c r="CS177">
        <v>1260149</v>
      </c>
      <c r="CT177">
        <v>396</v>
      </c>
      <c r="CV177" s="24"/>
      <c r="CW177">
        <v>1309999</v>
      </c>
      <c r="CX177">
        <v>1309999</v>
      </c>
      <c r="CY177">
        <v>1309999</v>
      </c>
      <c r="CZ177">
        <v>11826</v>
      </c>
      <c r="DA177">
        <v>41</v>
      </c>
      <c r="DC177" s="24"/>
      <c r="DD177">
        <v>558</v>
      </c>
      <c r="DE177">
        <v>559</v>
      </c>
      <c r="DF177">
        <v>558</v>
      </c>
      <c r="DG177">
        <v>41376874</v>
      </c>
      <c r="DH177">
        <v>198</v>
      </c>
      <c r="DJ177" s="24"/>
      <c r="DK177">
        <v>35019057</v>
      </c>
      <c r="DL177">
        <v>35020056</v>
      </c>
      <c r="DM177">
        <v>35019065</v>
      </c>
      <c r="DN177">
        <v>447</v>
      </c>
      <c r="DO177">
        <v>86</v>
      </c>
      <c r="DQ177" s="24"/>
      <c r="DR177">
        <v>1902248</v>
      </c>
      <c r="DS177">
        <v>1954999</v>
      </c>
      <c r="DT177">
        <v>1902309</v>
      </c>
      <c r="DU177">
        <v>5280</v>
      </c>
      <c r="DV177">
        <v>215</v>
      </c>
      <c r="DX177" s="24"/>
      <c r="DY177">
        <v>19561001</v>
      </c>
      <c r="DZ177">
        <v>19602020</v>
      </c>
      <c r="EA177">
        <v>19601000</v>
      </c>
      <c r="EB177">
        <v>482</v>
      </c>
      <c r="EC177">
        <v>95</v>
      </c>
      <c r="EE177" s="24"/>
      <c r="EF177">
        <v>142</v>
      </c>
      <c r="EG177">
        <v>145</v>
      </c>
      <c r="EH177">
        <v>144</v>
      </c>
      <c r="EI177">
        <v>75624006</v>
      </c>
      <c r="EJ177">
        <v>167</v>
      </c>
      <c r="EL177" s="24"/>
      <c r="EM177">
        <v>60000</v>
      </c>
      <c r="EN177">
        <v>61999</v>
      </c>
      <c r="EO177">
        <v>60003</v>
      </c>
      <c r="EP177">
        <v>62387</v>
      </c>
      <c r="EQ177">
        <v>634</v>
      </c>
      <c r="ES177" s="24"/>
      <c r="ET177">
        <v>372</v>
      </c>
      <c r="EU177">
        <v>383</v>
      </c>
      <c r="EV177">
        <v>375</v>
      </c>
      <c r="EW177">
        <v>65127274</v>
      </c>
      <c r="EX177">
        <v>629</v>
      </c>
      <c r="EZ177" s="24"/>
      <c r="FA177">
        <v>3422003</v>
      </c>
      <c r="FB177">
        <v>3649999</v>
      </c>
      <c r="FC177">
        <v>3599999</v>
      </c>
      <c r="FD177">
        <v>1009</v>
      </c>
      <c r="FE177">
        <v>17</v>
      </c>
      <c r="FG177" s="24"/>
      <c r="FH177">
        <v>6030</v>
      </c>
      <c r="FI177">
        <v>6450</v>
      </c>
      <c r="FJ177">
        <v>6419</v>
      </c>
      <c r="FK177">
        <v>1538300</v>
      </c>
      <c r="FL177">
        <v>432</v>
      </c>
      <c r="FN177" s="24"/>
      <c r="FO177">
        <v>18720</v>
      </c>
      <c r="FP177">
        <v>19342</v>
      </c>
      <c r="FQ177">
        <v>19197</v>
      </c>
      <c r="FR177">
        <v>90606</v>
      </c>
      <c r="FS177">
        <v>72</v>
      </c>
      <c r="FU177" s="24"/>
      <c r="FV177">
        <v>19012</v>
      </c>
      <c r="FW177">
        <v>19400</v>
      </c>
      <c r="FX177">
        <v>19115</v>
      </c>
      <c r="FY177">
        <v>256350</v>
      </c>
      <c r="FZ177">
        <v>1105</v>
      </c>
      <c r="GB177" s="24"/>
      <c r="GC177">
        <v>98505527</v>
      </c>
      <c r="GD177">
        <v>103892997</v>
      </c>
      <c r="GE177">
        <v>100183520</v>
      </c>
      <c r="GF177">
        <v>85</v>
      </c>
      <c r="GG177">
        <v>60</v>
      </c>
      <c r="GI177" s="24"/>
      <c r="GJ177">
        <v>23763232</v>
      </c>
      <c r="GK177">
        <v>23765056</v>
      </c>
      <c r="GL177">
        <v>23765003</v>
      </c>
      <c r="GM177">
        <v>175</v>
      </c>
      <c r="GN177">
        <v>37</v>
      </c>
      <c r="GP177" s="24"/>
      <c r="GQ177">
        <v>74</v>
      </c>
      <c r="GR177">
        <v>75</v>
      </c>
      <c r="GS177">
        <v>74</v>
      </c>
      <c r="GT177">
        <v>113973259</v>
      </c>
      <c r="GU177">
        <v>103</v>
      </c>
      <c r="GW177" s="24"/>
      <c r="GX177">
        <v>484</v>
      </c>
      <c r="GY177">
        <v>504</v>
      </c>
      <c r="GZ177">
        <v>504</v>
      </c>
      <c r="HA177">
        <v>73152874</v>
      </c>
      <c r="HB177">
        <v>278</v>
      </c>
      <c r="HD177" s="24"/>
      <c r="HE177">
        <v>5868</v>
      </c>
      <c r="HF177">
        <v>5905</v>
      </c>
      <c r="HG177">
        <v>5904</v>
      </c>
      <c r="HH177">
        <v>13449058</v>
      </c>
      <c r="HI177">
        <v>228</v>
      </c>
      <c r="HK177" s="24"/>
      <c r="HL177">
        <v>97020000</v>
      </c>
      <c r="HM177">
        <v>101541997</v>
      </c>
      <c r="HN177">
        <v>99212673</v>
      </c>
      <c r="HO177">
        <v>80</v>
      </c>
      <c r="HP177">
        <v>61</v>
      </c>
      <c r="HR177" s="24"/>
      <c r="HS177">
        <v>6199</v>
      </c>
      <c r="HT177">
        <v>6399</v>
      </c>
      <c r="HU177">
        <v>6394</v>
      </c>
      <c r="HV177">
        <v>609884</v>
      </c>
      <c r="HW177">
        <v>118</v>
      </c>
      <c r="HY177" s="24"/>
      <c r="HZ177">
        <v>4616</v>
      </c>
      <c r="IA177">
        <v>4999</v>
      </c>
      <c r="IB177">
        <v>4996</v>
      </c>
      <c r="IC177">
        <v>3414970</v>
      </c>
      <c r="ID177">
        <v>431</v>
      </c>
      <c r="IF177" s="24"/>
      <c r="IG177">
        <v>2974</v>
      </c>
      <c r="IH177">
        <v>2981</v>
      </c>
      <c r="II177">
        <v>2980</v>
      </c>
      <c r="IJ177">
        <v>1400739</v>
      </c>
      <c r="IK177">
        <v>112</v>
      </c>
      <c r="IM177" s="24"/>
      <c r="IN177">
        <v>96010001</v>
      </c>
      <c r="IO177">
        <v>101595993</v>
      </c>
      <c r="IP177">
        <v>99314732</v>
      </c>
      <c r="IQ177">
        <v>56</v>
      </c>
      <c r="IR177">
        <v>49</v>
      </c>
      <c r="IT177" s="24"/>
      <c r="IU177">
        <v>7903</v>
      </c>
      <c r="IV177">
        <v>8143</v>
      </c>
      <c r="IW177">
        <v>8140</v>
      </c>
      <c r="IX177">
        <v>1391364</v>
      </c>
      <c r="IY177">
        <v>135</v>
      </c>
      <c r="JA177" s="24"/>
      <c r="JB177">
        <v>95000223</v>
      </c>
      <c r="JC177">
        <v>104590967</v>
      </c>
      <c r="JD177">
        <v>101110429</v>
      </c>
      <c r="JE177">
        <v>64</v>
      </c>
      <c r="JF177">
        <v>56</v>
      </c>
      <c r="JH177" s="24"/>
      <c r="JI177">
        <v>93010003</v>
      </c>
      <c r="JJ177">
        <v>99999989</v>
      </c>
      <c r="JK177">
        <v>96907044</v>
      </c>
      <c r="JL177">
        <v>47</v>
      </c>
      <c r="JM177">
        <v>38</v>
      </c>
      <c r="JO177" s="24"/>
      <c r="JP177">
        <v>69</v>
      </c>
      <c r="JQ177">
        <v>69</v>
      </c>
      <c r="JR177">
        <v>69</v>
      </c>
      <c r="JS177">
        <v>56092391</v>
      </c>
      <c r="JT177">
        <v>84</v>
      </c>
      <c r="JV177" s="24"/>
      <c r="JW177">
        <v>62</v>
      </c>
      <c r="JX177">
        <v>62</v>
      </c>
      <c r="JY177">
        <v>62</v>
      </c>
      <c r="JZ177">
        <v>93232221</v>
      </c>
      <c r="KA177">
        <v>88</v>
      </c>
      <c r="KC177" s="24"/>
      <c r="KD177">
        <v>22</v>
      </c>
      <c r="KE177">
        <v>23</v>
      </c>
      <c r="KF177">
        <v>22</v>
      </c>
      <c r="KG177">
        <v>61016000</v>
      </c>
      <c r="KH177">
        <v>315</v>
      </c>
      <c r="KJ177" s="24"/>
      <c r="KK177">
        <v>66</v>
      </c>
      <c r="KL177">
        <v>68</v>
      </c>
      <c r="KM177">
        <v>68</v>
      </c>
      <c r="KN177">
        <v>76929027</v>
      </c>
      <c r="KO177">
        <v>122</v>
      </c>
      <c r="KQ177" s="24"/>
      <c r="KR177">
        <v>100003</v>
      </c>
      <c r="KS177">
        <v>109999</v>
      </c>
      <c r="KT177">
        <v>100028</v>
      </c>
      <c r="KU177">
        <v>62030</v>
      </c>
      <c r="KV177">
        <v>553</v>
      </c>
      <c r="KX177" s="24"/>
      <c r="KY177">
        <v>537</v>
      </c>
      <c r="KZ177">
        <v>537</v>
      </c>
      <c r="LA177">
        <v>537</v>
      </c>
      <c r="LB177">
        <v>3303858</v>
      </c>
      <c r="LC177">
        <v>152</v>
      </c>
      <c r="LE177" s="24"/>
      <c r="LF177">
        <v>189250</v>
      </c>
      <c r="LG177">
        <v>190500</v>
      </c>
      <c r="LH177">
        <v>189250</v>
      </c>
      <c r="LI177">
        <v>108326</v>
      </c>
      <c r="LJ177">
        <v>810</v>
      </c>
      <c r="LL177" s="24"/>
      <c r="LM177">
        <v>76520</v>
      </c>
      <c r="LN177">
        <v>77800</v>
      </c>
      <c r="LO177">
        <v>76526</v>
      </c>
      <c r="LP177">
        <v>274615</v>
      </c>
      <c r="LQ177">
        <v>1107</v>
      </c>
      <c r="LS177" s="24"/>
      <c r="LT177">
        <v>560</v>
      </c>
      <c r="LU177">
        <v>570</v>
      </c>
      <c r="LV177">
        <v>569</v>
      </c>
      <c r="LW177">
        <v>81424447</v>
      </c>
      <c r="LX177">
        <v>309</v>
      </c>
      <c r="LZ177" s="24"/>
      <c r="MA177">
        <v>120000</v>
      </c>
      <c r="MB177">
        <v>124797</v>
      </c>
      <c r="MC177">
        <v>122020</v>
      </c>
      <c r="MD177">
        <v>599758</v>
      </c>
      <c r="ME177">
        <v>66</v>
      </c>
    </row>
    <row r="178" spans="2:343" x14ac:dyDescent="0.25">
      <c r="B178" s="24"/>
      <c r="C178">
        <v>3</v>
      </c>
      <c r="D178">
        <v>3</v>
      </c>
      <c r="E178">
        <v>3</v>
      </c>
      <c r="F178">
        <v>27034265076</v>
      </c>
      <c r="G178">
        <v>2963</v>
      </c>
      <c r="I178" s="24"/>
      <c r="J178">
        <v>4</v>
      </c>
      <c r="K178">
        <v>4</v>
      </c>
      <c r="L178">
        <v>4</v>
      </c>
      <c r="M178">
        <v>5011255268</v>
      </c>
      <c r="N178">
        <v>2045</v>
      </c>
      <c r="P178" s="24"/>
      <c r="Q178">
        <v>26</v>
      </c>
      <c r="R178">
        <v>27</v>
      </c>
      <c r="S178">
        <v>26</v>
      </c>
      <c r="T178">
        <v>1286406836</v>
      </c>
      <c r="U178">
        <v>1816</v>
      </c>
      <c r="W178" s="24"/>
      <c r="X178">
        <v>69</v>
      </c>
      <c r="Y178">
        <v>70</v>
      </c>
      <c r="Z178">
        <v>69</v>
      </c>
      <c r="AA178">
        <v>272244271</v>
      </c>
      <c r="AB178">
        <v>1403</v>
      </c>
      <c r="AD178" s="24"/>
      <c r="AE178">
        <v>486</v>
      </c>
      <c r="AF178">
        <v>488</v>
      </c>
      <c r="AG178">
        <v>488</v>
      </c>
      <c r="AH178">
        <v>89486346</v>
      </c>
      <c r="AI178">
        <v>1532</v>
      </c>
      <c r="AK178" s="24"/>
      <c r="AL178">
        <v>866</v>
      </c>
      <c r="AM178">
        <v>872</v>
      </c>
      <c r="AN178">
        <v>872</v>
      </c>
      <c r="AO178">
        <v>22572259</v>
      </c>
      <c r="AP178">
        <v>1269</v>
      </c>
      <c r="AR178" s="24"/>
      <c r="AS178">
        <v>2426</v>
      </c>
      <c r="AT178">
        <v>2525</v>
      </c>
      <c r="AU178">
        <v>2500</v>
      </c>
      <c r="AV178">
        <v>10781725</v>
      </c>
      <c r="AW178">
        <v>1234</v>
      </c>
      <c r="AY178" s="24"/>
      <c r="AZ178">
        <v>387359257</v>
      </c>
      <c r="BA178">
        <v>395996998</v>
      </c>
      <c r="BB178">
        <v>393199999</v>
      </c>
      <c r="BC178">
        <v>2025</v>
      </c>
      <c r="BD178">
        <v>1423</v>
      </c>
      <c r="BF178" s="24"/>
      <c r="BG178">
        <v>25600</v>
      </c>
      <c r="BH178">
        <v>26100</v>
      </c>
      <c r="BI178">
        <v>25600</v>
      </c>
      <c r="BJ178">
        <v>2688597</v>
      </c>
      <c r="BK178">
        <v>231</v>
      </c>
      <c r="BM178" s="24"/>
      <c r="BN178">
        <v>5203700</v>
      </c>
      <c r="BO178">
        <v>5300000</v>
      </c>
      <c r="BP178">
        <v>5253704</v>
      </c>
      <c r="BQ178">
        <v>10435</v>
      </c>
      <c r="BR178">
        <v>326</v>
      </c>
      <c r="BT178" s="24"/>
      <c r="BU178">
        <v>2585</v>
      </c>
      <c r="BV178">
        <v>2682</v>
      </c>
      <c r="BW178">
        <v>2682</v>
      </c>
      <c r="BX178">
        <v>14731239</v>
      </c>
      <c r="BY178">
        <v>219</v>
      </c>
      <c r="CA178" s="24"/>
      <c r="CB178">
        <v>530</v>
      </c>
      <c r="CC178">
        <v>556</v>
      </c>
      <c r="CD178">
        <v>556</v>
      </c>
      <c r="CE178">
        <v>54403319</v>
      </c>
      <c r="CF178">
        <v>247</v>
      </c>
      <c r="CH178" s="24"/>
      <c r="CI178">
        <v>23422</v>
      </c>
      <c r="CJ178">
        <v>23422</v>
      </c>
      <c r="CK178">
        <v>23422</v>
      </c>
      <c r="CL178">
        <v>641453</v>
      </c>
      <c r="CM178">
        <v>176</v>
      </c>
      <c r="CO178" s="24"/>
      <c r="CP178">
        <v>6999</v>
      </c>
      <c r="CQ178">
        <v>7098</v>
      </c>
      <c r="CR178">
        <v>7076</v>
      </c>
      <c r="CS178">
        <v>844805</v>
      </c>
      <c r="CT178">
        <v>384</v>
      </c>
      <c r="CV178" s="24"/>
      <c r="CW178">
        <v>1300000</v>
      </c>
      <c r="CX178">
        <v>1319957</v>
      </c>
      <c r="CY178">
        <v>1305000</v>
      </c>
      <c r="CZ178">
        <v>6222</v>
      </c>
      <c r="DA178">
        <v>34</v>
      </c>
      <c r="DC178" s="24"/>
      <c r="DD178">
        <v>540</v>
      </c>
      <c r="DE178">
        <v>564</v>
      </c>
      <c r="DF178">
        <v>560</v>
      </c>
      <c r="DG178">
        <v>27396103</v>
      </c>
      <c r="DH178">
        <v>180</v>
      </c>
      <c r="DJ178" s="24"/>
      <c r="DK178">
        <v>35020065</v>
      </c>
      <c r="DL178">
        <v>35020067</v>
      </c>
      <c r="DM178">
        <v>35020066</v>
      </c>
      <c r="DN178">
        <v>218</v>
      </c>
      <c r="DO178">
        <v>71</v>
      </c>
      <c r="DQ178" s="24"/>
      <c r="DR178">
        <v>1802003</v>
      </c>
      <c r="DS178">
        <v>1966999</v>
      </c>
      <c r="DT178">
        <v>1802004</v>
      </c>
      <c r="DU178">
        <v>9071</v>
      </c>
      <c r="DV178">
        <v>223</v>
      </c>
      <c r="DX178" s="24"/>
      <c r="DY178">
        <v>19604000</v>
      </c>
      <c r="DZ178">
        <v>20999998</v>
      </c>
      <c r="EA178">
        <v>19604000</v>
      </c>
      <c r="EB178">
        <v>434</v>
      </c>
      <c r="EC178">
        <v>98</v>
      </c>
      <c r="EE178" s="24"/>
      <c r="EF178">
        <v>137</v>
      </c>
      <c r="EG178">
        <v>144</v>
      </c>
      <c r="EH178">
        <v>144</v>
      </c>
      <c r="EI178">
        <v>77205934</v>
      </c>
      <c r="EJ178">
        <v>152</v>
      </c>
      <c r="EL178" s="24"/>
      <c r="EM178">
        <v>59026</v>
      </c>
      <c r="EN178">
        <v>59600</v>
      </c>
      <c r="EO178">
        <v>59026</v>
      </c>
      <c r="EP178">
        <v>55958</v>
      </c>
      <c r="EQ178">
        <v>661</v>
      </c>
      <c r="ES178" s="24"/>
      <c r="ET178">
        <v>335</v>
      </c>
      <c r="EU178">
        <v>381</v>
      </c>
      <c r="EV178">
        <v>381</v>
      </c>
      <c r="EW178">
        <v>34579991</v>
      </c>
      <c r="EX178">
        <v>612</v>
      </c>
      <c r="EZ178" s="24"/>
      <c r="FA178">
        <v>3599999</v>
      </c>
      <c r="FB178">
        <v>4188999</v>
      </c>
      <c r="FC178">
        <v>3897997</v>
      </c>
      <c r="FD178">
        <v>3431</v>
      </c>
      <c r="FE178">
        <v>39</v>
      </c>
      <c r="FG178" s="24"/>
      <c r="FH178">
        <v>6162</v>
      </c>
      <c r="FI178">
        <v>6250</v>
      </c>
      <c r="FJ178">
        <v>6249</v>
      </c>
      <c r="FK178">
        <v>1279935</v>
      </c>
      <c r="FL178">
        <v>416</v>
      </c>
      <c r="FN178" s="24"/>
      <c r="FO178">
        <v>17926</v>
      </c>
      <c r="FP178">
        <v>18200</v>
      </c>
      <c r="FQ178">
        <v>17926</v>
      </c>
      <c r="FR178">
        <v>172666</v>
      </c>
      <c r="FS178">
        <v>68</v>
      </c>
      <c r="FU178" s="24"/>
      <c r="FV178">
        <v>18500</v>
      </c>
      <c r="FW178">
        <v>18526</v>
      </c>
      <c r="FX178">
        <v>18500</v>
      </c>
      <c r="FY178">
        <v>254459</v>
      </c>
      <c r="FZ178">
        <v>1135</v>
      </c>
      <c r="GB178" s="24"/>
      <c r="GC178">
        <v>92469000</v>
      </c>
      <c r="GD178">
        <v>99998993</v>
      </c>
      <c r="GE178">
        <v>93103026</v>
      </c>
      <c r="GF178">
        <v>129</v>
      </c>
      <c r="GG178">
        <v>75</v>
      </c>
      <c r="GI178" s="24"/>
      <c r="GJ178">
        <v>23767001</v>
      </c>
      <c r="GK178">
        <v>25779000</v>
      </c>
      <c r="GL178">
        <v>23767002</v>
      </c>
      <c r="GM178">
        <v>671</v>
      </c>
      <c r="GN178">
        <v>110</v>
      </c>
      <c r="GP178" s="24"/>
      <c r="GQ178">
        <v>75</v>
      </c>
      <c r="GR178">
        <v>75</v>
      </c>
      <c r="GS178">
        <v>75</v>
      </c>
      <c r="GT178">
        <v>115036539</v>
      </c>
      <c r="GU178">
        <v>107</v>
      </c>
      <c r="GW178" s="24"/>
      <c r="GX178">
        <v>470</v>
      </c>
      <c r="GY178">
        <v>504</v>
      </c>
      <c r="GZ178">
        <v>489</v>
      </c>
      <c r="HA178">
        <v>49769407</v>
      </c>
      <c r="HB178">
        <v>214</v>
      </c>
      <c r="HD178" s="24"/>
      <c r="HE178">
        <v>5845</v>
      </c>
      <c r="HF178">
        <v>5902</v>
      </c>
      <c r="HG178">
        <v>5902</v>
      </c>
      <c r="HH178">
        <v>13632632</v>
      </c>
      <c r="HI178">
        <v>227</v>
      </c>
      <c r="HK178" s="24"/>
      <c r="HL178">
        <v>92202003</v>
      </c>
      <c r="HM178">
        <v>99997895</v>
      </c>
      <c r="HN178">
        <v>97021000</v>
      </c>
      <c r="HO178">
        <v>118</v>
      </c>
      <c r="HP178">
        <v>79</v>
      </c>
      <c r="HR178" s="24"/>
      <c r="HS178">
        <v>5820</v>
      </c>
      <c r="HT178">
        <v>6385</v>
      </c>
      <c r="HU178">
        <v>6199</v>
      </c>
      <c r="HV178">
        <v>652781</v>
      </c>
      <c r="HW178">
        <v>125</v>
      </c>
      <c r="HY178" s="24"/>
      <c r="HZ178">
        <v>4611</v>
      </c>
      <c r="IA178">
        <v>4899</v>
      </c>
      <c r="IB178">
        <v>4889</v>
      </c>
      <c r="IC178">
        <v>2494341</v>
      </c>
      <c r="ID178">
        <v>395</v>
      </c>
      <c r="IF178" s="24"/>
      <c r="IG178">
        <v>2927</v>
      </c>
      <c r="IH178">
        <v>2981</v>
      </c>
      <c r="II178">
        <v>2981</v>
      </c>
      <c r="IJ178">
        <v>1492258</v>
      </c>
      <c r="IK178">
        <v>127</v>
      </c>
      <c r="IM178" s="24"/>
      <c r="IN178">
        <v>90000001</v>
      </c>
      <c r="IO178">
        <v>96010500</v>
      </c>
      <c r="IP178">
        <v>90000007</v>
      </c>
      <c r="IQ178">
        <v>116</v>
      </c>
      <c r="IR178">
        <v>64</v>
      </c>
      <c r="IT178" s="24"/>
      <c r="IU178">
        <v>7752</v>
      </c>
      <c r="IV178">
        <v>8138</v>
      </c>
      <c r="IW178">
        <v>7802</v>
      </c>
      <c r="IX178">
        <v>1606167</v>
      </c>
      <c r="IY178">
        <v>139</v>
      </c>
      <c r="JA178" s="24"/>
      <c r="JB178">
        <v>94799100</v>
      </c>
      <c r="JC178">
        <v>100997999</v>
      </c>
      <c r="JD178">
        <v>95002000</v>
      </c>
      <c r="JE178">
        <v>134</v>
      </c>
      <c r="JF178">
        <v>93</v>
      </c>
      <c r="JH178" s="24"/>
      <c r="JI178">
        <v>93015006</v>
      </c>
      <c r="JJ178">
        <v>100495992</v>
      </c>
      <c r="JK178">
        <v>98082641</v>
      </c>
      <c r="JL178">
        <v>28</v>
      </c>
      <c r="JM178">
        <v>25</v>
      </c>
      <c r="JO178" s="24"/>
      <c r="JP178">
        <v>69</v>
      </c>
      <c r="JQ178">
        <v>69</v>
      </c>
      <c r="JR178">
        <v>69</v>
      </c>
      <c r="JS178">
        <v>64778492</v>
      </c>
      <c r="JT178">
        <v>66</v>
      </c>
      <c r="JV178" s="24"/>
      <c r="JW178">
        <v>62</v>
      </c>
      <c r="JX178">
        <v>62</v>
      </c>
      <c r="JY178">
        <v>62</v>
      </c>
      <c r="JZ178">
        <v>62832702</v>
      </c>
      <c r="KA178">
        <v>86</v>
      </c>
      <c r="KC178" s="24"/>
      <c r="KD178">
        <v>22</v>
      </c>
      <c r="KE178">
        <v>23</v>
      </c>
      <c r="KF178">
        <v>23</v>
      </c>
      <c r="KG178">
        <v>55964691</v>
      </c>
      <c r="KH178">
        <v>288</v>
      </c>
      <c r="KJ178" s="24"/>
      <c r="KK178">
        <v>67</v>
      </c>
      <c r="KL178">
        <v>68</v>
      </c>
      <c r="KM178">
        <v>68</v>
      </c>
      <c r="KN178">
        <v>80000811</v>
      </c>
      <c r="KO178">
        <v>106</v>
      </c>
      <c r="KQ178" s="24"/>
      <c r="KR178">
        <v>100047</v>
      </c>
      <c r="KS178">
        <v>100421</v>
      </c>
      <c r="KT178">
        <v>100053</v>
      </c>
      <c r="KU178">
        <v>58572</v>
      </c>
      <c r="KV178">
        <v>621</v>
      </c>
      <c r="KX178" s="24"/>
      <c r="KY178">
        <v>517</v>
      </c>
      <c r="KZ178">
        <v>531</v>
      </c>
      <c r="LA178">
        <v>530</v>
      </c>
      <c r="LB178">
        <v>5709606</v>
      </c>
      <c r="LC178">
        <v>164</v>
      </c>
      <c r="LE178" s="24"/>
      <c r="LF178">
        <v>188002</v>
      </c>
      <c r="LG178">
        <v>188250</v>
      </c>
      <c r="LH178">
        <v>188002</v>
      </c>
      <c r="LI178">
        <v>109939</v>
      </c>
      <c r="LJ178">
        <v>877</v>
      </c>
      <c r="LL178" s="24"/>
      <c r="LM178">
        <v>76526</v>
      </c>
      <c r="LN178">
        <v>76531</v>
      </c>
      <c r="LO178">
        <v>76528</v>
      </c>
      <c r="LP178">
        <v>274929</v>
      </c>
      <c r="LQ178">
        <v>1229</v>
      </c>
      <c r="LS178" s="24"/>
      <c r="LT178">
        <v>568</v>
      </c>
      <c r="LU178">
        <v>576</v>
      </c>
      <c r="LV178">
        <v>569</v>
      </c>
      <c r="LW178">
        <v>77663216</v>
      </c>
      <c r="LX178">
        <v>347</v>
      </c>
      <c r="LZ178" s="24"/>
      <c r="MA178">
        <v>120014</v>
      </c>
      <c r="MB178">
        <v>120100</v>
      </c>
      <c r="MC178">
        <v>120014</v>
      </c>
      <c r="MD178">
        <v>774830</v>
      </c>
      <c r="ME178">
        <v>85</v>
      </c>
    </row>
    <row r="179" spans="2:343" x14ac:dyDescent="0.25">
      <c r="B179" s="24"/>
      <c r="C179">
        <v>3</v>
      </c>
      <c r="D179">
        <v>3</v>
      </c>
      <c r="E179">
        <v>3</v>
      </c>
      <c r="F179">
        <v>27007340656</v>
      </c>
      <c r="G179">
        <v>2999</v>
      </c>
      <c r="I179" s="24"/>
      <c r="J179">
        <v>4</v>
      </c>
      <c r="K179">
        <v>4</v>
      </c>
      <c r="L179">
        <v>4</v>
      </c>
      <c r="M179">
        <v>5270607187</v>
      </c>
      <c r="N179">
        <v>2039</v>
      </c>
      <c r="P179" s="24"/>
      <c r="Q179">
        <v>26</v>
      </c>
      <c r="R179">
        <v>27</v>
      </c>
      <c r="S179">
        <v>27</v>
      </c>
      <c r="T179">
        <v>1673386490</v>
      </c>
      <c r="U179">
        <v>1879</v>
      </c>
      <c r="W179" s="24"/>
      <c r="X179">
        <v>69</v>
      </c>
      <c r="Y179">
        <v>70</v>
      </c>
      <c r="Z179">
        <v>70</v>
      </c>
      <c r="AA179">
        <v>326605834</v>
      </c>
      <c r="AB179">
        <v>1458</v>
      </c>
      <c r="AD179" s="24"/>
      <c r="AE179">
        <v>488</v>
      </c>
      <c r="AF179">
        <v>498</v>
      </c>
      <c r="AG179">
        <v>491</v>
      </c>
      <c r="AH179">
        <v>88661543</v>
      </c>
      <c r="AI179">
        <v>1563</v>
      </c>
      <c r="AK179" s="24"/>
      <c r="AL179">
        <v>870</v>
      </c>
      <c r="AM179">
        <v>887</v>
      </c>
      <c r="AN179">
        <v>871</v>
      </c>
      <c r="AO179">
        <v>31590685</v>
      </c>
      <c r="AP179">
        <v>1277</v>
      </c>
      <c r="AR179" s="24"/>
      <c r="AS179">
        <v>2433</v>
      </c>
      <c r="AT179">
        <v>2500</v>
      </c>
      <c r="AU179">
        <v>2444</v>
      </c>
      <c r="AV179">
        <v>11539694</v>
      </c>
      <c r="AW179">
        <v>1190</v>
      </c>
      <c r="AY179" s="24"/>
      <c r="AZ179">
        <v>393999997</v>
      </c>
      <c r="BA179">
        <v>400000182</v>
      </c>
      <c r="BB179">
        <v>396099988</v>
      </c>
      <c r="BC179">
        <v>2948</v>
      </c>
      <c r="BD179">
        <v>1761</v>
      </c>
      <c r="BF179" s="24"/>
      <c r="BG179">
        <v>25601</v>
      </c>
      <c r="BH179">
        <v>25700</v>
      </c>
      <c r="BI179">
        <v>25602</v>
      </c>
      <c r="BJ179">
        <v>2132171</v>
      </c>
      <c r="BK179">
        <v>225</v>
      </c>
      <c r="BM179" s="24"/>
      <c r="BN179">
        <v>5209000</v>
      </c>
      <c r="BO179">
        <v>5309000</v>
      </c>
      <c r="BP179">
        <v>5300000</v>
      </c>
      <c r="BQ179">
        <v>17832</v>
      </c>
      <c r="BR179">
        <v>380</v>
      </c>
      <c r="BT179" s="24"/>
      <c r="BU179">
        <v>2625</v>
      </c>
      <c r="BV179">
        <v>2679</v>
      </c>
      <c r="BW179">
        <v>2667</v>
      </c>
      <c r="BX179">
        <v>25648292</v>
      </c>
      <c r="BY179">
        <v>211</v>
      </c>
      <c r="CA179" s="24"/>
      <c r="CB179">
        <v>556</v>
      </c>
      <c r="CC179">
        <v>556</v>
      </c>
      <c r="CD179">
        <v>556</v>
      </c>
      <c r="CE179">
        <v>54546618</v>
      </c>
      <c r="CF179">
        <v>260</v>
      </c>
      <c r="CH179" s="24"/>
      <c r="CI179">
        <v>23422</v>
      </c>
      <c r="CJ179">
        <v>23424</v>
      </c>
      <c r="CK179">
        <v>23423</v>
      </c>
      <c r="CL179">
        <v>778737</v>
      </c>
      <c r="CM179">
        <v>176</v>
      </c>
      <c r="CO179" s="24"/>
      <c r="CP179">
        <v>6800</v>
      </c>
      <c r="CQ179">
        <v>7400</v>
      </c>
      <c r="CR179">
        <v>7230</v>
      </c>
      <c r="CS179">
        <v>1044727</v>
      </c>
      <c r="CT179">
        <v>377</v>
      </c>
      <c r="CV179" s="24"/>
      <c r="CW179">
        <v>1280000</v>
      </c>
      <c r="CX179">
        <v>1319948</v>
      </c>
      <c r="CY179">
        <v>1290005</v>
      </c>
      <c r="CZ179">
        <v>10872</v>
      </c>
      <c r="DA179">
        <v>44</v>
      </c>
      <c r="DC179" s="24"/>
      <c r="DD179">
        <v>520</v>
      </c>
      <c r="DE179">
        <v>559</v>
      </c>
      <c r="DF179">
        <v>545</v>
      </c>
      <c r="DG179">
        <v>48054408</v>
      </c>
      <c r="DH179">
        <v>210</v>
      </c>
      <c r="DJ179" s="24"/>
      <c r="DK179">
        <v>35020066</v>
      </c>
      <c r="DL179">
        <v>35100000</v>
      </c>
      <c r="DM179">
        <v>35020102</v>
      </c>
      <c r="DN179">
        <v>425</v>
      </c>
      <c r="DO179">
        <v>69</v>
      </c>
      <c r="DQ179" s="24"/>
      <c r="DR179">
        <v>1825006</v>
      </c>
      <c r="DS179">
        <v>1950000</v>
      </c>
      <c r="DT179">
        <v>1826000</v>
      </c>
      <c r="DU179">
        <v>4275</v>
      </c>
      <c r="DV179">
        <v>178</v>
      </c>
      <c r="DX179" s="24"/>
      <c r="DY179">
        <v>19700000</v>
      </c>
      <c r="DZ179">
        <v>20900000</v>
      </c>
      <c r="EA179">
        <v>19704020</v>
      </c>
      <c r="EB179">
        <v>308</v>
      </c>
      <c r="EC179">
        <v>82</v>
      </c>
      <c r="EE179" s="24"/>
      <c r="EF179">
        <v>136</v>
      </c>
      <c r="EG179">
        <v>143</v>
      </c>
      <c r="EH179">
        <v>137</v>
      </c>
      <c r="EI179">
        <v>181818171</v>
      </c>
      <c r="EJ179">
        <v>180</v>
      </c>
      <c r="EL179" s="24"/>
      <c r="EM179">
        <v>60000</v>
      </c>
      <c r="EN179">
        <v>60000</v>
      </c>
      <c r="EO179">
        <v>60000</v>
      </c>
      <c r="EP179">
        <v>69763</v>
      </c>
      <c r="EQ179">
        <v>700</v>
      </c>
      <c r="ES179" s="24"/>
      <c r="ET179">
        <v>366</v>
      </c>
      <c r="EU179">
        <v>379</v>
      </c>
      <c r="EV179">
        <v>378</v>
      </c>
      <c r="EW179">
        <v>38857690</v>
      </c>
      <c r="EX179">
        <v>634</v>
      </c>
      <c r="EZ179" s="24"/>
      <c r="FA179">
        <v>3433002</v>
      </c>
      <c r="FB179">
        <v>3500000</v>
      </c>
      <c r="FC179">
        <v>3433008</v>
      </c>
      <c r="FD179">
        <v>1025</v>
      </c>
      <c r="FE179">
        <v>30</v>
      </c>
      <c r="FG179" s="24"/>
      <c r="FH179">
        <v>6082</v>
      </c>
      <c r="FI179">
        <v>6249</v>
      </c>
      <c r="FJ179">
        <v>6225</v>
      </c>
      <c r="FK179">
        <v>1553705</v>
      </c>
      <c r="FL179">
        <v>373</v>
      </c>
      <c r="FN179" s="24"/>
      <c r="FO179">
        <v>18500</v>
      </c>
      <c r="FP179">
        <v>18896</v>
      </c>
      <c r="FQ179">
        <v>18896</v>
      </c>
      <c r="FR179">
        <v>220218</v>
      </c>
      <c r="FS179">
        <v>83</v>
      </c>
      <c r="FU179" s="24"/>
      <c r="FV179">
        <v>18562</v>
      </c>
      <c r="FW179">
        <v>18565</v>
      </c>
      <c r="FX179">
        <v>18562</v>
      </c>
      <c r="FY179">
        <v>329445</v>
      </c>
      <c r="FZ179">
        <v>1288</v>
      </c>
      <c r="GB179" s="24"/>
      <c r="GC179">
        <v>92214002</v>
      </c>
      <c r="GD179">
        <v>99997998</v>
      </c>
      <c r="GE179">
        <v>93001000</v>
      </c>
      <c r="GF179">
        <v>117</v>
      </c>
      <c r="GG179">
        <v>77</v>
      </c>
      <c r="GI179" s="24"/>
      <c r="GJ179">
        <v>23780000</v>
      </c>
      <c r="GK179">
        <v>23787138</v>
      </c>
      <c r="GL179">
        <v>23780002</v>
      </c>
      <c r="GM179">
        <v>430</v>
      </c>
      <c r="GN179">
        <v>66</v>
      </c>
      <c r="GP179" s="24"/>
      <c r="GQ179">
        <v>75</v>
      </c>
      <c r="GR179">
        <v>75</v>
      </c>
      <c r="GS179">
        <v>75</v>
      </c>
      <c r="GT179">
        <v>176166730</v>
      </c>
      <c r="GU179">
        <v>117</v>
      </c>
      <c r="GW179" s="24"/>
      <c r="GX179">
        <v>475</v>
      </c>
      <c r="GY179">
        <v>494</v>
      </c>
      <c r="GZ179">
        <v>483</v>
      </c>
      <c r="HA179">
        <v>73684155</v>
      </c>
      <c r="HB179">
        <v>249</v>
      </c>
      <c r="HD179" s="24"/>
      <c r="HE179">
        <v>5901</v>
      </c>
      <c r="HF179">
        <v>5947</v>
      </c>
      <c r="HG179">
        <v>5902</v>
      </c>
      <c r="HH179">
        <v>20316165</v>
      </c>
      <c r="HI179">
        <v>239</v>
      </c>
      <c r="HK179" s="24"/>
      <c r="HL179">
        <v>92202510</v>
      </c>
      <c r="HM179">
        <v>99994999</v>
      </c>
      <c r="HN179">
        <v>95721102</v>
      </c>
      <c r="HO179">
        <v>96</v>
      </c>
      <c r="HP179">
        <v>75</v>
      </c>
      <c r="HR179" s="24"/>
      <c r="HS179">
        <v>5820</v>
      </c>
      <c r="HT179">
        <v>6494</v>
      </c>
      <c r="HU179">
        <v>6199</v>
      </c>
      <c r="HV179">
        <v>585804</v>
      </c>
      <c r="HW179">
        <v>118</v>
      </c>
      <c r="HY179" s="24"/>
      <c r="HZ179">
        <v>4899</v>
      </c>
      <c r="IA179">
        <v>5186</v>
      </c>
      <c r="IB179">
        <v>4997</v>
      </c>
      <c r="IC179">
        <v>2761617</v>
      </c>
      <c r="ID179">
        <v>446</v>
      </c>
      <c r="IF179" s="24"/>
      <c r="IG179">
        <v>2858</v>
      </c>
      <c r="IH179">
        <v>2981</v>
      </c>
      <c r="II179">
        <v>2903</v>
      </c>
      <c r="IJ179">
        <v>3020235</v>
      </c>
      <c r="IK179">
        <v>133</v>
      </c>
      <c r="IM179" s="24"/>
      <c r="IN179">
        <v>86750102</v>
      </c>
      <c r="IO179">
        <v>100596999</v>
      </c>
      <c r="IP179">
        <v>93956102</v>
      </c>
      <c r="IQ179">
        <v>59</v>
      </c>
      <c r="IR179">
        <v>45</v>
      </c>
      <c r="IT179" s="24"/>
      <c r="IU179">
        <v>8000</v>
      </c>
      <c r="IV179">
        <v>8137</v>
      </c>
      <c r="IW179">
        <v>8136</v>
      </c>
      <c r="IX179">
        <v>1068704</v>
      </c>
      <c r="IY179">
        <v>117</v>
      </c>
      <c r="JA179" s="24"/>
      <c r="JB179">
        <v>85601000</v>
      </c>
      <c r="JC179">
        <v>94634124</v>
      </c>
      <c r="JD179">
        <v>94621000</v>
      </c>
      <c r="JE179">
        <v>170</v>
      </c>
      <c r="JF179">
        <v>96</v>
      </c>
      <c r="JH179" s="24"/>
      <c r="JI179">
        <v>93271100</v>
      </c>
      <c r="JJ179">
        <v>100491999</v>
      </c>
      <c r="JK179">
        <v>95447276</v>
      </c>
      <c r="JL179">
        <v>89</v>
      </c>
      <c r="JM179">
        <v>55</v>
      </c>
      <c r="JO179" s="24"/>
      <c r="JP179">
        <v>69</v>
      </c>
      <c r="JQ179">
        <v>69</v>
      </c>
      <c r="JR179">
        <v>69</v>
      </c>
      <c r="JS179">
        <v>96360928</v>
      </c>
      <c r="JT179">
        <v>78</v>
      </c>
      <c r="JV179" s="24"/>
      <c r="JW179">
        <v>62</v>
      </c>
      <c r="JX179">
        <v>62</v>
      </c>
      <c r="JY179">
        <v>62</v>
      </c>
      <c r="JZ179">
        <v>146145571</v>
      </c>
      <c r="KA179">
        <v>111</v>
      </c>
      <c r="KC179" s="24"/>
      <c r="KD179">
        <v>22</v>
      </c>
      <c r="KE179">
        <v>23</v>
      </c>
      <c r="KF179">
        <v>22</v>
      </c>
      <c r="KG179">
        <v>45186796</v>
      </c>
      <c r="KH179">
        <v>281</v>
      </c>
      <c r="KJ179" s="24"/>
      <c r="KK179">
        <v>68</v>
      </c>
      <c r="KL179">
        <v>69</v>
      </c>
      <c r="KM179">
        <v>68</v>
      </c>
      <c r="KN179">
        <v>143494032</v>
      </c>
      <c r="KO179">
        <v>105</v>
      </c>
      <c r="KQ179" s="24"/>
      <c r="KR179">
        <v>100509</v>
      </c>
      <c r="KS179">
        <v>100510</v>
      </c>
      <c r="KT179">
        <v>100509</v>
      </c>
      <c r="KU179">
        <v>56363</v>
      </c>
      <c r="KV179">
        <v>657</v>
      </c>
      <c r="KX179" s="24"/>
      <c r="KY179">
        <v>502</v>
      </c>
      <c r="KZ179">
        <v>527</v>
      </c>
      <c r="LA179">
        <v>502</v>
      </c>
      <c r="LB179">
        <v>15539113</v>
      </c>
      <c r="LC179">
        <v>157</v>
      </c>
      <c r="LE179" s="24"/>
      <c r="LF179">
        <v>188001</v>
      </c>
      <c r="LG179">
        <v>188002</v>
      </c>
      <c r="LH179">
        <v>188002</v>
      </c>
      <c r="LI179">
        <v>116205</v>
      </c>
      <c r="LJ179">
        <v>940</v>
      </c>
      <c r="LL179" s="24"/>
      <c r="LM179">
        <v>76002</v>
      </c>
      <c r="LN179">
        <v>76701</v>
      </c>
      <c r="LO179">
        <v>76701</v>
      </c>
      <c r="LP179">
        <v>334128</v>
      </c>
      <c r="LQ179">
        <v>1282</v>
      </c>
      <c r="LS179" s="24"/>
      <c r="LT179">
        <v>570</v>
      </c>
      <c r="LU179">
        <v>576</v>
      </c>
      <c r="LV179">
        <v>576</v>
      </c>
      <c r="LW179">
        <v>91207513</v>
      </c>
      <c r="LX179">
        <v>397</v>
      </c>
      <c r="LZ179" s="24"/>
      <c r="MA179">
        <v>118032</v>
      </c>
      <c r="MB179">
        <v>119049</v>
      </c>
      <c r="MC179">
        <v>118600</v>
      </c>
      <c r="MD179">
        <v>1000111</v>
      </c>
      <c r="ME179">
        <v>103</v>
      </c>
    </row>
    <row r="180" spans="2:343" x14ac:dyDescent="0.25">
      <c r="B180" s="24"/>
      <c r="C180">
        <v>3</v>
      </c>
      <c r="D180">
        <v>3</v>
      </c>
      <c r="E180">
        <v>3</v>
      </c>
      <c r="F180">
        <v>32437270670</v>
      </c>
      <c r="G180">
        <v>3605</v>
      </c>
      <c r="I180" s="24"/>
      <c r="J180">
        <v>4</v>
      </c>
      <c r="K180">
        <v>4</v>
      </c>
      <c r="L180">
        <v>4</v>
      </c>
      <c r="M180">
        <v>5793683105</v>
      </c>
      <c r="N180">
        <v>2392</v>
      </c>
      <c r="P180" s="24"/>
      <c r="Q180">
        <v>26</v>
      </c>
      <c r="R180">
        <v>27</v>
      </c>
      <c r="S180">
        <v>27</v>
      </c>
      <c r="T180">
        <v>2339495097</v>
      </c>
      <c r="U180">
        <v>2171</v>
      </c>
      <c r="W180" s="24"/>
      <c r="X180">
        <v>69</v>
      </c>
      <c r="Y180">
        <v>70</v>
      </c>
      <c r="Z180">
        <v>69</v>
      </c>
      <c r="AA180">
        <v>446073951</v>
      </c>
      <c r="AB180">
        <v>1688</v>
      </c>
      <c r="AD180" s="24"/>
      <c r="AE180">
        <v>482</v>
      </c>
      <c r="AF180">
        <v>496</v>
      </c>
      <c r="AG180">
        <v>490</v>
      </c>
      <c r="AH180">
        <v>134498829</v>
      </c>
      <c r="AI180">
        <v>1856</v>
      </c>
      <c r="AK180" s="24"/>
      <c r="AL180">
        <v>872</v>
      </c>
      <c r="AM180">
        <v>899</v>
      </c>
      <c r="AN180">
        <v>898</v>
      </c>
      <c r="AO180">
        <v>60927560</v>
      </c>
      <c r="AP180">
        <v>1598</v>
      </c>
      <c r="AR180" s="24"/>
      <c r="AS180">
        <v>2451</v>
      </c>
      <c r="AT180">
        <v>2527</v>
      </c>
      <c r="AU180">
        <v>2472</v>
      </c>
      <c r="AV180">
        <v>15230276</v>
      </c>
      <c r="AW180">
        <v>1452</v>
      </c>
      <c r="AY180" s="24"/>
      <c r="AZ180">
        <v>397000010</v>
      </c>
      <c r="BA180">
        <v>406303010</v>
      </c>
      <c r="BB180">
        <v>401479830</v>
      </c>
      <c r="BC180">
        <v>2828</v>
      </c>
      <c r="BD180">
        <v>1916</v>
      </c>
      <c r="BF180" s="24"/>
      <c r="BG180">
        <v>26200</v>
      </c>
      <c r="BH180">
        <v>26200</v>
      </c>
      <c r="BI180">
        <v>26200</v>
      </c>
      <c r="BJ180">
        <v>1875312</v>
      </c>
      <c r="BK180">
        <v>210</v>
      </c>
      <c r="BM180" s="24"/>
      <c r="BN180">
        <v>5017505</v>
      </c>
      <c r="BO180">
        <v>5150000</v>
      </c>
      <c r="BP180">
        <v>5099001</v>
      </c>
      <c r="BQ180">
        <v>12285</v>
      </c>
      <c r="BR180">
        <v>291</v>
      </c>
      <c r="BT180" s="24"/>
      <c r="BU180">
        <v>2600</v>
      </c>
      <c r="BV180">
        <v>2649</v>
      </c>
      <c r="BW180">
        <v>2647</v>
      </c>
      <c r="BX180">
        <v>18037782</v>
      </c>
      <c r="BY180">
        <v>231</v>
      </c>
      <c r="CA180" s="24"/>
      <c r="CB180">
        <v>554</v>
      </c>
      <c r="CC180">
        <v>556</v>
      </c>
      <c r="CD180">
        <v>555</v>
      </c>
      <c r="CE180">
        <v>71179710</v>
      </c>
      <c r="CF180">
        <v>277</v>
      </c>
      <c r="CH180" s="24"/>
      <c r="CI180">
        <v>23425</v>
      </c>
      <c r="CJ180">
        <v>23425</v>
      </c>
      <c r="CK180">
        <v>23425</v>
      </c>
      <c r="CL180">
        <v>920064</v>
      </c>
      <c r="CM180">
        <v>172</v>
      </c>
      <c r="CO180" s="24"/>
      <c r="CP180">
        <v>6956</v>
      </c>
      <c r="CQ180">
        <v>7449</v>
      </c>
      <c r="CR180">
        <v>7350</v>
      </c>
      <c r="CS180">
        <v>1181036</v>
      </c>
      <c r="CT180">
        <v>463</v>
      </c>
      <c r="CV180" s="24"/>
      <c r="CW180">
        <v>1316994</v>
      </c>
      <c r="CX180">
        <v>1316998</v>
      </c>
      <c r="CY180">
        <v>1316998</v>
      </c>
      <c r="CZ180">
        <v>10234</v>
      </c>
      <c r="DA180">
        <v>34</v>
      </c>
      <c r="DC180" s="24"/>
      <c r="DD180">
        <v>502</v>
      </c>
      <c r="DE180">
        <v>537</v>
      </c>
      <c r="DF180">
        <v>534</v>
      </c>
      <c r="DG180">
        <v>38578503</v>
      </c>
      <c r="DH180">
        <v>187</v>
      </c>
      <c r="DJ180" s="24"/>
      <c r="DK180">
        <v>34001307</v>
      </c>
      <c r="DL180">
        <v>34001308</v>
      </c>
      <c r="DM180">
        <v>34001308</v>
      </c>
      <c r="DN180">
        <v>335</v>
      </c>
      <c r="DO180">
        <v>89</v>
      </c>
      <c r="DQ180" s="24"/>
      <c r="DR180">
        <v>1825116</v>
      </c>
      <c r="DS180">
        <v>1924775</v>
      </c>
      <c r="DT180">
        <v>1825226</v>
      </c>
      <c r="DU180">
        <v>5954</v>
      </c>
      <c r="DV180">
        <v>198</v>
      </c>
      <c r="DX180" s="24"/>
      <c r="DY180">
        <v>19600018</v>
      </c>
      <c r="DZ180">
        <v>19750001</v>
      </c>
      <c r="EA180">
        <v>19704093</v>
      </c>
      <c r="EB180">
        <v>618</v>
      </c>
      <c r="EC180">
        <v>124</v>
      </c>
      <c r="EE180" s="24"/>
      <c r="EF180">
        <v>128</v>
      </c>
      <c r="EG180">
        <v>140</v>
      </c>
      <c r="EH180">
        <v>130</v>
      </c>
      <c r="EI180">
        <v>86497845</v>
      </c>
      <c r="EJ180">
        <v>185</v>
      </c>
      <c r="EL180" s="24"/>
      <c r="EM180">
        <v>55000</v>
      </c>
      <c r="EN180">
        <v>57099</v>
      </c>
      <c r="EO180">
        <v>55000</v>
      </c>
      <c r="EP180">
        <v>75018</v>
      </c>
      <c r="EQ180">
        <v>777</v>
      </c>
      <c r="ES180" s="24"/>
      <c r="ET180">
        <v>365</v>
      </c>
      <c r="EU180">
        <v>374</v>
      </c>
      <c r="EV180">
        <v>374</v>
      </c>
      <c r="EW180">
        <v>36144217</v>
      </c>
      <c r="EX180">
        <v>685</v>
      </c>
      <c r="EZ180" s="24"/>
      <c r="FA180">
        <v>3433009</v>
      </c>
      <c r="FB180">
        <v>3438000</v>
      </c>
      <c r="FC180">
        <v>3433010</v>
      </c>
      <c r="FD180">
        <v>2294</v>
      </c>
      <c r="FE180">
        <v>30</v>
      </c>
      <c r="FG180" s="24"/>
      <c r="FH180">
        <v>6067</v>
      </c>
      <c r="FI180">
        <v>6244</v>
      </c>
      <c r="FJ180">
        <v>6239</v>
      </c>
      <c r="FK180">
        <v>2247714</v>
      </c>
      <c r="FL180">
        <v>452</v>
      </c>
      <c r="FN180" s="24"/>
      <c r="FO180">
        <v>17906</v>
      </c>
      <c r="FP180">
        <v>17906</v>
      </c>
      <c r="FQ180">
        <v>17906</v>
      </c>
      <c r="FR180">
        <v>361298</v>
      </c>
      <c r="FS180">
        <v>78</v>
      </c>
      <c r="FU180" s="24"/>
      <c r="FV180">
        <v>18502</v>
      </c>
      <c r="FW180">
        <v>18511</v>
      </c>
      <c r="FX180">
        <v>18505</v>
      </c>
      <c r="FY180">
        <v>412259</v>
      </c>
      <c r="FZ180">
        <v>1373</v>
      </c>
      <c r="GB180" s="24"/>
      <c r="GC180">
        <v>92205993</v>
      </c>
      <c r="GD180">
        <v>98999999</v>
      </c>
      <c r="GE180">
        <v>96831046</v>
      </c>
      <c r="GF180">
        <v>92</v>
      </c>
      <c r="GG180">
        <v>79</v>
      </c>
      <c r="GI180" s="24"/>
      <c r="GJ180">
        <v>23780015</v>
      </c>
      <c r="GK180">
        <v>23780022</v>
      </c>
      <c r="GL180">
        <v>23780015</v>
      </c>
      <c r="GM180">
        <v>426</v>
      </c>
      <c r="GN180">
        <v>72</v>
      </c>
      <c r="GP180" s="24"/>
      <c r="GQ180">
        <v>73</v>
      </c>
      <c r="GR180">
        <v>75</v>
      </c>
      <c r="GS180">
        <v>74</v>
      </c>
      <c r="GT180">
        <v>132349688</v>
      </c>
      <c r="GU180">
        <v>125</v>
      </c>
      <c r="GW180" s="24"/>
      <c r="GX180">
        <v>474</v>
      </c>
      <c r="GY180">
        <v>483</v>
      </c>
      <c r="GZ180">
        <v>483</v>
      </c>
      <c r="HA180">
        <v>37191202</v>
      </c>
      <c r="HB180">
        <v>226</v>
      </c>
      <c r="HD180" s="24"/>
      <c r="HE180">
        <v>6148</v>
      </c>
      <c r="HF180">
        <v>6248</v>
      </c>
      <c r="HG180">
        <v>6247</v>
      </c>
      <c r="HH180">
        <v>12289422</v>
      </c>
      <c r="HI180">
        <v>248</v>
      </c>
      <c r="HK180" s="24"/>
      <c r="HL180">
        <v>92997704</v>
      </c>
      <c r="HM180">
        <v>99988000</v>
      </c>
      <c r="HN180">
        <v>97917074</v>
      </c>
      <c r="HO180">
        <v>95</v>
      </c>
      <c r="HP180">
        <v>77</v>
      </c>
      <c r="HR180" s="24"/>
      <c r="HS180">
        <v>6190</v>
      </c>
      <c r="HT180">
        <v>6719</v>
      </c>
      <c r="HU180">
        <v>6349</v>
      </c>
      <c r="HV180">
        <v>594475</v>
      </c>
      <c r="HW180">
        <v>114</v>
      </c>
      <c r="HY180" s="24"/>
      <c r="HZ180">
        <v>4995</v>
      </c>
      <c r="IA180">
        <v>5179</v>
      </c>
      <c r="IB180">
        <v>5159</v>
      </c>
      <c r="IC180">
        <v>2752861</v>
      </c>
      <c r="ID180">
        <v>500</v>
      </c>
      <c r="IF180" s="24"/>
      <c r="IG180">
        <v>2800</v>
      </c>
      <c r="IH180">
        <v>2979</v>
      </c>
      <c r="II180">
        <v>2979</v>
      </c>
      <c r="IJ180">
        <v>1489673</v>
      </c>
      <c r="IK180">
        <v>146</v>
      </c>
      <c r="IM180" s="24"/>
      <c r="IN180">
        <v>99004999</v>
      </c>
      <c r="IO180">
        <v>99996999</v>
      </c>
      <c r="IP180">
        <v>99996099</v>
      </c>
      <c r="IQ180">
        <v>102</v>
      </c>
      <c r="IR180">
        <v>67</v>
      </c>
      <c r="IT180" s="24"/>
      <c r="IU180">
        <v>8131</v>
      </c>
      <c r="IV180">
        <v>8132</v>
      </c>
      <c r="IW180">
        <v>8132</v>
      </c>
      <c r="IX180">
        <v>913567</v>
      </c>
      <c r="IY180">
        <v>141</v>
      </c>
      <c r="JA180" s="24"/>
      <c r="JB180">
        <v>92000002</v>
      </c>
      <c r="JC180">
        <v>99996000</v>
      </c>
      <c r="JD180">
        <v>98329398</v>
      </c>
      <c r="JE180">
        <v>98</v>
      </c>
      <c r="JF180">
        <v>77</v>
      </c>
      <c r="JH180" s="24"/>
      <c r="JI180">
        <v>93279571</v>
      </c>
      <c r="JJ180">
        <v>100483998</v>
      </c>
      <c r="JK180">
        <v>96957408</v>
      </c>
      <c r="JL180">
        <v>73</v>
      </c>
      <c r="JM180">
        <v>51</v>
      </c>
      <c r="JO180" s="24"/>
      <c r="JP180">
        <v>69</v>
      </c>
      <c r="JQ180">
        <v>69</v>
      </c>
      <c r="JR180">
        <v>69</v>
      </c>
      <c r="JS180">
        <v>51512148</v>
      </c>
      <c r="JT180">
        <v>76</v>
      </c>
      <c r="JV180" s="24"/>
      <c r="JW180">
        <v>62</v>
      </c>
      <c r="JX180">
        <v>65</v>
      </c>
      <c r="JY180">
        <v>64</v>
      </c>
      <c r="JZ180">
        <v>100649330</v>
      </c>
      <c r="KA180">
        <v>129</v>
      </c>
      <c r="KC180" s="24"/>
      <c r="KD180">
        <v>22</v>
      </c>
      <c r="KE180">
        <v>23</v>
      </c>
      <c r="KF180">
        <v>23</v>
      </c>
      <c r="KG180">
        <v>68236688</v>
      </c>
      <c r="KH180">
        <v>346</v>
      </c>
      <c r="KJ180" s="24"/>
      <c r="KK180">
        <v>68</v>
      </c>
      <c r="KL180">
        <v>69</v>
      </c>
      <c r="KM180">
        <v>69</v>
      </c>
      <c r="KN180">
        <v>92091145</v>
      </c>
      <c r="KO180">
        <v>111</v>
      </c>
      <c r="KQ180" s="24"/>
      <c r="KR180">
        <v>100553</v>
      </c>
      <c r="KS180">
        <v>105031</v>
      </c>
      <c r="KT180">
        <v>105004</v>
      </c>
      <c r="KU180">
        <v>49744</v>
      </c>
      <c r="KV180">
        <v>752</v>
      </c>
      <c r="KX180" s="24"/>
      <c r="KY180">
        <v>502</v>
      </c>
      <c r="KZ180">
        <v>519</v>
      </c>
      <c r="LA180">
        <v>503</v>
      </c>
      <c r="LB180">
        <v>8304376</v>
      </c>
      <c r="LC180">
        <v>213</v>
      </c>
      <c r="LE180" s="24"/>
      <c r="LF180">
        <v>183115</v>
      </c>
      <c r="LG180">
        <v>188001</v>
      </c>
      <c r="LH180">
        <v>185032</v>
      </c>
      <c r="LI180">
        <v>127657</v>
      </c>
      <c r="LJ180">
        <v>1043</v>
      </c>
      <c r="LL180" s="24"/>
      <c r="LM180">
        <v>74600</v>
      </c>
      <c r="LN180">
        <v>75400</v>
      </c>
      <c r="LO180">
        <v>75000</v>
      </c>
      <c r="LP180">
        <v>341964</v>
      </c>
      <c r="LQ180">
        <v>1432</v>
      </c>
      <c r="LS180" s="24"/>
      <c r="LT180">
        <v>627</v>
      </c>
      <c r="LU180">
        <v>669</v>
      </c>
      <c r="LV180">
        <v>644</v>
      </c>
      <c r="LW180">
        <v>71646878</v>
      </c>
      <c r="LX180">
        <v>402</v>
      </c>
      <c r="LZ180" s="24"/>
      <c r="MA180">
        <v>120000</v>
      </c>
      <c r="MB180">
        <v>121969</v>
      </c>
      <c r="MC180">
        <v>121858</v>
      </c>
      <c r="MD180">
        <v>727272</v>
      </c>
      <c r="ME180">
        <v>83</v>
      </c>
    </row>
    <row r="181" spans="2:343" x14ac:dyDescent="0.25">
      <c r="B181" s="24"/>
      <c r="C181">
        <v>3</v>
      </c>
      <c r="D181">
        <v>3</v>
      </c>
      <c r="E181">
        <v>3</v>
      </c>
      <c r="F181">
        <v>29469112278</v>
      </c>
      <c r="G181">
        <v>3948</v>
      </c>
      <c r="I181" s="24"/>
      <c r="J181">
        <v>4</v>
      </c>
      <c r="K181">
        <v>4</v>
      </c>
      <c r="L181">
        <v>4</v>
      </c>
      <c r="M181">
        <v>5171685929</v>
      </c>
      <c r="N181">
        <v>2772</v>
      </c>
      <c r="P181" s="24"/>
      <c r="Q181">
        <v>26</v>
      </c>
      <c r="R181">
        <v>27</v>
      </c>
      <c r="S181">
        <v>26</v>
      </c>
      <c r="T181">
        <v>1599652240</v>
      </c>
      <c r="U181">
        <v>2375</v>
      </c>
      <c r="W181" s="24"/>
      <c r="X181">
        <v>66</v>
      </c>
      <c r="Y181">
        <v>69</v>
      </c>
      <c r="Z181">
        <v>67</v>
      </c>
      <c r="AA181">
        <v>313948342</v>
      </c>
      <c r="AB181">
        <v>1945</v>
      </c>
      <c r="AD181" s="24"/>
      <c r="AE181">
        <v>481</v>
      </c>
      <c r="AF181">
        <v>496</v>
      </c>
      <c r="AG181">
        <v>487</v>
      </c>
      <c r="AH181">
        <v>88615209</v>
      </c>
      <c r="AI181">
        <v>1998</v>
      </c>
      <c r="AK181" s="24"/>
      <c r="AL181">
        <v>880</v>
      </c>
      <c r="AM181">
        <v>907</v>
      </c>
      <c r="AN181">
        <v>904</v>
      </c>
      <c r="AO181">
        <v>41035207</v>
      </c>
      <c r="AP181">
        <v>1698</v>
      </c>
      <c r="AR181" s="24"/>
      <c r="AS181">
        <v>2437</v>
      </c>
      <c r="AT181">
        <v>2549</v>
      </c>
      <c r="AU181">
        <v>2514</v>
      </c>
      <c r="AV181">
        <v>12853575</v>
      </c>
      <c r="AW181">
        <v>1644</v>
      </c>
      <c r="AY181" s="24"/>
      <c r="AZ181">
        <v>396428684</v>
      </c>
      <c r="BA181">
        <v>405989849</v>
      </c>
      <c r="BB181">
        <v>400200410</v>
      </c>
      <c r="BC181">
        <v>2654</v>
      </c>
      <c r="BD181">
        <v>1763</v>
      </c>
      <c r="BF181" s="24"/>
      <c r="BG181">
        <v>25703</v>
      </c>
      <c r="BH181">
        <v>25900</v>
      </c>
      <c r="BI181">
        <v>25800</v>
      </c>
      <c r="BJ181">
        <v>2821086</v>
      </c>
      <c r="BK181">
        <v>259</v>
      </c>
      <c r="BM181" s="24"/>
      <c r="BN181">
        <v>5092007</v>
      </c>
      <c r="BO181">
        <v>5299998</v>
      </c>
      <c r="BP181">
        <v>5099009</v>
      </c>
      <c r="BQ181">
        <v>10294</v>
      </c>
      <c r="BR181">
        <v>387</v>
      </c>
      <c r="BT181" s="24"/>
      <c r="BU181">
        <v>2601</v>
      </c>
      <c r="BV181">
        <v>2667</v>
      </c>
      <c r="BW181">
        <v>2611</v>
      </c>
      <c r="BX181">
        <v>28612141</v>
      </c>
      <c r="BY181">
        <v>231</v>
      </c>
      <c r="CA181" s="24"/>
      <c r="CB181">
        <v>562</v>
      </c>
      <c r="CC181">
        <v>562</v>
      </c>
      <c r="CD181">
        <v>562</v>
      </c>
      <c r="CE181">
        <v>50345175</v>
      </c>
      <c r="CF181">
        <v>239</v>
      </c>
      <c r="CH181" s="24"/>
      <c r="CI181">
        <v>23425</v>
      </c>
      <c r="CJ181">
        <v>23425</v>
      </c>
      <c r="CK181">
        <v>23425</v>
      </c>
      <c r="CL181">
        <v>799293</v>
      </c>
      <c r="CM181">
        <v>206</v>
      </c>
      <c r="CO181" s="24"/>
      <c r="CP181">
        <v>7055</v>
      </c>
      <c r="CQ181">
        <v>7499</v>
      </c>
      <c r="CR181">
        <v>7200</v>
      </c>
      <c r="CS181">
        <v>1333043</v>
      </c>
      <c r="CT181">
        <v>483</v>
      </c>
      <c r="CV181" s="24"/>
      <c r="CW181">
        <v>1305000</v>
      </c>
      <c r="CX181">
        <v>1305001</v>
      </c>
      <c r="CY181">
        <v>1305001</v>
      </c>
      <c r="CZ181">
        <v>18333</v>
      </c>
      <c r="DA181">
        <v>44</v>
      </c>
      <c r="DC181" s="24"/>
      <c r="DD181">
        <v>534</v>
      </c>
      <c r="DE181">
        <v>559</v>
      </c>
      <c r="DF181">
        <v>558</v>
      </c>
      <c r="DG181">
        <v>38498913</v>
      </c>
      <c r="DH181">
        <v>217</v>
      </c>
      <c r="DJ181" s="24"/>
      <c r="DK181">
        <v>34001321</v>
      </c>
      <c r="DL181">
        <v>34999912</v>
      </c>
      <c r="DM181">
        <v>34001325</v>
      </c>
      <c r="DN181">
        <v>482</v>
      </c>
      <c r="DO181">
        <v>103</v>
      </c>
      <c r="DQ181" s="24"/>
      <c r="DR181">
        <v>1825225</v>
      </c>
      <c r="DS181">
        <v>1924774</v>
      </c>
      <c r="DT181">
        <v>1830002</v>
      </c>
      <c r="DU181">
        <v>8061</v>
      </c>
      <c r="DV181">
        <v>270</v>
      </c>
      <c r="DX181" s="24"/>
      <c r="DY181">
        <v>18560007</v>
      </c>
      <c r="DZ181">
        <v>19499999</v>
      </c>
      <c r="EA181">
        <v>18630000</v>
      </c>
      <c r="EB181">
        <v>527</v>
      </c>
      <c r="EC181">
        <v>95</v>
      </c>
      <c r="EE181" s="24"/>
      <c r="EF181">
        <v>131</v>
      </c>
      <c r="EG181">
        <v>137</v>
      </c>
      <c r="EH181">
        <v>134</v>
      </c>
      <c r="EI181">
        <v>135814231</v>
      </c>
      <c r="EJ181">
        <v>203</v>
      </c>
      <c r="EL181" s="24"/>
      <c r="EM181">
        <v>55702</v>
      </c>
      <c r="EN181">
        <v>56059</v>
      </c>
      <c r="EO181">
        <v>56000</v>
      </c>
      <c r="EP181">
        <v>55037</v>
      </c>
      <c r="EQ181">
        <v>856</v>
      </c>
      <c r="ES181" s="24"/>
      <c r="ET181">
        <v>371</v>
      </c>
      <c r="EU181">
        <v>381</v>
      </c>
      <c r="EV181">
        <v>379</v>
      </c>
      <c r="EW181">
        <v>50256256</v>
      </c>
      <c r="EX181">
        <v>737</v>
      </c>
      <c r="EZ181" s="24"/>
      <c r="FA181">
        <v>3435001</v>
      </c>
      <c r="FB181">
        <v>3469995</v>
      </c>
      <c r="FC181">
        <v>3469995</v>
      </c>
      <c r="FD181">
        <v>3711</v>
      </c>
      <c r="FE181">
        <v>37</v>
      </c>
      <c r="FG181" s="24"/>
      <c r="FH181">
        <v>5930</v>
      </c>
      <c r="FI181">
        <v>6213</v>
      </c>
      <c r="FJ181">
        <v>6067</v>
      </c>
      <c r="FK181">
        <v>1693692</v>
      </c>
      <c r="FL181">
        <v>469</v>
      </c>
      <c r="FN181" s="24"/>
      <c r="FO181">
        <v>18849</v>
      </c>
      <c r="FP181">
        <v>18892</v>
      </c>
      <c r="FQ181">
        <v>18892</v>
      </c>
      <c r="FR181">
        <v>194225</v>
      </c>
      <c r="FS181">
        <v>84</v>
      </c>
      <c r="FU181" s="24"/>
      <c r="FV181">
        <v>17753</v>
      </c>
      <c r="FW181">
        <v>18000</v>
      </c>
      <c r="FX181">
        <v>17785</v>
      </c>
      <c r="FY181">
        <v>349202</v>
      </c>
      <c r="FZ181">
        <v>1526</v>
      </c>
      <c r="GB181" s="24"/>
      <c r="GC181">
        <v>92206005</v>
      </c>
      <c r="GD181">
        <v>98004999</v>
      </c>
      <c r="GE181">
        <v>95520497</v>
      </c>
      <c r="GF181">
        <v>84</v>
      </c>
      <c r="GG181">
        <v>61</v>
      </c>
      <c r="GI181" s="24"/>
      <c r="GJ181">
        <v>23780000</v>
      </c>
      <c r="GK181">
        <v>23780017</v>
      </c>
      <c r="GL181">
        <v>23780015</v>
      </c>
      <c r="GM181">
        <v>517</v>
      </c>
      <c r="GN181">
        <v>77</v>
      </c>
      <c r="GP181" s="24"/>
      <c r="GQ181">
        <v>74</v>
      </c>
      <c r="GR181">
        <v>79</v>
      </c>
      <c r="GS181">
        <v>76</v>
      </c>
      <c r="GT181">
        <v>181786231</v>
      </c>
      <c r="GU181">
        <v>137</v>
      </c>
      <c r="GW181" s="24"/>
      <c r="GX181">
        <v>483</v>
      </c>
      <c r="GY181">
        <v>510</v>
      </c>
      <c r="GZ181">
        <v>489</v>
      </c>
      <c r="HA181">
        <v>47935616</v>
      </c>
      <c r="HB181">
        <v>254</v>
      </c>
      <c r="HD181" s="24"/>
      <c r="HE181">
        <v>6123</v>
      </c>
      <c r="HF181">
        <v>6241</v>
      </c>
      <c r="HG181">
        <v>6219</v>
      </c>
      <c r="HH181">
        <v>13600605</v>
      </c>
      <c r="HI181">
        <v>266</v>
      </c>
      <c r="HK181" s="24"/>
      <c r="HL181">
        <v>93000667</v>
      </c>
      <c r="HM181">
        <v>101535898</v>
      </c>
      <c r="HN181">
        <v>98000271</v>
      </c>
      <c r="HO181">
        <v>65</v>
      </c>
      <c r="HP181">
        <v>54</v>
      </c>
      <c r="HR181" s="24"/>
      <c r="HS181">
        <v>6000</v>
      </c>
      <c r="HT181">
        <v>6423</v>
      </c>
      <c r="HU181">
        <v>6347</v>
      </c>
      <c r="HV181">
        <v>761676</v>
      </c>
      <c r="HW181">
        <v>145</v>
      </c>
      <c r="HY181" s="24"/>
      <c r="HZ181">
        <v>4615</v>
      </c>
      <c r="IA181">
        <v>5184</v>
      </c>
      <c r="IB181">
        <v>4949</v>
      </c>
      <c r="IC181">
        <v>2861437</v>
      </c>
      <c r="ID181">
        <v>510</v>
      </c>
      <c r="IF181" s="24"/>
      <c r="IG181">
        <v>2820</v>
      </c>
      <c r="IH181">
        <v>2979</v>
      </c>
      <c r="II181">
        <v>2979</v>
      </c>
      <c r="IJ181">
        <v>2107277</v>
      </c>
      <c r="IK181">
        <v>129</v>
      </c>
      <c r="IM181" s="24"/>
      <c r="IN181">
        <v>93002001</v>
      </c>
      <c r="IO181">
        <v>99996100</v>
      </c>
      <c r="IP181">
        <v>96307552</v>
      </c>
      <c r="IQ181">
        <v>93</v>
      </c>
      <c r="IR181">
        <v>62</v>
      </c>
      <c r="IT181" s="24"/>
      <c r="IU181">
        <v>7906</v>
      </c>
      <c r="IV181">
        <v>8132</v>
      </c>
      <c r="IW181">
        <v>8050</v>
      </c>
      <c r="IX181">
        <v>2584377</v>
      </c>
      <c r="IY181">
        <v>202</v>
      </c>
      <c r="JA181" s="24"/>
      <c r="JB181">
        <v>92001023</v>
      </c>
      <c r="JC181">
        <v>99994998</v>
      </c>
      <c r="JD181">
        <v>96730780</v>
      </c>
      <c r="JE181">
        <v>66</v>
      </c>
      <c r="JF181">
        <v>56</v>
      </c>
      <c r="JH181" s="24"/>
      <c r="JI181">
        <v>93280457</v>
      </c>
      <c r="JJ181">
        <v>100350455</v>
      </c>
      <c r="JK181">
        <v>96437540</v>
      </c>
      <c r="JL181">
        <v>72</v>
      </c>
      <c r="JM181">
        <v>56</v>
      </c>
      <c r="JO181" s="24"/>
      <c r="JP181">
        <v>69</v>
      </c>
      <c r="JQ181">
        <v>69</v>
      </c>
      <c r="JR181">
        <v>69</v>
      </c>
      <c r="JS181">
        <v>82879457</v>
      </c>
      <c r="JT181">
        <v>88</v>
      </c>
      <c r="JV181" s="24"/>
      <c r="JW181">
        <v>63</v>
      </c>
      <c r="JX181">
        <v>64</v>
      </c>
      <c r="JY181">
        <v>64</v>
      </c>
      <c r="JZ181">
        <v>99735383</v>
      </c>
      <c r="KA181">
        <v>110</v>
      </c>
      <c r="KC181" s="24"/>
      <c r="KD181">
        <v>21</v>
      </c>
      <c r="KE181">
        <v>22</v>
      </c>
      <c r="KF181">
        <v>22</v>
      </c>
      <c r="KG181">
        <v>58569843</v>
      </c>
      <c r="KH181">
        <v>354</v>
      </c>
      <c r="KJ181" s="24"/>
      <c r="KK181">
        <v>70</v>
      </c>
      <c r="KL181">
        <v>74</v>
      </c>
      <c r="KM181">
        <v>72</v>
      </c>
      <c r="KN181">
        <v>150554652</v>
      </c>
      <c r="KO181">
        <v>146</v>
      </c>
      <c r="KQ181" s="24"/>
      <c r="KR181">
        <v>105057</v>
      </c>
      <c r="KS181">
        <v>108000</v>
      </c>
      <c r="KT181">
        <v>107751</v>
      </c>
      <c r="KU181">
        <v>63910</v>
      </c>
      <c r="KV181">
        <v>812</v>
      </c>
      <c r="KX181" s="24"/>
      <c r="KY181">
        <v>513</v>
      </c>
      <c r="KZ181">
        <v>515</v>
      </c>
      <c r="LA181">
        <v>513</v>
      </c>
      <c r="LB181">
        <v>4606532</v>
      </c>
      <c r="LC181">
        <v>173</v>
      </c>
      <c r="LE181" s="24"/>
      <c r="LF181">
        <v>186304</v>
      </c>
      <c r="LG181">
        <v>188452</v>
      </c>
      <c r="LH181">
        <v>186351</v>
      </c>
      <c r="LI181">
        <v>112628</v>
      </c>
      <c r="LJ181">
        <v>1182</v>
      </c>
      <c r="LL181" s="24"/>
      <c r="LM181">
        <v>75556</v>
      </c>
      <c r="LN181">
        <v>76002</v>
      </c>
      <c r="LO181">
        <v>75656</v>
      </c>
      <c r="LP181">
        <v>312388</v>
      </c>
      <c r="LQ181">
        <v>1598</v>
      </c>
      <c r="LS181" s="24"/>
      <c r="LT181">
        <v>546</v>
      </c>
      <c r="LU181">
        <v>597</v>
      </c>
      <c r="LV181">
        <v>579</v>
      </c>
      <c r="LW181">
        <v>144109115</v>
      </c>
      <c r="LX181">
        <v>515</v>
      </c>
      <c r="LZ181" s="24"/>
      <c r="MA181">
        <v>119507</v>
      </c>
      <c r="MB181">
        <v>121977</v>
      </c>
      <c r="MC181">
        <v>120000</v>
      </c>
      <c r="MD181">
        <v>1509737</v>
      </c>
      <c r="ME181">
        <v>124</v>
      </c>
    </row>
    <row r="182" spans="2:343" x14ac:dyDescent="0.25">
      <c r="B182" s="24"/>
      <c r="C182">
        <v>3</v>
      </c>
      <c r="D182">
        <v>3</v>
      </c>
      <c r="E182">
        <v>3</v>
      </c>
      <c r="F182">
        <v>32720255090</v>
      </c>
      <c r="G182">
        <v>3373</v>
      </c>
      <c r="I182" s="24"/>
      <c r="J182">
        <v>4</v>
      </c>
      <c r="K182">
        <v>4</v>
      </c>
      <c r="L182">
        <v>4</v>
      </c>
      <c r="M182">
        <v>5786257263</v>
      </c>
      <c r="N182">
        <v>2282</v>
      </c>
      <c r="P182" s="24"/>
      <c r="Q182">
        <v>26</v>
      </c>
      <c r="R182">
        <v>26</v>
      </c>
      <c r="S182">
        <v>26</v>
      </c>
      <c r="T182">
        <v>1689055643</v>
      </c>
      <c r="U182">
        <v>2094</v>
      </c>
      <c r="W182" s="24"/>
      <c r="X182">
        <v>67</v>
      </c>
      <c r="Y182">
        <v>67</v>
      </c>
      <c r="Z182">
        <v>67</v>
      </c>
      <c r="AA182">
        <v>355132375</v>
      </c>
      <c r="AB182">
        <v>1646</v>
      </c>
      <c r="AD182" s="24"/>
      <c r="AE182">
        <v>482</v>
      </c>
      <c r="AF182">
        <v>485</v>
      </c>
      <c r="AG182">
        <v>482</v>
      </c>
      <c r="AH182">
        <v>100236789</v>
      </c>
      <c r="AI182">
        <v>1721</v>
      </c>
      <c r="AK182" s="24"/>
      <c r="AL182">
        <v>880</v>
      </c>
      <c r="AM182">
        <v>890</v>
      </c>
      <c r="AN182">
        <v>889</v>
      </c>
      <c r="AO182">
        <v>54368972</v>
      </c>
      <c r="AP182">
        <v>1367</v>
      </c>
      <c r="AR182" s="24"/>
      <c r="AS182">
        <v>2441</v>
      </c>
      <c r="AT182">
        <v>2479</v>
      </c>
      <c r="AU182">
        <v>2442</v>
      </c>
      <c r="AV182">
        <v>12412668</v>
      </c>
      <c r="AW182">
        <v>1370</v>
      </c>
      <c r="AY182" s="24"/>
      <c r="AZ182">
        <v>406487200</v>
      </c>
      <c r="BA182">
        <v>413999939</v>
      </c>
      <c r="BB182">
        <v>407106173</v>
      </c>
      <c r="BC182">
        <v>2260</v>
      </c>
      <c r="BD182">
        <v>1533</v>
      </c>
      <c r="BF182" s="24"/>
      <c r="BG182">
        <v>25051</v>
      </c>
      <c r="BH182">
        <v>25703</v>
      </c>
      <c r="BI182">
        <v>25100</v>
      </c>
      <c r="BJ182">
        <v>3618443</v>
      </c>
      <c r="BK182">
        <v>270</v>
      </c>
      <c r="BM182" s="24"/>
      <c r="BN182">
        <v>5200000</v>
      </c>
      <c r="BO182">
        <v>5388999</v>
      </c>
      <c r="BP182">
        <v>5250000</v>
      </c>
      <c r="BQ182">
        <v>10171</v>
      </c>
      <c r="BR182">
        <v>314</v>
      </c>
      <c r="BT182" s="24"/>
      <c r="BU182">
        <v>2592</v>
      </c>
      <c r="BV182">
        <v>2664</v>
      </c>
      <c r="BW182">
        <v>2662</v>
      </c>
      <c r="BX182">
        <v>16848532</v>
      </c>
      <c r="BY182">
        <v>209</v>
      </c>
      <c r="CA182" s="24"/>
      <c r="CB182">
        <v>538</v>
      </c>
      <c r="CC182">
        <v>560</v>
      </c>
      <c r="CD182">
        <v>556</v>
      </c>
      <c r="CE182">
        <v>63019170</v>
      </c>
      <c r="CF182">
        <v>251</v>
      </c>
      <c r="CH182" s="24"/>
      <c r="CI182">
        <v>23700</v>
      </c>
      <c r="CJ182">
        <v>23700</v>
      </c>
      <c r="CK182">
        <v>23700</v>
      </c>
      <c r="CL182">
        <v>570035</v>
      </c>
      <c r="CM182">
        <v>188</v>
      </c>
      <c r="CO182" s="24"/>
      <c r="CP182">
        <v>6963</v>
      </c>
      <c r="CQ182">
        <v>7387</v>
      </c>
      <c r="CR182">
        <v>7299</v>
      </c>
      <c r="CS182">
        <v>1286337</v>
      </c>
      <c r="CT182">
        <v>447</v>
      </c>
      <c r="CV182" s="24"/>
      <c r="CW182">
        <v>1317999</v>
      </c>
      <c r="CX182">
        <v>1317999</v>
      </c>
      <c r="CY182">
        <v>1317999</v>
      </c>
      <c r="CZ182">
        <v>12751</v>
      </c>
      <c r="DA182">
        <v>43</v>
      </c>
      <c r="DC182" s="24"/>
      <c r="DD182">
        <v>535</v>
      </c>
      <c r="DE182">
        <v>564</v>
      </c>
      <c r="DF182">
        <v>559</v>
      </c>
      <c r="DG182">
        <v>42738933</v>
      </c>
      <c r="DH182">
        <v>203</v>
      </c>
      <c r="DJ182" s="24"/>
      <c r="DK182">
        <v>34001306</v>
      </c>
      <c r="DL182">
        <v>35099000</v>
      </c>
      <c r="DM182">
        <v>34001306</v>
      </c>
      <c r="DN182">
        <v>203</v>
      </c>
      <c r="DO182">
        <v>71</v>
      </c>
      <c r="DQ182" s="24"/>
      <c r="DR182">
        <v>1721809</v>
      </c>
      <c r="DS182">
        <v>1950000</v>
      </c>
      <c r="DT182">
        <v>1800000</v>
      </c>
      <c r="DU182">
        <v>4257</v>
      </c>
      <c r="DV182">
        <v>165</v>
      </c>
      <c r="DX182" s="24"/>
      <c r="DY182">
        <v>18630020</v>
      </c>
      <c r="DZ182">
        <v>19590000</v>
      </c>
      <c r="EA182">
        <v>18669999</v>
      </c>
      <c r="EB182">
        <v>337</v>
      </c>
      <c r="EC182">
        <v>84</v>
      </c>
      <c r="EE182" s="24"/>
      <c r="EF182">
        <v>127</v>
      </c>
      <c r="EG182">
        <v>131</v>
      </c>
      <c r="EH182">
        <v>129</v>
      </c>
      <c r="EI182">
        <v>114473382</v>
      </c>
      <c r="EJ182">
        <v>188</v>
      </c>
      <c r="EL182" s="24"/>
      <c r="EM182">
        <v>56040</v>
      </c>
      <c r="EN182">
        <v>57000</v>
      </c>
      <c r="EO182">
        <v>56046</v>
      </c>
      <c r="EP182">
        <v>97993</v>
      </c>
      <c r="EQ182">
        <v>763</v>
      </c>
      <c r="ES182" s="24"/>
      <c r="ET182">
        <v>333</v>
      </c>
      <c r="EU182">
        <v>375</v>
      </c>
      <c r="EV182">
        <v>369</v>
      </c>
      <c r="EW182">
        <v>44886245</v>
      </c>
      <c r="EX182">
        <v>678</v>
      </c>
      <c r="EZ182" s="24"/>
      <c r="FA182">
        <v>3833009</v>
      </c>
      <c r="FB182">
        <v>3833009</v>
      </c>
      <c r="FC182">
        <v>3833009</v>
      </c>
      <c r="FD182">
        <v>682</v>
      </c>
      <c r="FE182">
        <v>15</v>
      </c>
      <c r="FG182" s="24"/>
      <c r="FH182">
        <v>6097</v>
      </c>
      <c r="FI182">
        <v>6158</v>
      </c>
      <c r="FJ182">
        <v>6156</v>
      </c>
      <c r="FK182">
        <v>1501907</v>
      </c>
      <c r="FL182">
        <v>454</v>
      </c>
      <c r="FN182" s="24"/>
      <c r="FO182">
        <v>18843</v>
      </c>
      <c r="FP182">
        <v>18849</v>
      </c>
      <c r="FQ182">
        <v>18849</v>
      </c>
      <c r="FR182">
        <v>90879</v>
      </c>
      <c r="FS182">
        <v>65</v>
      </c>
      <c r="FU182" s="24"/>
      <c r="FV182">
        <v>17759</v>
      </c>
      <c r="FW182">
        <v>17900</v>
      </c>
      <c r="FX182">
        <v>17815</v>
      </c>
      <c r="FY182">
        <v>376328</v>
      </c>
      <c r="FZ182">
        <v>1396</v>
      </c>
      <c r="GB182" s="24"/>
      <c r="GC182">
        <v>92206018</v>
      </c>
      <c r="GD182">
        <v>98001999</v>
      </c>
      <c r="GE182">
        <v>95269572</v>
      </c>
      <c r="GF182">
        <v>88</v>
      </c>
      <c r="GG182">
        <v>56</v>
      </c>
      <c r="GI182" s="24"/>
      <c r="GJ182">
        <v>23603400</v>
      </c>
      <c r="GK182">
        <v>24979999</v>
      </c>
      <c r="GL182">
        <v>24899997</v>
      </c>
      <c r="GM182">
        <v>396</v>
      </c>
      <c r="GN182">
        <v>83</v>
      </c>
      <c r="GP182" s="24"/>
      <c r="GQ182">
        <v>79</v>
      </c>
      <c r="GR182">
        <v>79</v>
      </c>
      <c r="GS182">
        <v>79</v>
      </c>
      <c r="GT182">
        <v>128364866</v>
      </c>
      <c r="GU182">
        <v>129</v>
      </c>
      <c r="GW182" s="24"/>
      <c r="GX182">
        <v>482</v>
      </c>
      <c r="GY182">
        <v>499</v>
      </c>
      <c r="GZ182">
        <v>489</v>
      </c>
      <c r="HA182">
        <v>43255220</v>
      </c>
      <c r="HB182">
        <v>245</v>
      </c>
      <c r="HD182" s="24"/>
      <c r="HE182">
        <v>6061</v>
      </c>
      <c r="HF182">
        <v>6199</v>
      </c>
      <c r="HG182">
        <v>6189</v>
      </c>
      <c r="HH182">
        <v>11953693</v>
      </c>
      <c r="HI182">
        <v>247</v>
      </c>
      <c r="HK182" s="24"/>
      <c r="HL182">
        <v>93107327</v>
      </c>
      <c r="HM182">
        <v>101532998</v>
      </c>
      <c r="HN182">
        <v>97329972</v>
      </c>
      <c r="HO182">
        <v>85</v>
      </c>
      <c r="HP182">
        <v>62</v>
      </c>
      <c r="HR182" s="24"/>
      <c r="HS182">
        <v>6301</v>
      </c>
      <c r="HT182">
        <v>6639</v>
      </c>
      <c r="HU182">
        <v>6301</v>
      </c>
      <c r="HV182">
        <v>590219</v>
      </c>
      <c r="HW182">
        <v>153</v>
      </c>
      <c r="HY182" s="24"/>
      <c r="HZ182">
        <v>4720</v>
      </c>
      <c r="IA182">
        <v>4979</v>
      </c>
      <c r="IB182">
        <v>4970</v>
      </c>
      <c r="IC182">
        <v>1793447</v>
      </c>
      <c r="ID182">
        <v>423</v>
      </c>
      <c r="IF182" s="24"/>
      <c r="IG182">
        <v>2796</v>
      </c>
      <c r="IH182">
        <v>2900</v>
      </c>
      <c r="II182">
        <v>2879</v>
      </c>
      <c r="IJ182">
        <v>1831492</v>
      </c>
      <c r="IK182">
        <v>160</v>
      </c>
      <c r="IM182" s="24"/>
      <c r="IN182">
        <v>93016000</v>
      </c>
      <c r="IO182">
        <v>99794884</v>
      </c>
      <c r="IP182">
        <v>94798531</v>
      </c>
      <c r="IQ182">
        <v>88</v>
      </c>
      <c r="IR182">
        <v>55</v>
      </c>
      <c r="IT182" s="24"/>
      <c r="IU182">
        <v>7856</v>
      </c>
      <c r="IV182">
        <v>8132</v>
      </c>
      <c r="IW182">
        <v>8132</v>
      </c>
      <c r="IX182">
        <v>1304004</v>
      </c>
      <c r="IY182">
        <v>143</v>
      </c>
      <c r="JA182" s="24"/>
      <c r="JB182">
        <v>92011046</v>
      </c>
      <c r="JC182">
        <v>99913999</v>
      </c>
      <c r="JD182">
        <v>95538028</v>
      </c>
      <c r="JE182">
        <v>72</v>
      </c>
      <c r="JF182">
        <v>60</v>
      </c>
      <c r="JH182" s="24"/>
      <c r="JI182">
        <v>93283066</v>
      </c>
      <c r="JJ182">
        <v>99999992</v>
      </c>
      <c r="JK182">
        <v>96183782</v>
      </c>
      <c r="JL182">
        <v>65</v>
      </c>
      <c r="JM182">
        <v>47</v>
      </c>
      <c r="JO182" s="24"/>
      <c r="JP182">
        <v>69</v>
      </c>
      <c r="JQ182">
        <v>69</v>
      </c>
      <c r="JR182">
        <v>69</v>
      </c>
      <c r="JS182">
        <v>98962976</v>
      </c>
      <c r="JT182">
        <v>99</v>
      </c>
      <c r="JV182" s="24"/>
      <c r="JW182">
        <v>62</v>
      </c>
      <c r="JX182">
        <v>64</v>
      </c>
      <c r="JY182">
        <v>63</v>
      </c>
      <c r="JZ182">
        <v>134279661</v>
      </c>
      <c r="KA182">
        <v>116</v>
      </c>
      <c r="KC182" s="24"/>
      <c r="KD182">
        <v>21</v>
      </c>
      <c r="KE182">
        <v>22</v>
      </c>
      <c r="KF182">
        <v>22</v>
      </c>
      <c r="KG182">
        <v>54726183</v>
      </c>
      <c r="KH182">
        <v>328</v>
      </c>
      <c r="KJ182" s="24"/>
      <c r="KK182">
        <v>69</v>
      </c>
      <c r="KL182">
        <v>73</v>
      </c>
      <c r="KM182">
        <v>69</v>
      </c>
      <c r="KN182">
        <v>107864991</v>
      </c>
      <c r="KO182">
        <v>118</v>
      </c>
      <c r="KQ182" s="24"/>
      <c r="KR182">
        <v>108053</v>
      </c>
      <c r="KS182">
        <v>109500</v>
      </c>
      <c r="KT182">
        <v>108055</v>
      </c>
      <c r="KU182">
        <v>62235</v>
      </c>
      <c r="KV182">
        <v>739</v>
      </c>
      <c r="KX182" s="24"/>
      <c r="KY182">
        <v>485</v>
      </c>
      <c r="KZ182">
        <v>495</v>
      </c>
      <c r="LA182">
        <v>485</v>
      </c>
      <c r="LB182">
        <v>7639413</v>
      </c>
      <c r="LC182">
        <v>178</v>
      </c>
      <c r="LE182" s="24"/>
      <c r="LF182">
        <v>186353</v>
      </c>
      <c r="LG182">
        <v>187805</v>
      </c>
      <c r="LH182">
        <v>186400</v>
      </c>
      <c r="LI182">
        <v>151414</v>
      </c>
      <c r="LJ182">
        <v>1051</v>
      </c>
      <c r="LL182" s="24"/>
      <c r="LM182">
        <v>75657</v>
      </c>
      <c r="LN182">
        <v>76700</v>
      </c>
      <c r="LO182">
        <v>76501</v>
      </c>
      <c r="LP182">
        <v>378338</v>
      </c>
      <c r="LQ182">
        <v>1404</v>
      </c>
      <c r="LS182" s="24"/>
      <c r="LT182">
        <v>544</v>
      </c>
      <c r="LU182">
        <v>573</v>
      </c>
      <c r="LV182">
        <v>568</v>
      </c>
      <c r="LW182">
        <v>102800058</v>
      </c>
      <c r="LX182">
        <v>457</v>
      </c>
      <c r="LZ182" s="24"/>
      <c r="MA182">
        <v>118500</v>
      </c>
      <c r="MB182">
        <v>120500</v>
      </c>
      <c r="MC182">
        <v>119998</v>
      </c>
      <c r="MD182">
        <v>984501</v>
      </c>
      <c r="ME182">
        <v>98</v>
      </c>
    </row>
    <row r="183" spans="2:343" x14ac:dyDescent="0.25">
      <c r="B183" s="24"/>
      <c r="C183">
        <v>3</v>
      </c>
      <c r="D183">
        <v>3</v>
      </c>
      <c r="E183">
        <v>3</v>
      </c>
      <c r="F183">
        <v>13152597777</v>
      </c>
      <c r="G183">
        <v>1727</v>
      </c>
      <c r="I183" s="24"/>
      <c r="J183">
        <v>4</v>
      </c>
      <c r="K183">
        <v>4</v>
      </c>
      <c r="L183">
        <v>4</v>
      </c>
      <c r="M183">
        <v>2601415327</v>
      </c>
      <c r="N183">
        <v>1211</v>
      </c>
      <c r="P183" s="24"/>
      <c r="Q183">
        <v>26</v>
      </c>
      <c r="R183">
        <v>27</v>
      </c>
      <c r="S183">
        <v>27</v>
      </c>
      <c r="T183">
        <v>682380795</v>
      </c>
      <c r="U183">
        <v>1090</v>
      </c>
      <c r="W183" s="24"/>
      <c r="X183">
        <v>67</v>
      </c>
      <c r="Y183">
        <v>67</v>
      </c>
      <c r="Z183">
        <v>67</v>
      </c>
      <c r="AA183">
        <v>145341310</v>
      </c>
      <c r="AB183">
        <v>840</v>
      </c>
      <c r="AD183" s="24"/>
      <c r="AE183">
        <v>481</v>
      </c>
      <c r="AF183">
        <v>486</v>
      </c>
      <c r="AG183">
        <v>482</v>
      </c>
      <c r="AH183">
        <v>43796847</v>
      </c>
      <c r="AI183">
        <v>918</v>
      </c>
      <c r="AK183" s="24"/>
      <c r="AL183">
        <v>875</v>
      </c>
      <c r="AM183">
        <v>875</v>
      </c>
      <c r="AN183">
        <v>875</v>
      </c>
      <c r="AO183">
        <v>29398243</v>
      </c>
      <c r="AP183">
        <v>768</v>
      </c>
      <c r="AR183" s="24"/>
      <c r="AS183">
        <v>2420</v>
      </c>
      <c r="AT183">
        <v>2469</v>
      </c>
      <c r="AU183">
        <v>2439</v>
      </c>
      <c r="AV183">
        <v>8149392</v>
      </c>
      <c r="AW183">
        <v>762</v>
      </c>
      <c r="AY183" s="24"/>
      <c r="AZ183">
        <v>405503080</v>
      </c>
      <c r="BA183">
        <v>413989999</v>
      </c>
      <c r="BB183">
        <v>411000000</v>
      </c>
      <c r="BC183">
        <v>1743</v>
      </c>
      <c r="BD183">
        <v>1183</v>
      </c>
      <c r="BF183" s="24"/>
      <c r="BG183">
        <v>25100</v>
      </c>
      <c r="BH183">
        <v>25550</v>
      </c>
      <c r="BI183">
        <v>25200</v>
      </c>
      <c r="BJ183">
        <v>2077972</v>
      </c>
      <c r="BK183">
        <v>121</v>
      </c>
      <c r="BM183" s="24"/>
      <c r="BN183">
        <v>5250001</v>
      </c>
      <c r="BO183">
        <v>5439998</v>
      </c>
      <c r="BP183">
        <v>5300004</v>
      </c>
      <c r="BQ183">
        <v>5536</v>
      </c>
      <c r="BR183">
        <v>186</v>
      </c>
      <c r="BT183" s="24"/>
      <c r="BU183">
        <v>1999</v>
      </c>
      <c r="BV183">
        <v>2661</v>
      </c>
      <c r="BW183">
        <v>2585</v>
      </c>
      <c r="BX183">
        <v>16876681</v>
      </c>
      <c r="BY183">
        <v>144</v>
      </c>
      <c r="CA183" s="24"/>
      <c r="CB183">
        <v>555</v>
      </c>
      <c r="CC183">
        <v>556</v>
      </c>
      <c r="CD183">
        <v>555</v>
      </c>
      <c r="CE183">
        <v>19069379</v>
      </c>
      <c r="CF183">
        <v>123</v>
      </c>
      <c r="CH183" s="24"/>
      <c r="CI183">
        <v>23700</v>
      </c>
      <c r="CJ183">
        <v>23700</v>
      </c>
      <c r="CK183">
        <v>23700</v>
      </c>
      <c r="CL183">
        <v>504510</v>
      </c>
      <c r="CM183">
        <v>89</v>
      </c>
      <c r="CO183" s="24"/>
      <c r="CP183">
        <v>6975</v>
      </c>
      <c r="CQ183">
        <v>7489</v>
      </c>
      <c r="CR183">
        <v>7449</v>
      </c>
      <c r="CS183">
        <v>447304</v>
      </c>
      <c r="CT183">
        <v>202</v>
      </c>
      <c r="CV183" s="24"/>
      <c r="CW183">
        <v>1319977</v>
      </c>
      <c r="CX183">
        <v>1319977</v>
      </c>
      <c r="CY183">
        <v>1319977</v>
      </c>
      <c r="CZ183">
        <v>3736</v>
      </c>
      <c r="DA183">
        <v>20</v>
      </c>
      <c r="DC183" s="24"/>
      <c r="DD183">
        <v>531</v>
      </c>
      <c r="DE183">
        <v>559</v>
      </c>
      <c r="DF183">
        <v>535</v>
      </c>
      <c r="DG183">
        <v>18738803</v>
      </c>
      <c r="DH183">
        <v>96</v>
      </c>
      <c r="DJ183" s="24"/>
      <c r="DK183">
        <v>31705305</v>
      </c>
      <c r="DL183">
        <v>35400000</v>
      </c>
      <c r="DM183">
        <v>31705306</v>
      </c>
      <c r="DN183">
        <v>178</v>
      </c>
      <c r="DO183">
        <v>36</v>
      </c>
      <c r="DQ183" s="24"/>
      <c r="DR183">
        <v>1800002</v>
      </c>
      <c r="DS183">
        <v>1899999</v>
      </c>
      <c r="DT183">
        <v>1850003</v>
      </c>
      <c r="DU183">
        <v>3777</v>
      </c>
      <c r="DV183">
        <v>111</v>
      </c>
      <c r="DX183" s="24"/>
      <c r="DY183">
        <v>18730016</v>
      </c>
      <c r="DZ183">
        <v>19999999</v>
      </c>
      <c r="EA183">
        <v>18860015</v>
      </c>
      <c r="EB183">
        <v>238</v>
      </c>
      <c r="EC183">
        <v>40</v>
      </c>
      <c r="EE183" s="24"/>
      <c r="EF183">
        <v>133</v>
      </c>
      <c r="EG183">
        <v>135</v>
      </c>
      <c r="EH183">
        <v>133</v>
      </c>
      <c r="EI183">
        <v>72471390</v>
      </c>
      <c r="EJ183">
        <v>94</v>
      </c>
      <c r="EL183" s="24"/>
      <c r="EM183">
        <v>57001</v>
      </c>
      <c r="EN183">
        <v>57500</v>
      </c>
      <c r="EO183">
        <v>57003</v>
      </c>
      <c r="EP183">
        <v>37245</v>
      </c>
      <c r="EQ183">
        <v>350</v>
      </c>
      <c r="ES183" s="24"/>
      <c r="ET183">
        <v>346</v>
      </c>
      <c r="EU183">
        <v>372</v>
      </c>
      <c r="EV183">
        <v>372</v>
      </c>
      <c r="EW183">
        <v>14392533</v>
      </c>
      <c r="EX183">
        <v>319</v>
      </c>
      <c r="EZ183" s="24"/>
      <c r="FA183">
        <v>3500000</v>
      </c>
      <c r="FB183">
        <v>3500000</v>
      </c>
      <c r="FC183">
        <v>3500000</v>
      </c>
      <c r="FD183">
        <v>466</v>
      </c>
      <c r="FE183">
        <v>11</v>
      </c>
      <c r="FG183" s="24"/>
      <c r="FH183">
        <v>6100</v>
      </c>
      <c r="FI183">
        <v>6155</v>
      </c>
      <c r="FJ183">
        <v>6155</v>
      </c>
      <c r="FK183">
        <v>937847</v>
      </c>
      <c r="FL183">
        <v>249</v>
      </c>
      <c r="FN183" s="24"/>
      <c r="FO183">
        <v>18050</v>
      </c>
      <c r="FP183">
        <v>18843</v>
      </c>
      <c r="FQ183">
        <v>18050</v>
      </c>
      <c r="FR183">
        <v>70410</v>
      </c>
      <c r="FS183">
        <v>35</v>
      </c>
      <c r="FU183" s="24"/>
      <c r="FV183">
        <v>17852</v>
      </c>
      <c r="FW183">
        <v>17853</v>
      </c>
      <c r="FX183">
        <v>17853</v>
      </c>
      <c r="FY183">
        <v>157191</v>
      </c>
      <c r="FZ183">
        <v>649</v>
      </c>
      <c r="GB183" s="24"/>
      <c r="GC183">
        <v>92206020</v>
      </c>
      <c r="GD183">
        <v>97998997</v>
      </c>
      <c r="GE183">
        <v>92208000</v>
      </c>
      <c r="GF183">
        <v>136</v>
      </c>
      <c r="GG183">
        <v>79</v>
      </c>
      <c r="GI183" s="24"/>
      <c r="GJ183">
        <v>23903403</v>
      </c>
      <c r="GK183">
        <v>25197999</v>
      </c>
      <c r="GL183">
        <v>23903406</v>
      </c>
      <c r="GM183">
        <v>295</v>
      </c>
      <c r="GN183">
        <v>44</v>
      </c>
      <c r="GP183" s="24"/>
      <c r="GQ183">
        <v>76</v>
      </c>
      <c r="GR183">
        <v>79</v>
      </c>
      <c r="GS183">
        <v>79</v>
      </c>
      <c r="GT183">
        <v>42649056</v>
      </c>
      <c r="GU183">
        <v>43</v>
      </c>
      <c r="GW183" s="24"/>
      <c r="GX183">
        <v>473</v>
      </c>
      <c r="GY183">
        <v>484</v>
      </c>
      <c r="GZ183">
        <v>481</v>
      </c>
      <c r="HA183">
        <v>21325158</v>
      </c>
      <c r="HB183">
        <v>140</v>
      </c>
      <c r="HD183" s="24"/>
      <c r="HE183">
        <v>6080</v>
      </c>
      <c r="HF183">
        <v>6155</v>
      </c>
      <c r="HG183">
        <v>6090</v>
      </c>
      <c r="HH183">
        <v>7228346</v>
      </c>
      <c r="HI183">
        <v>162</v>
      </c>
      <c r="HK183" s="24"/>
      <c r="HL183">
        <v>93113000</v>
      </c>
      <c r="HM183">
        <v>101529000</v>
      </c>
      <c r="HN183">
        <v>96428451</v>
      </c>
      <c r="HO183">
        <v>71</v>
      </c>
      <c r="HP183">
        <v>45</v>
      </c>
      <c r="HR183" s="24"/>
      <c r="HS183">
        <v>6301</v>
      </c>
      <c r="HT183">
        <v>6899</v>
      </c>
      <c r="HU183">
        <v>6479</v>
      </c>
      <c r="HV183">
        <v>351244</v>
      </c>
      <c r="HW183">
        <v>98</v>
      </c>
      <c r="HY183" s="24"/>
      <c r="HZ183">
        <v>4889</v>
      </c>
      <c r="IA183">
        <v>4969</v>
      </c>
      <c r="IB183">
        <v>4948</v>
      </c>
      <c r="IC183">
        <v>725339</v>
      </c>
      <c r="ID183">
        <v>213</v>
      </c>
      <c r="IF183" s="24"/>
      <c r="IG183">
        <v>2798</v>
      </c>
      <c r="IH183">
        <v>2868</v>
      </c>
      <c r="II183">
        <v>2868</v>
      </c>
      <c r="IJ183">
        <v>1017276</v>
      </c>
      <c r="IK183">
        <v>79</v>
      </c>
      <c r="IM183" s="24"/>
      <c r="IN183">
        <v>93019000</v>
      </c>
      <c r="IO183">
        <v>99014995</v>
      </c>
      <c r="IP183">
        <v>93020000</v>
      </c>
      <c r="IQ183">
        <v>104</v>
      </c>
      <c r="IR183">
        <v>57</v>
      </c>
      <c r="IT183" s="24"/>
      <c r="IU183">
        <v>8099</v>
      </c>
      <c r="IV183">
        <v>8131</v>
      </c>
      <c r="IW183">
        <v>8130</v>
      </c>
      <c r="IX183">
        <v>517837</v>
      </c>
      <c r="IY183">
        <v>53</v>
      </c>
      <c r="JA183" s="24"/>
      <c r="JB183">
        <v>92013000</v>
      </c>
      <c r="JC183">
        <v>99910999</v>
      </c>
      <c r="JD183">
        <v>95194533</v>
      </c>
      <c r="JE183">
        <v>72</v>
      </c>
      <c r="JF183">
        <v>41</v>
      </c>
      <c r="JH183" s="24"/>
      <c r="JI183">
        <v>93283080</v>
      </c>
      <c r="JJ183">
        <v>100473899</v>
      </c>
      <c r="JK183">
        <v>94199627</v>
      </c>
      <c r="JL183">
        <v>94</v>
      </c>
      <c r="JM183">
        <v>58</v>
      </c>
      <c r="JO183" s="24"/>
      <c r="JP183">
        <v>67</v>
      </c>
      <c r="JQ183">
        <v>69</v>
      </c>
      <c r="JR183">
        <v>69</v>
      </c>
      <c r="JS183">
        <v>94907116</v>
      </c>
      <c r="JT183">
        <v>54</v>
      </c>
      <c r="JV183" s="24"/>
      <c r="JW183">
        <v>64</v>
      </c>
      <c r="JX183">
        <v>64</v>
      </c>
      <c r="JY183">
        <v>64</v>
      </c>
      <c r="JZ183">
        <v>39250176</v>
      </c>
      <c r="KA183">
        <v>52</v>
      </c>
      <c r="KC183" s="24"/>
      <c r="KD183">
        <v>22</v>
      </c>
      <c r="KE183">
        <v>23</v>
      </c>
      <c r="KF183">
        <v>23</v>
      </c>
      <c r="KG183">
        <v>21634628</v>
      </c>
      <c r="KH183">
        <v>156</v>
      </c>
      <c r="KJ183" s="24"/>
      <c r="KK183">
        <v>69</v>
      </c>
      <c r="KL183">
        <v>73</v>
      </c>
      <c r="KM183">
        <v>73</v>
      </c>
      <c r="KN183">
        <v>39807323</v>
      </c>
      <c r="KO183">
        <v>52</v>
      </c>
      <c r="KQ183" s="24"/>
      <c r="KR183">
        <v>108055</v>
      </c>
      <c r="KS183">
        <v>110009</v>
      </c>
      <c r="KT183">
        <v>108057</v>
      </c>
      <c r="KU183">
        <v>23778</v>
      </c>
      <c r="KV183">
        <v>341</v>
      </c>
      <c r="KX183" s="24"/>
      <c r="KY183">
        <v>493</v>
      </c>
      <c r="KZ183">
        <v>494</v>
      </c>
      <c r="LA183">
        <v>494</v>
      </c>
      <c r="LB183">
        <v>2672274</v>
      </c>
      <c r="LC183">
        <v>88</v>
      </c>
      <c r="LE183" s="24"/>
      <c r="LF183">
        <v>187805</v>
      </c>
      <c r="LG183">
        <v>192999</v>
      </c>
      <c r="LH183">
        <v>187809</v>
      </c>
      <c r="LI183">
        <v>63152</v>
      </c>
      <c r="LJ183">
        <v>503</v>
      </c>
      <c r="LL183" s="24"/>
      <c r="LM183">
        <v>76501</v>
      </c>
      <c r="LN183">
        <v>76501</v>
      </c>
      <c r="LO183">
        <v>76501</v>
      </c>
      <c r="LP183">
        <v>201716</v>
      </c>
      <c r="LQ183">
        <v>699</v>
      </c>
      <c r="LS183" s="24"/>
      <c r="LT183">
        <v>547</v>
      </c>
      <c r="LU183">
        <v>586</v>
      </c>
      <c r="LV183">
        <v>586</v>
      </c>
      <c r="LW183">
        <v>39574160</v>
      </c>
      <c r="LX183">
        <v>220</v>
      </c>
      <c r="LZ183" s="24"/>
      <c r="MA183">
        <v>115775</v>
      </c>
      <c r="MB183">
        <v>122992</v>
      </c>
      <c r="MC183">
        <v>122992</v>
      </c>
      <c r="MD183">
        <v>361239</v>
      </c>
      <c r="ME183">
        <v>39</v>
      </c>
    </row>
    <row r="184" spans="2:343" x14ac:dyDescent="0.25">
      <c r="B184" s="24"/>
      <c r="C184">
        <v>3</v>
      </c>
      <c r="D184">
        <v>3</v>
      </c>
      <c r="E184">
        <v>3</v>
      </c>
      <c r="F184">
        <v>21537552147</v>
      </c>
      <c r="G184">
        <v>3029</v>
      </c>
      <c r="I184" s="24"/>
      <c r="J184">
        <v>4</v>
      </c>
      <c r="K184">
        <v>4</v>
      </c>
      <c r="L184">
        <v>4</v>
      </c>
      <c r="M184">
        <v>3639093949</v>
      </c>
      <c r="N184">
        <v>2070</v>
      </c>
      <c r="P184" s="24"/>
      <c r="Q184">
        <v>26</v>
      </c>
      <c r="R184">
        <v>27</v>
      </c>
      <c r="S184">
        <v>27</v>
      </c>
      <c r="T184">
        <v>1422174870</v>
      </c>
      <c r="U184">
        <v>1874</v>
      </c>
      <c r="W184" s="24"/>
      <c r="X184">
        <v>65</v>
      </c>
      <c r="Y184">
        <v>67</v>
      </c>
      <c r="Z184">
        <v>66</v>
      </c>
      <c r="AA184">
        <v>344280813</v>
      </c>
      <c r="AB184">
        <v>1556</v>
      </c>
      <c r="AD184" s="24"/>
      <c r="AE184">
        <v>475</v>
      </c>
      <c r="AF184">
        <v>482</v>
      </c>
      <c r="AG184">
        <v>478</v>
      </c>
      <c r="AH184">
        <v>76887387</v>
      </c>
      <c r="AI184">
        <v>1582</v>
      </c>
      <c r="AK184" s="24"/>
      <c r="AL184">
        <v>874</v>
      </c>
      <c r="AM184">
        <v>884</v>
      </c>
      <c r="AN184">
        <v>875</v>
      </c>
      <c r="AO184">
        <v>39143194</v>
      </c>
      <c r="AP184">
        <v>1264</v>
      </c>
      <c r="AR184" s="24"/>
      <c r="AS184">
        <v>2375</v>
      </c>
      <c r="AT184">
        <v>2469</v>
      </c>
      <c r="AU184">
        <v>2422</v>
      </c>
      <c r="AV184">
        <v>10181723</v>
      </c>
      <c r="AW184">
        <v>1283</v>
      </c>
      <c r="AY184" s="24"/>
      <c r="AZ184">
        <v>403260001</v>
      </c>
      <c r="BA184">
        <v>410800000</v>
      </c>
      <c r="BB184">
        <v>405999999</v>
      </c>
      <c r="BC184">
        <v>3005</v>
      </c>
      <c r="BD184">
        <v>1874</v>
      </c>
      <c r="BF184" s="24"/>
      <c r="BG184">
        <v>25500</v>
      </c>
      <c r="BH184">
        <v>25510</v>
      </c>
      <c r="BI184">
        <v>25510</v>
      </c>
      <c r="BJ184">
        <v>3851481</v>
      </c>
      <c r="BK184">
        <v>241</v>
      </c>
      <c r="BM184" s="24"/>
      <c r="BN184">
        <v>5400005</v>
      </c>
      <c r="BO184">
        <v>5400008</v>
      </c>
      <c r="BP184">
        <v>5400006</v>
      </c>
      <c r="BQ184">
        <v>9988</v>
      </c>
      <c r="BR184">
        <v>259</v>
      </c>
      <c r="BT184" s="24"/>
      <c r="BU184">
        <v>2571</v>
      </c>
      <c r="BV184">
        <v>2644</v>
      </c>
      <c r="BW184">
        <v>2640</v>
      </c>
      <c r="BX184">
        <v>15485950</v>
      </c>
      <c r="BY184">
        <v>215</v>
      </c>
      <c r="CA184" s="24"/>
      <c r="CB184">
        <v>556</v>
      </c>
      <c r="CC184">
        <v>556</v>
      </c>
      <c r="CD184">
        <v>556</v>
      </c>
      <c r="CE184">
        <v>65821431</v>
      </c>
      <c r="CF184">
        <v>292</v>
      </c>
      <c r="CH184" s="24"/>
      <c r="CI184">
        <v>23424</v>
      </c>
      <c r="CJ184">
        <v>23700</v>
      </c>
      <c r="CK184">
        <v>23700</v>
      </c>
      <c r="CL184">
        <v>1388194</v>
      </c>
      <c r="CM184">
        <v>179</v>
      </c>
      <c r="CO184" s="24"/>
      <c r="CP184">
        <v>6980</v>
      </c>
      <c r="CQ184">
        <v>7484</v>
      </c>
      <c r="CR184">
        <v>7479</v>
      </c>
      <c r="CS184">
        <v>826272</v>
      </c>
      <c r="CT184">
        <v>390</v>
      </c>
      <c r="CV184" s="24"/>
      <c r="CW184">
        <v>1301000</v>
      </c>
      <c r="CX184">
        <v>1334499</v>
      </c>
      <c r="CY184">
        <v>1320001</v>
      </c>
      <c r="CZ184">
        <v>10584</v>
      </c>
      <c r="DA184">
        <v>44</v>
      </c>
      <c r="DC184" s="24"/>
      <c r="DD184">
        <v>545</v>
      </c>
      <c r="DE184">
        <v>559</v>
      </c>
      <c r="DF184">
        <v>549</v>
      </c>
      <c r="DG184">
        <v>22559742</v>
      </c>
      <c r="DH184">
        <v>168</v>
      </c>
      <c r="DJ184" s="24"/>
      <c r="DK184">
        <v>31995306</v>
      </c>
      <c r="DL184">
        <v>32595390</v>
      </c>
      <c r="DM184">
        <v>32595364</v>
      </c>
      <c r="DN184">
        <v>147</v>
      </c>
      <c r="DO184">
        <v>47</v>
      </c>
      <c r="DQ184" s="24"/>
      <c r="DR184">
        <v>1801820</v>
      </c>
      <c r="DS184">
        <v>1850008</v>
      </c>
      <c r="DT184">
        <v>1850000</v>
      </c>
      <c r="DU184">
        <v>4722</v>
      </c>
      <c r="DV184">
        <v>179</v>
      </c>
      <c r="DX184" s="24"/>
      <c r="DY184">
        <v>18869922</v>
      </c>
      <c r="DZ184">
        <v>20000000</v>
      </c>
      <c r="EA184">
        <v>19000006</v>
      </c>
      <c r="EB184">
        <v>294</v>
      </c>
      <c r="EC184">
        <v>72</v>
      </c>
      <c r="EE184" s="24"/>
      <c r="EF184">
        <v>127</v>
      </c>
      <c r="EG184">
        <v>134</v>
      </c>
      <c r="EH184">
        <v>130</v>
      </c>
      <c r="EI184">
        <v>85070826</v>
      </c>
      <c r="EJ184">
        <v>169</v>
      </c>
      <c r="EL184" s="24"/>
      <c r="EM184">
        <v>57103</v>
      </c>
      <c r="EN184">
        <v>57124</v>
      </c>
      <c r="EO184">
        <v>57116</v>
      </c>
      <c r="EP184">
        <v>62384</v>
      </c>
      <c r="EQ184">
        <v>643</v>
      </c>
      <c r="ES184" s="24"/>
      <c r="ET184">
        <v>349</v>
      </c>
      <c r="EU184">
        <v>367</v>
      </c>
      <c r="EV184">
        <v>349</v>
      </c>
      <c r="EW184">
        <v>42434028</v>
      </c>
      <c r="EX184">
        <v>745</v>
      </c>
      <c r="EZ184" s="24"/>
      <c r="FA184">
        <v>3794000</v>
      </c>
      <c r="FB184">
        <v>3794000</v>
      </c>
      <c r="FC184">
        <v>3794000</v>
      </c>
      <c r="FD184">
        <v>1567</v>
      </c>
      <c r="FE184">
        <v>24</v>
      </c>
      <c r="FG184" s="24"/>
      <c r="FH184">
        <v>5856</v>
      </c>
      <c r="FI184">
        <v>6156</v>
      </c>
      <c r="FJ184">
        <v>6124</v>
      </c>
      <c r="FK184">
        <v>1369389</v>
      </c>
      <c r="FL184">
        <v>474</v>
      </c>
      <c r="FN184" s="24"/>
      <c r="FO184">
        <v>18060</v>
      </c>
      <c r="FP184">
        <v>18843</v>
      </c>
      <c r="FQ184">
        <v>18070</v>
      </c>
      <c r="FR184">
        <v>141837</v>
      </c>
      <c r="FS184">
        <v>76</v>
      </c>
      <c r="FU184" s="24"/>
      <c r="FV184">
        <v>17870</v>
      </c>
      <c r="FW184">
        <v>18387</v>
      </c>
      <c r="FX184">
        <v>17915</v>
      </c>
      <c r="FY184">
        <v>311722</v>
      </c>
      <c r="FZ184">
        <v>1255</v>
      </c>
      <c r="GB184" s="24"/>
      <c r="GC184">
        <v>90000008</v>
      </c>
      <c r="GD184">
        <v>97987999</v>
      </c>
      <c r="GE184">
        <v>95520981</v>
      </c>
      <c r="GF184">
        <v>51</v>
      </c>
      <c r="GG184">
        <v>48</v>
      </c>
      <c r="GI184" s="24"/>
      <c r="GJ184">
        <v>23806455</v>
      </c>
      <c r="GK184">
        <v>25000000</v>
      </c>
      <c r="GL184">
        <v>23807000</v>
      </c>
      <c r="GM184">
        <v>483</v>
      </c>
      <c r="GN184">
        <v>99</v>
      </c>
      <c r="GP184" s="24"/>
      <c r="GQ184">
        <v>76</v>
      </c>
      <c r="GR184">
        <v>79</v>
      </c>
      <c r="GS184">
        <v>78</v>
      </c>
      <c r="GT184">
        <v>100009924</v>
      </c>
      <c r="GU184">
        <v>120</v>
      </c>
      <c r="GW184" s="24"/>
      <c r="GX184">
        <v>472</v>
      </c>
      <c r="GY184">
        <v>484</v>
      </c>
      <c r="GZ184">
        <v>482</v>
      </c>
      <c r="HA184">
        <v>53784001</v>
      </c>
      <c r="HB184">
        <v>205</v>
      </c>
      <c r="HD184" s="24"/>
      <c r="HE184">
        <v>5904</v>
      </c>
      <c r="HF184">
        <v>6076</v>
      </c>
      <c r="HG184">
        <v>5913</v>
      </c>
      <c r="HH184">
        <v>23262494</v>
      </c>
      <c r="HI184">
        <v>323</v>
      </c>
      <c r="HK184" s="24"/>
      <c r="HL184">
        <v>93115002</v>
      </c>
      <c r="HM184">
        <v>101522999</v>
      </c>
      <c r="HN184">
        <v>97129954</v>
      </c>
      <c r="HO184">
        <v>100</v>
      </c>
      <c r="HP184">
        <v>67</v>
      </c>
      <c r="HR184" s="24"/>
      <c r="HS184">
        <v>5999</v>
      </c>
      <c r="HT184">
        <v>6933</v>
      </c>
      <c r="HU184">
        <v>6499</v>
      </c>
      <c r="HV184">
        <v>632737</v>
      </c>
      <c r="HW184">
        <v>108</v>
      </c>
      <c r="HY184" s="24"/>
      <c r="HZ184">
        <v>4888</v>
      </c>
      <c r="IA184">
        <v>4982</v>
      </c>
      <c r="IB184">
        <v>4982</v>
      </c>
      <c r="IC184">
        <v>1654049</v>
      </c>
      <c r="ID184">
        <v>429</v>
      </c>
      <c r="IF184" s="24"/>
      <c r="IG184">
        <v>2798</v>
      </c>
      <c r="IH184">
        <v>2859</v>
      </c>
      <c r="II184">
        <v>2802</v>
      </c>
      <c r="IJ184">
        <v>1482004</v>
      </c>
      <c r="IK184">
        <v>138</v>
      </c>
      <c r="IM184" s="24"/>
      <c r="IN184">
        <v>93019110</v>
      </c>
      <c r="IO184">
        <v>98999997</v>
      </c>
      <c r="IP184">
        <v>97138439</v>
      </c>
      <c r="IQ184">
        <v>61</v>
      </c>
      <c r="IR184">
        <v>54</v>
      </c>
      <c r="IT184" s="24"/>
      <c r="IU184">
        <v>8050</v>
      </c>
      <c r="IV184">
        <v>8098</v>
      </c>
      <c r="IW184">
        <v>8097</v>
      </c>
      <c r="IX184">
        <v>936132</v>
      </c>
      <c r="IY184">
        <v>137</v>
      </c>
      <c r="JA184" s="24"/>
      <c r="JB184">
        <v>92014004</v>
      </c>
      <c r="JC184">
        <v>99892941</v>
      </c>
      <c r="JD184">
        <v>97259022</v>
      </c>
      <c r="JE184">
        <v>59</v>
      </c>
      <c r="JF184">
        <v>53</v>
      </c>
      <c r="JH184" s="24"/>
      <c r="JI184">
        <v>89510410</v>
      </c>
      <c r="JJ184">
        <v>99552550</v>
      </c>
      <c r="JK184">
        <v>94946802</v>
      </c>
      <c r="JL184">
        <v>47</v>
      </c>
      <c r="JM184">
        <v>35</v>
      </c>
      <c r="JO184" s="24"/>
      <c r="JP184">
        <v>66</v>
      </c>
      <c r="JQ184">
        <v>69</v>
      </c>
      <c r="JR184">
        <v>69</v>
      </c>
      <c r="JS184">
        <v>75845837</v>
      </c>
      <c r="JT184">
        <v>95</v>
      </c>
      <c r="JV184" s="24"/>
      <c r="JW184">
        <v>64</v>
      </c>
      <c r="JX184">
        <v>65</v>
      </c>
      <c r="JY184">
        <v>65</v>
      </c>
      <c r="JZ184">
        <v>135194658</v>
      </c>
      <c r="KA184">
        <v>103</v>
      </c>
      <c r="KC184" s="24"/>
      <c r="KD184">
        <v>22</v>
      </c>
      <c r="KE184">
        <v>23</v>
      </c>
      <c r="KF184">
        <v>22</v>
      </c>
      <c r="KG184">
        <v>42313624</v>
      </c>
      <c r="KH184">
        <v>298</v>
      </c>
      <c r="KJ184" s="24"/>
      <c r="KK184">
        <v>69</v>
      </c>
      <c r="KL184">
        <v>69</v>
      </c>
      <c r="KM184">
        <v>69</v>
      </c>
      <c r="KN184">
        <v>151393118</v>
      </c>
      <c r="KO184">
        <v>125</v>
      </c>
      <c r="KQ184" s="24"/>
      <c r="KR184">
        <v>108064</v>
      </c>
      <c r="KS184">
        <v>108065</v>
      </c>
      <c r="KT184">
        <v>108064</v>
      </c>
      <c r="KU184">
        <v>46891</v>
      </c>
      <c r="KV184">
        <v>644</v>
      </c>
      <c r="KX184" s="24"/>
      <c r="KY184">
        <v>485</v>
      </c>
      <c r="KZ184">
        <v>493</v>
      </c>
      <c r="LA184">
        <v>485</v>
      </c>
      <c r="LB184">
        <v>7836304</v>
      </c>
      <c r="LC184">
        <v>166</v>
      </c>
      <c r="LE184" s="24"/>
      <c r="LF184">
        <v>188011</v>
      </c>
      <c r="LG184">
        <v>188500</v>
      </c>
      <c r="LH184">
        <v>188019</v>
      </c>
      <c r="LI184">
        <v>110303</v>
      </c>
      <c r="LJ184">
        <v>945</v>
      </c>
      <c r="LL184" s="24"/>
      <c r="LM184">
        <v>76511</v>
      </c>
      <c r="LN184">
        <v>77000</v>
      </c>
      <c r="LO184">
        <v>76530</v>
      </c>
      <c r="LP184">
        <v>335721</v>
      </c>
      <c r="LQ184">
        <v>1297</v>
      </c>
      <c r="LS184" s="24"/>
      <c r="LT184">
        <v>576</v>
      </c>
      <c r="LU184">
        <v>584</v>
      </c>
      <c r="LV184">
        <v>583</v>
      </c>
      <c r="LW184">
        <v>63632879</v>
      </c>
      <c r="LX184">
        <v>372</v>
      </c>
      <c r="LZ184" s="24"/>
      <c r="MA184">
        <v>117505</v>
      </c>
      <c r="MB184">
        <v>122976</v>
      </c>
      <c r="MC184">
        <v>118277</v>
      </c>
      <c r="MD184">
        <v>882965</v>
      </c>
      <c r="ME184">
        <v>112</v>
      </c>
    </row>
    <row r="185" spans="2:343" x14ac:dyDescent="0.25">
      <c r="B185" s="24"/>
      <c r="C185">
        <v>3</v>
      </c>
      <c r="D185">
        <v>3</v>
      </c>
      <c r="E185">
        <v>3</v>
      </c>
      <c r="F185">
        <v>43521682831</v>
      </c>
      <c r="G185">
        <v>3177</v>
      </c>
      <c r="I185" s="24"/>
      <c r="J185">
        <v>4</v>
      </c>
      <c r="K185">
        <v>4</v>
      </c>
      <c r="L185">
        <v>4</v>
      </c>
      <c r="M185">
        <v>6310685636</v>
      </c>
      <c r="N185">
        <v>2238</v>
      </c>
      <c r="P185" s="24"/>
      <c r="Q185">
        <v>26</v>
      </c>
      <c r="R185">
        <v>28</v>
      </c>
      <c r="S185">
        <v>27</v>
      </c>
      <c r="T185">
        <v>1872261379</v>
      </c>
      <c r="U185">
        <v>2063</v>
      </c>
      <c r="W185" s="24"/>
      <c r="X185">
        <v>65</v>
      </c>
      <c r="Y185">
        <v>65</v>
      </c>
      <c r="Z185">
        <v>65</v>
      </c>
      <c r="AA185">
        <v>428027997</v>
      </c>
      <c r="AB185">
        <v>1544</v>
      </c>
      <c r="AD185" s="24"/>
      <c r="AE185">
        <v>473</v>
      </c>
      <c r="AF185">
        <v>490</v>
      </c>
      <c r="AG185">
        <v>481</v>
      </c>
      <c r="AH185">
        <v>130922595</v>
      </c>
      <c r="AI185">
        <v>1763</v>
      </c>
      <c r="AK185" s="24"/>
      <c r="AL185">
        <v>865</v>
      </c>
      <c r="AM185">
        <v>884</v>
      </c>
      <c r="AN185">
        <v>880</v>
      </c>
      <c r="AO185">
        <v>38035216</v>
      </c>
      <c r="AP185">
        <v>1362</v>
      </c>
      <c r="AR185" s="24"/>
      <c r="AS185">
        <v>2376</v>
      </c>
      <c r="AT185">
        <v>2546</v>
      </c>
      <c r="AU185">
        <v>2475</v>
      </c>
      <c r="AV185">
        <v>13748795</v>
      </c>
      <c r="AW185">
        <v>1348</v>
      </c>
      <c r="AY185" s="24"/>
      <c r="AZ185">
        <v>393100002</v>
      </c>
      <c r="BA185">
        <v>402800000</v>
      </c>
      <c r="BB185">
        <v>399943700</v>
      </c>
      <c r="BC185">
        <v>2734</v>
      </c>
      <c r="BD185">
        <v>1864</v>
      </c>
      <c r="BF185" s="24"/>
      <c r="BG185">
        <v>25300</v>
      </c>
      <c r="BH185">
        <v>26984</v>
      </c>
      <c r="BI185">
        <v>25400</v>
      </c>
      <c r="BJ185">
        <v>1433571</v>
      </c>
      <c r="BK185">
        <v>203</v>
      </c>
      <c r="BM185" s="24"/>
      <c r="BN185">
        <v>5400008</v>
      </c>
      <c r="BO185">
        <v>5500001</v>
      </c>
      <c r="BP185">
        <v>5410001</v>
      </c>
      <c r="BQ185">
        <v>20180</v>
      </c>
      <c r="BR185">
        <v>334</v>
      </c>
      <c r="BT185" s="24"/>
      <c r="BU185">
        <v>2631</v>
      </c>
      <c r="BV185">
        <v>2638</v>
      </c>
      <c r="BW185">
        <v>2633</v>
      </c>
      <c r="BX185">
        <v>57992339</v>
      </c>
      <c r="BY185">
        <v>265</v>
      </c>
      <c r="CA185" s="24"/>
      <c r="CB185">
        <v>562</v>
      </c>
      <c r="CC185">
        <v>563</v>
      </c>
      <c r="CD185">
        <v>562</v>
      </c>
      <c r="CE185">
        <v>60122360</v>
      </c>
      <c r="CF185">
        <v>285</v>
      </c>
      <c r="CH185" s="24"/>
      <c r="CI185">
        <v>22005</v>
      </c>
      <c r="CJ185">
        <v>22005</v>
      </c>
      <c r="CK185">
        <v>22005</v>
      </c>
      <c r="CL185">
        <v>1583985</v>
      </c>
      <c r="CM185">
        <v>181</v>
      </c>
      <c r="CO185" s="24"/>
      <c r="CP185">
        <v>7339</v>
      </c>
      <c r="CQ185">
        <v>7484</v>
      </c>
      <c r="CR185">
        <v>7470</v>
      </c>
      <c r="CS185">
        <v>1311664</v>
      </c>
      <c r="CT185">
        <v>433</v>
      </c>
      <c r="CV185" s="24"/>
      <c r="CW185">
        <v>1300000</v>
      </c>
      <c r="CX185">
        <v>1334498</v>
      </c>
      <c r="CY185">
        <v>1334498</v>
      </c>
      <c r="CZ185">
        <v>11700</v>
      </c>
      <c r="DA185">
        <v>35</v>
      </c>
      <c r="DC185" s="24"/>
      <c r="DD185">
        <v>545</v>
      </c>
      <c r="DE185">
        <v>559</v>
      </c>
      <c r="DF185">
        <v>559</v>
      </c>
      <c r="DG185">
        <v>31892378</v>
      </c>
      <c r="DH185">
        <v>212</v>
      </c>
      <c r="DJ185" s="24"/>
      <c r="DK185">
        <v>33200002</v>
      </c>
      <c r="DL185">
        <v>34499999</v>
      </c>
      <c r="DM185">
        <v>33201026</v>
      </c>
      <c r="DN185">
        <v>255</v>
      </c>
      <c r="DO185">
        <v>90</v>
      </c>
      <c r="DQ185" s="24"/>
      <c r="DR185">
        <v>1756006</v>
      </c>
      <c r="DS185">
        <v>1951498</v>
      </c>
      <c r="DT185">
        <v>1800002</v>
      </c>
      <c r="DU185">
        <v>6145</v>
      </c>
      <c r="DV185">
        <v>239</v>
      </c>
      <c r="DX185" s="24"/>
      <c r="DY185">
        <v>19000012</v>
      </c>
      <c r="DZ185">
        <v>20499990</v>
      </c>
      <c r="EA185">
        <v>19001001</v>
      </c>
      <c r="EB185">
        <v>358</v>
      </c>
      <c r="EC185">
        <v>98</v>
      </c>
      <c r="EE185" s="24"/>
      <c r="EF185">
        <v>131</v>
      </c>
      <c r="EG185">
        <v>134</v>
      </c>
      <c r="EH185">
        <v>133</v>
      </c>
      <c r="EI185">
        <v>62168922</v>
      </c>
      <c r="EJ185">
        <v>157</v>
      </c>
      <c r="EL185" s="24"/>
      <c r="EM185">
        <v>57501</v>
      </c>
      <c r="EN185">
        <v>57501</v>
      </c>
      <c r="EO185">
        <v>57501</v>
      </c>
      <c r="EP185">
        <v>75795</v>
      </c>
      <c r="EQ185">
        <v>761</v>
      </c>
      <c r="ES185" s="24"/>
      <c r="ET185">
        <v>352</v>
      </c>
      <c r="EU185">
        <v>365</v>
      </c>
      <c r="EV185">
        <v>360</v>
      </c>
      <c r="EW185">
        <v>76788528</v>
      </c>
      <c r="EX185">
        <v>734</v>
      </c>
      <c r="EZ185" s="24"/>
      <c r="FA185">
        <v>3899997</v>
      </c>
      <c r="FB185">
        <v>3899997</v>
      </c>
      <c r="FC185">
        <v>3899997</v>
      </c>
      <c r="FD185">
        <v>1999</v>
      </c>
      <c r="FE185">
        <v>33</v>
      </c>
      <c r="FG185" s="24"/>
      <c r="FH185">
        <v>5990</v>
      </c>
      <c r="FI185">
        <v>6159</v>
      </c>
      <c r="FJ185">
        <v>6155</v>
      </c>
      <c r="FK185">
        <v>1989406</v>
      </c>
      <c r="FL185">
        <v>456</v>
      </c>
      <c r="FN185" s="24"/>
      <c r="FO185">
        <v>17600</v>
      </c>
      <c r="FP185">
        <v>18809</v>
      </c>
      <c r="FQ185">
        <v>18803</v>
      </c>
      <c r="FR185">
        <v>170722</v>
      </c>
      <c r="FS185">
        <v>81</v>
      </c>
      <c r="FU185" s="24"/>
      <c r="FV185">
        <v>18041</v>
      </c>
      <c r="FW185">
        <v>18044</v>
      </c>
      <c r="FX185">
        <v>18044</v>
      </c>
      <c r="FY185">
        <v>314184</v>
      </c>
      <c r="FZ185">
        <v>1378</v>
      </c>
      <c r="GB185" s="24"/>
      <c r="GC185">
        <v>90170042</v>
      </c>
      <c r="GD185">
        <v>97802000</v>
      </c>
      <c r="GE185">
        <v>97204060</v>
      </c>
      <c r="GF185">
        <v>50</v>
      </c>
      <c r="GG185">
        <v>44</v>
      </c>
      <c r="GI185" s="24"/>
      <c r="GJ185">
        <v>23807005</v>
      </c>
      <c r="GK185">
        <v>24000000</v>
      </c>
      <c r="GL185">
        <v>23809000</v>
      </c>
      <c r="GM185">
        <v>436</v>
      </c>
      <c r="GN185">
        <v>91</v>
      </c>
      <c r="GP185" s="24"/>
      <c r="GQ185">
        <v>78</v>
      </c>
      <c r="GR185">
        <v>78</v>
      </c>
      <c r="GS185">
        <v>78</v>
      </c>
      <c r="GT185">
        <v>90137349</v>
      </c>
      <c r="GU185">
        <v>108</v>
      </c>
      <c r="GW185" s="24"/>
      <c r="GX185">
        <v>485</v>
      </c>
      <c r="GY185">
        <v>508</v>
      </c>
      <c r="GZ185">
        <v>508</v>
      </c>
      <c r="HA185">
        <v>52823949</v>
      </c>
      <c r="HB185">
        <v>257</v>
      </c>
      <c r="HD185" s="24"/>
      <c r="HE185">
        <v>6065</v>
      </c>
      <c r="HF185">
        <v>6065</v>
      </c>
      <c r="HG185">
        <v>6065</v>
      </c>
      <c r="HH185">
        <v>9267021</v>
      </c>
      <c r="HI185">
        <v>238</v>
      </c>
      <c r="HK185" s="24"/>
      <c r="HL185">
        <v>93117451</v>
      </c>
      <c r="HM185">
        <v>101502397</v>
      </c>
      <c r="HN185">
        <v>99662194</v>
      </c>
      <c r="HO185">
        <v>64</v>
      </c>
      <c r="HP185">
        <v>55</v>
      </c>
      <c r="HR185" s="24"/>
      <c r="HS185">
        <v>5903</v>
      </c>
      <c r="HT185">
        <v>6739</v>
      </c>
      <c r="HU185">
        <v>6600</v>
      </c>
      <c r="HV185">
        <v>289606</v>
      </c>
      <c r="HW185">
        <v>107</v>
      </c>
      <c r="HY185" s="24"/>
      <c r="HZ185">
        <v>4999</v>
      </c>
      <c r="IA185">
        <v>5186</v>
      </c>
      <c r="IB185">
        <v>5184</v>
      </c>
      <c r="IC185">
        <v>2060345</v>
      </c>
      <c r="ID185">
        <v>454</v>
      </c>
      <c r="IF185" s="24"/>
      <c r="IG185">
        <v>2666</v>
      </c>
      <c r="IH185">
        <v>2794</v>
      </c>
      <c r="II185">
        <v>2793</v>
      </c>
      <c r="IJ185">
        <v>2264589</v>
      </c>
      <c r="IK185">
        <v>156</v>
      </c>
      <c r="IM185" s="24"/>
      <c r="IN185">
        <v>93027013</v>
      </c>
      <c r="IO185">
        <v>98984992</v>
      </c>
      <c r="IP185">
        <v>97179906</v>
      </c>
      <c r="IQ185">
        <v>71</v>
      </c>
      <c r="IR185">
        <v>56</v>
      </c>
      <c r="IT185" s="24"/>
      <c r="IU185">
        <v>7901</v>
      </c>
      <c r="IV185">
        <v>8087</v>
      </c>
      <c r="IW185">
        <v>8087</v>
      </c>
      <c r="IX185">
        <v>1345607</v>
      </c>
      <c r="IY185">
        <v>145</v>
      </c>
      <c r="JA185" s="24"/>
      <c r="JB185">
        <v>92016064</v>
      </c>
      <c r="JC185">
        <v>99885499</v>
      </c>
      <c r="JD185">
        <v>98077618</v>
      </c>
      <c r="JE185">
        <v>74</v>
      </c>
      <c r="JF185">
        <v>70</v>
      </c>
      <c r="JH185" s="24"/>
      <c r="JI185">
        <v>89511008</v>
      </c>
      <c r="JJ185">
        <v>99375597</v>
      </c>
      <c r="JK185">
        <v>94944729</v>
      </c>
      <c r="JL185">
        <v>58</v>
      </c>
      <c r="JM185">
        <v>41</v>
      </c>
      <c r="JO185" s="24"/>
      <c r="JP185">
        <v>71</v>
      </c>
      <c r="JQ185">
        <v>72</v>
      </c>
      <c r="JR185">
        <v>72</v>
      </c>
      <c r="JS185">
        <v>82019011</v>
      </c>
      <c r="JT185">
        <v>67</v>
      </c>
      <c r="JV185" s="24"/>
      <c r="JW185">
        <v>64</v>
      </c>
      <c r="JX185">
        <v>65</v>
      </c>
      <c r="JY185">
        <v>64</v>
      </c>
      <c r="JZ185">
        <v>88399188</v>
      </c>
      <c r="KA185">
        <v>80</v>
      </c>
      <c r="KC185" s="24"/>
      <c r="KD185">
        <v>21</v>
      </c>
      <c r="KE185">
        <v>23</v>
      </c>
      <c r="KF185">
        <v>22</v>
      </c>
      <c r="KG185">
        <v>54541509</v>
      </c>
      <c r="KH185">
        <v>340</v>
      </c>
      <c r="KJ185" s="24"/>
      <c r="KK185">
        <v>69</v>
      </c>
      <c r="KL185">
        <v>73</v>
      </c>
      <c r="KM185">
        <v>70</v>
      </c>
      <c r="KN185">
        <v>119089341</v>
      </c>
      <c r="KO185">
        <v>116</v>
      </c>
      <c r="KQ185" s="24"/>
      <c r="KR185">
        <v>105057</v>
      </c>
      <c r="KS185">
        <v>108064</v>
      </c>
      <c r="KT185">
        <v>108054</v>
      </c>
      <c r="KU185">
        <v>66095</v>
      </c>
      <c r="KV185">
        <v>719</v>
      </c>
      <c r="KX185" s="24"/>
      <c r="KY185">
        <v>493</v>
      </c>
      <c r="KZ185">
        <v>493</v>
      </c>
      <c r="LA185">
        <v>493</v>
      </c>
      <c r="LB185">
        <v>4308287</v>
      </c>
      <c r="LC185">
        <v>147</v>
      </c>
      <c r="LE185" s="24"/>
      <c r="LF185">
        <v>188042</v>
      </c>
      <c r="LG185">
        <v>191800</v>
      </c>
      <c r="LH185">
        <v>188045</v>
      </c>
      <c r="LI185">
        <v>111702</v>
      </c>
      <c r="LJ185">
        <v>1019</v>
      </c>
      <c r="LL185" s="24"/>
      <c r="LM185">
        <v>74864</v>
      </c>
      <c r="LN185">
        <v>76551</v>
      </c>
      <c r="LO185">
        <v>76551</v>
      </c>
      <c r="LP185">
        <v>376425</v>
      </c>
      <c r="LQ185">
        <v>1474</v>
      </c>
      <c r="LS185" s="24"/>
      <c r="LT185">
        <v>583</v>
      </c>
      <c r="LU185">
        <v>583</v>
      </c>
      <c r="LV185">
        <v>583</v>
      </c>
      <c r="LW185">
        <v>79301968</v>
      </c>
      <c r="LX185">
        <v>419</v>
      </c>
      <c r="LZ185" s="24"/>
      <c r="MA185">
        <v>115750</v>
      </c>
      <c r="MB185">
        <v>120997</v>
      </c>
      <c r="MC185">
        <v>118001</v>
      </c>
      <c r="MD185">
        <v>1453475</v>
      </c>
      <c r="ME185">
        <v>111</v>
      </c>
    </row>
    <row r="186" spans="2:343" x14ac:dyDescent="0.25">
      <c r="B186" s="24"/>
      <c r="C186">
        <v>3</v>
      </c>
      <c r="D186">
        <v>3</v>
      </c>
      <c r="E186">
        <v>3</v>
      </c>
      <c r="F186">
        <v>27464913504</v>
      </c>
      <c r="G186">
        <v>2896</v>
      </c>
      <c r="I186" s="24"/>
      <c r="J186">
        <v>4</v>
      </c>
      <c r="K186">
        <v>4</v>
      </c>
      <c r="L186">
        <v>4</v>
      </c>
      <c r="M186">
        <v>4087572207</v>
      </c>
      <c r="N186">
        <v>2151</v>
      </c>
      <c r="P186" s="24"/>
      <c r="Q186">
        <v>27</v>
      </c>
      <c r="R186">
        <v>27</v>
      </c>
      <c r="S186">
        <v>27</v>
      </c>
      <c r="T186">
        <v>2101251774</v>
      </c>
      <c r="U186">
        <v>1987</v>
      </c>
      <c r="W186" s="24"/>
      <c r="X186">
        <v>65</v>
      </c>
      <c r="Y186">
        <v>66</v>
      </c>
      <c r="Z186">
        <v>66</v>
      </c>
      <c r="AA186">
        <v>395950603</v>
      </c>
      <c r="AB186">
        <v>1471</v>
      </c>
      <c r="AD186" s="24"/>
      <c r="AE186">
        <v>474</v>
      </c>
      <c r="AF186">
        <v>494</v>
      </c>
      <c r="AG186">
        <v>485</v>
      </c>
      <c r="AH186">
        <v>82030754</v>
      </c>
      <c r="AI186">
        <v>1636</v>
      </c>
      <c r="AK186" s="24"/>
      <c r="AL186">
        <v>866</v>
      </c>
      <c r="AM186">
        <v>887</v>
      </c>
      <c r="AN186">
        <v>887</v>
      </c>
      <c r="AO186">
        <v>32185373</v>
      </c>
      <c r="AP186">
        <v>1241</v>
      </c>
      <c r="AR186" s="24"/>
      <c r="AS186">
        <v>2411</v>
      </c>
      <c r="AT186">
        <v>2524</v>
      </c>
      <c r="AU186">
        <v>2474</v>
      </c>
      <c r="AV186">
        <v>11528967</v>
      </c>
      <c r="AW186">
        <v>1194</v>
      </c>
      <c r="AY186" s="24"/>
      <c r="AZ186">
        <v>386904000</v>
      </c>
      <c r="BA186">
        <v>394900000</v>
      </c>
      <c r="BB186">
        <v>390100000</v>
      </c>
      <c r="BC186">
        <v>2591</v>
      </c>
      <c r="BD186">
        <v>1793</v>
      </c>
      <c r="BF186" s="24"/>
      <c r="BG186">
        <v>25400</v>
      </c>
      <c r="BH186">
        <v>25400</v>
      </c>
      <c r="BI186">
        <v>25400</v>
      </c>
      <c r="BJ186">
        <v>1853181</v>
      </c>
      <c r="BK186">
        <v>175</v>
      </c>
      <c r="BM186" s="24"/>
      <c r="BN186">
        <v>5400000</v>
      </c>
      <c r="BO186">
        <v>5400006</v>
      </c>
      <c r="BP186">
        <v>5400000</v>
      </c>
      <c r="BQ186">
        <v>12965</v>
      </c>
      <c r="BR186">
        <v>312</v>
      </c>
      <c r="BT186" s="24"/>
      <c r="BU186">
        <v>2565</v>
      </c>
      <c r="BV186">
        <v>2661</v>
      </c>
      <c r="BW186">
        <v>2565</v>
      </c>
      <c r="BX186">
        <v>22484611</v>
      </c>
      <c r="BY186">
        <v>271</v>
      </c>
      <c r="CA186" s="24"/>
      <c r="CB186">
        <v>556</v>
      </c>
      <c r="CC186">
        <v>563</v>
      </c>
      <c r="CD186">
        <v>563</v>
      </c>
      <c r="CE186">
        <v>58253097</v>
      </c>
      <c r="CF186">
        <v>261</v>
      </c>
      <c r="CH186" s="24"/>
      <c r="CI186">
        <v>22009</v>
      </c>
      <c r="CJ186">
        <v>22011</v>
      </c>
      <c r="CK186">
        <v>22010</v>
      </c>
      <c r="CL186">
        <v>823074</v>
      </c>
      <c r="CM186">
        <v>125</v>
      </c>
      <c r="CO186" s="24"/>
      <c r="CP186">
        <v>7001</v>
      </c>
      <c r="CQ186">
        <v>7496</v>
      </c>
      <c r="CR186">
        <v>7289</v>
      </c>
      <c r="CS186">
        <v>1147609</v>
      </c>
      <c r="CT186">
        <v>427</v>
      </c>
      <c r="CV186" s="24"/>
      <c r="CW186">
        <v>1300011</v>
      </c>
      <c r="CX186">
        <v>1334498</v>
      </c>
      <c r="CY186">
        <v>1334443</v>
      </c>
      <c r="CZ186">
        <v>9636</v>
      </c>
      <c r="DA186">
        <v>33</v>
      </c>
      <c r="DC186" s="24"/>
      <c r="DD186">
        <v>544</v>
      </c>
      <c r="DE186">
        <v>558</v>
      </c>
      <c r="DF186">
        <v>558</v>
      </c>
      <c r="DG186">
        <v>30829500</v>
      </c>
      <c r="DH186">
        <v>197</v>
      </c>
      <c r="DJ186" s="24"/>
      <c r="DK186">
        <v>33205028</v>
      </c>
      <c r="DL186">
        <v>33300000</v>
      </c>
      <c r="DM186">
        <v>33207005</v>
      </c>
      <c r="DN186">
        <v>318</v>
      </c>
      <c r="DO186">
        <v>91</v>
      </c>
      <c r="DQ186" s="24"/>
      <c r="DR186">
        <v>1757018</v>
      </c>
      <c r="DS186">
        <v>1951499</v>
      </c>
      <c r="DT186">
        <v>1951000</v>
      </c>
      <c r="DU186">
        <v>5598</v>
      </c>
      <c r="DV186">
        <v>197</v>
      </c>
      <c r="DX186" s="24"/>
      <c r="DY186">
        <v>19104008</v>
      </c>
      <c r="DZ186">
        <v>20618999</v>
      </c>
      <c r="EA186">
        <v>20500000</v>
      </c>
      <c r="EB186">
        <v>328</v>
      </c>
      <c r="EC186">
        <v>81</v>
      </c>
      <c r="EE186" s="24"/>
      <c r="EF186">
        <v>128</v>
      </c>
      <c r="EG186">
        <v>133</v>
      </c>
      <c r="EH186">
        <v>133</v>
      </c>
      <c r="EI186">
        <v>91253529</v>
      </c>
      <c r="EJ186">
        <v>177</v>
      </c>
      <c r="EL186" s="24"/>
      <c r="EM186">
        <v>57505</v>
      </c>
      <c r="EN186">
        <v>58000</v>
      </c>
      <c r="EO186">
        <v>57803</v>
      </c>
      <c r="EP186">
        <v>65000</v>
      </c>
      <c r="EQ186">
        <v>722</v>
      </c>
      <c r="ES186" s="24"/>
      <c r="ET186">
        <v>352</v>
      </c>
      <c r="EU186">
        <v>369</v>
      </c>
      <c r="EV186">
        <v>369</v>
      </c>
      <c r="EW186">
        <v>35199344</v>
      </c>
      <c r="EX186">
        <v>697</v>
      </c>
      <c r="EZ186" s="24"/>
      <c r="FA186">
        <v>3444000</v>
      </c>
      <c r="FB186">
        <v>3850949</v>
      </c>
      <c r="FC186">
        <v>3849993</v>
      </c>
      <c r="FD186">
        <v>675</v>
      </c>
      <c r="FE186">
        <v>12</v>
      </c>
      <c r="FG186" s="24"/>
      <c r="FH186">
        <v>5871</v>
      </c>
      <c r="FI186">
        <v>6346</v>
      </c>
      <c r="FJ186">
        <v>6214</v>
      </c>
      <c r="FK186">
        <v>1390317</v>
      </c>
      <c r="FL186">
        <v>455</v>
      </c>
      <c r="FN186" s="24"/>
      <c r="FO186">
        <v>18299</v>
      </c>
      <c r="FP186">
        <v>18499</v>
      </c>
      <c r="FQ186">
        <v>18498</v>
      </c>
      <c r="FR186">
        <v>103133</v>
      </c>
      <c r="FS186">
        <v>69</v>
      </c>
      <c r="FU186" s="24"/>
      <c r="FV186">
        <v>18054</v>
      </c>
      <c r="FW186">
        <v>18061</v>
      </c>
      <c r="FX186">
        <v>18054</v>
      </c>
      <c r="FY186">
        <v>302220</v>
      </c>
      <c r="FZ186">
        <v>1234</v>
      </c>
      <c r="GB186" s="24"/>
      <c r="GC186">
        <v>92000016</v>
      </c>
      <c r="GD186">
        <v>97802000</v>
      </c>
      <c r="GE186">
        <v>96510641</v>
      </c>
      <c r="GF186">
        <v>69</v>
      </c>
      <c r="GG186">
        <v>55</v>
      </c>
      <c r="GI186" s="24"/>
      <c r="GJ186">
        <v>23804408</v>
      </c>
      <c r="GK186">
        <v>24899999</v>
      </c>
      <c r="GL186">
        <v>23804412</v>
      </c>
      <c r="GM186">
        <v>327</v>
      </c>
      <c r="GN186">
        <v>59</v>
      </c>
      <c r="GP186" s="24"/>
      <c r="GQ186">
        <v>78</v>
      </c>
      <c r="GR186">
        <v>80</v>
      </c>
      <c r="GS186">
        <v>79</v>
      </c>
      <c r="GT186">
        <v>104367413</v>
      </c>
      <c r="GU186">
        <v>121</v>
      </c>
      <c r="GW186" s="24"/>
      <c r="GX186">
        <v>474</v>
      </c>
      <c r="GY186">
        <v>507</v>
      </c>
      <c r="GZ186">
        <v>502</v>
      </c>
      <c r="HA186">
        <v>48741818</v>
      </c>
      <c r="HB186">
        <v>230</v>
      </c>
      <c r="HD186" s="24"/>
      <c r="HE186">
        <v>5931</v>
      </c>
      <c r="HF186">
        <v>6049</v>
      </c>
      <c r="HG186">
        <v>5954</v>
      </c>
      <c r="HH186">
        <v>14483872</v>
      </c>
      <c r="HI186">
        <v>249</v>
      </c>
      <c r="HK186" s="24"/>
      <c r="HL186">
        <v>93126418</v>
      </c>
      <c r="HM186">
        <v>101126407</v>
      </c>
      <c r="HN186">
        <v>97476009</v>
      </c>
      <c r="HO186">
        <v>64</v>
      </c>
      <c r="HP186">
        <v>54</v>
      </c>
      <c r="HR186" s="24"/>
      <c r="HS186">
        <v>5911</v>
      </c>
      <c r="HT186">
        <v>6799</v>
      </c>
      <c r="HU186">
        <v>6750</v>
      </c>
      <c r="HV186">
        <v>479561</v>
      </c>
      <c r="HW186">
        <v>146</v>
      </c>
      <c r="HY186" s="24"/>
      <c r="HZ186">
        <v>4852</v>
      </c>
      <c r="IA186">
        <v>5348</v>
      </c>
      <c r="IB186">
        <v>5200</v>
      </c>
      <c r="IC186">
        <v>1932879</v>
      </c>
      <c r="ID186">
        <v>481</v>
      </c>
      <c r="IF186" s="24"/>
      <c r="IG186">
        <v>2597</v>
      </c>
      <c r="IH186">
        <v>2793</v>
      </c>
      <c r="II186">
        <v>2793</v>
      </c>
      <c r="IJ186">
        <v>1142145</v>
      </c>
      <c r="IK186">
        <v>112</v>
      </c>
      <c r="IM186" s="24"/>
      <c r="IN186">
        <v>93019134</v>
      </c>
      <c r="IO186">
        <v>98019128</v>
      </c>
      <c r="IP186">
        <v>95646156</v>
      </c>
      <c r="IQ186">
        <v>84</v>
      </c>
      <c r="IR186">
        <v>62</v>
      </c>
      <c r="IT186" s="24"/>
      <c r="IU186">
        <v>7899</v>
      </c>
      <c r="IV186">
        <v>8000</v>
      </c>
      <c r="IW186">
        <v>7998</v>
      </c>
      <c r="IX186">
        <v>2365660</v>
      </c>
      <c r="IY186">
        <v>173</v>
      </c>
      <c r="JA186" s="24"/>
      <c r="JB186">
        <v>92080551</v>
      </c>
      <c r="JC186">
        <v>99879000</v>
      </c>
      <c r="JD186">
        <v>97802240</v>
      </c>
      <c r="JE186">
        <v>44</v>
      </c>
      <c r="JF186">
        <v>41</v>
      </c>
      <c r="JH186" s="24"/>
      <c r="JI186">
        <v>93000001</v>
      </c>
      <c r="JJ186">
        <v>97800587</v>
      </c>
      <c r="JK186">
        <v>97285131</v>
      </c>
      <c r="JL186">
        <v>26</v>
      </c>
      <c r="JM186">
        <v>25</v>
      </c>
      <c r="JO186" s="24"/>
      <c r="JP186">
        <v>69</v>
      </c>
      <c r="JQ186">
        <v>72</v>
      </c>
      <c r="JR186">
        <v>72</v>
      </c>
      <c r="JS186">
        <v>49421622</v>
      </c>
      <c r="JT186">
        <v>66</v>
      </c>
      <c r="JV186" s="24"/>
      <c r="JW186">
        <v>63</v>
      </c>
      <c r="JX186">
        <v>65</v>
      </c>
      <c r="JY186">
        <v>63</v>
      </c>
      <c r="JZ186">
        <v>104615520</v>
      </c>
      <c r="KA186">
        <v>102</v>
      </c>
      <c r="KC186" s="24"/>
      <c r="KD186">
        <v>22</v>
      </c>
      <c r="KE186">
        <v>23</v>
      </c>
      <c r="KF186">
        <v>23</v>
      </c>
      <c r="KG186">
        <v>47305764</v>
      </c>
      <c r="KH186">
        <v>327</v>
      </c>
      <c r="KJ186" s="24"/>
      <c r="KK186">
        <v>69</v>
      </c>
      <c r="KL186">
        <v>72</v>
      </c>
      <c r="KM186">
        <v>70</v>
      </c>
      <c r="KN186">
        <v>84404944</v>
      </c>
      <c r="KO186">
        <v>106</v>
      </c>
      <c r="KQ186" s="24"/>
      <c r="KR186">
        <v>103106</v>
      </c>
      <c r="KS186">
        <v>103108</v>
      </c>
      <c r="KT186">
        <v>103107</v>
      </c>
      <c r="KU186">
        <v>41228</v>
      </c>
      <c r="KV186">
        <v>623</v>
      </c>
      <c r="KX186" s="24"/>
      <c r="KY186">
        <v>461</v>
      </c>
      <c r="KZ186">
        <v>493</v>
      </c>
      <c r="LA186">
        <v>475</v>
      </c>
      <c r="LB186">
        <v>8872285</v>
      </c>
      <c r="LC186">
        <v>173</v>
      </c>
      <c r="LE186" s="24"/>
      <c r="LF186">
        <v>186309</v>
      </c>
      <c r="LG186">
        <v>188057</v>
      </c>
      <c r="LH186">
        <v>188050</v>
      </c>
      <c r="LI186">
        <v>108711</v>
      </c>
      <c r="LJ186">
        <v>929</v>
      </c>
      <c r="LL186" s="24"/>
      <c r="LM186">
        <v>75005</v>
      </c>
      <c r="LN186">
        <v>76000</v>
      </c>
      <c r="LO186">
        <v>75006</v>
      </c>
      <c r="LP186">
        <v>305352</v>
      </c>
      <c r="LQ186">
        <v>1268</v>
      </c>
      <c r="LS186" s="24"/>
      <c r="LT186">
        <v>566</v>
      </c>
      <c r="LU186">
        <v>586</v>
      </c>
      <c r="LV186">
        <v>585</v>
      </c>
      <c r="LW186">
        <v>88109255</v>
      </c>
      <c r="LX186">
        <v>390</v>
      </c>
      <c r="LZ186" s="24"/>
      <c r="MA186">
        <v>115021</v>
      </c>
      <c r="MB186">
        <v>117900</v>
      </c>
      <c r="MC186">
        <v>117899</v>
      </c>
      <c r="MD186">
        <v>1193668</v>
      </c>
      <c r="ME186">
        <v>96</v>
      </c>
    </row>
    <row r="187" spans="2:343" x14ac:dyDescent="0.25">
      <c r="B187" s="24"/>
      <c r="C187">
        <v>3</v>
      </c>
      <c r="D187">
        <v>3</v>
      </c>
      <c r="E187">
        <v>3</v>
      </c>
      <c r="F187">
        <v>39156406342</v>
      </c>
      <c r="G187">
        <v>3289</v>
      </c>
      <c r="I187" s="24"/>
      <c r="J187">
        <v>4</v>
      </c>
      <c r="K187">
        <v>4</v>
      </c>
      <c r="L187">
        <v>4</v>
      </c>
      <c r="M187">
        <v>5116466624</v>
      </c>
      <c r="N187">
        <v>2275</v>
      </c>
      <c r="P187" s="24"/>
      <c r="Q187">
        <v>26</v>
      </c>
      <c r="R187">
        <v>27</v>
      </c>
      <c r="S187">
        <v>26</v>
      </c>
      <c r="T187">
        <v>1613748967</v>
      </c>
      <c r="U187">
        <v>2054</v>
      </c>
      <c r="W187" s="24"/>
      <c r="X187">
        <v>65</v>
      </c>
      <c r="Y187">
        <v>66</v>
      </c>
      <c r="Z187">
        <v>65</v>
      </c>
      <c r="AA187">
        <v>377754129</v>
      </c>
      <c r="AB187">
        <v>1549</v>
      </c>
      <c r="AD187" s="24"/>
      <c r="AE187">
        <v>478</v>
      </c>
      <c r="AF187">
        <v>484</v>
      </c>
      <c r="AG187">
        <v>481</v>
      </c>
      <c r="AH187">
        <v>89761701</v>
      </c>
      <c r="AI187">
        <v>1731</v>
      </c>
      <c r="AK187" s="24"/>
      <c r="AL187">
        <v>867</v>
      </c>
      <c r="AM187">
        <v>887</v>
      </c>
      <c r="AN187">
        <v>868</v>
      </c>
      <c r="AO187">
        <v>32288140</v>
      </c>
      <c r="AP187">
        <v>1287</v>
      </c>
      <c r="AR187" s="24"/>
      <c r="AS187">
        <v>2422</v>
      </c>
      <c r="AT187">
        <v>2495</v>
      </c>
      <c r="AU187">
        <v>2474</v>
      </c>
      <c r="AV187">
        <v>11482098</v>
      </c>
      <c r="AW187">
        <v>1313</v>
      </c>
      <c r="AY187" s="24"/>
      <c r="AZ187">
        <v>381255555</v>
      </c>
      <c r="BA187">
        <v>388999999</v>
      </c>
      <c r="BB187">
        <v>386499999</v>
      </c>
      <c r="BC187">
        <v>2566</v>
      </c>
      <c r="BD187">
        <v>1771</v>
      </c>
      <c r="BF187" s="24"/>
      <c r="BG187">
        <v>25400</v>
      </c>
      <c r="BH187">
        <v>25500</v>
      </c>
      <c r="BI187">
        <v>25500</v>
      </c>
      <c r="BJ187">
        <v>2314902</v>
      </c>
      <c r="BK187">
        <v>245</v>
      </c>
      <c r="BM187" s="24"/>
      <c r="BN187">
        <v>5300018</v>
      </c>
      <c r="BO187">
        <v>5400000</v>
      </c>
      <c r="BP187">
        <v>5300018</v>
      </c>
      <c r="BQ187">
        <v>10651</v>
      </c>
      <c r="BR187">
        <v>293</v>
      </c>
      <c r="BT187" s="24"/>
      <c r="BU187">
        <v>2563</v>
      </c>
      <c r="BV187">
        <v>2621</v>
      </c>
      <c r="BW187">
        <v>2619</v>
      </c>
      <c r="BX187">
        <v>27095582</v>
      </c>
      <c r="BY187">
        <v>281</v>
      </c>
      <c r="CA187" s="24"/>
      <c r="CB187">
        <v>560</v>
      </c>
      <c r="CC187">
        <v>563</v>
      </c>
      <c r="CD187">
        <v>563</v>
      </c>
      <c r="CE187">
        <v>69903375</v>
      </c>
      <c r="CF187">
        <v>315</v>
      </c>
      <c r="CH187" s="24"/>
      <c r="CI187">
        <v>22401</v>
      </c>
      <c r="CJ187">
        <v>23596</v>
      </c>
      <c r="CK187">
        <v>22405</v>
      </c>
      <c r="CL187">
        <v>1087937</v>
      </c>
      <c r="CM187">
        <v>174</v>
      </c>
      <c r="CO187" s="24"/>
      <c r="CP187">
        <v>7001</v>
      </c>
      <c r="CQ187">
        <v>7199</v>
      </c>
      <c r="CR187">
        <v>7002</v>
      </c>
      <c r="CS187">
        <v>1814755</v>
      </c>
      <c r="CT187">
        <v>431</v>
      </c>
      <c r="CV187" s="24"/>
      <c r="CW187">
        <v>1325000</v>
      </c>
      <c r="CX187">
        <v>1334438</v>
      </c>
      <c r="CY187">
        <v>1330440</v>
      </c>
      <c r="CZ187">
        <v>4676</v>
      </c>
      <c r="DA187">
        <v>28</v>
      </c>
      <c r="DC187" s="24"/>
      <c r="DD187">
        <v>557</v>
      </c>
      <c r="DE187">
        <v>558</v>
      </c>
      <c r="DF187">
        <v>558</v>
      </c>
      <c r="DG187">
        <v>28071316</v>
      </c>
      <c r="DH187">
        <v>172</v>
      </c>
      <c r="DJ187" s="24"/>
      <c r="DK187">
        <v>33215046</v>
      </c>
      <c r="DL187">
        <v>34990999</v>
      </c>
      <c r="DM187">
        <v>33315112</v>
      </c>
      <c r="DN187">
        <v>213</v>
      </c>
      <c r="DO187">
        <v>68</v>
      </c>
      <c r="DQ187" s="24"/>
      <c r="DR187">
        <v>1835001</v>
      </c>
      <c r="DS187">
        <v>1949999</v>
      </c>
      <c r="DT187">
        <v>1850002</v>
      </c>
      <c r="DU187">
        <v>4706</v>
      </c>
      <c r="DV187">
        <v>219</v>
      </c>
      <c r="DX187" s="24"/>
      <c r="DY187">
        <v>19260012</v>
      </c>
      <c r="DZ187">
        <v>20000000</v>
      </c>
      <c r="EA187">
        <v>19270046</v>
      </c>
      <c r="EB187">
        <v>330</v>
      </c>
      <c r="EC187">
        <v>114</v>
      </c>
      <c r="EE187" s="24"/>
      <c r="EF187">
        <v>129</v>
      </c>
      <c r="EG187">
        <v>133</v>
      </c>
      <c r="EH187">
        <v>133</v>
      </c>
      <c r="EI187">
        <v>127378561</v>
      </c>
      <c r="EJ187">
        <v>229</v>
      </c>
      <c r="EL187" s="24"/>
      <c r="EM187">
        <v>57520</v>
      </c>
      <c r="EN187">
        <v>58520</v>
      </c>
      <c r="EO187">
        <v>58005</v>
      </c>
      <c r="EP187">
        <v>64349</v>
      </c>
      <c r="EQ187">
        <v>729</v>
      </c>
      <c r="ES187" s="24"/>
      <c r="ET187">
        <v>354</v>
      </c>
      <c r="EU187">
        <v>369</v>
      </c>
      <c r="EV187">
        <v>364</v>
      </c>
      <c r="EW187">
        <v>45581390</v>
      </c>
      <c r="EX187">
        <v>785</v>
      </c>
      <c r="EZ187" s="24"/>
      <c r="FA187">
        <v>3450000</v>
      </c>
      <c r="FB187">
        <v>3450000</v>
      </c>
      <c r="FC187">
        <v>3450000</v>
      </c>
      <c r="FD187">
        <v>1450</v>
      </c>
      <c r="FE187">
        <v>25</v>
      </c>
      <c r="FG187" s="24"/>
      <c r="FH187">
        <v>5906</v>
      </c>
      <c r="FI187">
        <v>5906</v>
      </c>
      <c r="FJ187">
        <v>5906</v>
      </c>
      <c r="FK187">
        <v>2584140</v>
      </c>
      <c r="FL187">
        <v>452</v>
      </c>
      <c r="FN187" s="24"/>
      <c r="FO187">
        <v>17529</v>
      </c>
      <c r="FP187">
        <v>17996</v>
      </c>
      <c r="FQ187">
        <v>17529</v>
      </c>
      <c r="FR187">
        <v>331957</v>
      </c>
      <c r="FS187">
        <v>124</v>
      </c>
      <c r="FU187" s="24"/>
      <c r="FV187">
        <v>17810</v>
      </c>
      <c r="FW187">
        <v>18064</v>
      </c>
      <c r="FX187">
        <v>18061</v>
      </c>
      <c r="FY187">
        <v>405277</v>
      </c>
      <c r="FZ187">
        <v>1351</v>
      </c>
      <c r="GB187" s="24"/>
      <c r="GC187">
        <v>92200008</v>
      </c>
      <c r="GD187">
        <v>98004997</v>
      </c>
      <c r="GE187">
        <v>96189202</v>
      </c>
      <c r="GF187">
        <v>56</v>
      </c>
      <c r="GG187">
        <v>46</v>
      </c>
      <c r="GI187" s="24"/>
      <c r="GJ187">
        <v>23804508</v>
      </c>
      <c r="GK187">
        <v>24899999</v>
      </c>
      <c r="GL187">
        <v>23804509</v>
      </c>
      <c r="GM187">
        <v>502</v>
      </c>
      <c r="GN187">
        <v>87</v>
      </c>
      <c r="GP187" s="24"/>
      <c r="GQ187">
        <v>78</v>
      </c>
      <c r="GR187">
        <v>81</v>
      </c>
      <c r="GS187">
        <v>78</v>
      </c>
      <c r="GT187">
        <v>183292720</v>
      </c>
      <c r="GU187">
        <v>143</v>
      </c>
      <c r="GW187" s="24"/>
      <c r="GX187">
        <v>481</v>
      </c>
      <c r="GY187">
        <v>502</v>
      </c>
      <c r="GZ187">
        <v>494</v>
      </c>
      <c r="HA187">
        <v>46830914</v>
      </c>
      <c r="HB187">
        <v>263</v>
      </c>
      <c r="HD187" s="24"/>
      <c r="HE187">
        <v>5950</v>
      </c>
      <c r="HF187">
        <v>6019</v>
      </c>
      <c r="HG187">
        <v>6019</v>
      </c>
      <c r="HH187">
        <v>21913610</v>
      </c>
      <c r="HI187">
        <v>317</v>
      </c>
      <c r="HK187" s="24"/>
      <c r="HL187">
        <v>93138000</v>
      </c>
      <c r="HM187">
        <v>100994999</v>
      </c>
      <c r="HN187">
        <v>97819000</v>
      </c>
      <c r="HO187">
        <v>112</v>
      </c>
      <c r="HP187">
        <v>65</v>
      </c>
      <c r="HR187" s="24"/>
      <c r="HS187">
        <v>6260</v>
      </c>
      <c r="HT187">
        <v>6655</v>
      </c>
      <c r="HU187">
        <v>6302</v>
      </c>
      <c r="HV187">
        <v>613924</v>
      </c>
      <c r="HW187">
        <v>142</v>
      </c>
      <c r="HY187" s="24"/>
      <c r="HZ187">
        <v>4900</v>
      </c>
      <c r="IA187">
        <v>5298</v>
      </c>
      <c r="IB187">
        <v>5174</v>
      </c>
      <c r="IC187">
        <v>1756403</v>
      </c>
      <c r="ID187">
        <v>449</v>
      </c>
      <c r="IF187" s="24"/>
      <c r="IG187">
        <v>2765</v>
      </c>
      <c r="IH187">
        <v>2790</v>
      </c>
      <c r="II187">
        <v>2790</v>
      </c>
      <c r="IJ187">
        <v>1724963</v>
      </c>
      <c r="IK187">
        <v>180</v>
      </c>
      <c r="IM187" s="24"/>
      <c r="IN187">
        <v>93019136</v>
      </c>
      <c r="IO187">
        <v>97492000</v>
      </c>
      <c r="IP187">
        <v>93019146</v>
      </c>
      <c r="IQ187">
        <v>126</v>
      </c>
      <c r="IR187">
        <v>73</v>
      </c>
      <c r="IT187" s="24"/>
      <c r="IU187">
        <v>7856</v>
      </c>
      <c r="IV187">
        <v>8097</v>
      </c>
      <c r="IW187">
        <v>7999</v>
      </c>
      <c r="IX187">
        <v>1624294</v>
      </c>
      <c r="IY187">
        <v>198</v>
      </c>
      <c r="JA187" s="24"/>
      <c r="JB187">
        <v>92090001</v>
      </c>
      <c r="JC187">
        <v>99083060</v>
      </c>
      <c r="JD187">
        <v>96350187</v>
      </c>
      <c r="JE187">
        <v>59</v>
      </c>
      <c r="JF187">
        <v>53</v>
      </c>
      <c r="JH187" s="24"/>
      <c r="JI187">
        <v>93000012</v>
      </c>
      <c r="JJ187">
        <v>97799764</v>
      </c>
      <c r="JK187">
        <v>96697103</v>
      </c>
      <c r="JL187">
        <v>54</v>
      </c>
      <c r="JM187">
        <v>46</v>
      </c>
      <c r="JO187" s="24"/>
      <c r="JP187">
        <v>72</v>
      </c>
      <c r="JQ187">
        <v>72</v>
      </c>
      <c r="JR187">
        <v>72</v>
      </c>
      <c r="JS187">
        <v>152490657</v>
      </c>
      <c r="JT187">
        <v>105</v>
      </c>
      <c r="JV187" s="24"/>
      <c r="JW187">
        <v>62</v>
      </c>
      <c r="JX187">
        <v>65</v>
      </c>
      <c r="JY187">
        <v>65</v>
      </c>
      <c r="JZ187">
        <v>159054861</v>
      </c>
      <c r="KA187">
        <v>133</v>
      </c>
      <c r="KC187" s="24"/>
      <c r="KD187">
        <v>22</v>
      </c>
      <c r="KE187">
        <v>23</v>
      </c>
      <c r="KF187">
        <v>23</v>
      </c>
      <c r="KG187">
        <v>42468524</v>
      </c>
      <c r="KH187">
        <v>326</v>
      </c>
      <c r="KJ187" s="24"/>
      <c r="KK187">
        <v>70</v>
      </c>
      <c r="KL187">
        <v>73</v>
      </c>
      <c r="KM187">
        <v>72</v>
      </c>
      <c r="KN187">
        <v>156502794</v>
      </c>
      <c r="KO187">
        <v>133</v>
      </c>
      <c r="KQ187" s="24"/>
      <c r="KR187">
        <v>103120</v>
      </c>
      <c r="KS187">
        <v>105000</v>
      </c>
      <c r="KT187">
        <v>103127</v>
      </c>
      <c r="KU187">
        <v>51996</v>
      </c>
      <c r="KV187">
        <v>672</v>
      </c>
      <c r="KX187" s="24"/>
      <c r="KY187">
        <v>466</v>
      </c>
      <c r="KZ187">
        <v>485</v>
      </c>
      <c r="LA187">
        <v>485</v>
      </c>
      <c r="LB187">
        <v>6805898</v>
      </c>
      <c r="LC187">
        <v>180</v>
      </c>
      <c r="LE187" s="24"/>
      <c r="LF187">
        <v>183250</v>
      </c>
      <c r="LG187">
        <v>189400</v>
      </c>
      <c r="LH187">
        <v>183404</v>
      </c>
      <c r="LI187">
        <v>171954</v>
      </c>
      <c r="LJ187">
        <v>1018</v>
      </c>
      <c r="LL187" s="24"/>
      <c r="LM187">
        <v>75005</v>
      </c>
      <c r="LN187">
        <v>77698</v>
      </c>
      <c r="LO187">
        <v>76002</v>
      </c>
      <c r="LP187">
        <v>459373</v>
      </c>
      <c r="LQ187">
        <v>1412</v>
      </c>
      <c r="LS187" s="24"/>
      <c r="LT187">
        <v>566</v>
      </c>
      <c r="LU187">
        <v>584</v>
      </c>
      <c r="LV187">
        <v>583</v>
      </c>
      <c r="LW187">
        <v>85728505</v>
      </c>
      <c r="LX187">
        <v>416</v>
      </c>
      <c r="LZ187" s="24"/>
      <c r="MA187">
        <v>113001</v>
      </c>
      <c r="MB187">
        <v>115000</v>
      </c>
      <c r="MC187">
        <v>114993</v>
      </c>
      <c r="MD187">
        <v>1250893</v>
      </c>
      <c r="ME187">
        <v>128</v>
      </c>
    </row>
    <row r="188" spans="2:343" x14ac:dyDescent="0.25">
      <c r="B188" s="24"/>
      <c r="C188">
        <v>3</v>
      </c>
      <c r="D188">
        <v>3</v>
      </c>
      <c r="E188">
        <v>3</v>
      </c>
      <c r="F188">
        <v>26249660279</v>
      </c>
      <c r="G188">
        <v>3536</v>
      </c>
      <c r="I188" s="24"/>
      <c r="J188">
        <v>4</v>
      </c>
      <c r="K188">
        <v>4</v>
      </c>
      <c r="L188">
        <v>4</v>
      </c>
      <c r="M188">
        <v>4729412435</v>
      </c>
      <c r="N188">
        <v>2436</v>
      </c>
      <c r="P188" s="24"/>
      <c r="Q188">
        <v>26</v>
      </c>
      <c r="R188">
        <v>26</v>
      </c>
      <c r="S188">
        <v>26</v>
      </c>
      <c r="T188">
        <v>1708697092</v>
      </c>
      <c r="U188">
        <v>2193</v>
      </c>
      <c r="W188" s="24"/>
      <c r="X188">
        <v>64</v>
      </c>
      <c r="Y188">
        <v>65</v>
      </c>
      <c r="Z188">
        <v>65</v>
      </c>
      <c r="AA188">
        <v>392319536</v>
      </c>
      <c r="AB188">
        <v>1777</v>
      </c>
      <c r="AD188" s="24"/>
      <c r="AE188">
        <v>471</v>
      </c>
      <c r="AF188">
        <v>477</v>
      </c>
      <c r="AG188">
        <v>471</v>
      </c>
      <c r="AH188">
        <v>123262279</v>
      </c>
      <c r="AI188">
        <v>1887</v>
      </c>
      <c r="AK188" s="24"/>
      <c r="AL188">
        <v>868</v>
      </c>
      <c r="AM188">
        <v>885</v>
      </c>
      <c r="AN188">
        <v>879</v>
      </c>
      <c r="AO188">
        <v>38045837</v>
      </c>
      <c r="AP188">
        <v>1478</v>
      </c>
      <c r="AR188" s="24"/>
      <c r="AS188">
        <v>2395</v>
      </c>
      <c r="AT188">
        <v>2441</v>
      </c>
      <c r="AU188">
        <v>2420</v>
      </c>
      <c r="AV188">
        <v>12977572</v>
      </c>
      <c r="AW188">
        <v>1495</v>
      </c>
      <c r="AY188" s="24"/>
      <c r="AZ188">
        <v>378091501</v>
      </c>
      <c r="BA188">
        <v>386498999</v>
      </c>
      <c r="BB188">
        <v>383499999</v>
      </c>
      <c r="BC188">
        <v>2562</v>
      </c>
      <c r="BD188">
        <v>1693</v>
      </c>
      <c r="BF188" s="24"/>
      <c r="BG188">
        <v>25400</v>
      </c>
      <c r="BH188">
        <v>25400</v>
      </c>
      <c r="BI188">
        <v>25400</v>
      </c>
      <c r="BJ188">
        <v>2772799</v>
      </c>
      <c r="BK188">
        <v>248</v>
      </c>
      <c r="BM188" s="24"/>
      <c r="BN188">
        <v>5400003</v>
      </c>
      <c r="BO188">
        <v>5590000</v>
      </c>
      <c r="BP188">
        <v>5521000</v>
      </c>
      <c r="BQ188">
        <v>9783</v>
      </c>
      <c r="BR188">
        <v>297</v>
      </c>
      <c r="BT188" s="24"/>
      <c r="BU188">
        <v>2545</v>
      </c>
      <c r="BV188">
        <v>2618</v>
      </c>
      <c r="BW188">
        <v>2618</v>
      </c>
      <c r="BX188">
        <v>21843445</v>
      </c>
      <c r="BY188">
        <v>267</v>
      </c>
      <c r="CA188" s="24"/>
      <c r="CB188">
        <v>546</v>
      </c>
      <c r="CC188">
        <v>564</v>
      </c>
      <c r="CD188">
        <v>563</v>
      </c>
      <c r="CE188">
        <v>74490742</v>
      </c>
      <c r="CF188">
        <v>309</v>
      </c>
      <c r="CH188" s="24"/>
      <c r="CI188">
        <v>22408</v>
      </c>
      <c r="CJ188">
        <v>22419</v>
      </c>
      <c r="CK188">
        <v>22413</v>
      </c>
      <c r="CL188">
        <v>509980</v>
      </c>
      <c r="CM188">
        <v>195</v>
      </c>
      <c r="CO188" s="24"/>
      <c r="CP188">
        <v>7011</v>
      </c>
      <c r="CQ188">
        <v>7188</v>
      </c>
      <c r="CR188">
        <v>7129</v>
      </c>
      <c r="CS188">
        <v>1016639</v>
      </c>
      <c r="CT188">
        <v>408</v>
      </c>
      <c r="CV188" s="24"/>
      <c r="CW188">
        <v>1334437</v>
      </c>
      <c r="CX188">
        <v>1334500</v>
      </c>
      <c r="CY188">
        <v>1334498</v>
      </c>
      <c r="CZ188">
        <v>14265</v>
      </c>
      <c r="DA188">
        <v>36</v>
      </c>
      <c r="DC188" s="24"/>
      <c r="DD188">
        <v>558</v>
      </c>
      <c r="DE188">
        <v>558</v>
      </c>
      <c r="DF188">
        <v>558</v>
      </c>
      <c r="DG188">
        <v>30012517</v>
      </c>
      <c r="DH188">
        <v>179</v>
      </c>
      <c r="DJ188" s="24"/>
      <c r="DK188">
        <v>33415241</v>
      </c>
      <c r="DL188">
        <v>34000021</v>
      </c>
      <c r="DM188">
        <v>34000021</v>
      </c>
      <c r="DN188">
        <v>375</v>
      </c>
      <c r="DO188">
        <v>111</v>
      </c>
      <c r="DQ188" s="24"/>
      <c r="DR188">
        <v>1860057</v>
      </c>
      <c r="DS188">
        <v>2089998</v>
      </c>
      <c r="DT188">
        <v>1860078</v>
      </c>
      <c r="DU188">
        <v>7000</v>
      </c>
      <c r="DV188">
        <v>282</v>
      </c>
      <c r="DX188" s="24"/>
      <c r="DY188">
        <v>19290021</v>
      </c>
      <c r="DZ188">
        <v>20999999</v>
      </c>
      <c r="EA188">
        <v>19290033</v>
      </c>
      <c r="EB188">
        <v>431</v>
      </c>
      <c r="EC188">
        <v>114</v>
      </c>
      <c r="EE188" s="24"/>
      <c r="EF188">
        <v>130</v>
      </c>
      <c r="EG188">
        <v>137</v>
      </c>
      <c r="EH188">
        <v>131</v>
      </c>
      <c r="EI188">
        <v>103090501</v>
      </c>
      <c r="EJ188">
        <v>175</v>
      </c>
      <c r="EL188" s="24"/>
      <c r="EM188">
        <v>58007</v>
      </c>
      <c r="EN188">
        <v>61015</v>
      </c>
      <c r="EO188">
        <v>58015</v>
      </c>
      <c r="EP188">
        <v>75576</v>
      </c>
      <c r="EQ188">
        <v>832</v>
      </c>
      <c r="ES188" s="24"/>
      <c r="ET188">
        <v>350</v>
      </c>
      <c r="EU188">
        <v>367</v>
      </c>
      <c r="EV188">
        <v>364</v>
      </c>
      <c r="EW188">
        <v>38738970</v>
      </c>
      <c r="EX188">
        <v>818</v>
      </c>
      <c r="EZ188" s="24"/>
      <c r="FA188">
        <v>3450000</v>
      </c>
      <c r="FB188">
        <v>3600000</v>
      </c>
      <c r="FC188">
        <v>3450000</v>
      </c>
      <c r="FD188">
        <v>1108</v>
      </c>
      <c r="FE188">
        <v>22</v>
      </c>
      <c r="FG188" s="24"/>
      <c r="FH188">
        <v>5855</v>
      </c>
      <c r="FI188">
        <v>6049</v>
      </c>
      <c r="FJ188">
        <v>6015</v>
      </c>
      <c r="FK188">
        <v>1886777</v>
      </c>
      <c r="FL188">
        <v>519</v>
      </c>
      <c r="FN188" s="24"/>
      <c r="FO188">
        <v>17006</v>
      </c>
      <c r="FP188">
        <v>17989</v>
      </c>
      <c r="FQ188">
        <v>17989</v>
      </c>
      <c r="FR188">
        <v>143163</v>
      </c>
      <c r="FS188">
        <v>83</v>
      </c>
      <c r="FU188" s="24"/>
      <c r="FV188">
        <v>17811</v>
      </c>
      <c r="FW188">
        <v>17849</v>
      </c>
      <c r="FX188">
        <v>17814</v>
      </c>
      <c r="FY188">
        <v>327633</v>
      </c>
      <c r="FZ188">
        <v>1499</v>
      </c>
      <c r="GB188" s="24"/>
      <c r="GC188">
        <v>92202011</v>
      </c>
      <c r="GD188">
        <v>98005000</v>
      </c>
      <c r="GE188">
        <v>97242872</v>
      </c>
      <c r="GF188">
        <v>49</v>
      </c>
      <c r="GG188">
        <v>45</v>
      </c>
      <c r="GI188" s="24"/>
      <c r="GJ188">
        <v>23081021</v>
      </c>
      <c r="GK188">
        <v>23703444</v>
      </c>
      <c r="GL188">
        <v>23081022</v>
      </c>
      <c r="GM188">
        <v>485</v>
      </c>
      <c r="GN188">
        <v>72</v>
      </c>
      <c r="GP188" s="24"/>
      <c r="GQ188">
        <v>77</v>
      </c>
      <c r="GR188">
        <v>81</v>
      </c>
      <c r="GS188">
        <v>79</v>
      </c>
      <c r="GT188">
        <v>106255016</v>
      </c>
      <c r="GU188">
        <v>125</v>
      </c>
      <c r="GW188" s="24"/>
      <c r="GX188">
        <v>483</v>
      </c>
      <c r="GY188">
        <v>506</v>
      </c>
      <c r="GZ188">
        <v>504</v>
      </c>
      <c r="HA188">
        <v>53589227</v>
      </c>
      <c r="HB188">
        <v>276</v>
      </c>
      <c r="HD188" s="24"/>
      <c r="HE188">
        <v>5870</v>
      </c>
      <c r="HF188">
        <v>6019</v>
      </c>
      <c r="HG188">
        <v>6019</v>
      </c>
      <c r="HH188">
        <v>13613472</v>
      </c>
      <c r="HI188">
        <v>273</v>
      </c>
      <c r="HK188" s="24"/>
      <c r="HL188">
        <v>93141003</v>
      </c>
      <c r="HM188">
        <v>100994787</v>
      </c>
      <c r="HN188">
        <v>96719770</v>
      </c>
      <c r="HO188">
        <v>90</v>
      </c>
      <c r="HP188">
        <v>68</v>
      </c>
      <c r="HR188" s="24"/>
      <c r="HS188">
        <v>6302</v>
      </c>
      <c r="HT188">
        <v>6648</v>
      </c>
      <c r="HU188">
        <v>6304</v>
      </c>
      <c r="HV188">
        <v>774237</v>
      </c>
      <c r="HW188">
        <v>170</v>
      </c>
      <c r="HY188" s="24"/>
      <c r="HZ188">
        <v>5104</v>
      </c>
      <c r="IA188">
        <v>5104</v>
      </c>
      <c r="IB188">
        <v>5104</v>
      </c>
      <c r="IC188">
        <v>2919352</v>
      </c>
      <c r="ID188">
        <v>503</v>
      </c>
      <c r="IF188" s="24"/>
      <c r="IG188">
        <v>2650</v>
      </c>
      <c r="IH188">
        <v>2764</v>
      </c>
      <c r="II188">
        <v>2763</v>
      </c>
      <c r="IJ188">
        <v>1621781</v>
      </c>
      <c r="IK188">
        <v>140</v>
      </c>
      <c r="IM188" s="24"/>
      <c r="IN188">
        <v>90000004</v>
      </c>
      <c r="IO188">
        <v>96491998</v>
      </c>
      <c r="IP188">
        <v>94201480</v>
      </c>
      <c r="IQ188">
        <v>74</v>
      </c>
      <c r="IR188">
        <v>58</v>
      </c>
      <c r="IT188" s="24"/>
      <c r="IU188">
        <v>8097</v>
      </c>
      <c r="IV188">
        <v>8097</v>
      </c>
      <c r="IW188">
        <v>8097</v>
      </c>
      <c r="IX188">
        <v>1078748</v>
      </c>
      <c r="IY188">
        <v>158</v>
      </c>
      <c r="JA188" s="24"/>
      <c r="JB188">
        <v>92092004</v>
      </c>
      <c r="JC188">
        <v>99878999</v>
      </c>
      <c r="JD188">
        <v>97367024</v>
      </c>
      <c r="JE188">
        <v>66</v>
      </c>
      <c r="JF188">
        <v>61</v>
      </c>
      <c r="JH188" s="24"/>
      <c r="JI188">
        <v>93100009</v>
      </c>
      <c r="JJ188">
        <v>97795598</v>
      </c>
      <c r="JK188">
        <v>96197282</v>
      </c>
      <c r="JL188">
        <v>50</v>
      </c>
      <c r="JM188">
        <v>43</v>
      </c>
      <c r="JO188" s="24"/>
      <c r="JP188">
        <v>70</v>
      </c>
      <c r="JQ188">
        <v>72</v>
      </c>
      <c r="JR188">
        <v>71</v>
      </c>
      <c r="JS188">
        <v>100360212</v>
      </c>
      <c r="JT188">
        <v>87</v>
      </c>
      <c r="JV188" s="24"/>
      <c r="JW188">
        <v>62</v>
      </c>
      <c r="JX188">
        <v>68</v>
      </c>
      <c r="JY188">
        <v>63</v>
      </c>
      <c r="JZ188">
        <v>116808052</v>
      </c>
      <c r="KA188">
        <v>106</v>
      </c>
      <c r="KC188" s="24"/>
      <c r="KD188">
        <v>20</v>
      </c>
      <c r="KE188">
        <v>22</v>
      </c>
      <c r="KF188">
        <v>21</v>
      </c>
      <c r="KG188">
        <v>49517177</v>
      </c>
      <c r="KH188">
        <v>368</v>
      </c>
      <c r="KJ188" s="24"/>
      <c r="KK188">
        <v>69</v>
      </c>
      <c r="KL188">
        <v>73</v>
      </c>
      <c r="KM188">
        <v>69</v>
      </c>
      <c r="KN188">
        <v>156577418</v>
      </c>
      <c r="KO188">
        <v>124</v>
      </c>
      <c r="KQ188" s="24"/>
      <c r="KR188">
        <v>103167</v>
      </c>
      <c r="KS188">
        <v>105000</v>
      </c>
      <c r="KT188">
        <v>103172</v>
      </c>
      <c r="KU188">
        <v>69516</v>
      </c>
      <c r="KV188">
        <v>854</v>
      </c>
      <c r="KX188" s="24"/>
      <c r="KY188">
        <v>468</v>
      </c>
      <c r="KZ188">
        <v>484</v>
      </c>
      <c r="LA188">
        <v>479</v>
      </c>
      <c r="LB188">
        <v>6267225</v>
      </c>
      <c r="LC188">
        <v>187</v>
      </c>
      <c r="LE188" s="24"/>
      <c r="LF188">
        <v>183660</v>
      </c>
      <c r="LG188">
        <v>187672</v>
      </c>
      <c r="LH188">
        <v>184001</v>
      </c>
      <c r="LI188">
        <v>124266</v>
      </c>
      <c r="LJ188">
        <v>1179</v>
      </c>
      <c r="LL188" s="24"/>
      <c r="LM188">
        <v>75000</v>
      </c>
      <c r="LN188">
        <v>75006</v>
      </c>
      <c r="LO188">
        <v>75000</v>
      </c>
      <c r="LP188">
        <v>366818</v>
      </c>
      <c r="LQ188">
        <v>1653</v>
      </c>
      <c r="LS188" s="24"/>
      <c r="LT188">
        <v>565</v>
      </c>
      <c r="LU188">
        <v>583</v>
      </c>
      <c r="LV188">
        <v>582</v>
      </c>
      <c r="LW188">
        <v>72282305</v>
      </c>
      <c r="LX188">
        <v>435</v>
      </c>
      <c r="LZ188" s="24"/>
      <c r="MA188">
        <v>112703</v>
      </c>
      <c r="MB188">
        <v>114000</v>
      </c>
      <c r="MC188">
        <v>113992</v>
      </c>
      <c r="MD188">
        <v>1174027</v>
      </c>
      <c r="ME188">
        <v>98</v>
      </c>
    </row>
    <row r="189" spans="2:343" x14ac:dyDescent="0.25">
      <c r="B189" s="24"/>
      <c r="C189">
        <v>3</v>
      </c>
      <c r="D189">
        <v>3</v>
      </c>
      <c r="E189">
        <v>3</v>
      </c>
      <c r="F189">
        <v>29074119891</v>
      </c>
      <c r="G189">
        <v>3010</v>
      </c>
      <c r="I189" s="24"/>
      <c r="J189">
        <v>4</v>
      </c>
      <c r="K189">
        <v>4</v>
      </c>
      <c r="L189">
        <v>4</v>
      </c>
      <c r="M189">
        <v>6288684771</v>
      </c>
      <c r="N189">
        <v>2151</v>
      </c>
      <c r="P189" s="24"/>
      <c r="Q189">
        <v>25</v>
      </c>
      <c r="R189">
        <v>26</v>
      </c>
      <c r="S189">
        <v>26</v>
      </c>
      <c r="T189">
        <v>1349519169</v>
      </c>
      <c r="U189">
        <v>1888</v>
      </c>
      <c r="W189" s="24"/>
      <c r="X189">
        <v>65</v>
      </c>
      <c r="Y189">
        <v>65</v>
      </c>
      <c r="Z189">
        <v>65</v>
      </c>
      <c r="AA189">
        <v>391206168</v>
      </c>
      <c r="AB189">
        <v>1566</v>
      </c>
      <c r="AD189" s="24"/>
      <c r="AE189">
        <v>440</v>
      </c>
      <c r="AF189">
        <v>457</v>
      </c>
      <c r="AG189">
        <v>457</v>
      </c>
      <c r="AH189">
        <v>134610798</v>
      </c>
      <c r="AI189">
        <v>1699</v>
      </c>
      <c r="AK189" s="24"/>
      <c r="AL189">
        <v>867</v>
      </c>
      <c r="AM189">
        <v>876</v>
      </c>
      <c r="AN189">
        <v>873</v>
      </c>
      <c r="AO189">
        <v>41396056</v>
      </c>
      <c r="AP189">
        <v>1293</v>
      </c>
      <c r="AR189" s="24"/>
      <c r="AS189">
        <v>2395</v>
      </c>
      <c r="AT189">
        <v>2454</v>
      </c>
      <c r="AU189">
        <v>2400</v>
      </c>
      <c r="AV189">
        <v>15987555</v>
      </c>
      <c r="AW189">
        <v>1299</v>
      </c>
      <c r="AY189" s="24"/>
      <c r="AZ189">
        <v>383000091</v>
      </c>
      <c r="BA189">
        <v>390000000</v>
      </c>
      <c r="BB189">
        <v>385250000</v>
      </c>
      <c r="BC189">
        <v>2070</v>
      </c>
      <c r="BD189">
        <v>1520</v>
      </c>
      <c r="BF189" s="24"/>
      <c r="BG189">
        <v>24150</v>
      </c>
      <c r="BH189">
        <v>24200</v>
      </c>
      <c r="BI189">
        <v>24150</v>
      </c>
      <c r="BJ189">
        <v>2656487</v>
      </c>
      <c r="BK189">
        <v>271</v>
      </c>
      <c r="BM189" s="24"/>
      <c r="BN189">
        <v>5400000</v>
      </c>
      <c r="BO189">
        <v>5624785</v>
      </c>
      <c r="BP189">
        <v>5500000</v>
      </c>
      <c r="BQ189">
        <v>11396</v>
      </c>
      <c r="BR189">
        <v>290</v>
      </c>
      <c r="BT189" s="24"/>
      <c r="BU189">
        <v>2546</v>
      </c>
      <c r="BV189">
        <v>2617</v>
      </c>
      <c r="BW189">
        <v>2604</v>
      </c>
      <c r="BX189">
        <v>26201352</v>
      </c>
      <c r="BY189">
        <v>277</v>
      </c>
      <c r="CA189" s="24"/>
      <c r="CB189">
        <v>562</v>
      </c>
      <c r="CC189">
        <v>563</v>
      </c>
      <c r="CD189">
        <v>562</v>
      </c>
      <c r="CE189">
        <v>73338412</v>
      </c>
      <c r="CF189">
        <v>267</v>
      </c>
      <c r="CH189" s="24"/>
      <c r="CI189">
        <v>22502</v>
      </c>
      <c r="CJ189">
        <v>22506</v>
      </c>
      <c r="CK189">
        <v>22502</v>
      </c>
      <c r="CL189">
        <v>677415</v>
      </c>
      <c r="CM189">
        <v>191</v>
      </c>
      <c r="CO189" s="24"/>
      <c r="CP189">
        <v>7011</v>
      </c>
      <c r="CQ189">
        <v>7250</v>
      </c>
      <c r="CR189">
        <v>7188</v>
      </c>
      <c r="CS189">
        <v>1441031</v>
      </c>
      <c r="CT189">
        <v>391</v>
      </c>
      <c r="CV189" s="24"/>
      <c r="CW189">
        <v>1399999</v>
      </c>
      <c r="CX189">
        <v>1489888</v>
      </c>
      <c r="CY189">
        <v>1400000</v>
      </c>
      <c r="CZ189">
        <v>13762</v>
      </c>
      <c r="DA189">
        <v>60</v>
      </c>
      <c r="DC189" s="24"/>
      <c r="DD189">
        <v>555</v>
      </c>
      <c r="DE189">
        <v>559</v>
      </c>
      <c r="DF189">
        <v>559</v>
      </c>
      <c r="DG189">
        <v>33885317</v>
      </c>
      <c r="DH189">
        <v>177</v>
      </c>
      <c r="DJ189" s="24"/>
      <c r="DK189">
        <v>34000025</v>
      </c>
      <c r="DL189">
        <v>34000030</v>
      </c>
      <c r="DM189">
        <v>34000027</v>
      </c>
      <c r="DN189">
        <v>573</v>
      </c>
      <c r="DO189">
        <v>103</v>
      </c>
      <c r="DQ189" s="24"/>
      <c r="DR189">
        <v>1853007</v>
      </c>
      <c r="DS189">
        <v>1920000</v>
      </c>
      <c r="DT189">
        <v>1860058</v>
      </c>
      <c r="DU189">
        <v>6803</v>
      </c>
      <c r="DV189">
        <v>251</v>
      </c>
      <c r="DX189" s="24"/>
      <c r="DY189">
        <v>19310005</v>
      </c>
      <c r="DZ189">
        <v>20999999</v>
      </c>
      <c r="EA189">
        <v>19350001</v>
      </c>
      <c r="EB189">
        <v>420</v>
      </c>
      <c r="EC189">
        <v>130</v>
      </c>
      <c r="EE189" s="24"/>
      <c r="EF189">
        <v>132</v>
      </c>
      <c r="EG189">
        <v>137</v>
      </c>
      <c r="EH189">
        <v>137</v>
      </c>
      <c r="EI189">
        <v>95146029</v>
      </c>
      <c r="EJ189">
        <v>179</v>
      </c>
      <c r="EL189" s="24"/>
      <c r="EM189">
        <v>58000</v>
      </c>
      <c r="EN189">
        <v>63998</v>
      </c>
      <c r="EO189">
        <v>58003</v>
      </c>
      <c r="EP189">
        <v>77931</v>
      </c>
      <c r="EQ189">
        <v>724</v>
      </c>
      <c r="ES189" s="24"/>
      <c r="ET189">
        <v>346</v>
      </c>
      <c r="EU189">
        <v>359</v>
      </c>
      <c r="EV189">
        <v>354</v>
      </c>
      <c r="EW189">
        <v>53260968</v>
      </c>
      <c r="EX189">
        <v>713</v>
      </c>
      <c r="EZ189" s="24"/>
      <c r="FA189">
        <v>3451000</v>
      </c>
      <c r="FB189">
        <v>3616189</v>
      </c>
      <c r="FC189">
        <v>3614994</v>
      </c>
      <c r="FD189">
        <v>1286</v>
      </c>
      <c r="FE189">
        <v>39</v>
      </c>
      <c r="FG189" s="24"/>
      <c r="FH189">
        <v>5860</v>
      </c>
      <c r="FI189">
        <v>6147</v>
      </c>
      <c r="FJ189">
        <v>6088</v>
      </c>
      <c r="FK189">
        <v>1837515</v>
      </c>
      <c r="FL189">
        <v>487</v>
      </c>
      <c r="FN189" s="24"/>
      <c r="FO189">
        <v>17500</v>
      </c>
      <c r="FP189">
        <v>17987</v>
      </c>
      <c r="FQ189">
        <v>17987</v>
      </c>
      <c r="FR189">
        <v>101807</v>
      </c>
      <c r="FS189">
        <v>88</v>
      </c>
      <c r="FU189" s="24"/>
      <c r="FV189">
        <v>17690</v>
      </c>
      <c r="FW189">
        <v>17711</v>
      </c>
      <c r="FX189">
        <v>17694</v>
      </c>
      <c r="FY189">
        <v>299734</v>
      </c>
      <c r="FZ189">
        <v>1296</v>
      </c>
      <c r="GB189" s="24"/>
      <c r="GC189">
        <v>92204006</v>
      </c>
      <c r="GD189">
        <v>100987994</v>
      </c>
      <c r="GE189">
        <v>97274345</v>
      </c>
      <c r="GF189">
        <v>75</v>
      </c>
      <c r="GG189">
        <v>65</v>
      </c>
      <c r="GI189" s="24"/>
      <c r="GJ189">
        <v>23021020</v>
      </c>
      <c r="GK189">
        <v>24799998</v>
      </c>
      <c r="GL189">
        <v>23081022</v>
      </c>
      <c r="GM189">
        <v>478</v>
      </c>
      <c r="GN189">
        <v>98</v>
      </c>
      <c r="GP189" s="24"/>
      <c r="GQ189">
        <v>78</v>
      </c>
      <c r="GR189">
        <v>79</v>
      </c>
      <c r="GS189">
        <v>78</v>
      </c>
      <c r="GT189">
        <v>187208703</v>
      </c>
      <c r="GU189">
        <v>130</v>
      </c>
      <c r="GW189" s="24"/>
      <c r="GX189">
        <v>490</v>
      </c>
      <c r="GY189">
        <v>510</v>
      </c>
      <c r="GZ189">
        <v>507</v>
      </c>
      <c r="HA189">
        <v>53689199</v>
      </c>
      <c r="HB189">
        <v>243</v>
      </c>
      <c r="HD189" s="24"/>
      <c r="HE189">
        <v>6039</v>
      </c>
      <c r="HF189">
        <v>6060</v>
      </c>
      <c r="HG189">
        <v>6050</v>
      </c>
      <c r="HH189">
        <v>12099538</v>
      </c>
      <c r="HI189">
        <v>254</v>
      </c>
      <c r="HK189" s="24"/>
      <c r="HL189">
        <v>93151204</v>
      </c>
      <c r="HM189">
        <v>99999999</v>
      </c>
      <c r="HN189">
        <v>96065435</v>
      </c>
      <c r="HO189">
        <v>98</v>
      </c>
      <c r="HP189">
        <v>70</v>
      </c>
      <c r="HR189" s="24"/>
      <c r="HS189">
        <v>6304</v>
      </c>
      <c r="HT189">
        <v>6500</v>
      </c>
      <c r="HU189">
        <v>6304</v>
      </c>
      <c r="HV189">
        <v>697308</v>
      </c>
      <c r="HW189">
        <v>136</v>
      </c>
      <c r="HY189" s="24"/>
      <c r="HZ189">
        <v>5106</v>
      </c>
      <c r="IA189">
        <v>5299</v>
      </c>
      <c r="IB189">
        <v>5297</v>
      </c>
      <c r="IC189">
        <v>2089027</v>
      </c>
      <c r="ID189">
        <v>504</v>
      </c>
      <c r="IF189" s="24"/>
      <c r="IG189">
        <v>2699</v>
      </c>
      <c r="IH189">
        <v>2763</v>
      </c>
      <c r="II189">
        <v>2700</v>
      </c>
      <c r="IJ189">
        <v>1430787</v>
      </c>
      <c r="IK189">
        <v>155</v>
      </c>
      <c r="IM189" s="24"/>
      <c r="IN189">
        <v>91000006</v>
      </c>
      <c r="IO189">
        <v>96485999</v>
      </c>
      <c r="IP189">
        <v>93181242</v>
      </c>
      <c r="IQ189">
        <v>88</v>
      </c>
      <c r="IR189">
        <v>61</v>
      </c>
      <c r="IT189" s="24"/>
      <c r="IU189">
        <v>8091</v>
      </c>
      <c r="IV189">
        <v>8095</v>
      </c>
      <c r="IW189">
        <v>8092</v>
      </c>
      <c r="IX189">
        <v>700323</v>
      </c>
      <c r="IY189">
        <v>147</v>
      </c>
      <c r="JA189" s="24"/>
      <c r="JB189">
        <v>93201007</v>
      </c>
      <c r="JC189">
        <v>99875999</v>
      </c>
      <c r="JD189">
        <v>96142878</v>
      </c>
      <c r="JE189">
        <v>93</v>
      </c>
      <c r="JF189">
        <v>73</v>
      </c>
      <c r="JH189" s="24"/>
      <c r="JI189">
        <v>93210027</v>
      </c>
      <c r="JJ189">
        <v>97794592</v>
      </c>
      <c r="JK189">
        <v>95564930</v>
      </c>
      <c r="JL189">
        <v>50</v>
      </c>
      <c r="JM189">
        <v>40</v>
      </c>
      <c r="JO189" s="24"/>
      <c r="JP189">
        <v>69</v>
      </c>
      <c r="JQ189">
        <v>72</v>
      </c>
      <c r="JR189">
        <v>72</v>
      </c>
      <c r="JS189">
        <v>101281702</v>
      </c>
      <c r="JT189">
        <v>99</v>
      </c>
      <c r="JV189" s="24"/>
      <c r="JW189">
        <v>63</v>
      </c>
      <c r="JX189">
        <v>66</v>
      </c>
      <c r="JY189">
        <v>64</v>
      </c>
      <c r="JZ189">
        <v>74212648</v>
      </c>
      <c r="KA189">
        <v>106</v>
      </c>
      <c r="KC189" s="24"/>
      <c r="KD189">
        <v>21</v>
      </c>
      <c r="KE189">
        <v>23</v>
      </c>
      <c r="KF189">
        <v>22</v>
      </c>
      <c r="KG189">
        <v>46773311</v>
      </c>
      <c r="KH189">
        <v>325</v>
      </c>
      <c r="KJ189" s="24"/>
      <c r="KK189">
        <v>70</v>
      </c>
      <c r="KL189">
        <v>72</v>
      </c>
      <c r="KM189">
        <v>72</v>
      </c>
      <c r="KN189">
        <v>107459166</v>
      </c>
      <c r="KO189">
        <v>101</v>
      </c>
      <c r="KQ189" s="24"/>
      <c r="KR189">
        <v>104750</v>
      </c>
      <c r="KS189">
        <v>105000</v>
      </c>
      <c r="KT189">
        <v>104752</v>
      </c>
      <c r="KU189">
        <v>67219</v>
      </c>
      <c r="KV189">
        <v>720</v>
      </c>
      <c r="KX189" s="24"/>
      <c r="KY189">
        <v>468</v>
      </c>
      <c r="KZ189">
        <v>479</v>
      </c>
      <c r="LA189">
        <v>468</v>
      </c>
      <c r="LB189">
        <v>9096160</v>
      </c>
      <c r="LC189">
        <v>181</v>
      </c>
      <c r="LE189" s="24"/>
      <c r="LF189">
        <v>184812</v>
      </c>
      <c r="LG189">
        <v>184820</v>
      </c>
      <c r="LH189">
        <v>184812</v>
      </c>
      <c r="LI189">
        <v>105450</v>
      </c>
      <c r="LJ189">
        <v>988</v>
      </c>
      <c r="LL189" s="24"/>
      <c r="LM189">
        <v>72800</v>
      </c>
      <c r="LN189">
        <v>73001</v>
      </c>
      <c r="LO189">
        <v>72871</v>
      </c>
      <c r="LP189">
        <v>305014</v>
      </c>
      <c r="LQ189">
        <v>1339</v>
      </c>
      <c r="LS189" s="24"/>
      <c r="LT189">
        <v>545</v>
      </c>
      <c r="LU189">
        <v>579</v>
      </c>
      <c r="LV189">
        <v>575</v>
      </c>
      <c r="LW189">
        <v>167985384</v>
      </c>
      <c r="LX189">
        <v>434</v>
      </c>
      <c r="LZ189" s="24"/>
      <c r="MA189">
        <v>114000</v>
      </c>
      <c r="MB189">
        <v>114000</v>
      </c>
      <c r="MC189">
        <v>114000</v>
      </c>
      <c r="MD189">
        <v>1030495</v>
      </c>
      <c r="ME189">
        <v>87</v>
      </c>
    </row>
    <row r="190" spans="2:343" x14ac:dyDescent="0.25">
      <c r="B190" s="24"/>
      <c r="C190">
        <v>3</v>
      </c>
      <c r="D190">
        <v>3</v>
      </c>
      <c r="E190">
        <v>3</v>
      </c>
      <c r="F190">
        <v>21793946899</v>
      </c>
      <c r="G190">
        <v>2595</v>
      </c>
      <c r="I190" s="24"/>
      <c r="J190">
        <v>4</v>
      </c>
      <c r="K190">
        <v>4</v>
      </c>
      <c r="L190">
        <v>4</v>
      </c>
      <c r="M190">
        <v>6755932434</v>
      </c>
      <c r="N190">
        <v>1914</v>
      </c>
      <c r="P190" s="24"/>
      <c r="Q190">
        <v>26</v>
      </c>
      <c r="R190">
        <v>26</v>
      </c>
      <c r="S190">
        <v>26</v>
      </c>
      <c r="T190">
        <v>1111446455</v>
      </c>
      <c r="U190">
        <v>1699</v>
      </c>
      <c r="W190" s="24"/>
      <c r="X190">
        <v>65</v>
      </c>
      <c r="Y190">
        <v>65</v>
      </c>
      <c r="Z190">
        <v>65</v>
      </c>
      <c r="AA190">
        <v>326779751</v>
      </c>
      <c r="AB190">
        <v>1397</v>
      </c>
      <c r="AD190" s="24"/>
      <c r="AE190">
        <v>441</v>
      </c>
      <c r="AF190">
        <v>465</v>
      </c>
      <c r="AG190">
        <v>457</v>
      </c>
      <c r="AH190">
        <v>121981511</v>
      </c>
      <c r="AI190">
        <v>1539</v>
      </c>
      <c r="AK190" s="24"/>
      <c r="AL190">
        <v>866</v>
      </c>
      <c r="AM190">
        <v>866</v>
      </c>
      <c r="AN190">
        <v>866</v>
      </c>
      <c r="AO190">
        <v>36469753</v>
      </c>
      <c r="AP190">
        <v>1194</v>
      </c>
      <c r="AR190" s="24"/>
      <c r="AS190">
        <v>2378</v>
      </c>
      <c r="AT190">
        <v>2474</v>
      </c>
      <c r="AU190">
        <v>2390</v>
      </c>
      <c r="AV190">
        <v>13593078</v>
      </c>
      <c r="AW190">
        <v>1225</v>
      </c>
      <c r="AY190" s="24"/>
      <c r="AZ190">
        <v>381015000</v>
      </c>
      <c r="BA190">
        <v>390400000</v>
      </c>
      <c r="BB190">
        <v>388949999</v>
      </c>
      <c r="BC190">
        <v>2063</v>
      </c>
      <c r="BD190">
        <v>1383</v>
      </c>
      <c r="BF190" s="24"/>
      <c r="BG190">
        <v>23006</v>
      </c>
      <c r="BH190">
        <v>24501</v>
      </c>
      <c r="BI190">
        <v>24008</v>
      </c>
      <c r="BJ190">
        <v>3778705</v>
      </c>
      <c r="BK190">
        <v>244</v>
      </c>
      <c r="BM190" s="24"/>
      <c r="BN190">
        <v>5405009</v>
      </c>
      <c r="BO190">
        <v>5600000</v>
      </c>
      <c r="BP190">
        <v>5408024</v>
      </c>
      <c r="BQ190">
        <v>10731</v>
      </c>
      <c r="BR190">
        <v>295</v>
      </c>
      <c r="BT190" s="24"/>
      <c r="BU190">
        <v>2527</v>
      </c>
      <c r="BV190">
        <v>2611</v>
      </c>
      <c r="BW190">
        <v>2527</v>
      </c>
      <c r="BX190">
        <v>24236021</v>
      </c>
      <c r="BY190">
        <v>234</v>
      </c>
      <c r="CA190" s="24"/>
      <c r="CB190">
        <v>562</v>
      </c>
      <c r="CC190">
        <v>562</v>
      </c>
      <c r="CD190">
        <v>562</v>
      </c>
      <c r="CE190">
        <v>50921472</v>
      </c>
      <c r="CF190">
        <v>225</v>
      </c>
      <c r="CH190" s="24"/>
      <c r="CI190">
        <v>23001</v>
      </c>
      <c r="CJ190">
        <v>23001</v>
      </c>
      <c r="CK190">
        <v>23001</v>
      </c>
      <c r="CL190">
        <v>805030</v>
      </c>
      <c r="CM190">
        <v>140</v>
      </c>
      <c r="CO190" s="24"/>
      <c r="CP190">
        <v>7010</v>
      </c>
      <c r="CQ190">
        <v>7289</v>
      </c>
      <c r="CR190">
        <v>7110</v>
      </c>
      <c r="CS190">
        <v>1076211</v>
      </c>
      <c r="CT190">
        <v>345</v>
      </c>
      <c r="CV190" s="24"/>
      <c r="CW190">
        <v>1589879</v>
      </c>
      <c r="CX190">
        <v>1589887</v>
      </c>
      <c r="CY190">
        <v>1589887</v>
      </c>
      <c r="CZ190">
        <v>8036</v>
      </c>
      <c r="DA190">
        <v>41</v>
      </c>
      <c r="DC190" s="24"/>
      <c r="DD190">
        <v>549</v>
      </c>
      <c r="DE190">
        <v>563</v>
      </c>
      <c r="DF190">
        <v>563</v>
      </c>
      <c r="DG190">
        <v>37480304</v>
      </c>
      <c r="DH190">
        <v>190</v>
      </c>
      <c r="DJ190" s="24"/>
      <c r="DK190">
        <v>33415235</v>
      </c>
      <c r="DL190">
        <v>33415239</v>
      </c>
      <c r="DM190">
        <v>33415237</v>
      </c>
      <c r="DN190">
        <v>387</v>
      </c>
      <c r="DO190">
        <v>81</v>
      </c>
      <c r="DQ190" s="24"/>
      <c r="DR190">
        <v>1853010</v>
      </c>
      <c r="DS190">
        <v>1944999</v>
      </c>
      <c r="DT190">
        <v>1853011</v>
      </c>
      <c r="DU190">
        <v>5515</v>
      </c>
      <c r="DV190">
        <v>197</v>
      </c>
      <c r="DX190" s="24"/>
      <c r="DY190">
        <v>19360008</v>
      </c>
      <c r="DZ190">
        <v>22598000</v>
      </c>
      <c r="EA190">
        <v>19360023</v>
      </c>
      <c r="EB190">
        <v>420</v>
      </c>
      <c r="EC190">
        <v>93</v>
      </c>
      <c r="EE190" s="24"/>
      <c r="EF190">
        <v>135</v>
      </c>
      <c r="EG190">
        <v>139</v>
      </c>
      <c r="EH190">
        <v>137</v>
      </c>
      <c r="EI190">
        <v>78065585</v>
      </c>
      <c r="EJ190">
        <v>163</v>
      </c>
      <c r="EL190" s="24"/>
      <c r="EM190">
        <v>58009</v>
      </c>
      <c r="EN190">
        <v>58015</v>
      </c>
      <c r="EO190">
        <v>58010</v>
      </c>
      <c r="EP190">
        <v>65415</v>
      </c>
      <c r="EQ190">
        <v>672</v>
      </c>
      <c r="ES190" s="24"/>
      <c r="ET190">
        <v>350</v>
      </c>
      <c r="EU190">
        <v>357</v>
      </c>
      <c r="EV190">
        <v>357</v>
      </c>
      <c r="EW190">
        <v>29994785</v>
      </c>
      <c r="EX190">
        <v>572</v>
      </c>
      <c r="EZ190" s="24"/>
      <c r="FA190">
        <v>3451000</v>
      </c>
      <c r="FB190">
        <v>3451000</v>
      </c>
      <c r="FC190">
        <v>3451000</v>
      </c>
      <c r="FD190">
        <v>1169</v>
      </c>
      <c r="FE190">
        <v>23</v>
      </c>
      <c r="FG190" s="24"/>
      <c r="FH190">
        <v>5862</v>
      </c>
      <c r="FI190">
        <v>6273</v>
      </c>
      <c r="FJ190">
        <v>6100</v>
      </c>
      <c r="FK190">
        <v>1639205</v>
      </c>
      <c r="FL190">
        <v>435</v>
      </c>
      <c r="FN190" s="24"/>
      <c r="FO190">
        <v>17981</v>
      </c>
      <c r="FP190">
        <v>17984</v>
      </c>
      <c r="FQ190">
        <v>17984</v>
      </c>
      <c r="FR190">
        <v>84775</v>
      </c>
      <c r="FS190">
        <v>75</v>
      </c>
      <c r="FU190" s="24"/>
      <c r="FV190">
        <v>17713</v>
      </c>
      <c r="FW190">
        <v>17715</v>
      </c>
      <c r="FX190">
        <v>17713</v>
      </c>
      <c r="FY190">
        <v>247263</v>
      </c>
      <c r="FZ190">
        <v>1190</v>
      </c>
      <c r="GB190" s="24"/>
      <c r="GC190">
        <v>92300000</v>
      </c>
      <c r="GD190">
        <v>96000001</v>
      </c>
      <c r="GE190">
        <v>94746539</v>
      </c>
      <c r="GF190">
        <v>63</v>
      </c>
      <c r="GG190">
        <v>43</v>
      </c>
      <c r="GI190" s="24"/>
      <c r="GJ190">
        <v>22499999</v>
      </c>
      <c r="GK190">
        <v>22500002</v>
      </c>
      <c r="GL190">
        <v>22499999</v>
      </c>
      <c r="GM190">
        <v>353</v>
      </c>
      <c r="GN190">
        <v>54</v>
      </c>
      <c r="GP190" s="24"/>
      <c r="GQ190">
        <v>78</v>
      </c>
      <c r="GR190">
        <v>79</v>
      </c>
      <c r="GS190">
        <v>79</v>
      </c>
      <c r="GT190">
        <v>83305464</v>
      </c>
      <c r="GU190">
        <v>96</v>
      </c>
      <c r="GW190" s="24"/>
      <c r="GX190">
        <v>492</v>
      </c>
      <c r="GY190">
        <v>510</v>
      </c>
      <c r="GZ190">
        <v>505</v>
      </c>
      <c r="HA190">
        <v>53938602</v>
      </c>
      <c r="HB190">
        <v>217</v>
      </c>
      <c r="HD190" s="24"/>
      <c r="HE190">
        <v>6010</v>
      </c>
      <c r="HF190">
        <v>6059</v>
      </c>
      <c r="HG190">
        <v>6059</v>
      </c>
      <c r="HH190">
        <v>8656616</v>
      </c>
      <c r="HI190">
        <v>202</v>
      </c>
      <c r="HK190" s="24"/>
      <c r="HL190">
        <v>93200017</v>
      </c>
      <c r="HM190">
        <v>99941995</v>
      </c>
      <c r="HN190">
        <v>95766391</v>
      </c>
      <c r="HO190">
        <v>51</v>
      </c>
      <c r="HP190">
        <v>42</v>
      </c>
      <c r="HR190" s="24"/>
      <c r="HS190">
        <v>6127</v>
      </c>
      <c r="HT190">
        <v>6499</v>
      </c>
      <c r="HU190">
        <v>6449</v>
      </c>
      <c r="HV190">
        <v>905629</v>
      </c>
      <c r="HW190">
        <v>144</v>
      </c>
      <c r="HY190" s="24"/>
      <c r="HZ190">
        <v>5108</v>
      </c>
      <c r="IA190">
        <v>5369</v>
      </c>
      <c r="IB190">
        <v>5337</v>
      </c>
      <c r="IC190">
        <v>2065618</v>
      </c>
      <c r="ID190">
        <v>446</v>
      </c>
      <c r="IF190" s="24"/>
      <c r="IG190">
        <v>2698</v>
      </c>
      <c r="IH190">
        <v>2699</v>
      </c>
      <c r="II190">
        <v>2699</v>
      </c>
      <c r="IJ190">
        <v>1064051</v>
      </c>
      <c r="IK190">
        <v>111</v>
      </c>
      <c r="IM190" s="24"/>
      <c r="IN190">
        <v>91001023</v>
      </c>
      <c r="IO190">
        <v>96468000</v>
      </c>
      <c r="IP190">
        <v>93612194</v>
      </c>
      <c r="IQ190">
        <v>43</v>
      </c>
      <c r="IR190">
        <v>39</v>
      </c>
      <c r="IT190" s="24"/>
      <c r="IU190">
        <v>7882</v>
      </c>
      <c r="IV190">
        <v>8084</v>
      </c>
      <c r="IW190">
        <v>8083</v>
      </c>
      <c r="IX190">
        <v>997891</v>
      </c>
      <c r="IY190">
        <v>130</v>
      </c>
      <c r="JA190" s="24"/>
      <c r="JB190">
        <v>93386064</v>
      </c>
      <c r="JC190">
        <v>98998886</v>
      </c>
      <c r="JD190">
        <v>95303838</v>
      </c>
      <c r="JE190">
        <v>51</v>
      </c>
      <c r="JF190">
        <v>46</v>
      </c>
      <c r="JH190" s="24"/>
      <c r="JI190">
        <v>93210042</v>
      </c>
      <c r="JJ190">
        <v>97552894</v>
      </c>
      <c r="JK190">
        <v>94312100</v>
      </c>
      <c r="JL190">
        <v>53</v>
      </c>
      <c r="JM190">
        <v>36</v>
      </c>
      <c r="JO190" s="24"/>
      <c r="JP190">
        <v>67</v>
      </c>
      <c r="JQ190">
        <v>72</v>
      </c>
      <c r="JR190">
        <v>67</v>
      </c>
      <c r="JS190">
        <v>92910208</v>
      </c>
      <c r="JT190">
        <v>90</v>
      </c>
      <c r="JV190" s="24"/>
      <c r="JW190">
        <v>64</v>
      </c>
      <c r="JX190">
        <v>65</v>
      </c>
      <c r="JY190">
        <v>64</v>
      </c>
      <c r="JZ190">
        <v>160608422</v>
      </c>
      <c r="KA190">
        <v>120</v>
      </c>
      <c r="KC190" s="24"/>
      <c r="KD190">
        <v>21</v>
      </c>
      <c r="KE190">
        <v>22</v>
      </c>
      <c r="KF190">
        <v>22</v>
      </c>
      <c r="KG190">
        <v>38492107</v>
      </c>
      <c r="KH190">
        <v>296</v>
      </c>
      <c r="KJ190" s="24"/>
      <c r="KK190">
        <v>71</v>
      </c>
      <c r="KL190">
        <v>72</v>
      </c>
      <c r="KM190">
        <v>71</v>
      </c>
      <c r="KN190">
        <v>127370757</v>
      </c>
      <c r="KO190">
        <v>97</v>
      </c>
      <c r="KQ190" s="24"/>
      <c r="KR190">
        <v>104756</v>
      </c>
      <c r="KS190">
        <v>104858</v>
      </c>
      <c r="KT190">
        <v>104758</v>
      </c>
      <c r="KU190">
        <v>50102</v>
      </c>
      <c r="KV190">
        <v>620</v>
      </c>
      <c r="KX190" s="24"/>
      <c r="KY190">
        <v>477</v>
      </c>
      <c r="KZ190">
        <v>478</v>
      </c>
      <c r="LA190">
        <v>478</v>
      </c>
      <c r="LB190">
        <v>2541971</v>
      </c>
      <c r="LC190">
        <v>152</v>
      </c>
      <c r="LE190" s="24"/>
      <c r="LF190">
        <v>184003</v>
      </c>
      <c r="LG190">
        <v>184200</v>
      </c>
      <c r="LH190">
        <v>184003</v>
      </c>
      <c r="LI190">
        <v>126892</v>
      </c>
      <c r="LJ190">
        <v>920</v>
      </c>
      <c r="LL190" s="24"/>
      <c r="LM190">
        <v>72883</v>
      </c>
      <c r="LN190">
        <v>74574</v>
      </c>
      <c r="LO190">
        <v>73001</v>
      </c>
      <c r="LP190">
        <v>207232</v>
      </c>
      <c r="LQ190">
        <v>1238</v>
      </c>
      <c r="LS190" s="24"/>
      <c r="LT190">
        <v>540</v>
      </c>
      <c r="LU190">
        <v>572</v>
      </c>
      <c r="LV190">
        <v>572</v>
      </c>
      <c r="LW190">
        <v>91678994</v>
      </c>
      <c r="LX190">
        <v>420</v>
      </c>
      <c r="LZ190" s="24"/>
      <c r="MA190">
        <v>114998</v>
      </c>
      <c r="MB190">
        <v>118562</v>
      </c>
      <c r="MC190">
        <v>114998</v>
      </c>
      <c r="MD190">
        <v>822375</v>
      </c>
      <c r="ME190">
        <v>100</v>
      </c>
    </row>
    <row r="191" spans="2:343" x14ac:dyDescent="0.25">
      <c r="B191" s="24"/>
      <c r="C191">
        <v>3</v>
      </c>
      <c r="D191">
        <v>3</v>
      </c>
      <c r="E191">
        <v>3</v>
      </c>
      <c r="F191">
        <v>26762914273</v>
      </c>
      <c r="G191">
        <v>2975</v>
      </c>
      <c r="I191" s="24"/>
      <c r="J191">
        <v>4</v>
      </c>
      <c r="K191">
        <v>4</v>
      </c>
      <c r="L191">
        <v>4</v>
      </c>
      <c r="M191">
        <v>3583533850</v>
      </c>
      <c r="N191">
        <v>2156</v>
      </c>
      <c r="P191" s="24"/>
      <c r="Q191">
        <v>26</v>
      </c>
      <c r="R191">
        <v>26</v>
      </c>
      <c r="S191">
        <v>26</v>
      </c>
      <c r="T191">
        <v>1374288623</v>
      </c>
      <c r="U191">
        <v>1929</v>
      </c>
      <c r="W191" s="24"/>
      <c r="X191">
        <v>64</v>
      </c>
      <c r="Y191">
        <v>65</v>
      </c>
      <c r="Z191">
        <v>65</v>
      </c>
      <c r="AA191">
        <v>363303863</v>
      </c>
      <c r="AB191">
        <v>1604</v>
      </c>
      <c r="AD191" s="24"/>
      <c r="AE191">
        <v>447</v>
      </c>
      <c r="AF191">
        <v>465</v>
      </c>
      <c r="AG191">
        <v>459</v>
      </c>
      <c r="AH191">
        <v>71860084</v>
      </c>
      <c r="AI191">
        <v>1725</v>
      </c>
      <c r="AK191" s="24"/>
      <c r="AL191">
        <v>852</v>
      </c>
      <c r="AM191">
        <v>870</v>
      </c>
      <c r="AN191">
        <v>860</v>
      </c>
      <c r="AO191">
        <v>33236724</v>
      </c>
      <c r="AP191">
        <v>1368</v>
      </c>
      <c r="AR191" s="24"/>
      <c r="AS191">
        <v>2391</v>
      </c>
      <c r="AT191">
        <v>2497</v>
      </c>
      <c r="AU191">
        <v>2474</v>
      </c>
      <c r="AV191">
        <v>13306823</v>
      </c>
      <c r="AW191">
        <v>1413</v>
      </c>
      <c r="AY191" s="24"/>
      <c r="AZ191">
        <v>386607000</v>
      </c>
      <c r="BA191">
        <v>394999999</v>
      </c>
      <c r="BB191">
        <v>390999000</v>
      </c>
      <c r="BC191">
        <v>2074</v>
      </c>
      <c r="BD191">
        <v>1453</v>
      </c>
      <c r="BF191" s="24"/>
      <c r="BG191">
        <v>24203</v>
      </c>
      <c r="BH191">
        <v>24402</v>
      </c>
      <c r="BI191">
        <v>24220</v>
      </c>
      <c r="BJ191">
        <v>1640516</v>
      </c>
      <c r="BK191">
        <v>262</v>
      </c>
      <c r="BM191" s="24"/>
      <c r="BN191">
        <v>5500000</v>
      </c>
      <c r="BO191">
        <v>5658025</v>
      </c>
      <c r="BP191">
        <v>5500001</v>
      </c>
      <c r="BQ191">
        <v>10353</v>
      </c>
      <c r="BR191">
        <v>317</v>
      </c>
      <c r="BT191" s="24"/>
      <c r="BU191">
        <v>2529</v>
      </c>
      <c r="BV191">
        <v>2606</v>
      </c>
      <c r="BW191">
        <v>2605</v>
      </c>
      <c r="BX191">
        <v>22377080</v>
      </c>
      <c r="BY191">
        <v>252</v>
      </c>
      <c r="CA191" s="24"/>
      <c r="CB191">
        <v>562</v>
      </c>
      <c r="CC191">
        <v>562</v>
      </c>
      <c r="CD191">
        <v>562</v>
      </c>
      <c r="CE191">
        <v>46688558</v>
      </c>
      <c r="CF191">
        <v>232</v>
      </c>
      <c r="CH191" s="24"/>
      <c r="CI191">
        <v>23003</v>
      </c>
      <c r="CJ191">
        <v>23003</v>
      </c>
      <c r="CK191">
        <v>23003</v>
      </c>
      <c r="CL191">
        <v>840183</v>
      </c>
      <c r="CM191">
        <v>176</v>
      </c>
      <c r="CO191" s="24"/>
      <c r="CP191">
        <v>7000</v>
      </c>
      <c r="CQ191">
        <v>7207</v>
      </c>
      <c r="CR191">
        <v>7200</v>
      </c>
      <c r="CS191">
        <v>1036648</v>
      </c>
      <c r="CT191">
        <v>348</v>
      </c>
      <c r="CV191" s="24"/>
      <c r="CW191">
        <v>1400000</v>
      </c>
      <c r="CX191">
        <v>1400005</v>
      </c>
      <c r="CY191">
        <v>1400001</v>
      </c>
      <c r="CZ191">
        <v>13575</v>
      </c>
      <c r="DA191">
        <v>49</v>
      </c>
      <c r="DC191" s="24"/>
      <c r="DD191">
        <v>555</v>
      </c>
      <c r="DE191">
        <v>563</v>
      </c>
      <c r="DF191">
        <v>559</v>
      </c>
      <c r="DG191">
        <v>31834948</v>
      </c>
      <c r="DH191">
        <v>186</v>
      </c>
      <c r="DJ191" s="24"/>
      <c r="DK191">
        <v>33415341</v>
      </c>
      <c r="DL191">
        <v>34999998</v>
      </c>
      <c r="DM191">
        <v>33500003</v>
      </c>
      <c r="DN191">
        <v>309</v>
      </c>
      <c r="DO191">
        <v>93</v>
      </c>
      <c r="DQ191" s="24"/>
      <c r="DR191">
        <v>1865002</v>
      </c>
      <c r="DS191">
        <v>1941000</v>
      </c>
      <c r="DT191">
        <v>1865008</v>
      </c>
      <c r="DU191">
        <v>4956</v>
      </c>
      <c r="DV191">
        <v>223</v>
      </c>
      <c r="DX191" s="24"/>
      <c r="DY191">
        <v>19370012</v>
      </c>
      <c r="DZ191">
        <v>20659999</v>
      </c>
      <c r="EA191">
        <v>19380017</v>
      </c>
      <c r="EB191">
        <v>384</v>
      </c>
      <c r="EC191">
        <v>106</v>
      </c>
      <c r="EE191" s="24"/>
      <c r="EF191">
        <v>142</v>
      </c>
      <c r="EG191">
        <v>145</v>
      </c>
      <c r="EH191">
        <v>145</v>
      </c>
      <c r="EI191">
        <v>84226772</v>
      </c>
      <c r="EJ191">
        <v>169</v>
      </c>
      <c r="EL191" s="24"/>
      <c r="EM191">
        <v>58013</v>
      </c>
      <c r="EN191">
        <v>60000</v>
      </c>
      <c r="EO191">
        <v>58015</v>
      </c>
      <c r="EP191">
        <v>105964</v>
      </c>
      <c r="EQ191">
        <v>777</v>
      </c>
      <c r="ES191" s="24"/>
      <c r="ET191">
        <v>348</v>
      </c>
      <c r="EU191">
        <v>357</v>
      </c>
      <c r="EV191">
        <v>356</v>
      </c>
      <c r="EW191">
        <v>40742115</v>
      </c>
      <c r="EX191">
        <v>631</v>
      </c>
      <c r="EZ191" s="24"/>
      <c r="FA191">
        <v>3322000</v>
      </c>
      <c r="FB191">
        <v>3499998</v>
      </c>
      <c r="FC191">
        <v>3322008</v>
      </c>
      <c r="FD191">
        <v>2038</v>
      </c>
      <c r="FE191">
        <v>35</v>
      </c>
      <c r="FG191" s="24"/>
      <c r="FH191">
        <v>6101</v>
      </c>
      <c r="FI191">
        <v>6299</v>
      </c>
      <c r="FJ191">
        <v>6241</v>
      </c>
      <c r="FK191">
        <v>1661411</v>
      </c>
      <c r="FL191">
        <v>479</v>
      </c>
      <c r="FN191" s="24"/>
      <c r="FO191">
        <v>17012</v>
      </c>
      <c r="FP191">
        <v>17967</v>
      </c>
      <c r="FQ191">
        <v>17967</v>
      </c>
      <c r="FR191">
        <v>276703</v>
      </c>
      <c r="FS191">
        <v>94</v>
      </c>
      <c r="FU191" s="24"/>
      <c r="FV191">
        <v>17719</v>
      </c>
      <c r="FW191">
        <v>17728</v>
      </c>
      <c r="FX191">
        <v>17727</v>
      </c>
      <c r="FY191">
        <v>472049</v>
      </c>
      <c r="FZ191">
        <v>1378</v>
      </c>
      <c r="GB191" s="24"/>
      <c r="GC191">
        <v>92301003</v>
      </c>
      <c r="GD191">
        <v>98998996</v>
      </c>
      <c r="GE191">
        <v>95877958</v>
      </c>
      <c r="GF191">
        <v>73</v>
      </c>
      <c r="GG191">
        <v>57</v>
      </c>
      <c r="GI191" s="24"/>
      <c r="GJ191">
        <v>22031013</v>
      </c>
      <c r="GK191">
        <v>22999999</v>
      </c>
      <c r="GL191">
        <v>22031014</v>
      </c>
      <c r="GM191">
        <v>352</v>
      </c>
      <c r="GN191">
        <v>71</v>
      </c>
      <c r="GP191" s="24"/>
      <c r="GQ191">
        <v>79</v>
      </c>
      <c r="GR191">
        <v>79</v>
      </c>
      <c r="GS191">
        <v>79</v>
      </c>
      <c r="GT191">
        <v>139366571</v>
      </c>
      <c r="GU191">
        <v>138</v>
      </c>
      <c r="GW191" s="24"/>
      <c r="GX191">
        <v>483</v>
      </c>
      <c r="GY191">
        <v>499</v>
      </c>
      <c r="GZ191">
        <v>491</v>
      </c>
      <c r="HA191">
        <v>58991295</v>
      </c>
      <c r="HB191">
        <v>242</v>
      </c>
      <c r="HD191" s="24"/>
      <c r="HE191">
        <v>5957</v>
      </c>
      <c r="HF191">
        <v>6059</v>
      </c>
      <c r="HG191">
        <v>6058</v>
      </c>
      <c r="HH191">
        <v>14350331</v>
      </c>
      <c r="HI191">
        <v>257</v>
      </c>
      <c r="HK191" s="24"/>
      <c r="HL191">
        <v>93207000</v>
      </c>
      <c r="HM191">
        <v>98840000</v>
      </c>
      <c r="HN191">
        <v>93207003</v>
      </c>
      <c r="HO191">
        <v>122</v>
      </c>
      <c r="HP191">
        <v>69</v>
      </c>
      <c r="HR191" s="24"/>
      <c r="HS191">
        <v>6119</v>
      </c>
      <c r="HT191">
        <v>6623</v>
      </c>
      <c r="HU191">
        <v>6600</v>
      </c>
      <c r="HV191">
        <v>349768</v>
      </c>
      <c r="HW191">
        <v>114</v>
      </c>
      <c r="HY191" s="24"/>
      <c r="HZ191">
        <v>5106</v>
      </c>
      <c r="IA191">
        <v>5319</v>
      </c>
      <c r="IB191">
        <v>5319</v>
      </c>
      <c r="IC191">
        <v>1927910</v>
      </c>
      <c r="ID191">
        <v>492</v>
      </c>
      <c r="IF191" s="24"/>
      <c r="IG191">
        <v>2616</v>
      </c>
      <c r="IH191">
        <v>2679</v>
      </c>
      <c r="II191">
        <v>2650</v>
      </c>
      <c r="IJ191">
        <v>2813285</v>
      </c>
      <c r="IK191">
        <v>144</v>
      </c>
      <c r="IM191" s="24"/>
      <c r="IN191">
        <v>94466984</v>
      </c>
      <c r="IO191">
        <v>96464987</v>
      </c>
      <c r="IP191">
        <v>95266977</v>
      </c>
      <c r="IQ191">
        <v>61</v>
      </c>
      <c r="IR191">
        <v>54</v>
      </c>
      <c r="IT191" s="24"/>
      <c r="IU191">
        <v>8080</v>
      </c>
      <c r="IV191">
        <v>8082</v>
      </c>
      <c r="IW191">
        <v>8081</v>
      </c>
      <c r="IX191">
        <v>1179560</v>
      </c>
      <c r="IY191">
        <v>135</v>
      </c>
      <c r="JA191" s="24"/>
      <c r="JB191">
        <v>93391001</v>
      </c>
      <c r="JC191">
        <v>98794998</v>
      </c>
      <c r="JD191">
        <v>94001000</v>
      </c>
      <c r="JE191">
        <v>149</v>
      </c>
      <c r="JF191">
        <v>81</v>
      </c>
      <c r="JH191" s="24"/>
      <c r="JI191">
        <v>90000000</v>
      </c>
      <c r="JJ191">
        <v>96451398</v>
      </c>
      <c r="JK191">
        <v>93603578</v>
      </c>
      <c r="JL191">
        <v>81</v>
      </c>
      <c r="JM191">
        <v>43</v>
      </c>
      <c r="JO191" s="24"/>
      <c r="JP191">
        <v>71</v>
      </c>
      <c r="JQ191">
        <v>71</v>
      </c>
      <c r="JR191">
        <v>71</v>
      </c>
      <c r="JS191">
        <v>62041089</v>
      </c>
      <c r="JT191">
        <v>94</v>
      </c>
      <c r="JV191" s="24"/>
      <c r="JW191">
        <v>64</v>
      </c>
      <c r="JX191">
        <v>65</v>
      </c>
      <c r="JY191">
        <v>65</v>
      </c>
      <c r="JZ191">
        <v>94568539</v>
      </c>
      <c r="KA191">
        <v>102</v>
      </c>
      <c r="KC191" s="24"/>
      <c r="KD191">
        <v>21</v>
      </c>
      <c r="KE191">
        <v>23</v>
      </c>
      <c r="KF191">
        <v>22</v>
      </c>
      <c r="KG191">
        <v>47168849</v>
      </c>
      <c r="KH191">
        <v>332</v>
      </c>
      <c r="KJ191" s="24"/>
      <c r="KK191">
        <v>72</v>
      </c>
      <c r="KL191">
        <v>72</v>
      </c>
      <c r="KM191">
        <v>72</v>
      </c>
      <c r="KN191">
        <v>158061801</v>
      </c>
      <c r="KO191">
        <v>127</v>
      </c>
      <c r="KQ191" s="24"/>
      <c r="KR191">
        <v>104765</v>
      </c>
      <c r="KS191">
        <v>109999</v>
      </c>
      <c r="KT191">
        <v>104774</v>
      </c>
      <c r="KU191">
        <v>66515</v>
      </c>
      <c r="KV191">
        <v>736</v>
      </c>
      <c r="KX191" s="24"/>
      <c r="KY191">
        <v>450</v>
      </c>
      <c r="KZ191">
        <v>463</v>
      </c>
      <c r="LA191">
        <v>460</v>
      </c>
      <c r="LB191">
        <v>8283463</v>
      </c>
      <c r="LC191">
        <v>173</v>
      </c>
      <c r="LE191" s="24"/>
      <c r="LF191">
        <v>184256</v>
      </c>
      <c r="LG191">
        <v>185500</v>
      </c>
      <c r="LH191">
        <v>184279</v>
      </c>
      <c r="LI191">
        <v>105357</v>
      </c>
      <c r="LJ191">
        <v>999</v>
      </c>
      <c r="LL191" s="24"/>
      <c r="LM191">
        <v>73202</v>
      </c>
      <c r="LN191">
        <v>74500</v>
      </c>
      <c r="LO191">
        <v>74116</v>
      </c>
      <c r="LP191">
        <v>363827</v>
      </c>
      <c r="LQ191">
        <v>1410</v>
      </c>
      <c r="LS191" s="24"/>
      <c r="LT191">
        <v>571</v>
      </c>
      <c r="LU191">
        <v>573</v>
      </c>
      <c r="LV191">
        <v>572</v>
      </c>
      <c r="LW191">
        <v>72901174</v>
      </c>
      <c r="LX191">
        <v>389</v>
      </c>
      <c r="LZ191" s="24"/>
      <c r="MA191">
        <v>119001</v>
      </c>
      <c r="MB191">
        <v>122966</v>
      </c>
      <c r="MC191">
        <v>122930</v>
      </c>
      <c r="MD191">
        <v>667485</v>
      </c>
      <c r="ME191">
        <v>78</v>
      </c>
    </row>
    <row r="192" spans="2:343" x14ac:dyDescent="0.25">
      <c r="B192" s="24"/>
      <c r="C192">
        <v>3</v>
      </c>
      <c r="D192">
        <v>3</v>
      </c>
      <c r="E192">
        <v>3</v>
      </c>
      <c r="F192">
        <v>31988579453</v>
      </c>
      <c r="G192">
        <v>2826</v>
      </c>
      <c r="I192" s="24"/>
      <c r="J192">
        <v>4</v>
      </c>
      <c r="K192">
        <v>4</v>
      </c>
      <c r="L192">
        <v>4</v>
      </c>
      <c r="M192">
        <v>5288147222</v>
      </c>
      <c r="N192">
        <v>2012</v>
      </c>
      <c r="P192" s="24"/>
      <c r="Q192">
        <v>25</v>
      </c>
      <c r="R192">
        <v>27</v>
      </c>
      <c r="S192">
        <v>26</v>
      </c>
      <c r="T192">
        <v>2690151376</v>
      </c>
      <c r="U192">
        <v>1893</v>
      </c>
      <c r="W192" s="24"/>
      <c r="X192">
        <v>64</v>
      </c>
      <c r="Y192">
        <v>65</v>
      </c>
      <c r="Z192">
        <v>65</v>
      </c>
      <c r="AA192">
        <v>366838346</v>
      </c>
      <c r="AB192">
        <v>1363</v>
      </c>
      <c r="AD192" s="24"/>
      <c r="AE192">
        <v>449</v>
      </c>
      <c r="AF192">
        <v>464</v>
      </c>
      <c r="AG192">
        <v>458</v>
      </c>
      <c r="AH192">
        <v>124446253</v>
      </c>
      <c r="AI192">
        <v>1471</v>
      </c>
      <c r="AK192" s="24"/>
      <c r="AL192">
        <v>853</v>
      </c>
      <c r="AM192">
        <v>875</v>
      </c>
      <c r="AN192">
        <v>870</v>
      </c>
      <c r="AO192">
        <v>26988340</v>
      </c>
      <c r="AP192">
        <v>1198</v>
      </c>
      <c r="AR192" s="24"/>
      <c r="AS192">
        <v>2468</v>
      </c>
      <c r="AT192">
        <v>2543</v>
      </c>
      <c r="AU192">
        <v>2518</v>
      </c>
      <c r="AV192">
        <v>12142121</v>
      </c>
      <c r="AW192">
        <v>1155</v>
      </c>
      <c r="AY192" s="24"/>
      <c r="AZ192">
        <v>388000101</v>
      </c>
      <c r="BA192">
        <v>395574493</v>
      </c>
      <c r="BB192">
        <v>393934978</v>
      </c>
      <c r="BC192">
        <v>2304</v>
      </c>
      <c r="BD192">
        <v>1638</v>
      </c>
      <c r="BF192" s="24"/>
      <c r="BG192">
        <v>24303</v>
      </c>
      <c r="BH192">
        <v>24312</v>
      </c>
      <c r="BI192">
        <v>24309</v>
      </c>
      <c r="BJ192">
        <v>1973833</v>
      </c>
      <c r="BK192">
        <v>207</v>
      </c>
      <c r="BM192" s="24"/>
      <c r="BN192">
        <v>5500004</v>
      </c>
      <c r="BO192">
        <v>5500007</v>
      </c>
      <c r="BP192">
        <v>5500004</v>
      </c>
      <c r="BQ192">
        <v>10105</v>
      </c>
      <c r="BR192">
        <v>346</v>
      </c>
      <c r="BT192" s="24"/>
      <c r="BU192">
        <v>2549</v>
      </c>
      <c r="BV192">
        <v>2599</v>
      </c>
      <c r="BW192">
        <v>2599</v>
      </c>
      <c r="BX192">
        <v>27014090</v>
      </c>
      <c r="BY192">
        <v>273</v>
      </c>
      <c r="CA192" s="24"/>
      <c r="CB192">
        <v>562</v>
      </c>
      <c r="CC192">
        <v>562</v>
      </c>
      <c r="CD192">
        <v>562</v>
      </c>
      <c r="CE192">
        <v>57825107</v>
      </c>
      <c r="CF192">
        <v>259</v>
      </c>
      <c r="CH192" s="24"/>
      <c r="CI192">
        <v>23003</v>
      </c>
      <c r="CJ192">
        <v>23499</v>
      </c>
      <c r="CK192">
        <v>23004</v>
      </c>
      <c r="CL192">
        <v>2110582</v>
      </c>
      <c r="CM192">
        <v>179</v>
      </c>
      <c r="CO192" s="24"/>
      <c r="CP192">
        <v>6850</v>
      </c>
      <c r="CQ192">
        <v>7204</v>
      </c>
      <c r="CR192">
        <v>7099</v>
      </c>
      <c r="CS192">
        <v>993838</v>
      </c>
      <c r="CT192">
        <v>367</v>
      </c>
      <c r="CV192" s="24"/>
      <c r="CW192">
        <v>1400000</v>
      </c>
      <c r="CX192">
        <v>1400001</v>
      </c>
      <c r="CY192">
        <v>1400001</v>
      </c>
      <c r="CZ192">
        <v>6927</v>
      </c>
      <c r="DA192">
        <v>47</v>
      </c>
      <c r="DC192" s="24"/>
      <c r="DD192">
        <v>545</v>
      </c>
      <c r="DE192">
        <v>562</v>
      </c>
      <c r="DF192">
        <v>562</v>
      </c>
      <c r="DG192">
        <v>38543875</v>
      </c>
      <c r="DH192">
        <v>123</v>
      </c>
      <c r="DJ192" s="24"/>
      <c r="DK192">
        <v>33415239</v>
      </c>
      <c r="DL192">
        <v>33500005</v>
      </c>
      <c r="DM192">
        <v>33500004</v>
      </c>
      <c r="DN192">
        <v>257</v>
      </c>
      <c r="DO192">
        <v>88</v>
      </c>
      <c r="DQ192" s="24"/>
      <c r="DR192">
        <v>1870002</v>
      </c>
      <c r="DS192">
        <v>1940698</v>
      </c>
      <c r="DT192">
        <v>1870003</v>
      </c>
      <c r="DU192">
        <v>4620</v>
      </c>
      <c r="DV192">
        <v>218</v>
      </c>
      <c r="DX192" s="24"/>
      <c r="DY192">
        <v>19390004</v>
      </c>
      <c r="DZ192">
        <v>21849999</v>
      </c>
      <c r="EA192">
        <v>19390020</v>
      </c>
      <c r="EB192">
        <v>381</v>
      </c>
      <c r="EC192">
        <v>98</v>
      </c>
      <c r="EE192" s="24"/>
      <c r="EF192">
        <v>145</v>
      </c>
      <c r="EG192">
        <v>151</v>
      </c>
      <c r="EH192">
        <v>149</v>
      </c>
      <c r="EI192">
        <v>102458277</v>
      </c>
      <c r="EJ192">
        <v>159</v>
      </c>
      <c r="EL192" s="24"/>
      <c r="EM192">
        <v>58028</v>
      </c>
      <c r="EN192">
        <v>58032</v>
      </c>
      <c r="EO192">
        <v>58031</v>
      </c>
      <c r="EP192">
        <v>82341</v>
      </c>
      <c r="EQ192">
        <v>680</v>
      </c>
      <c r="ES192" s="24"/>
      <c r="ET192">
        <v>350</v>
      </c>
      <c r="EU192">
        <v>354</v>
      </c>
      <c r="EV192">
        <v>353</v>
      </c>
      <c r="EW192">
        <v>43298777</v>
      </c>
      <c r="EX192">
        <v>618</v>
      </c>
      <c r="EZ192" s="24"/>
      <c r="FA192">
        <v>3539999</v>
      </c>
      <c r="FB192">
        <v>3539999</v>
      </c>
      <c r="FC192">
        <v>3539999</v>
      </c>
      <c r="FD192">
        <v>518</v>
      </c>
      <c r="FE192">
        <v>17</v>
      </c>
      <c r="FG192" s="24"/>
      <c r="FH192">
        <v>6160</v>
      </c>
      <c r="FI192">
        <v>6542</v>
      </c>
      <c r="FJ192">
        <v>6399</v>
      </c>
      <c r="FK192">
        <v>2018514</v>
      </c>
      <c r="FL192">
        <v>494</v>
      </c>
      <c r="FN192" s="24"/>
      <c r="FO192">
        <v>17610</v>
      </c>
      <c r="FP192">
        <v>17899</v>
      </c>
      <c r="FQ192">
        <v>17898</v>
      </c>
      <c r="FR192">
        <v>208843</v>
      </c>
      <c r="FS192">
        <v>74</v>
      </c>
      <c r="FU192" s="24"/>
      <c r="FV192">
        <v>17924</v>
      </c>
      <c r="FW192">
        <v>17991</v>
      </c>
      <c r="FX192">
        <v>17935</v>
      </c>
      <c r="FY192">
        <v>293069</v>
      </c>
      <c r="FZ192">
        <v>1269</v>
      </c>
      <c r="GB192" s="24"/>
      <c r="GC192">
        <v>92308204</v>
      </c>
      <c r="GD192">
        <v>99998000</v>
      </c>
      <c r="GE192">
        <v>97796485</v>
      </c>
      <c r="GF192">
        <v>63</v>
      </c>
      <c r="GG192">
        <v>53</v>
      </c>
      <c r="GI192" s="24"/>
      <c r="GJ192">
        <v>22031033</v>
      </c>
      <c r="GK192">
        <v>23315534</v>
      </c>
      <c r="GL192">
        <v>22031071</v>
      </c>
      <c r="GM192">
        <v>305</v>
      </c>
      <c r="GN192">
        <v>80</v>
      </c>
      <c r="GP192" s="24"/>
      <c r="GQ192">
        <v>79</v>
      </c>
      <c r="GR192">
        <v>81</v>
      </c>
      <c r="GS192">
        <v>81</v>
      </c>
      <c r="GT192">
        <v>122119598</v>
      </c>
      <c r="GU192">
        <v>110</v>
      </c>
      <c r="GW192" s="24"/>
      <c r="GX192">
        <v>497</v>
      </c>
      <c r="GY192">
        <v>497</v>
      </c>
      <c r="GZ192">
        <v>497</v>
      </c>
      <c r="HA192">
        <v>45673184</v>
      </c>
      <c r="HB192">
        <v>239</v>
      </c>
      <c r="HD192" s="24"/>
      <c r="HE192">
        <v>6000</v>
      </c>
      <c r="HF192">
        <v>6099</v>
      </c>
      <c r="HG192">
        <v>6058</v>
      </c>
      <c r="HH192">
        <v>14179051</v>
      </c>
      <c r="HI192">
        <v>250</v>
      </c>
      <c r="HK192" s="24"/>
      <c r="HL192">
        <v>93200502</v>
      </c>
      <c r="HM192">
        <v>98812497</v>
      </c>
      <c r="HN192">
        <v>96044101</v>
      </c>
      <c r="HO192">
        <v>89</v>
      </c>
      <c r="HP192">
        <v>62</v>
      </c>
      <c r="HR192" s="24"/>
      <c r="HS192">
        <v>6130</v>
      </c>
      <c r="HT192">
        <v>6622</v>
      </c>
      <c r="HU192">
        <v>6588</v>
      </c>
      <c r="HV192">
        <v>806922</v>
      </c>
      <c r="HW192">
        <v>185</v>
      </c>
      <c r="HY192" s="24"/>
      <c r="HZ192">
        <v>5130</v>
      </c>
      <c r="IA192">
        <v>5399</v>
      </c>
      <c r="IB192">
        <v>5379</v>
      </c>
      <c r="IC192">
        <v>1819275</v>
      </c>
      <c r="ID192">
        <v>428</v>
      </c>
      <c r="IF192" s="24"/>
      <c r="IG192">
        <v>2486</v>
      </c>
      <c r="IH192">
        <v>2649</v>
      </c>
      <c r="II192">
        <v>2649</v>
      </c>
      <c r="IJ192">
        <v>2858614</v>
      </c>
      <c r="IK192">
        <v>145</v>
      </c>
      <c r="IM192" s="24"/>
      <c r="IN192">
        <v>92500001</v>
      </c>
      <c r="IO192">
        <v>96463000</v>
      </c>
      <c r="IP192">
        <v>95720799</v>
      </c>
      <c r="IQ192">
        <v>50</v>
      </c>
      <c r="IR192">
        <v>42</v>
      </c>
      <c r="IT192" s="24"/>
      <c r="IU192">
        <v>7932</v>
      </c>
      <c r="IV192">
        <v>8081</v>
      </c>
      <c r="IW192">
        <v>8081</v>
      </c>
      <c r="IX192">
        <v>1297792</v>
      </c>
      <c r="IY192">
        <v>135</v>
      </c>
      <c r="JA192" s="24"/>
      <c r="JB192">
        <v>93200018</v>
      </c>
      <c r="JC192">
        <v>98748999</v>
      </c>
      <c r="JD192">
        <v>96371339</v>
      </c>
      <c r="JE192">
        <v>93</v>
      </c>
      <c r="JF192">
        <v>80</v>
      </c>
      <c r="JH192" s="24"/>
      <c r="JI192">
        <v>90002007</v>
      </c>
      <c r="JJ192">
        <v>96447000</v>
      </c>
      <c r="JK192">
        <v>93659941</v>
      </c>
      <c r="JL192">
        <v>67</v>
      </c>
      <c r="JM192">
        <v>49</v>
      </c>
      <c r="JO192" s="24"/>
      <c r="JP192">
        <v>69</v>
      </c>
      <c r="JQ192">
        <v>71</v>
      </c>
      <c r="JR192">
        <v>70</v>
      </c>
      <c r="JS192">
        <v>51864542</v>
      </c>
      <c r="JT192">
        <v>78</v>
      </c>
      <c r="JV192" s="24"/>
      <c r="JW192">
        <v>64</v>
      </c>
      <c r="JX192">
        <v>65</v>
      </c>
      <c r="JY192">
        <v>65</v>
      </c>
      <c r="JZ192">
        <v>69009108</v>
      </c>
      <c r="KA192">
        <v>96</v>
      </c>
      <c r="KC192" s="24"/>
      <c r="KD192">
        <v>21</v>
      </c>
      <c r="KE192">
        <v>23</v>
      </c>
      <c r="KF192">
        <v>23</v>
      </c>
      <c r="KG192">
        <v>29732477</v>
      </c>
      <c r="KH192">
        <v>291</v>
      </c>
      <c r="KJ192" s="24"/>
      <c r="KK192">
        <v>72</v>
      </c>
      <c r="KL192">
        <v>80</v>
      </c>
      <c r="KM192">
        <v>73</v>
      </c>
      <c r="KN192">
        <v>133899753</v>
      </c>
      <c r="KO192">
        <v>135</v>
      </c>
      <c r="KQ192" s="24"/>
      <c r="KR192">
        <v>105507</v>
      </c>
      <c r="KS192">
        <v>107000</v>
      </c>
      <c r="KT192">
        <v>105510</v>
      </c>
      <c r="KU192">
        <v>57195</v>
      </c>
      <c r="KV192">
        <v>650</v>
      </c>
      <c r="KX192" s="24"/>
      <c r="KY192">
        <v>474</v>
      </c>
      <c r="KZ192">
        <v>474</v>
      </c>
      <c r="LA192">
        <v>474</v>
      </c>
      <c r="LB192">
        <v>5111556</v>
      </c>
      <c r="LC192">
        <v>139</v>
      </c>
      <c r="LE192" s="24"/>
      <c r="LF192">
        <v>185026</v>
      </c>
      <c r="LG192">
        <v>186000</v>
      </c>
      <c r="LH192">
        <v>185027</v>
      </c>
      <c r="LI192">
        <v>115800</v>
      </c>
      <c r="LJ192">
        <v>985</v>
      </c>
      <c r="LL192" s="24"/>
      <c r="LM192">
        <v>74547</v>
      </c>
      <c r="LN192">
        <v>74679</v>
      </c>
      <c r="LO192">
        <v>74573</v>
      </c>
      <c r="LP192">
        <v>296512</v>
      </c>
      <c r="LQ192">
        <v>1314</v>
      </c>
      <c r="LS192" s="24"/>
      <c r="LT192">
        <v>560</v>
      </c>
      <c r="LU192">
        <v>576</v>
      </c>
      <c r="LV192">
        <v>572</v>
      </c>
      <c r="LW192">
        <v>144762168</v>
      </c>
      <c r="LX192">
        <v>415</v>
      </c>
      <c r="LZ192" s="24"/>
      <c r="MA192">
        <v>115005</v>
      </c>
      <c r="MB192">
        <v>120999</v>
      </c>
      <c r="MC192">
        <v>119000</v>
      </c>
      <c r="MD192">
        <v>1182687</v>
      </c>
      <c r="ME192">
        <v>122</v>
      </c>
    </row>
    <row r="193" spans="2:343" x14ac:dyDescent="0.25">
      <c r="B193" s="24"/>
      <c r="C193">
        <v>3</v>
      </c>
      <c r="D193">
        <v>3</v>
      </c>
      <c r="E193">
        <v>3</v>
      </c>
      <c r="F193">
        <v>23044606999</v>
      </c>
      <c r="G193">
        <v>2804</v>
      </c>
      <c r="I193" s="24"/>
      <c r="J193">
        <v>4</v>
      </c>
      <c r="K193">
        <v>4</v>
      </c>
      <c r="L193">
        <v>4</v>
      </c>
      <c r="M193">
        <v>3949289390</v>
      </c>
      <c r="N193">
        <v>1963</v>
      </c>
      <c r="P193" s="24"/>
      <c r="Q193">
        <v>26</v>
      </c>
      <c r="R193">
        <v>26</v>
      </c>
      <c r="S193">
        <v>26</v>
      </c>
      <c r="T193">
        <v>1035226540</v>
      </c>
      <c r="U193">
        <v>1737</v>
      </c>
      <c r="W193" s="24"/>
      <c r="X193">
        <v>64</v>
      </c>
      <c r="Y193">
        <v>64</v>
      </c>
      <c r="Z193">
        <v>64</v>
      </c>
      <c r="AA193">
        <v>253287076</v>
      </c>
      <c r="AB193">
        <v>1396</v>
      </c>
      <c r="AD193" s="24"/>
      <c r="AE193">
        <v>462</v>
      </c>
      <c r="AF193">
        <v>467</v>
      </c>
      <c r="AG193">
        <v>462</v>
      </c>
      <c r="AH193">
        <v>102625008</v>
      </c>
      <c r="AI193">
        <v>1474</v>
      </c>
      <c r="AK193" s="24"/>
      <c r="AL193">
        <v>865</v>
      </c>
      <c r="AM193">
        <v>877</v>
      </c>
      <c r="AN193">
        <v>866</v>
      </c>
      <c r="AO193">
        <v>28005656</v>
      </c>
      <c r="AP193">
        <v>1211</v>
      </c>
      <c r="AR193" s="24"/>
      <c r="AS193">
        <v>2501</v>
      </c>
      <c r="AT193">
        <v>2543</v>
      </c>
      <c r="AU193">
        <v>2525</v>
      </c>
      <c r="AV193">
        <v>10513595</v>
      </c>
      <c r="AW193">
        <v>1196</v>
      </c>
      <c r="AY193" s="24"/>
      <c r="AZ193">
        <v>384017009</v>
      </c>
      <c r="BA193">
        <v>392449788</v>
      </c>
      <c r="BB193">
        <v>391985123</v>
      </c>
      <c r="BC193">
        <v>2173</v>
      </c>
      <c r="BD193">
        <v>1673</v>
      </c>
      <c r="BF193" s="24"/>
      <c r="BG193">
        <v>24316</v>
      </c>
      <c r="BH193">
        <v>24321</v>
      </c>
      <c r="BI193">
        <v>24317</v>
      </c>
      <c r="BJ193">
        <v>1775137</v>
      </c>
      <c r="BK193">
        <v>217</v>
      </c>
      <c r="BM193" s="24"/>
      <c r="BN193">
        <v>5500000</v>
      </c>
      <c r="BO193">
        <v>5500004</v>
      </c>
      <c r="BP193">
        <v>5500000</v>
      </c>
      <c r="BQ193">
        <v>7374</v>
      </c>
      <c r="BR193">
        <v>292</v>
      </c>
      <c r="BT193" s="24"/>
      <c r="BU193">
        <v>2447</v>
      </c>
      <c r="BV193">
        <v>2591</v>
      </c>
      <c r="BW193">
        <v>2588</v>
      </c>
      <c r="BX193">
        <v>13726327</v>
      </c>
      <c r="BY193">
        <v>219</v>
      </c>
      <c r="CA193" s="24"/>
      <c r="CB193">
        <v>562</v>
      </c>
      <c r="CC193">
        <v>562</v>
      </c>
      <c r="CD193">
        <v>562</v>
      </c>
      <c r="CE193">
        <v>45962726</v>
      </c>
      <c r="CF193">
        <v>275</v>
      </c>
      <c r="CH193" s="24"/>
      <c r="CI193">
        <v>23003</v>
      </c>
      <c r="CJ193">
        <v>23003</v>
      </c>
      <c r="CK193">
        <v>23003</v>
      </c>
      <c r="CL193">
        <v>1451706</v>
      </c>
      <c r="CM193">
        <v>170</v>
      </c>
      <c r="CO193" s="24"/>
      <c r="CP193">
        <v>6653</v>
      </c>
      <c r="CQ193">
        <v>7084</v>
      </c>
      <c r="CR193">
        <v>6998</v>
      </c>
      <c r="CS193">
        <v>708579</v>
      </c>
      <c r="CT193">
        <v>348</v>
      </c>
      <c r="CV193" s="24"/>
      <c r="CW193">
        <v>1420000</v>
      </c>
      <c r="CX193">
        <v>1449889</v>
      </c>
      <c r="CY193">
        <v>1449889</v>
      </c>
      <c r="CZ193">
        <v>12886</v>
      </c>
      <c r="DA193">
        <v>73</v>
      </c>
      <c r="DC193" s="24"/>
      <c r="DD193">
        <v>549</v>
      </c>
      <c r="DE193">
        <v>555</v>
      </c>
      <c r="DF193">
        <v>549</v>
      </c>
      <c r="DG193">
        <v>27873115</v>
      </c>
      <c r="DH193">
        <v>173</v>
      </c>
      <c r="DJ193" s="24"/>
      <c r="DK193">
        <v>32595378</v>
      </c>
      <c r="DL193">
        <v>33315115</v>
      </c>
      <c r="DM193">
        <v>33313784</v>
      </c>
      <c r="DN193">
        <v>279</v>
      </c>
      <c r="DO193">
        <v>73</v>
      </c>
      <c r="DQ193" s="24"/>
      <c r="DR193">
        <v>1870013</v>
      </c>
      <c r="DS193">
        <v>1947988</v>
      </c>
      <c r="DT193">
        <v>1900000</v>
      </c>
      <c r="DU193">
        <v>9220</v>
      </c>
      <c r="DV193">
        <v>208</v>
      </c>
      <c r="DX193" s="24"/>
      <c r="DY193">
        <v>19400003</v>
      </c>
      <c r="DZ193">
        <v>21840000</v>
      </c>
      <c r="EA193">
        <v>19410013</v>
      </c>
      <c r="EB193">
        <v>467</v>
      </c>
      <c r="EC193">
        <v>105</v>
      </c>
      <c r="EE193" s="24"/>
      <c r="EF193">
        <v>146</v>
      </c>
      <c r="EG193">
        <v>152</v>
      </c>
      <c r="EH193">
        <v>148</v>
      </c>
      <c r="EI193">
        <v>62177833</v>
      </c>
      <c r="EJ193">
        <v>157</v>
      </c>
      <c r="EL193" s="24"/>
      <c r="EM193">
        <v>58250</v>
      </c>
      <c r="EN193">
        <v>60006</v>
      </c>
      <c r="EO193">
        <v>59004</v>
      </c>
      <c r="EP193">
        <v>50493</v>
      </c>
      <c r="EQ193">
        <v>625</v>
      </c>
      <c r="ES193" s="24"/>
      <c r="ET193">
        <v>333</v>
      </c>
      <c r="EU193">
        <v>353</v>
      </c>
      <c r="EV193">
        <v>352</v>
      </c>
      <c r="EW193">
        <v>54048821</v>
      </c>
      <c r="EX193">
        <v>668</v>
      </c>
      <c r="EZ193" s="24"/>
      <c r="FA193">
        <v>3004000</v>
      </c>
      <c r="FB193">
        <v>3529980</v>
      </c>
      <c r="FC193">
        <v>3529890</v>
      </c>
      <c r="FD193">
        <v>1959</v>
      </c>
      <c r="FE193">
        <v>34</v>
      </c>
      <c r="FG193" s="24"/>
      <c r="FH193">
        <v>6180</v>
      </c>
      <c r="FI193">
        <v>6827</v>
      </c>
      <c r="FJ193">
        <v>6800</v>
      </c>
      <c r="FK193">
        <v>1041574</v>
      </c>
      <c r="FL193">
        <v>386</v>
      </c>
      <c r="FN193" s="24"/>
      <c r="FO193">
        <v>17011</v>
      </c>
      <c r="FP193">
        <v>17020</v>
      </c>
      <c r="FQ193">
        <v>17015</v>
      </c>
      <c r="FR193">
        <v>320708</v>
      </c>
      <c r="FS193">
        <v>97</v>
      </c>
      <c r="FU193" s="24"/>
      <c r="FV193">
        <v>18001</v>
      </c>
      <c r="FW193">
        <v>18241</v>
      </c>
      <c r="FX193">
        <v>18154</v>
      </c>
      <c r="FY193">
        <v>250548</v>
      </c>
      <c r="FZ193">
        <v>1260</v>
      </c>
      <c r="GB193" s="24"/>
      <c r="GC193">
        <v>92319001</v>
      </c>
      <c r="GD193">
        <v>99998997</v>
      </c>
      <c r="GE193">
        <v>95305221</v>
      </c>
      <c r="GF193">
        <v>86</v>
      </c>
      <c r="GG193">
        <v>69</v>
      </c>
      <c r="GI193" s="24"/>
      <c r="GJ193">
        <v>22032074</v>
      </c>
      <c r="GK193">
        <v>23532073</v>
      </c>
      <c r="GL193">
        <v>22032197</v>
      </c>
      <c r="GM193">
        <v>455</v>
      </c>
      <c r="GN193">
        <v>106</v>
      </c>
      <c r="GP193" s="24"/>
      <c r="GQ193">
        <v>81</v>
      </c>
      <c r="GR193">
        <v>82</v>
      </c>
      <c r="GS193">
        <v>81</v>
      </c>
      <c r="GT193">
        <v>66538000</v>
      </c>
      <c r="GU193">
        <v>116</v>
      </c>
      <c r="GW193" s="24"/>
      <c r="GX193">
        <v>479</v>
      </c>
      <c r="GY193">
        <v>493</v>
      </c>
      <c r="GZ193">
        <v>492</v>
      </c>
      <c r="HA193">
        <v>45252666</v>
      </c>
      <c r="HB193">
        <v>244</v>
      </c>
      <c r="HD193" s="24"/>
      <c r="HE193">
        <v>5956</v>
      </c>
      <c r="HF193">
        <v>6094</v>
      </c>
      <c r="HG193">
        <v>6050</v>
      </c>
      <c r="HH193">
        <v>16282298</v>
      </c>
      <c r="HI193">
        <v>258</v>
      </c>
      <c r="HK193" s="24"/>
      <c r="HL193">
        <v>93201500</v>
      </c>
      <c r="HM193">
        <v>98286999</v>
      </c>
      <c r="HN193">
        <v>96352737</v>
      </c>
      <c r="HO193">
        <v>84</v>
      </c>
      <c r="HP193">
        <v>72</v>
      </c>
      <c r="HR193" s="24"/>
      <c r="HS193">
        <v>6200</v>
      </c>
      <c r="HT193">
        <v>6624</v>
      </c>
      <c r="HU193">
        <v>6599</v>
      </c>
      <c r="HV193">
        <v>773931</v>
      </c>
      <c r="HW193">
        <v>175</v>
      </c>
      <c r="HY193" s="24"/>
      <c r="HZ193">
        <v>5132</v>
      </c>
      <c r="IA193">
        <v>5376</v>
      </c>
      <c r="IB193">
        <v>5200</v>
      </c>
      <c r="IC193">
        <v>1484063</v>
      </c>
      <c r="ID193">
        <v>394</v>
      </c>
      <c r="IF193" s="24"/>
      <c r="IG193">
        <v>2562</v>
      </c>
      <c r="IH193">
        <v>2579</v>
      </c>
      <c r="II193">
        <v>2575</v>
      </c>
      <c r="IJ193">
        <v>1168813</v>
      </c>
      <c r="IK193">
        <v>138</v>
      </c>
      <c r="IM193" s="24"/>
      <c r="IN193">
        <v>93003501</v>
      </c>
      <c r="IO193">
        <v>96500000</v>
      </c>
      <c r="IP193">
        <v>96412999</v>
      </c>
      <c r="IQ193">
        <v>91</v>
      </c>
      <c r="IR193">
        <v>77</v>
      </c>
      <c r="IT193" s="24"/>
      <c r="IU193">
        <v>7927</v>
      </c>
      <c r="IV193">
        <v>8074</v>
      </c>
      <c r="IW193">
        <v>7950</v>
      </c>
      <c r="IX193">
        <v>1530950</v>
      </c>
      <c r="IY193">
        <v>155</v>
      </c>
      <c r="JA193" s="24"/>
      <c r="JB193">
        <v>93200018</v>
      </c>
      <c r="JC193">
        <v>98743999</v>
      </c>
      <c r="JD193">
        <v>96278158</v>
      </c>
      <c r="JE193">
        <v>89</v>
      </c>
      <c r="JF193">
        <v>79</v>
      </c>
      <c r="JH193" s="24"/>
      <c r="JI193">
        <v>91000601</v>
      </c>
      <c r="JJ193">
        <v>96446998</v>
      </c>
      <c r="JK193">
        <v>93550428</v>
      </c>
      <c r="JL193">
        <v>79</v>
      </c>
      <c r="JM193">
        <v>46</v>
      </c>
      <c r="JO193" s="24"/>
      <c r="JP193">
        <v>71</v>
      </c>
      <c r="JQ193">
        <v>71</v>
      </c>
      <c r="JR193">
        <v>71</v>
      </c>
      <c r="JS193">
        <v>57657441</v>
      </c>
      <c r="JT193">
        <v>77</v>
      </c>
      <c r="JV193" s="24"/>
      <c r="JW193">
        <v>64</v>
      </c>
      <c r="JX193">
        <v>65</v>
      </c>
      <c r="JY193">
        <v>65</v>
      </c>
      <c r="JZ193">
        <v>68212512</v>
      </c>
      <c r="KA193">
        <v>94</v>
      </c>
      <c r="KC193" s="24"/>
      <c r="KD193">
        <v>21</v>
      </c>
      <c r="KE193">
        <v>23</v>
      </c>
      <c r="KF193">
        <v>22</v>
      </c>
      <c r="KG193">
        <v>25462047</v>
      </c>
      <c r="KH193">
        <v>275</v>
      </c>
      <c r="KJ193" s="24"/>
      <c r="KK193">
        <v>72</v>
      </c>
      <c r="KL193">
        <v>86</v>
      </c>
      <c r="KM193">
        <v>72</v>
      </c>
      <c r="KN193">
        <v>58569178</v>
      </c>
      <c r="KO193">
        <v>91</v>
      </c>
      <c r="KQ193" s="24"/>
      <c r="KR193">
        <v>105601</v>
      </c>
      <c r="KS193">
        <v>105621</v>
      </c>
      <c r="KT193">
        <v>105610</v>
      </c>
      <c r="KU193">
        <v>47686</v>
      </c>
      <c r="KV193">
        <v>594</v>
      </c>
      <c r="KX193" s="24"/>
      <c r="KY193">
        <v>451</v>
      </c>
      <c r="KZ193">
        <v>474</v>
      </c>
      <c r="LA193">
        <v>474</v>
      </c>
      <c r="LB193">
        <v>7353071</v>
      </c>
      <c r="LC193">
        <v>194</v>
      </c>
      <c r="LE193" s="24"/>
      <c r="LF193">
        <v>185033</v>
      </c>
      <c r="LG193">
        <v>186500</v>
      </c>
      <c r="LH193">
        <v>185041</v>
      </c>
      <c r="LI193">
        <v>115432</v>
      </c>
      <c r="LJ193">
        <v>940</v>
      </c>
      <c r="LL193" s="24"/>
      <c r="LM193">
        <v>75000</v>
      </c>
      <c r="LN193">
        <v>77028</v>
      </c>
      <c r="LO193">
        <v>75500</v>
      </c>
      <c r="LP193">
        <v>313097</v>
      </c>
      <c r="LQ193">
        <v>1285</v>
      </c>
      <c r="LS193" s="24"/>
      <c r="LT193">
        <v>566</v>
      </c>
      <c r="LU193">
        <v>583</v>
      </c>
      <c r="LV193">
        <v>580</v>
      </c>
      <c r="LW193">
        <v>66132486</v>
      </c>
      <c r="LX193">
        <v>345</v>
      </c>
      <c r="LZ193" s="24"/>
      <c r="MA193">
        <v>111512</v>
      </c>
      <c r="MB193">
        <v>118962</v>
      </c>
      <c r="MC193">
        <v>111999</v>
      </c>
      <c r="MD193">
        <v>1108214</v>
      </c>
      <c r="ME193">
        <v>95</v>
      </c>
    </row>
    <row r="194" spans="2:343" x14ac:dyDescent="0.25">
      <c r="B194" s="24"/>
      <c r="C194">
        <v>3</v>
      </c>
      <c r="D194">
        <v>3</v>
      </c>
      <c r="E194">
        <v>3</v>
      </c>
      <c r="F194">
        <v>40784473471</v>
      </c>
      <c r="G194">
        <v>3304</v>
      </c>
      <c r="I194" s="24"/>
      <c r="J194">
        <v>4</v>
      </c>
      <c r="K194">
        <v>4</v>
      </c>
      <c r="L194">
        <v>4</v>
      </c>
      <c r="M194">
        <v>6538982014</v>
      </c>
      <c r="N194">
        <v>2369</v>
      </c>
      <c r="P194" s="24"/>
      <c r="Q194">
        <v>25</v>
      </c>
      <c r="R194">
        <v>26</v>
      </c>
      <c r="S194">
        <v>26</v>
      </c>
      <c r="T194">
        <v>3407336203</v>
      </c>
      <c r="U194">
        <v>2100</v>
      </c>
      <c r="W194" s="24"/>
      <c r="X194">
        <v>63</v>
      </c>
      <c r="Y194">
        <v>64</v>
      </c>
      <c r="Z194">
        <v>64</v>
      </c>
      <c r="AA194">
        <v>474084934</v>
      </c>
      <c r="AB194">
        <v>1651</v>
      </c>
      <c r="AD194" s="24"/>
      <c r="AE194">
        <v>436</v>
      </c>
      <c r="AF194">
        <v>456</v>
      </c>
      <c r="AG194">
        <v>454</v>
      </c>
      <c r="AH194">
        <v>173606820</v>
      </c>
      <c r="AI194">
        <v>1705</v>
      </c>
      <c r="AK194" s="24"/>
      <c r="AL194">
        <v>836</v>
      </c>
      <c r="AM194">
        <v>864</v>
      </c>
      <c r="AN194">
        <v>840</v>
      </c>
      <c r="AO194">
        <v>42970113</v>
      </c>
      <c r="AP194">
        <v>1414</v>
      </c>
      <c r="AR194" s="24"/>
      <c r="AS194">
        <v>2459</v>
      </c>
      <c r="AT194">
        <v>2546</v>
      </c>
      <c r="AU194">
        <v>2460</v>
      </c>
      <c r="AV194">
        <v>20497319</v>
      </c>
      <c r="AW194">
        <v>1367</v>
      </c>
      <c r="AY194" s="24"/>
      <c r="AZ194">
        <v>381705001</v>
      </c>
      <c r="BA194">
        <v>389601001</v>
      </c>
      <c r="BB194">
        <v>384355000</v>
      </c>
      <c r="BC194">
        <v>2782</v>
      </c>
      <c r="BD194">
        <v>1944</v>
      </c>
      <c r="BF194" s="24"/>
      <c r="BG194">
        <v>24503</v>
      </c>
      <c r="BH194">
        <v>24503</v>
      </c>
      <c r="BI194">
        <v>24503</v>
      </c>
      <c r="BJ194">
        <v>2014733</v>
      </c>
      <c r="BK194">
        <v>242</v>
      </c>
      <c r="BM194" s="24"/>
      <c r="BN194">
        <v>5500001</v>
      </c>
      <c r="BO194">
        <v>5500008</v>
      </c>
      <c r="BP194">
        <v>5500008</v>
      </c>
      <c r="BQ194">
        <v>8858</v>
      </c>
      <c r="BR194">
        <v>337</v>
      </c>
      <c r="BT194" s="24"/>
      <c r="BU194">
        <v>2500</v>
      </c>
      <c r="BV194">
        <v>2569</v>
      </c>
      <c r="BW194">
        <v>2569</v>
      </c>
      <c r="BX194">
        <v>33689001</v>
      </c>
      <c r="BY194">
        <v>302</v>
      </c>
      <c r="CA194" s="24"/>
      <c r="CB194">
        <v>561</v>
      </c>
      <c r="CC194">
        <v>562</v>
      </c>
      <c r="CD194">
        <v>562</v>
      </c>
      <c r="CE194">
        <v>64728677</v>
      </c>
      <c r="CF194">
        <v>335</v>
      </c>
      <c r="CH194" s="24"/>
      <c r="CI194">
        <v>22501</v>
      </c>
      <c r="CJ194">
        <v>23003</v>
      </c>
      <c r="CK194">
        <v>23001</v>
      </c>
      <c r="CL194">
        <v>559932</v>
      </c>
      <c r="CM194">
        <v>183</v>
      </c>
      <c r="CO194" s="24"/>
      <c r="CP194">
        <v>6651</v>
      </c>
      <c r="CQ194">
        <v>6794</v>
      </c>
      <c r="CR194">
        <v>6749</v>
      </c>
      <c r="CS194">
        <v>1063985</v>
      </c>
      <c r="CT194">
        <v>367</v>
      </c>
      <c r="CV194" s="24"/>
      <c r="CW194">
        <v>1371021</v>
      </c>
      <c r="CX194">
        <v>1400000</v>
      </c>
      <c r="CY194">
        <v>1400000</v>
      </c>
      <c r="CZ194">
        <v>12554</v>
      </c>
      <c r="DA194">
        <v>37</v>
      </c>
      <c r="DC194" s="24"/>
      <c r="DD194">
        <v>552</v>
      </c>
      <c r="DE194">
        <v>561</v>
      </c>
      <c r="DF194">
        <v>558</v>
      </c>
      <c r="DG194">
        <v>35973010</v>
      </c>
      <c r="DH194">
        <v>242</v>
      </c>
      <c r="DJ194" s="24"/>
      <c r="DK194">
        <v>33600001</v>
      </c>
      <c r="DL194">
        <v>33600011</v>
      </c>
      <c r="DM194">
        <v>33600005</v>
      </c>
      <c r="DN194">
        <v>312</v>
      </c>
      <c r="DO194">
        <v>84</v>
      </c>
      <c r="DQ194" s="24"/>
      <c r="DR194">
        <v>1880002</v>
      </c>
      <c r="DS194">
        <v>1888891</v>
      </c>
      <c r="DT194">
        <v>1888890</v>
      </c>
      <c r="DU194">
        <v>6811</v>
      </c>
      <c r="DV194">
        <v>226</v>
      </c>
      <c r="DX194" s="24"/>
      <c r="DY194">
        <v>19410029</v>
      </c>
      <c r="DZ194">
        <v>21799999</v>
      </c>
      <c r="EA194">
        <v>20000001</v>
      </c>
      <c r="EB194">
        <v>441</v>
      </c>
      <c r="EC194">
        <v>97</v>
      </c>
      <c r="EE194" s="24"/>
      <c r="EF194">
        <v>146</v>
      </c>
      <c r="EG194">
        <v>151</v>
      </c>
      <c r="EH194">
        <v>147</v>
      </c>
      <c r="EI194">
        <v>110666746</v>
      </c>
      <c r="EJ194">
        <v>198</v>
      </c>
      <c r="EL194" s="24"/>
      <c r="EM194">
        <v>59019</v>
      </c>
      <c r="EN194">
        <v>60501</v>
      </c>
      <c r="EO194">
        <v>59022</v>
      </c>
      <c r="EP194">
        <v>86033</v>
      </c>
      <c r="EQ194">
        <v>785</v>
      </c>
      <c r="ES194" s="24"/>
      <c r="ET194">
        <v>337</v>
      </c>
      <c r="EU194">
        <v>353</v>
      </c>
      <c r="EV194">
        <v>350</v>
      </c>
      <c r="EW194">
        <v>56043402</v>
      </c>
      <c r="EX194">
        <v>741</v>
      </c>
      <c r="EZ194" s="24"/>
      <c r="FA194">
        <v>3005000</v>
      </c>
      <c r="FB194">
        <v>3226101</v>
      </c>
      <c r="FC194">
        <v>3190101</v>
      </c>
      <c r="FD194">
        <v>1297</v>
      </c>
      <c r="FE194">
        <v>18</v>
      </c>
      <c r="FG194" s="24"/>
      <c r="FH194">
        <v>6192</v>
      </c>
      <c r="FI194">
        <v>6488</v>
      </c>
      <c r="FJ194">
        <v>6470</v>
      </c>
      <c r="FK194">
        <v>1487468</v>
      </c>
      <c r="FL194">
        <v>428</v>
      </c>
      <c r="FN194" s="24"/>
      <c r="FO194">
        <v>17872</v>
      </c>
      <c r="FP194">
        <v>17872</v>
      </c>
      <c r="FQ194">
        <v>17872</v>
      </c>
      <c r="FR194">
        <v>144778</v>
      </c>
      <c r="FS194">
        <v>94</v>
      </c>
      <c r="FU194" s="24"/>
      <c r="FV194">
        <v>18251</v>
      </c>
      <c r="FW194">
        <v>18253</v>
      </c>
      <c r="FX194">
        <v>18253</v>
      </c>
      <c r="FY194">
        <v>380315</v>
      </c>
      <c r="FZ194">
        <v>1507</v>
      </c>
      <c r="GB194" s="24"/>
      <c r="GC194">
        <v>92321000</v>
      </c>
      <c r="GD194">
        <v>99989000</v>
      </c>
      <c r="GE194">
        <v>92322002</v>
      </c>
      <c r="GF194">
        <v>135</v>
      </c>
      <c r="GG194">
        <v>95</v>
      </c>
      <c r="GI194" s="24"/>
      <c r="GJ194">
        <v>22046185</v>
      </c>
      <c r="GK194">
        <v>22051305</v>
      </c>
      <c r="GL194">
        <v>22050191</v>
      </c>
      <c r="GM194">
        <v>324</v>
      </c>
      <c r="GN194">
        <v>71</v>
      </c>
      <c r="GP194" s="24"/>
      <c r="GQ194">
        <v>80</v>
      </c>
      <c r="GR194">
        <v>87</v>
      </c>
      <c r="GS194">
        <v>80</v>
      </c>
      <c r="GT194">
        <v>168936277</v>
      </c>
      <c r="GU194">
        <v>132</v>
      </c>
      <c r="GW194" s="24"/>
      <c r="GX194">
        <v>478</v>
      </c>
      <c r="GY194">
        <v>489</v>
      </c>
      <c r="GZ194">
        <v>488</v>
      </c>
      <c r="HA194">
        <v>67335238</v>
      </c>
      <c r="HB194">
        <v>270</v>
      </c>
      <c r="HD194" s="24"/>
      <c r="HE194">
        <v>5950</v>
      </c>
      <c r="HF194">
        <v>6085</v>
      </c>
      <c r="HG194">
        <v>6020</v>
      </c>
      <c r="HH194">
        <v>19526243</v>
      </c>
      <c r="HI194">
        <v>260</v>
      </c>
      <c r="HK194" s="24"/>
      <c r="HL194">
        <v>93201500</v>
      </c>
      <c r="HM194">
        <v>97998999</v>
      </c>
      <c r="HN194">
        <v>93264101</v>
      </c>
      <c r="HO194">
        <v>153</v>
      </c>
      <c r="HP194">
        <v>98</v>
      </c>
      <c r="HR194" s="24"/>
      <c r="HS194">
        <v>6938</v>
      </c>
      <c r="HT194">
        <v>7269</v>
      </c>
      <c r="HU194">
        <v>7269</v>
      </c>
      <c r="HV194">
        <v>810604</v>
      </c>
      <c r="HW194">
        <v>170</v>
      </c>
      <c r="HY194" s="24"/>
      <c r="HZ194">
        <v>5106</v>
      </c>
      <c r="IA194">
        <v>5365</v>
      </c>
      <c r="IB194">
        <v>5255</v>
      </c>
      <c r="IC194">
        <v>1650846</v>
      </c>
      <c r="ID194">
        <v>340</v>
      </c>
      <c r="IF194" s="24"/>
      <c r="IG194">
        <v>2491</v>
      </c>
      <c r="IH194">
        <v>2557</v>
      </c>
      <c r="II194">
        <v>2492</v>
      </c>
      <c r="IJ194">
        <v>3615910</v>
      </c>
      <c r="IK194">
        <v>178</v>
      </c>
      <c r="IM194" s="24"/>
      <c r="IN194">
        <v>94500003</v>
      </c>
      <c r="IO194">
        <v>99998999</v>
      </c>
      <c r="IP194">
        <v>94507000</v>
      </c>
      <c r="IQ194">
        <v>118</v>
      </c>
      <c r="IR194">
        <v>84</v>
      </c>
      <c r="IT194" s="24"/>
      <c r="IU194">
        <v>7851</v>
      </c>
      <c r="IV194">
        <v>8061</v>
      </c>
      <c r="IW194">
        <v>7947</v>
      </c>
      <c r="IX194">
        <v>1269756</v>
      </c>
      <c r="IY194">
        <v>181</v>
      </c>
      <c r="JA194" s="24"/>
      <c r="JB194">
        <v>93200018</v>
      </c>
      <c r="JC194">
        <v>98742997</v>
      </c>
      <c r="JD194">
        <v>93202001</v>
      </c>
      <c r="JE194">
        <v>149</v>
      </c>
      <c r="JF194">
        <v>103</v>
      </c>
      <c r="JH194" s="24"/>
      <c r="JI194">
        <v>90000000</v>
      </c>
      <c r="JJ194">
        <v>96414000</v>
      </c>
      <c r="JK194">
        <v>90002002</v>
      </c>
      <c r="JL194">
        <v>110</v>
      </c>
      <c r="JM194">
        <v>71</v>
      </c>
      <c r="JO194" s="24"/>
      <c r="JP194">
        <v>71</v>
      </c>
      <c r="JQ194">
        <v>74</v>
      </c>
      <c r="JR194">
        <v>72</v>
      </c>
      <c r="JS194">
        <v>131579512</v>
      </c>
      <c r="JT194">
        <v>100</v>
      </c>
      <c r="JV194" s="24"/>
      <c r="JW194">
        <v>63</v>
      </c>
      <c r="JX194">
        <v>65</v>
      </c>
      <c r="JY194">
        <v>64</v>
      </c>
      <c r="JZ194">
        <v>141610374</v>
      </c>
      <c r="KA194">
        <v>121</v>
      </c>
      <c r="KC194" s="24"/>
      <c r="KD194">
        <v>21</v>
      </c>
      <c r="KE194">
        <v>22</v>
      </c>
      <c r="KF194">
        <v>22</v>
      </c>
      <c r="KG194">
        <v>47325717</v>
      </c>
      <c r="KH194">
        <v>370</v>
      </c>
      <c r="KJ194" s="24"/>
      <c r="KK194">
        <v>77</v>
      </c>
      <c r="KL194">
        <v>83</v>
      </c>
      <c r="KM194">
        <v>81</v>
      </c>
      <c r="KN194">
        <v>114004345</v>
      </c>
      <c r="KO194">
        <v>110</v>
      </c>
      <c r="KQ194" s="24"/>
      <c r="KR194">
        <v>105624</v>
      </c>
      <c r="KS194">
        <v>105633</v>
      </c>
      <c r="KT194">
        <v>105629</v>
      </c>
      <c r="KU194">
        <v>65208</v>
      </c>
      <c r="KV194">
        <v>760</v>
      </c>
      <c r="KX194" s="24"/>
      <c r="KY194">
        <v>450</v>
      </c>
      <c r="KZ194">
        <v>474</v>
      </c>
      <c r="LA194">
        <v>452</v>
      </c>
      <c r="LB194">
        <v>11821837</v>
      </c>
      <c r="LC194">
        <v>191</v>
      </c>
      <c r="LE194" s="24"/>
      <c r="LF194">
        <v>185051</v>
      </c>
      <c r="LG194">
        <v>185100</v>
      </c>
      <c r="LH194">
        <v>185055</v>
      </c>
      <c r="LI194">
        <v>160107</v>
      </c>
      <c r="LJ194">
        <v>1124</v>
      </c>
      <c r="LL194" s="24"/>
      <c r="LM194">
        <v>77028</v>
      </c>
      <c r="LN194">
        <v>77029</v>
      </c>
      <c r="LO194">
        <v>77029</v>
      </c>
      <c r="LP194">
        <v>418862</v>
      </c>
      <c r="LQ194">
        <v>1595</v>
      </c>
      <c r="LS194" s="24"/>
      <c r="LT194">
        <v>563</v>
      </c>
      <c r="LU194">
        <v>582</v>
      </c>
      <c r="LV194">
        <v>579</v>
      </c>
      <c r="LW194">
        <v>98799220</v>
      </c>
      <c r="LX194">
        <v>451</v>
      </c>
      <c r="LZ194" s="24"/>
      <c r="MA194">
        <v>112000</v>
      </c>
      <c r="MB194">
        <v>118572</v>
      </c>
      <c r="MC194">
        <v>115904</v>
      </c>
      <c r="MD194">
        <v>1333806</v>
      </c>
      <c r="ME194">
        <v>132</v>
      </c>
    </row>
    <row r="195" spans="2:343" x14ac:dyDescent="0.25">
      <c r="B195" s="24"/>
      <c r="C195">
        <v>3</v>
      </c>
      <c r="D195">
        <v>3</v>
      </c>
      <c r="E195">
        <v>3</v>
      </c>
      <c r="F195">
        <v>33476450984</v>
      </c>
      <c r="G195">
        <v>3626</v>
      </c>
      <c r="I195" s="24"/>
      <c r="J195">
        <v>4</v>
      </c>
      <c r="K195">
        <v>4</v>
      </c>
      <c r="L195">
        <v>4</v>
      </c>
      <c r="M195">
        <v>6287340896</v>
      </c>
      <c r="N195">
        <v>2589</v>
      </c>
      <c r="P195" s="24"/>
      <c r="Q195">
        <v>25</v>
      </c>
      <c r="R195">
        <v>26</v>
      </c>
      <c r="S195">
        <v>26</v>
      </c>
      <c r="T195">
        <v>1590609394</v>
      </c>
      <c r="U195">
        <v>2330</v>
      </c>
      <c r="W195" s="24"/>
      <c r="X195">
        <v>61</v>
      </c>
      <c r="Y195">
        <v>63</v>
      </c>
      <c r="Z195">
        <v>61</v>
      </c>
      <c r="AA195">
        <v>332797858</v>
      </c>
      <c r="AB195">
        <v>1829</v>
      </c>
      <c r="AD195" s="24"/>
      <c r="AE195">
        <v>434</v>
      </c>
      <c r="AF195">
        <v>451</v>
      </c>
      <c r="AG195">
        <v>441</v>
      </c>
      <c r="AH195">
        <v>118731648</v>
      </c>
      <c r="AI195">
        <v>1998</v>
      </c>
      <c r="AK195" s="24"/>
      <c r="AL195">
        <v>836</v>
      </c>
      <c r="AM195">
        <v>855</v>
      </c>
      <c r="AN195">
        <v>838</v>
      </c>
      <c r="AO195">
        <v>44865174</v>
      </c>
      <c r="AP195">
        <v>1607</v>
      </c>
      <c r="AR195" s="24"/>
      <c r="AS195">
        <v>2410</v>
      </c>
      <c r="AT195">
        <v>2500</v>
      </c>
      <c r="AU195">
        <v>2458</v>
      </c>
      <c r="AV195">
        <v>14980735</v>
      </c>
      <c r="AW195">
        <v>1530</v>
      </c>
      <c r="AY195" s="24"/>
      <c r="AZ195">
        <v>373459999</v>
      </c>
      <c r="BA195">
        <v>380999590</v>
      </c>
      <c r="BB195">
        <v>377659999</v>
      </c>
      <c r="BC195">
        <v>2769</v>
      </c>
      <c r="BD195">
        <v>1927</v>
      </c>
      <c r="BF195" s="24"/>
      <c r="BG195">
        <v>24510</v>
      </c>
      <c r="BH195">
        <v>25849</v>
      </c>
      <c r="BI195">
        <v>24511</v>
      </c>
      <c r="BJ195">
        <v>3428244</v>
      </c>
      <c r="BK195">
        <v>295</v>
      </c>
      <c r="BM195" s="24"/>
      <c r="BN195">
        <v>5500008</v>
      </c>
      <c r="BO195">
        <v>5639997</v>
      </c>
      <c r="BP195">
        <v>5500042</v>
      </c>
      <c r="BQ195">
        <v>12442</v>
      </c>
      <c r="BR195">
        <v>340</v>
      </c>
      <c r="BT195" s="24"/>
      <c r="BU195">
        <v>2500</v>
      </c>
      <c r="BV195">
        <v>2503</v>
      </c>
      <c r="BW195">
        <v>2502</v>
      </c>
      <c r="BX195">
        <v>27624794</v>
      </c>
      <c r="BY195">
        <v>262</v>
      </c>
      <c r="CA195" s="24"/>
      <c r="CB195">
        <v>546</v>
      </c>
      <c r="CC195">
        <v>562</v>
      </c>
      <c r="CD195">
        <v>561</v>
      </c>
      <c r="CE195">
        <v>69959376</v>
      </c>
      <c r="CF195">
        <v>338</v>
      </c>
      <c r="CH195" s="24"/>
      <c r="CI195">
        <v>22504</v>
      </c>
      <c r="CJ195">
        <v>22525</v>
      </c>
      <c r="CK195">
        <v>22505</v>
      </c>
      <c r="CL195">
        <v>1543582</v>
      </c>
      <c r="CM195">
        <v>230</v>
      </c>
      <c r="CO195" s="24"/>
      <c r="CP195">
        <v>6400</v>
      </c>
      <c r="CQ195">
        <v>6767</v>
      </c>
      <c r="CR195">
        <v>6688</v>
      </c>
      <c r="CS195">
        <v>1184261</v>
      </c>
      <c r="CT195">
        <v>369</v>
      </c>
      <c r="CV195" s="24"/>
      <c r="CW195">
        <v>1350017</v>
      </c>
      <c r="CX195">
        <v>1379998</v>
      </c>
      <c r="CY195">
        <v>1379998</v>
      </c>
      <c r="CZ195">
        <v>8372</v>
      </c>
      <c r="DA195">
        <v>39</v>
      </c>
      <c r="DC195" s="24"/>
      <c r="DD195">
        <v>555</v>
      </c>
      <c r="DE195">
        <v>562</v>
      </c>
      <c r="DF195">
        <v>561</v>
      </c>
      <c r="DG195">
        <v>21667615</v>
      </c>
      <c r="DH195">
        <v>160</v>
      </c>
      <c r="DJ195" s="24"/>
      <c r="DK195">
        <v>33600031</v>
      </c>
      <c r="DL195">
        <v>34100000</v>
      </c>
      <c r="DM195">
        <v>33600034</v>
      </c>
      <c r="DN195">
        <v>350</v>
      </c>
      <c r="DO195">
        <v>89</v>
      </c>
      <c r="DQ195" s="24"/>
      <c r="DR195">
        <v>1650000</v>
      </c>
      <c r="DS195">
        <v>1744502</v>
      </c>
      <c r="DT195">
        <v>1744501</v>
      </c>
      <c r="DU195">
        <v>12003</v>
      </c>
      <c r="DV195">
        <v>280</v>
      </c>
      <c r="DX195" s="24"/>
      <c r="DY195">
        <v>20000057</v>
      </c>
      <c r="DZ195">
        <v>20900072</v>
      </c>
      <c r="EA195">
        <v>20000062</v>
      </c>
      <c r="EB195">
        <v>512</v>
      </c>
      <c r="EC195">
        <v>107</v>
      </c>
      <c r="EE195" s="24"/>
      <c r="EF195">
        <v>151</v>
      </c>
      <c r="EG195">
        <v>155</v>
      </c>
      <c r="EH195">
        <v>151</v>
      </c>
      <c r="EI195">
        <v>133274642</v>
      </c>
      <c r="EJ195">
        <v>194</v>
      </c>
      <c r="EL195" s="24"/>
      <c r="EM195">
        <v>59026</v>
      </c>
      <c r="EN195">
        <v>59028</v>
      </c>
      <c r="EO195">
        <v>59028</v>
      </c>
      <c r="EP195">
        <v>82576</v>
      </c>
      <c r="EQ195">
        <v>898</v>
      </c>
      <c r="ES195" s="24"/>
      <c r="ET195">
        <v>337</v>
      </c>
      <c r="EU195">
        <v>351</v>
      </c>
      <c r="EV195">
        <v>351</v>
      </c>
      <c r="EW195">
        <v>46516666</v>
      </c>
      <c r="EX195">
        <v>722</v>
      </c>
      <c r="EZ195" s="24"/>
      <c r="FA195">
        <v>3106100</v>
      </c>
      <c r="FB195">
        <v>3500000</v>
      </c>
      <c r="FC195">
        <v>3442999</v>
      </c>
      <c r="FD195">
        <v>2754</v>
      </c>
      <c r="FE195">
        <v>40</v>
      </c>
      <c r="FG195" s="24"/>
      <c r="FH195">
        <v>5868</v>
      </c>
      <c r="FI195">
        <v>6297</v>
      </c>
      <c r="FJ195">
        <v>6177</v>
      </c>
      <c r="FK195">
        <v>2238147</v>
      </c>
      <c r="FL195">
        <v>458</v>
      </c>
      <c r="FN195" s="24"/>
      <c r="FO195">
        <v>17700</v>
      </c>
      <c r="FP195">
        <v>17870</v>
      </c>
      <c r="FQ195">
        <v>17869</v>
      </c>
      <c r="FR195">
        <v>313055</v>
      </c>
      <c r="FS195">
        <v>101</v>
      </c>
      <c r="FU195" s="24"/>
      <c r="FV195">
        <v>18253</v>
      </c>
      <c r="FW195">
        <v>18253</v>
      </c>
      <c r="FX195">
        <v>18253</v>
      </c>
      <c r="FY195">
        <v>479846</v>
      </c>
      <c r="FZ195">
        <v>1704</v>
      </c>
      <c r="GB195" s="24"/>
      <c r="GC195">
        <v>92500000</v>
      </c>
      <c r="GD195">
        <v>99135001</v>
      </c>
      <c r="GE195">
        <v>95293065</v>
      </c>
      <c r="GF195">
        <v>93</v>
      </c>
      <c r="GG195">
        <v>75</v>
      </c>
      <c r="GI195" s="24"/>
      <c r="GJ195">
        <v>22062012</v>
      </c>
      <c r="GK195">
        <v>22999999</v>
      </c>
      <c r="GL195">
        <v>22062018</v>
      </c>
      <c r="GM195">
        <v>811</v>
      </c>
      <c r="GN195">
        <v>104</v>
      </c>
      <c r="GP195" s="24"/>
      <c r="GQ195">
        <v>82</v>
      </c>
      <c r="GR195">
        <v>85</v>
      </c>
      <c r="GS195">
        <v>84</v>
      </c>
      <c r="GT195">
        <v>181446323</v>
      </c>
      <c r="GU195">
        <v>150</v>
      </c>
      <c r="GW195" s="24"/>
      <c r="GX195">
        <v>474</v>
      </c>
      <c r="GY195">
        <v>486</v>
      </c>
      <c r="GZ195">
        <v>485</v>
      </c>
      <c r="HA195">
        <v>45099530</v>
      </c>
      <c r="HB195">
        <v>294</v>
      </c>
      <c r="HD195" s="24"/>
      <c r="HE195">
        <v>5954</v>
      </c>
      <c r="HF195">
        <v>6080</v>
      </c>
      <c r="HG195">
        <v>6079</v>
      </c>
      <c r="HH195">
        <v>17707729</v>
      </c>
      <c r="HI195">
        <v>295</v>
      </c>
      <c r="HK195" s="24"/>
      <c r="HL195">
        <v>94000000</v>
      </c>
      <c r="HM195">
        <v>97194999</v>
      </c>
      <c r="HN195">
        <v>96129594</v>
      </c>
      <c r="HO195">
        <v>106</v>
      </c>
      <c r="HP195">
        <v>83</v>
      </c>
      <c r="HR195" s="24"/>
      <c r="HS195">
        <v>6450</v>
      </c>
      <c r="HT195">
        <v>6698</v>
      </c>
      <c r="HU195">
        <v>6650</v>
      </c>
      <c r="HV195">
        <v>1376435</v>
      </c>
      <c r="HW195">
        <v>170</v>
      </c>
      <c r="HY195" s="24"/>
      <c r="HZ195">
        <v>4910</v>
      </c>
      <c r="IA195">
        <v>5147</v>
      </c>
      <c r="IB195">
        <v>5050</v>
      </c>
      <c r="IC195">
        <v>1481239</v>
      </c>
      <c r="ID195">
        <v>401</v>
      </c>
      <c r="IF195" s="24"/>
      <c r="IG195">
        <v>2556</v>
      </c>
      <c r="IH195">
        <v>2556</v>
      </c>
      <c r="II195">
        <v>2556</v>
      </c>
      <c r="IJ195">
        <v>1462010</v>
      </c>
      <c r="IK195">
        <v>139</v>
      </c>
      <c r="IM195" s="24"/>
      <c r="IN195">
        <v>94507002</v>
      </c>
      <c r="IO195">
        <v>99445022</v>
      </c>
      <c r="IP195">
        <v>94507003</v>
      </c>
      <c r="IQ195">
        <v>137</v>
      </c>
      <c r="IR195">
        <v>92</v>
      </c>
      <c r="IT195" s="24"/>
      <c r="IU195">
        <v>7947</v>
      </c>
      <c r="IV195">
        <v>7947</v>
      </c>
      <c r="IW195">
        <v>7947</v>
      </c>
      <c r="IX195">
        <v>1312878</v>
      </c>
      <c r="IY195">
        <v>155</v>
      </c>
      <c r="JA195" s="24"/>
      <c r="JB195">
        <v>93203004</v>
      </c>
      <c r="JC195">
        <v>97189996</v>
      </c>
      <c r="JD195">
        <v>94000000</v>
      </c>
      <c r="JE195">
        <v>110</v>
      </c>
      <c r="JF195">
        <v>85</v>
      </c>
      <c r="JH195" s="24"/>
      <c r="JI195">
        <v>89000002</v>
      </c>
      <c r="JJ195">
        <v>94900001</v>
      </c>
      <c r="JK195">
        <v>90972969</v>
      </c>
      <c r="JL195">
        <v>69</v>
      </c>
      <c r="JM195">
        <v>45</v>
      </c>
      <c r="JO195" s="24"/>
      <c r="JP195">
        <v>74</v>
      </c>
      <c r="JQ195">
        <v>74</v>
      </c>
      <c r="JR195">
        <v>74</v>
      </c>
      <c r="JS195">
        <v>61531783</v>
      </c>
      <c r="JT195">
        <v>68</v>
      </c>
      <c r="JV195" s="24"/>
      <c r="JW195">
        <v>64</v>
      </c>
      <c r="JX195">
        <v>68</v>
      </c>
      <c r="JY195">
        <v>67</v>
      </c>
      <c r="JZ195">
        <v>111773508</v>
      </c>
      <c r="KA195">
        <v>117</v>
      </c>
      <c r="KC195" s="24"/>
      <c r="KD195">
        <v>21</v>
      </c>
      <c r="KE195">
        <v>22</v>
      </c>
      <c r="KF195">
        <v>22</v>
      </c>
      <c r="KG195">
        <v>45411206</v>
      </c>
      <c r="KH195">
        <v>357</v>
      </c>
      <c r="KJ195" s="24"/>
      <c r="KK195">
        <v>78</v>
      </c>
      <c r="KL195">
        <v>81</v>
      </c>
      <c r="KM195">
        <v>81</v>
      </c>
      <c r="KN195">
        <v>136343599</v>
      </c>
      <c r="KO195">
        <v>127</v>
      </c>
      <c r="KQ195" s="24"/>
      <c r="KR195">
        <v>105638</v>
      </c>
      <c r="KS195">
        <v>108399</v>
      </c>
      <c r="KT195">
        <v>105646</v>
      </c>
      <c r="KU195">
        <v>101802</v>
      </c>
      <c r="KV195">
        <v>881</v>
      </c>
      <c r="KX195" s="24"/>
      <c r="KY195">
        <v>473</v>
      </c>
      <c r="KZ195">
        <v>473</v>
      </c>
      <c r="LA195">
        <v>473</v>
      </c>
      <c r="LB195">
        <v>6655009</v>
      </c>
      <c r="LC195">
        <v>171</v>
      </c>
      <c r="LE195" s="24"/>
      <c r="LF195">
        <v>183555</v>
      </c>
      <c r="LG195">
        <v>183555</v>
      </c>
      <c r="LH195">
        <v>183555</v>
      </c>
      <c r="LI195">
        <v>125300</v>
      </c>
      <c r="LJ195">
        <v>1209</v>
      </c>
      <c r="LL195" s="24"/>
      <c r="LM195">
        <v>77029</v>
      </c>
      <c r="LN195">
        <v>77029</v>
      </c>
      <c r="LO195">
        <v>77029</v>
      </c>
      <c r="LP195">
        <v>517659</v>
      </c>
      <c r="LQ195">
        <v>1735</v>
      </c>
      <c r="LS195" s="24"/>
      <c r="LT195">
        <v>570</v>
      </c>
      <c r="LU195">
        <v>580</v>
      </c>
      <c r="LV195">
        <v>580</v>
      </c>
      <c r="LW195">
        <v>89557553</v>
      </c>
      <c r="LX195">
        <v>458</v>
      </c>
      <c r="LZ195" s="24"/>
      <c r="MA195">
        <v>111501</v>
      </c>
      <c r="MB195">
        <v>112605</v>
      </c>
      <c r="MC195">
        <v>112601</v>
      </c>
      <c r="MD195">
        <v>1435293</v>
      </c>
      <c r="ME195">
        <v>152</v>
      </c>
    </row>
    <row r="196" spans="2:343" x14ac:dyDescent="0.25">
      <c r="B196" s="24"/>
      <c r="C196">
        <v>3</v>
      </c>
      <c r="D196">
        <v>3</v>
      </c>
      <c r="E196">
        <v>3</v>
      </c>
      <c r="F196">
        <v>33935814323</v>
      </c>
      <c r="G196">
        <v>3483</v>
      </c>
      <c r="I196" s="24"/>
      <c r="J196">
        <v>4</v>
      </c>
      <c r="K196">
        <v>4</v>
      </c>
      <c r="L196">
        <v>4</v>
      </c>
      <c r="M196">
        <v>6984412103</v>
      </c>
      <c r="N196">
        <v>2438</v>
      </c>
      <c r="P196" s="24"/>
      <c r="Q196">
        <v>25</v>
      </c>
      <c r="R196">
        <v>26</v>
      </c>
      <c r="S196">
        <v>26</v>
      </c>
      <c r="T196">
        <v>2447843274</v>
      </c>
      <c r="U196">
        <v>2235</v>
      </c>
      <c r="W196" s="24"/>
      <c r="X196">
        <v>61</v>
      </c>
      <c r="Y196">
        <v>61</v>
      </c>
      <c r="Z196">
        <v>61</v>
      </c>
      <c r="AA196">
        <v>521693402</v>
      </c>
      <c r="AB196">
        <v>1836</v>
      </c>
      <c r="AD196" s="24"/>
      <c r="AE196">
        <v>425</v>
      </c>
      <c r="AF196">
        <v>443</v>
      </c>
      <c r="AG196">
        <v>443</v>
      </c>
      <c r="AH196">
        <v>166055615</v>
      </c>
      <c r="AI196">
        <v>1908</v>
      </c>
      <c r="AK196" s="24"/>
      <c r="AL196">
        <v>831</v>
      </c>
      <c r="AM196">
        <v>850</v>
      </c>
      <c r="AN196">
        <v>849</v>
      </c>
      <c r="AO196">
        <v>43941238</v>
      </c>
      <c r="AP196">
        <v>1553</v>
      </c>
      <c r="AR196" s="24"/>
      <c r="AS196">
        <v>2431</v>
      </c>
      <c r="AT196">
        <v>2529</v>
      </c>
      <c r="AU196">
        <v>2514</v>
      </c>
      <c r="AV196">
        <v>21407337</v>
      </c>
      <c r="AW196">
        <v>1534</v>
      </c>
      <c r="AY196" s="24"/>
      <c r="AZ196">
        <v>376001000</v>
      </c>
      <c r="BA196">
        <v>384998838</v>
      </c>
      <c r="BB196">
        <v>381950000</v>
      </c>
      <c r="BC196">
        <v>2459</v>
      </c>
      <c r="BD196">
        <v>1780</v>
      </c>
      <c r="BF196" s="24"/>
      <c r="BG196">
        <v>24908</v>
      </c>
      <c r="BH196">
        <v>25275</v>
      </c>
      <c r="BI196">
        <v>25250</v>
      </c>
      <c r="BJ196">
        <v>3798532</v>
      </c>
      <c r="BK196">
        <v>305</v>
      </c>
      <c r="BM196" s="24"/>
      <c r="BN196">
        <v>5600000</v>
      </c>
      <c r="BO196">
        <v>5748500</v>
      </c>
      <c r="BP196">
        <v>5600019</v>
      </c>
      <c r="BQ196">
        <v>9787</v>
      </c>
      <c r="BR196">
        <v>362</v>
      </c>
      <c r="BT196" s="24"/>
      <c r="BU196">
        <v>2453</v>
      </c>
      <c r="BV196">
        <v>2501</v>
      </c>
      <c r="BW196">
        <v>2454</v>
      </c>
      <c r="BX196">
        <v>25675455</v>
      </c>
      <c r="BY196">
        <v>255</v>
      </c>
      <c r="CA196" s="24"/>
      <c r="CB196">
        <v>560</v>
      </c>
      <c r="CC196">
        <v>562</v>
      </c>
      <c r="CD196">
        <v>561</v>
      </c>
      <c r="CE196">
        <v>68075543</v>
      </c>
      <c r="CF196">
        <v>312</v>
      </c>
      <c r="CH196" s="24"/>
      <c r="CI196">
        <v>22958</v>
      </c>
      <c r="CJ196">
        <v>22958</v>
      </c>
      <c r="CK196">
        <v>22958</v>
      </c>
      <c r="CL196">
        <v>2108461</v>
      </c>
      <c r="CM196">
        <v>237</v>
      </c>
      <c r="CO196" s="24"/>
      <c r="CP196">
        <v>6400</v>
      </c>
      <c r="CQ196">
        <v>6688</v>
      </c>
      <c r="CR196">
        <v>6674</v>
      </c>
      <c r="CS196">
        <v>1149807</v>
      </c>
      <c r="CT196">
        <v>377</v>
      </c>
      <c r="CV196" s="24"/>
      <c r="CW196">
        <v>1370000</v>
      </c>
      <c r="CX196">
        <v>1370000</v>
      </c>
      <c r="CY196">
        <v>1370000</v>
      </c>
      <c r="CZ196">
        <v>10154</v>
      </c>
      <c r="DA196">
        <v>40</v>
      </c>
      <c r="DC196" s="24"/>
      <c r="DD196">
        <v>558</v>
      </c>
      <c r="DE196">
        <v>559</v>
      </c>
      <c r="DF196">
        <v>559</v>
      </c>
      <c r="DG196">
        <v>40268903</v>
      </c>
      <c r="DH196">
        <v>192</v>
      </c>
      <c r="DJ196" s="24"/>
      <c r="DK196">
        <v>33650018</v>
      </c>
      <c r="DL196">
        <v>33702099</v>
      </c>
      <c r="DM196">
        <v>33702099</v>
      </c>
      <c r="DN196">
        <v>369</v>
      </c>
      <c r="DO196">
        <v>85</v>
      </c>
      <c r="DQ196" s="24"/>
      <c r="DR196">
        <v>1650001</v>
      </c>
      <c r="DS196">
        <v>1699496</v>
      </c>
      <c r="DT196">
        <v>1650002</v>
      </c>
      <c r="DU196">
        <v>8023</v>
      </c>
      <c r="DV196">
        <v>282</v>
      </c>
      <c r="DX196" s="24"/>
      <c r="DY196">
        <v>20000050</v>
      </c>
      <c r="DZ196">
        <v>21499995</v>
      </c>
      <c r="EA196">
        <v>20100000</v>
      </c>
      <c r="EB196">
        <v>625</v>
      </c>
      <c r="EC196">
        <v>135</v>
      </c>
      <c r="EE196" s="24"/>
      <c r="EF196">
        <v>153</v>
      </c>
      <c r="EG196">
        <v>158</v>
      </c>
      <c r="EH196">
        <v>154</v>
      </c>
      <c r="EI196">
        <v>95171335</v>
      </c>
      <c r="EJ196">
        <v>161</v>
      </c>
      <c r="EL196" s="24"/>
      <c r="EM196">
        <v>58042</v>
      </c>
      <c r="EN196">
        <v>59025</v>
      </c>
      <c r="EO196">
        <v>59022</v>
      </c>
      <c r="EP196">
        <v>84885</v>
      </c>
      <c r="EQ196">
        <v>804</v>
      </c>
      <c r="ES196" s="24"/>
      <c r="ET196">
        <v>335</v>
      </c>
      <c r="EU196">
        <v>350</v>
      </c>
      <c r="EV196">
        <v>345</v>
      </c>
      <c r="EW196">
        <v>53756205</v>
      </c>
      <c r="EX196">
        <v>713</v>
      </c>
      <c r="EZ196" s="24"/>
      <c r="FA196">
        <v>3350000</v>
      </c>
      <c r="FB196">
        <v>3494998</v>
      </c>
      <c r="FC196">
        <v>3350000</v>
      </c>
      <c r="FD196">
        <v>1270</v>
      </c>
      <c r="FE196">
        <v>28</v>
      </c>
      <c r="FG196" s="24"/>
      <c r="FH196">
        <v>5870</v>
      </c>
      <c r="FI196">
        <v>6052</v>
      </c>
      <c r="FJ196">
        <v>6000</v>
      </c>
      <c r="FK196">
        <v>1473641</v>
      </c>
      <c r="FL196">
        <v>453</v>
      </c>
      <c r="FN196" s="24"/>
      <c r="FO196">
        <v>17730</v>
      </c>
      <c r="FP196">
        <v>17870</v>
      </c>
      <c r="FQ196">
        <v>17740</v>
      </c>
      <c r="FR196">
        <v>243454</v>
      </c>
      <c r="FS196">
        <v>104</v>
      </c>
      <c r="FU196" s="24"/>
      <c r="FV196">
        <v>17650</v>
      </c>
      <c r="FW196">
        <v>17654</v>
      </c>
      <c r="FX196">
        <v>17653</v>
      </c>
      <c r="FY196">
        <v>438655</v>
      </c>
      <c r="FZ196">
        <v>1519</v>
      </c>
      <c r="GB196" s="24"/>
      <c r="GC196">
        <v>93325001</v>
      </c>
      <c r="GD196">
        <v>96990000</v>
      </c>
      <c r="GE196">
        <v>94963678</v>
      </c>
      <c r="GF196">
        <v>85</v>
      </c>
      <c r="GG196">
        <v>71</v>
      </c>
      <c r="GI196" s="24"/>
      <c r="GJ196">
        <v>22062018</v>
      </c>
      <c r="GK196">
        <v>22999999</v>
      </c>
      <c r="GL196">
        <v>22063100</v>
      </c>
      <c r="GM196">
        <v>897</v>
      </c>
      <c r="GN196">
        <v>120</v>
      </c>
      <c r="GP196" s="24"/>
      <c r="GQ196">
        <v>83</v>
      </c>
      <c r="GR196">
        <v>86</v>
      </c>
      <c r="GS196">
        <v>83</v>
      </c>
      <c r="GT196">
        <v>125591786</v>
      </c>
      <c r="GU196">
        <v>123</v>
      </c>
      <c r="GW196" s="24"/>
      <c r="GX196">
        <v>484</v>
      </c>
      <c r="GY196">
        <v>486</v>
      </c>
      <c r="GZ196">
        <v>485</v>
      </c>
      <c r="HA196">
        <v>73926002</v>
      </c>
      <c r="HB196">
        <v>308</v>
      </c>
      <c r="HD196" s="24"/>
      <c r="HE196">
        <v>5992</v>
      </c>
      <c r="HF196">
        <v>6079</v>
      </c>
      <c r="HG196">
        <v>6049</v>
      </c>
      <c r="HH196">
        <v>19450670</v>
      </c>
      <c r="HI196">
        <v>288</v>
      </c>
      <c r="HK196" s="24"/>
      <c r="HL196">
        <v>93133204</v>
      </c>
      <c r="HM196">
        <v>97101999</v>
      </c>
      <c r="HN196">
        <v>93133208</v>
      </c>
      <c r="HO196">
        <v>126</v>
      </c>
      <c r="HP196">
        <v>82</v>
      </c>
      <c r="HR196" s="24"/>
      <c r="HS196">
        <v>6450</v>
      </c>
      <c r="HT196">
        <v>6648</v>
      </c>
      <c r="HU196">
        <v>6600</v>
      </c>
      <c r="HV196">
        <v>812313</v>
      </c>
      <c r="HW196">
        <v>144</v>
      </c>
      <c r="HY196" s="24"/>
      <c r="HZ196">
        <v>4775</v>
      </c>
      <c r="IA196">
        <v>5012</v>
      </c>
      <c r="IB196">
        <v>4949</v>
      </c>
      <c r="IC196">
        <v>1735488</v>
      </c>
      <c r="ID196">
        <v>435</v>
      </c>
      <c r="IF196" s="24"/>
      <c r="IG196">
        <v>2500</v>
      </c>
      <c r="IH196">
        <v>2556</v>
      </c>
      <c r="II196">
        <v>2550</v>
      </c>
      <c r="IJ196">
        <v>1690166</v>
      </c>
      <c r="IK196">
        <v>148</v>
      </c>
      <c r="IM196" s="24"/>
      <c r="IN196">
        <v>91001037</v>
      </c>
      <c r="IO196">
        <v>99429002</v>
      </c>
      <c r="IP196">
        <v>97122027</v>
      </c>
      <c r="IQ196">
        <v>60</v>
      </c>
      <c r="IR196">
        <v>58</v>
      </c>
      <c r="IT196" s="24"/>
      <c r="IU196">
        <v>7850</v>
      </c>
      <c r="IV196">
        <v>7949</v>
      </c>
      <c r="IW196">
        <v>7851</v>
      </c>
      <c r="IX196">
        <v>1761798</v>
      </c>
      <c r="IY196">
        <v>161</v>
      </c>
      <c r="JA196" s="24"/>
      <c r="JB196">
        <v>93203001</v>
      </c>
      <c r="JC196">
        <v>96900998</v>
      </c>
      <c r="JD196">
        <v>95343793</v>
      </c>
      <c r="JE196">
        <v>83</v>
      </c>
      <c r="JF196">
        <v>76</v>
      </c>
      <c r="JH196" s="24"/>
      <c r="JI196">
        <v>90000006</v>
      </c>
      <c r="JJ196">
        <v>94894000</v>
      </c>
      <c r="JK196">
        <v>92718496</v>
      </c>
      <c r="JL196">
        <v>65</v>
      </c>
      <c r="JM196">
        <v>49</v>
      </c>
      <c r="JO196" s="24"/>
      <c r="JP196">
        <v>71</v>
      </c>
      <c r="JQ196">
        <v>72</v>
      </c>
      <c r="JR196">
        <v>71</v>
      </c>
      <c r="JS196">
        <v>98527352</v>
      </c>
      <c r="JT196">
        <v>79</v>
      </c>
      <c r="JV196" s="24"/>
      <c r="JW196">
        <v>65</v>
      </c>
      <c r="JX196">
        <v>68</v>
      </c>
      <c r="JY196">
        <v>67</v>
      </c>
      <c r="JZ196">
        <v>94493494</v>
      </c>
      <c r="KA196">
        <v>113</v>
      </c>
      <c r="KC196" s="24"/>
      <c r="KD196">
        <v>21</v>
      </c>
      <c r="KE196">
        <v>22</v>
      </c>
      <c r="KF196">
        <v>22</v>
      </c>
      <c r="KG196">
        <v>54911314</v>
      </c>
      <c r="KH196">
        <v>348</v>
      </c>
      <c r="KJ196" s="24"/>
      <c r="KK196">
        <v>78</v>
      </c>
      <c r="KL196">
        <v>82</v>
      </c>
      <c r="KM196">
        <v>79</v>
      </c>
      <c r="KN196">
        <v>108802579</v>
      </c>
      <c r="KO196">
        <v>110</v>
      </c>
      <c r="KQ196" s="24"/>
      <c r="KR196">
        <v>105646</v>
      </c>
      <c r="KS196">
        <v>108499</v>
      </c>
      <c r="KT196">
        <v>105651</v>
      </c>
      <c r="KU196">
        <v>103073</v>
      </c>
      <c r="KV196">
        <v>783</v>
      </c>
      <c r="KX196" s="24"/>
      <c r="KY196">
        <v>463</v>
      </c>
      <c r="KZ196">
        <v>473</v>
      </c>
      <c r="LA196">
        <v>469</v>
      </c>
      <c r="LB196">
        <v>5702241</v>
      </c>
      <c r="LC196">
        <v>189</v>
      </c>
      <c r="LE196" s="24"/>
      <c r="LF196">
        <v>178003</v>
      </c>
      <c r="LG196">
        <v>190000</v>
      </c>
      <c r="LH196">
        <v>180065</v>
      </c>
      <c r="LI196">
        <v>155385</v>
      </c>
      <c r="LJ196">
        <v>1105</v>
      </c>
      <c r="LL196" s="24"/>
      <c r="LM196">
        <v>75547</v>
      </c>
      <c r="LN196">
        <v>75556</v>
      </c>
      <c r="LO196">
        <v>75547</v>
      </c>
      <c r="LP196">
        <v>411773</v>
      </c>
      <c r="LQ196">
        <v>1573</v>
      </c>
      <c r="LS196" s="24"/>
      <c r="LT196">
        <v>569</v>
      </c>
      <c r="LU196">
        <v>581</v>
      </c>
      <c r="LV196">
        <v>580</v>
      </c>
      <c r="LW196">
        <v>102339873</v>
      </c>
      <c r="LX196">
        <v>431</v>
      </c>
      <c r="LZ196" s="24"/>
      <c r="MA196">
        <v>111044</v>
      </c>
      <c r="MB196">
        <v>113035</v>
      </c>
      <c r="MC196">
        <v>112604</v>
      </c>
      <c r="MD196">
        <v>1401872</v>
      </c>
      <c r="ME196">
        <v>128</v>
      </c>
    </row>
    <row r="197" spans="2:343" x14ac:dyDescent="0.25">
      <c r="B197" s="24"/>
      <c r="C197">
        <v>3</v>
      </c>
      <c r="D197">
        <v>3</v>
      </c>
      <c r="E197">
        <v>3</v>
      </c>
      <c r="F197">
        <v>25874711818</v>
      </c>
      <c r="G197">
        <v>1852</v>
      </c>
      <c r="I197" s="24"/>
      <c r="J197">
        <v>4</v>
      </c>
      <c r="K197">
        <v>4</v>
      </c>
      <c r="L197">
        <v>4</v>
      </c>
      <c r="M197">
        <v>2710033934</v>
      </c>
      <c r="N197">
        <v>1293</v>
      </c>
      <c r="P197" s="24"/>
      <c r="Q197">
        <v>26</v>
      </c>
      <c r="R197">
        <v>26</v>
      </c>
      <c r="S197">
        <v>26</v>
      </c>
      <c r="T197">
        <v>1061035838</v>
      </c>
      <c r="U197">
        <v>1209</v>
      </c>
      <c r="W197" s="24"/>
      <c r="X197">
        <v>63</v>
      </c>
      <c r="Y197">
        <v>63</v>
      </c>
      <c r="Z197">
        <v>63</v>
      </c>
      <c r="AA197">
        <v>164768295</v>
      </c>
      <c r="AB197">
        <v>939</v>
      </c>
      <c r="AD197" s="24"/>
      <c r="AE197">
        <v>425</v>
      </c>
      <c r="AF197">
        <v>433</v>
      </c>
      <c r="AG197">
        <v>431</v>
      </c>
      <c r="AH197">
        <v>36264529</v>
      </c>
      <c r="AI197">
        <v>931</v>
      </c>
      <c r="AK197" s="24"/>
      <c r="AL197">
        <v>836</v>
      </c>
      <c r="AM197">
        <v>848</v>
      </c>
      <c r="AN197">
        <v>838</v>
      </c>
      <c r="AO197">
        <v>29395902</v>
      </c>
      <c r="AP197">
        <v>829</v>
      </c>
      <c r="AR197" s="24"/>
      <c r="AS197">
        <v>2460</v>
      </c>
      <c r="AT197">
        <v>2541</v>
      </c>
      <c r="AU197">
        <v>2539</v>
      </c>
      <c r="AV197">
        <v>5958422</v>
      </c>
      <c r="AW197">
        <v>778</v>
      </c>
      <c r="AY197" s="24"/>
      <c r="AZ197">
        <v>382600000</v>
      </c>
      <c r="BA197">
        <v>393300000</v>
      </c>
      <c r="BB197">
        <v>387199802</v>
      </c>
      <c r="BC197">
        <v>1542</v>
      </c>
      <c r="BD197">
        <v>1021</v>
      </c>
      <c r="BF197" s="24"/>
      <c r="BG197">
        <v>23764</v>
      </c>
      <c r="BH197">
        <v>24551</v>
      </c>
      <c r="BI197">
        <v>24256</v>
      </c>
      <c r="BJ197">
        <v>1643630</v>
      </c>
      <c r="BK197">
        <v>136</v>
      </c>
      <c r="BM197" s="24"/>
      <c r="BN197">
        <v>5700056</v>
      </c>
      <c r="BO197">
        <v>5944888</v>
      </c>
      <c r="BP197">
        <v>5800001</v>
      </c>
      <c r="BQ197">
        <v>7385</v>
      </c>
      <c r="BR197">
        <v>236</v>
      </c>
      <c r="BT197" s="24"/>
      <c r="BU197">
        <v>2420</v>
      </c>
      <c r="BV197">
        <v>2499</v>
      </c>
      <c r="BW197">
        <v>2420</v>
      </c>
      <c r="BX197">
        <v>10117760</v>
      </c>
      <c r="BY197">
        <v>121</v>
      </c>
      <c r="CA197" s="24"/>
      <c r="CB197">
        <v>562</v>
      </c>
      <c r="CC197">
        <v>562</v>
      </c>
      <c r="CD197">
        <v>562</v>
      </c>
      <c r="CE197">
        <v>32865792</v>
      </c>
      <c r="CF197">
        <v>174</v>
      </c>
      <c r="CH197" s="24"/>
      <c r="CI197">
        <v>22400</v>
      </c>
      <c r="CJ197">
        <v>22400</v>
      </c>
      <c r="CK197">
        <v>22400</v>
      </c>
      <c r="CL197">
        <v>719952</v>
      </c>
      <c r="CM197">
        <v>93</v>
      </c>
      <c r="CO197" s="24"/>
      <c r="CP197">
        <v>6250</v>
      </c>
      <c r="CQ197">
        <v>6498</v>
      </c>
      <c r="CR197">
        <v>6345</v>
      </c>
      <c r="CS197">
        <v>794118</v>
      </c>
      <c r="CT197">
        <v>232</v>
      </c>
      <c r="CV197" s="24"/>
      <c r="CW197">
        <v>1390000</v>
      </c>
      <c r="CX197">
        <v>1390000</v>
      </c>
      <c r="CY197">
        <v>1390000</v>
      </c>
      <c r="CZ197">
        <v>18550</v>
      </c>
      <c r="DA197">
        <v>30</v>
      </c>
      <c r="DC197" s="24"/>
      <c r="DD197">
        <v>557</v>
      </c>
      <c r="DE197">
        <v>558</v>
      </c>
      <c r="DF197">
        <v>558</v>
      </c>
      <c r="DG197">
        <v>25276262</v>
      </c>
      <c r="DH197">
        <v>123</v>
      </c>
      <c r="DJ197" s="24"/>
      <c r="DK197">
        <v>31450000</v>
      </c>
      <c r="DL197">
        <v>31750001</v>
      </c>
      <c r="DM197">
        <v>31750001</v>
      </c>
      <c r="DN197">
        <v>125</v>
      </c>
      <c r="DO197">
        <v>41</v>
      </c>
      <c r="DQ197" s="24"/>
      <c r="DR197">
        <v>1585001</v>
      </c>
      <c r="DS197">
        <v>1699500</v>
      </c>
      <c r="DT197">
        <v>1699496</v>
      </c>
      <c r="DU197">
        <v>4898</v>
      </c>
      <c r="DV197">
        <v>142</v>
      </c>
      <c r="DX197" s="24"/>
      <c r="DY197">
        <v>19660040</v>
      </c>
      <c r="DZ197">
        <v>19660041</v>
      </c>
      <c r="EA197">
        <v>19660041</v>
      </c>
      <c r="EB197">
        <v>413</v>
      </c>
      <c r="EC197">
        <v>63</v>
      </c>
      <c r="EE197" s="24"/>
      <c r="EF197">
        <v>154</v>
      </c>
      <c r="EG197">
        <v>156</v>
      </c>
      <c r="EH197">
        <v>154</v>
      </c>
      <c r="EI197">
        <v>57298125</v>
      </c>
      <c r="EJ197">
        <v>86</v>
      </c>
      <c r="EL197" s="24"/>
      <c r="EM197">
        <v>58051</v>
      </c>
      <c r="EN197">
        <v>59000</v>
      </c>
      <c r="EO197">
        <v>58052</v>
      </c>
      <c r="EP197">
        <v>39017</v>
      </c>
      <c r="EQ197">
        <v>411</v>
      </c>
      <c r="ES197" s="24"/>
      <c r="ET197">
        <v>319</v>
      </c>
      <c r="EU197">
        <v>339</v>
      </c>
      <c r="EV197">
        <v>319</v>
      </c>
      <c r="EW197">
        <v>23965295</v>
      </c>
      <c r="EX197">
        <v>398</v>
      </c>
      <c r="EZ197" s="24"/>
      <c r="FA197">
        <v>3350006</v>
      </c>
      <c r="FB197">
        <v>3350006</v>
      </c>
      <c r="FC197">
        <v>3350006</v>
      </c>
      <c r="FD197">
        <v>793</v>
      </c>
      <c r="FE197">
        <v>14</v>
      </c>
      <c r="FG197" s="24"/>
      <c r="FH197">
        <v>5841</v>
      </c>
      <c r="FI197">
        <v>6099</v>
      </c>
      <c r="FJ197">
        <v>5856</v>
      </c>
      <c r="FK197">
        <v>1183494</v>
      </c>
      <c r="FL197">
        <v>306</v>
      </c>
      <c r="FN197" s="24"/>
      <c r="FO197">
        <v>17740</v>
      </c>
      <c r="FP197">
        <v>17740</v>
      </c>
      <c r="FQ197">
        <v>17740</v>
      </c>
      <c r="FR197">
        <v>149331</v>
      </c>
      <c r="FS197">
        <v>46</v>
      </c>
      <c r="FU197" s="24"/>
      <c r="FV197">
        <v>17652</v>
      </c>
      <c r="FW197">
        <v>17652</v>
      </c>
      <c r="FX197">
        <v>17652</v>
      </c>
      <c r="FY197">
        <v>173534</v>
      </c>
      <c r="FZ197">
        <v>784</v>
      </c>
      <c r="GB197" s="24"/>
      <c r="GC197">
        <v>92500002</v>
      </c>
      <c r="GD197">
        <v>99500002</v>
      </c>
      <c r="GE197">
        <v>96270293</v>
      </c>
      <c r="GF197">
        <v>82</v>
      </c>
      <c r="GG197">
        <v>53</v>
      </c>
      <c r="GI197" s="24"/>
      <c r="GJ197">
        <v>22062018</v>
      </c>
      <c r="GK197">
        <v>23900000</v>
      </c>
      <c r="GL197">
        <v>22062018</v>
      </c>
      <c r="GM197">
        <v>587</v>
      </c>
      <c r="GN197">
        <v>88</v>
      </c>
      <c r="GP197" s="24"/>
      <c r="GQ197">
        <v>83</v>
      </c>
      <c r="GR197">
        <v>85</v>
      </c>
      <c r="GS197">
        <v>85</v>
      </c>
      <c r="GT197">
        <v>41072911</v>
      </c>
      <c r="GU197">
        <v>60</v>
      </c>
      <c r="GW197" s="24"/>
      <c r="GX197">
        <v>475</v>
      </c>
      <c r="GY197">
        <v>503</v>
      </c>
      <c r="GZ197">
        <v>491</v>
      </c>
      <c r="HA197">
        <v>29916835</v>
      </c>
      <c r="HB197">
        <v>143</v>
      </c>
      <c r="HD197" s="24"/>
      <c r="HE197">
        <v>6068</v>
      </c>
      <c r="HF197">
        <v>6077</v>
      </c>
      <c r="HG197">
        <v>6069</v>
      </c>
      <c r="HH197">
        <v>4598709</v>
      </c>
      <c r="HI197">
        <v>120</v>
      </c>
      <c r="HK197" s="24"/>
      <c r="HL197">
        <v>90134113</v>
      </c>
      <c r="HM197">
        <v>97101998</v>
      </c>
      <c r="HN197">
        <v>96031590</v>
      </c>
      <c r="HO197">
        <v>66</v>
      </c>
      <c r="HP197">
        <v>51</v>
      </c>
      <c r="HR197" s="24"/>
      <c r="HS197">
        <v>6403</v>
      </c>
      <c r="HT197">
        <v>6649</v>
      </c>
      <c r="HU197">
        <v>6649</v>
      </c>
      <c r="HV197">
        <v>487319</v>
      </c>
      <c r="HW197">
        <v>86</v>
      </c>
      <c r="HY197" s="24"/>
      <c r="HZ197">
        <v>4775</v>
      </c>
      <c r="IA197">
        <v>4844</v>
      </c>
      <c r="IB197">
        <v>4833</v>
      </c>
      <c r="IC197">
        <v>1057917</v>
      </c>
      <c r="ID197">
        <v>257</v>
      </c>
      <c r="IF197" s="24"/>
      <c r="IG197">
        <v>2556</v>
      </c>
      <c r="IH197">
        <v>2556</v>
      </c>
      <c r="II197">
        <v>2556</v>
      </c>
      <c r="IJ197">
        <v>428084</v>
      </c>
      <c r="IK197">
        <v>68</v>
      </c>
      <c r="IM197" s="24"/>
      <c r="IN197">
        <v>91001044</v>
      </c>
      <c r="IO197">
        <v>99425928</v>
      </c>
      <c r="IP197">
        <v>97103427</v>
      </c>
      <c r="IQ197">
        <v>69</v>
      </c>
      <c r="IR197">
        <v>46</v>
      </c>
      <c r="IT197" s="24"/>
      <c r="IU197">
        <v>7611</v>
      </c>
      <c r="IV197">
        <v>7900</v>
      </c>
      <c r="IW197">
        <v>7898</v>
      </c>
      <c r="IX197">
        <v>629437</v>
      </c>
      <c r="IY197">
        <v>74</v>
      </c>
      <c r="JA197" s="24"/>
      <c r="JB197">
        <v>93203001</v>
      </c>
      <c r="JC197">
        <v>96860884</v>
      </c>
      <c r="JD197">
        <v>95857475</v>
      </c>
      <c r="JE197">
        <v>80</v>
      </c>
      <c r="JF197">
        <v>50</v>
      </c>
      <c r="JH197" s="24"/>
      <c r="JI197">
        <v>90000008</v>
      </c>
      <c r="JJ197">
        <v>94891000</v>
      </c>
      <c r="JK197">
        <v>94630554</v>
      </c>
      <c r="JL197">
        <v>39</v>
      </c>
      <c r="JM197">
        <v>28</v>
      </c>
      <c r="JO197" s="24"/>
      <c r="JP197">
        <v>70</v>
      </c>
      <c r="JQ197">
        <v>73</v>
      </c>
      <c r="JR197">
        <v>72</v>
      </c>
      <c r="JS197">
        <v>36971022</v>
      </c>
      <c r="JT197">
        <v>48</v>
      </c>
      <c r="JV197" s="24"/>
      <c r="JW197">
        <v>65</v>
      </c>
      <c r="JX197">
        <v>65</v>
      </c>
      <c r="JY197">
        <v>65</v>
      </c>
      <c r="JZ197">
        <v>57522579</v>
      </c>
      <c r="KA197">
        <v>51</v>
      </c>
      <c r="KC197" s="24"/>
      <c r="KD197">
        <v>19</v>
      </c>
      <c r="KE197">
        <v>22</v>
      </c>
      <c r="KF197">
        <v>19</v>
      </c>
      <c r="KG197">
        <v>25337683</v>
      </c>
      <c r="KH197">
        <v>211</v>
      </c>
      <c r="KJ197" s="24"/>
      <c r="KK197">
        <v>78</v>
      </c>
      <c r="KL197">
        <v>81</v>
      </c>
      <c r="KM197">
        <v>78</v>
      </c>
      <c r="KN197">
        <v>68659720</v>
      </c>
      <c r="KO197">
        <v>67</v>
      </c>
      <c r="KQ197" s="24"/>
      <c r="KR197">
        <v>105661</v>
      </c>
      <c r="KS197">
        <v>105663</v>
      </c>
      <c r="KT197">
        <v>105662</v>
      </c>
      <c r="KU197">
        <v>33381</v>
      </c>
      <c r="KV197">
        <v>366</v>
      </c>
      <c r="KX197" s="24"/>
      <c r="KY197">
        <v>453</v>
      </c>
      <c r="KZ197">
        <v>468</v>
      </c>
      <c r="LA197">
        <v>468</v>
      </c>
      <c r="LB197">
        <v>4238605</v>
      </c>
      <c r="LC197">
        <v>105</v>
      </c>
      <c r="LE197" s="24"/>
      <c r="LF197">
        <v>180072</v>
      </c>
      <c r="LG197">
        <v>180098</v>
      </c>
      <c r="LH197">
        <v>180092</v>
      </c>
      <c r="LI197">
        <v>41837</v>
      </c>
      <c r="LJ197">
        <v>540</v>
      </c>
      <c r="LL197" s="24"/>
      <c r="LM197">
        <v>75551</v>
      </c>
      <c r="LN197">
        <v>75551</v>
      </c>
      <c r="LO197">
        <v>75551</v>
      </c>
      <c r="LP197">
        <v>168618</v>
      </c>
      <c r="LQ197">
        <v>755</v>
      </c>
      <c r="LS197" s="24"/>
      <c r="LT197">
        <v>558</v>
      </c>
      <c r="LU197">
        <v>577</v>
      </c>
      <c r="LV197">
        <v>574</v>
      </c>
      <c r="LW197">
        <v>101933857</v>
      </c>
      <c r="LX197">
        <v>297</v>
      </c>
      <c r="LZ197" s="24"/>
      <c r="MA197">
        <v>112999</v>
      </c>
      <c r="MB197">
        <v>114999</v>
      </c>
      <c r="MC197">
        <v>114999</v>
      </c>
      <c r="MD197">
        <v>270509</v>
      </c>
      <c r="ME197">
        <v>46</v>
      </c>
    </row>
    <row r="198" spans="2:343" x14ac:dyDescent="0.25">
      <c r="B198" s="24"/>
      <c r="C198">
        <v>3</v>
      </c>
      <c r="D198">
        <v>3</v>
      </c>
      <c r="E198">
        <v>3</v>
      </c>
      <c r="F198">
        <v>32989914899</v>
      </c>
      <c r="G198">
        <v>2693</v>
      </c>
      <c r="I198" s="24"/>
      <c r="J198">
        <v>4</v>
      </c>
      <c r="K198">
        <v>4</v>
      </c>
      <c r="L198">
        <v>4</v>
      </c>
      <c r="M198">
        <v>5407545663</v>
      </c>
      <c r="N198">
        <v>1881</v>
      </c>
      <c r="P198" s="24"/>
      <c r="Q198">
        <v>25</v>
      </c>
      <c r="R198">
        <v>26</v>
      </c>
      <c r="S198">
        <v>26</v>
      </c>
      <c r="T198">
        <v>1441269189</v>
      </c>
      <c r="U198">
        <v>1664</v>
      </c>
      <c r="W198" s="24"/>
      <c r="X198">
        <v>62</v>
      </c>
      <c r="Y198">
        <v>63</v>
      </c>
      <c r="Z198">
        <v>62</v>
      </c>
      <c r="AA198">
        <v>419005146</v>
      </c>
      <c r="AB198">
        <v>1375</v>
      </c>
      <c r="AD198" s="24"/>
      <c r="AE198">
        <v>423</v>
      </c>
      <c r="AF198">
        <v>434</v>
      </c>
      <c r="AG198">
        <v>428</v>
      </c>
      <c r="AH198">
        <v>150592044</v>
      </c>
      <c r="AI198">
        <v>1439</v>
      </c>
      <c r="AK198" s="24"/>
      <c r="AL198">
        <v>839</v>
      </c>
      <c r="AM198">
        <v>847</v>
      </c>
      <c r="AN198">
        <v>840</v>
      </c>
      <c r="AO198">
        <v>29805674</v>
      </c>
      <c r="AP198">
        <v>1186</v>
      </c>
      <c r="AR198" s="24"/>
      <c r="AS198">
        <v>2443</v>
      </c>
      <c r="AT198">
        <v>2544</v>
      </c>
      <c r="AU198">
        <v>2543</v>
      </c>
      <c r="AV198">
        <v>12160283</v>
      </c>
      <c r="AW198">
        <v>1152</v>
      </c>
      <c r="AY198" s="24"/>
      <c r="AZ198">
        <v>379251156</v>
      </c>
      <c r="BA198">
        <v>388749985</v>
      </c>
      <c r="BB198">
        <v>383779998</v>
      </c>
      <c r="BC198">
        <v>2425</v>
      </c>
      <c r="BD198">
        <v>1669</v>
      </c>
      <c r="BF198" s="24"/>
      <c r="BG198">
        <v>24503</v>
      </c>
      <c r="BH198">
        <v>24605</v>
      </c>
      <c r="BI198">
        <v>24603</v>
      </c>
      <c r="BJ198">
        <v>3713919</v>
      </c>
      <c r="BK198">
        <v>259</v>
      </c>
      <c r="BM198" s="24"/>
      <c r="BN198">
        <v>5900004</v>
      </c>
      <c r="BO198">
        <v>6200000</v>
      </c>
      <c r="BP198">
        <v>6100001</v>
      </c>
      <c r="BQ198">
        <v>12640</v>
      </c>
      <c r="BR198">
        <v>308</v>
      </c>
      <c r="BT198" s="24"/>
      <c r="BU198">
        <v>2350</v>
      </c>
      <c r="BV198">
        <v>2439</v>
      </c>
      <c r="BW198">
        <v>2437</v>
      </c>
      <c r="BX198">
        <v>20180338</v>
      </c>
      <c r="BY198">
        <v>200</v>
      </c>
      <c r="CA198" s="24"/>
      <c r="CB198">
        <v>562</v>
      </c>
      <c r="CC198">
        <v>562</v>
      </c>
      <c r="CD198">
        <v>562</v>
      </c>
      <c r="CE198">
        <v>58946109</v>
      </c>
      <c r="CF198">
        <v>280</v>
      </c>
      <c r="CH198" s="24"/>
      <c r="CI198">
        <v>21526</v>
      </c>
      <c r="CJ198">
        <v>21527</v>
      </c>
      <c r="CK198">
        <v>21526</v>
      </c>
      <c r="CL198">
        <v>2010296</v>
      </c>
      <c r="CM198">
        <v>214</v>
      </c>
      <c r="CO198" s="24"/>
      <c r="CP198">
        <v>6389</v>
      </c>
      <c r="CQ198">
        <v>6424</v>
      </c>
      <c r="CR198">
        <v>6389</v>
      </c>
      <c r="CS198">
        <v>835712</v>
      </c>
      <c r="CT198">
        <v>344</v>
      </c>
      <c r="CV198" s="24"/>
      <c r="CW198">
        <v>1420001</v>
      </c>
      <c r="CX198">
        <v>1488886</v>
      </c>
      <c r="CY198">
        <v>1475001</v>
      </c>
      <c r="CZ198">
        <v>7253</v>
      </c>
      <c r="DA198">
        <v>42</v>
      </c>
      <c r="DC198" s="24"/>
      <c r="DD198">
        <v>546</v>
      </c>
      <c r="DE198">
        <v>559</v>
      </c>
      <c r="DF198">
        <v>558</v>
      </c>
      <c r="DG198">
        <v>24536269</v>
      </c>
      <c r="DH198">
        <v>164</v>
      </c>
      <c r="DJ198" s="24"/>
      <c r="DK198">
        <v>32459001</v>
      </c>
      <c r="DL198">
        <v>33989998</v>
      </c>
      <c r="DM198">
        <v>32532002</v>
      </c>
      <c r="DN198">
        <v>316</v>
      </c>
      <c r="DO198">
        <v>81</v>
      </c>
      <c r="DQ198" s="24"/>
      <c r="DR198">
        <v>1690321</v>
      </c>
      <c r="DS198">
        <v>1729999</v>
      </c>
      <c r="DT198">
        <v>1690322</v>
      </c>
      <c r="DU198">
        <v>7051</v>
      </c>
      <c r="DV198">
        <v>209</v>
      </c>
      <c r="DX198" s="24"/>
      <c r="DY198">
        <v>19500003</v>
      </c>
      <c r="DZ198">
        <v>19700001</v>
      </c>
      <c r="EA198">
        <v>19500015</v>
      </c>
      <c r="EB198">
        <v>297</v>
      </c>
      <c r="EC198">
        <v>73</v>
      </c>
      <c r="EE198" s="24"/>
      <c r="EF198">
        <v>150</v>
      </c>
      <c r="EG198">
        <v>156</v>
      </c>
      <c r="EH198">
        <v>156</v>
      </c>
      <c r="EI198">
        <v>89677959</v>
      </c>
      <c r="EJ198">
        <v>142</v>
      </c>
      <c r="EL198" s="24"/>
      <c r="EM198">
        <v>58669</v>
      </c>
      <c r="EN198">
        <v>58679</v>
      </c>
      <c r="EO198">
        <v>58676</v>
      </c>
      <c r="EP198">
        <v>49005</v>
      </c>
      <c r="EQ198">
        <v>590</v>
      </c>
      <c r="ES198" s="24"/>
      <c r="ET198">
        <v>324</v>
      </c>
      <c r="EU198">
        <v>342</v>
      </c>
      <c r="EV198">
        <v>339</v>
      </c>
      <c r="EW198">
        <v>41219647</v>
      </c>
      <c r="EX198">
        <v>606</v>
      </c>
      <c r="EZ198" s="24"/>
      <c r="FA198">
        <v>3350006</v>
      </c>
      <c r="FB198">
        <v>3448998</v>
      </c>
      <c r="FC198">
        <v>3447964</v>
      </c>
      <c r="FD198">
        <v>1698</v>
      </c>
      <c r="FE198">
        <v>27</v>
      </c>
      <c r="FG198" s="24"/>
      <c r="FH198">
        <v>5844</v>
      </c>
      <c r="FI198">
        <v>6209</v>
      </c>
      <c r="FJ198">
        <v>6097</v>
      </c>
      <c r="FK198">
        <v>1148104</v>
      </c>
      <c r="FL198">
        <v>403</v>
      </c>
      <c r="FN198" s="24"/>
      <c r="FO198">
        <v>17874</v>
      </c>
      <c r="FP198">
        <v>17874</v>
      </c>
      <c r="FQ198">
        <v>17874</v>
      </c>
      <c r="FR198">
        <v>142745</v>
      </c>
      <c r="FS198">
        <v>63</v>
      </c>
      <c r="FU198" s="24"/>
      <c r="FV198">
        <v>17657</v>
      </c>
      <c r="FW198">
        <v>17675</v>
      </c>
      <c r="FX198">
        <v>17669</v>
      </c>
      <c r="FY198">
        <v>251556</v>
      </c>
      <c r="FZ198">
        <v>1109</v>
      </c>
      <c r="GB198" s="24"/>
      <c r="GC198">
        <v>92949005</v>
      </c>
      <c r="GD198">
        <v>99948998</v>
      </c>
      <c r="GE198">
        <v>97793674</v>
      </c>
      <c r="GF198">
        <v>62</v>
      </c>
      <c r="GG198">
        <v>60</v>
      </c>
      <c r="GI198" s="24"/>
      <c r="GJ198">
        <v>22299425</v>
      </c>
      <c r="GK198">
        <v>22419435</v>
      </c>
      <c r="GL198">
        <v>22399425</v>
      </c>
      <c r="GM198">
        <v>313</v>
      </c>
      <c r="GN198">
        <v>71</v>
      </c>
      <c r="GP198" s="24"/>
      <c r="GQ198">
        <v>84</v>
      </c>
      <c r="GR198">
        <v>85</v>
      </c>
      <c r="GS198">
        <v>85</v>
      </c>
      <c r="GT198">
        <v>104301110</v>
      </c>
      <c r="GU198">
        <v>110</v>
      </c>
      <c r="GW198" s="24"/>
      <c r="GX198">
        <v>501</v>
      </c>
      <c r="GY198">
        <v>501</v>
      </c>
      <c r="GZ198">
        <v>501</v>
      </c>
      <c r="HA198">
        <v>38783874</v>
      </c>
      <c r="HB198">
        <v>221</v>
      </c>
      <c r="HD198" s="24"/>
      <c r="HE198">
        <v>6000</v>
      </c>
      <c r="HF198">
        <v>6066</v>
      </c>
      <c r="HG198">
        <v>6048</v>
      </c>
      <c r="HH198">
        <v>20308499</v>
      </c>
      <c r="HI198">
        <v>272</v>
      </c>
      <c r="HK198" s="24"/>
      <c r="HL198">
        <v>90134751</v>
      </c>
      <c r="HM198">
        <v>97112997</v>
      </c>
      <c r="HN198">
        <v>94326732</v>
      </c>
      <c r="HO198">
        <v>63</v>
      </c>
      <c r="HP198">
        <v>58</v>
      </c>
      <c r="HR198" s="24"/>
      <c r="HS198">
        <v>6402</v>
      </c>
      <c r="HT198">
        <v>6650</v>
      </c>
      <c r="HU198">
        <v>6648</v>
      </c>
      <c r="HV198">
        <v>542231</v>
      </c>
      <c r="HW198">
        <v>99</v>
      </c>
      <c r="HY198" s="24"/>
      <c r="HZ198">
        <v>4655</v>
      </c>
      <c r="IA198">
        <v>4844</v>
      </c>
      <c r="IB198">
        <v>4843</v>
      </c>
      <c r="IC198">
        <v>1448334</v>
      </c>
      <c r="ID198">
        <v>426</v>
      </c>
      <c r="IF198" s="24"/>
      <c r="IG198">
        <v>2555</v>
      </c>
      <c r="IH198">
        <v>2556</v>
      </c>
      <c r="II198">
        <v>2556</v>
      </c>
      <c r="IJ198">
        <v>2833274</v>
      </c>
      <c r="IK198">
        <v>157</v>
      </c>
      <c r="IM198" s="24"/>
      <c r="IN198">
        <v>93000006</v>
      </c>
      <c r="IO198">
        <v>99425924</v>
      </c>
      <c r="IP198">
        <v>97459411</v>
      </c>
      <c r="IQ198">
        <v>48</v>
      </c>
      <c r="IR198">
        <v>48</v>
      </c>
      <c r="IT198" s="24"/>
      <c r="IU198">
        <v>7750</v>
      </c>
      <c r="IV198">
        <v>7899</v>
      </c>
      <c r="IW198">
        <v>7898</v>
      </c>
      <c r="IX198">
        <v>1350556</v>
      </c>
      <c r="IY198">
        <v>118</v>
      </c>
      <c r="JA198" s="24"/>
      <c r="JB198">
        <v>93203008</v>
      </c>
      <c r="JC198">
        <v>96860794</v>
      </c>
      <c r="JD198">
        <v>95546858</v>
      </c>
      <c r="JE198">
        <v>65</v>
      </c>
      <c r="JF198">
        <v>55</v>
      </c>
      <c r="JH198" s="24"/>
      <c r="JI198">
        <v>90000010</v>
      </c>
      <c r="JJ198">
        <v>94896000</v>
      </c>
      <c r="JK198">
        <v>94116601</v>
      </c>
      <c r="JL198">
        <v>40</v>
      </c>
      <c r="JM198">
        <v>36</v>
      </c>
      <c r="JO198" s="24"/>
      <c r="JP198">
        <v>72</v>
      </c>
      <c r="JQ198">
        <v>74</v>
      </c>
      <c r="JR198">
        <v>74</v>
      </c>
      <c r="JS198">
        <v>96043630</v>
      </c>
      <c r="JT198">
        <v>92</v>
      </c>
      <c r="JV198" s="24"/>
      <c r="JW198">
        <v>64</v>
      </c>
      <c r="JX198">
        <v>66</v>
      </c>
      <c r="JY198">
        <v>65</v>
      </c>
      <c r="JZ198">
        <v>176418672</v>
      </c>
      <c r="KA198">
        <v>103</v>
      </c>
      <c r="KC198" s="24"/>
      <c r="KD198">
        <v>20</v>
      </c>
      <c r="KE198">
        <v>22</v>
      </c>
      <c r="KF198">
        <v>22</v>
      </c>
      <c r="KG198">
        <v>42236745</v>
      </c>
      <c r="KH198">
        <v>352</v>
      </c>
      <c r="KJ198" s="24"/>
      <c r="KK198">
        <v>80</v>
      </c>
      <c r="KL198">
        <v>81</v>
      </c>
      <c r="KM198">
        <v>81</v>
      </c>
      <c r="KN198">
        <v>75766725</v>
      </c>
      <c r="KO198">
        <v>92</v>
      </c>
      <c r="KQ198" s="24"/>
      <c r="KR198">
        <v>105701</v>
      </c>
      <c r="KS198">
        <v>113389</v>
      </c>
      <c r="KT198">
        <v>105850</v>
      </c>
      <c r="KU198">
        <v>56928</v>
      </c>
      <c r="KV198">
        <v>569</v>
      </c>
      <c r="KX198" s="24"/>
      <c r="KY198">
        <v>468</v>
      </c>
      <c r="KZ198">
        <v>468</v>
      </c>
      <c r="LA198">
        <v>468</v>
      </c>
      <c r="LB198">
        <v>8668605</v>
      </c>
      <c r="LC198">
        <v>144</v>
      </c>
      <c r="LE198" s="24"/>
      <c r="LF198">
        <v>180267</v>
      </c>
      <c r="LG198">
        <v>180520</v>
      </c>
      <c r="LH198">
        <v>180305</v>
      </c>
      <c r="LI198">
        <v>75363</v>
      </c>
      <c r="LJ198">
        <v>799</v>
      </c>
      <c r="LL198" s="24"/>
      <c r="LM198">
        <v>75560</v>
      </c>
      <c r="LN198">
        <v>76001</v>
      </c>
      <c r="LO198">
        <v>75985</v>
      </c>
      <c r="LP198">
        <v>275900</v>
      </c>
      <c r="LQ198">
        <v>1168</v>
      </c>
      <c r="LS198" s="24"/>
      <c r="LT198">
        <v>564</v>
      </c>
      <c r="LU198">
        <v>574</v>
      </c>
      <c r="LV198">
        <v>572</v>
      </c>
      <c r="LW198">
        <v>75008392</v>
      </c>
      <c r="LX198">
        <v>413</v>
      </c>
      <c r="LZ198" s="24"/>
      <c r="MA198">
        <v>110001</v>
      </c>
      <c r="MB198">
        <v>113948</v>
      </c>
      <c r="MC198">
        <v>110002</v>
      </c>
      <c r="MD198">
        <v>552782</v>
      </c>
      <c r="ME198">
        <v>62</v>
      </c>
    </row>
    <row r="199" spans="2:343" x14ac:dyDescent="0.25">
      <c r="B199" s="24"/>
      <c r="C199">
        <v>3</v>
      </c>
      <c r="D199">
        <v>3</v>
      </c>
      <c r="E199">
        <v>3</v>
      </c>
      <c r="F199">
        <v>23529293391</v>
      </c>
      <c r="G199">
        <v>3080</v>
      </c>
      <c r="I199" s="24"/>
      <c r="J199">
        <v>4</v>
      </c>
      <c r="K199">
        <v>4</v>
      </c>
      <c r="L199">
        <v>4</v>
      </c>
      <c r="M199">
        <v>5713893184</v>
      </c>
      <c r="N199">
        <v>2287</v>
      </c>
      <c r="P199" s="24"/>
      <c r="Q199">
        <v>26</v>
      </c>
      <c r="R199">
        <v>26</v>
      </c>
      <c r="S199">
        <v>26</v>
      </c>
      <c r="T199">
        <v>1615329288</v>
      </c>
      <c r="U199">
        <v>2049</v>
      </c>
      <c r="W199" s="24"/>
      <c r="X199">
        <v>62</v>
      </c>
      <c r="Y199">
        <v>63</v>
      </c>
      <c r="Z199">
        <v>63</v>
      </c>
      <c r="AA199">
        <v>250261395</v>
      </c>
      <c r="AB199">
        <v>1558</v>
      </c>
      <c r="AD199" s="24"/>
      <c r="AE199">
        <v>415</v>
      </c>
      <c r="AF199">
        <v>416</v>
      </c>
      <c r="AG199">
        <v>416</v>
      </c>
      <c r="AH199">
        <v>104363068</v>
      </c>
      <c r="AI199">
        <v>1567</v>
      </c>
      <c r="AK199" s="24"/>
      <c r="AL199">
        <v>832</v>
      </c>
      <c r="AM199">
        <v>840</v>
      </c>
      <c r="AN199">
        <v>832</v>
      </c>
      <c r="AO199">
        <v>36028492</v>
      </c>
      <c r="AP199">
        <v>1306</v>
      </c>
      <c r="AR199" s="24"/>
      <c r="AS199">
        <v>2451</v>
      </c>
      <c r="AT199">
        <v>2544</v>
      </c>
      <c r="AU199">
        <v>2485</v>
      </c>
      <c r="AV199">
        <v>10881869</v>
      </c>
      <c r="AW199">
        <v>1213</v>
      </c>
      <c r="AY199" s="24"/>
      <c r="AZ199">
        <v>377250000</v>
      </c>
      <c r="BA199">
        <v>384000599</v>
      </c>
      <c r="BB199">
        <v>383398999</v>
      </c>
      <c r="BC199">
        <v>2264</v>
      </c>
      <c r="BD199">
        <v>1628</v>
      </c>
      <c r="BF199" s="24"/>
      <c r="BG199">
        <v>24611</v>
      </c>
      <c r="BH199">
        <v>24715</v>
      </c>
      <c r="BI199">
        <v>24702</v>
      </c>
      <c r="BJ199">
        <v>2461100</v>
      </c>
      <c r="BK199">
        <v>246</v>
      </c>
      <c r="BM199" s="24"/>
      <c r="BN199">
        <v>6200000</v>
      </c>
      <c r="BO199">
        <v>6200001</v>
      </c>
      <c r="BP199">
        <v>6200001</v>
      </c>
      <c r="BQ199">
        <v>10473</v>
      </c>
      <c r="BR199">
        <v>304</v>
      </c>
      <c r="BT199" s="24"/>
      <c r="BU199">
        <v>2270</v>
      </c>
      <c r="BV199">
        <v>2302</v>
      </c>
      <c r="BW199">
        <v>2292</v>
      </c>
      <c r="BX199">
        <v>29048155</v>
      </c>
      <c r="BY199">
        <v>267</v>
      </c>
      <c r="CA199" s="24"/>
      <c r="CB199">
        <v>562</v>
      </c>
      <c r="CC199">
        <v>562</v>
      </c>
      <c r="CD199">
        <v>562</v>
      </c>
      <c r="CE199">
        <v>74166400</v>
      </c>
      <c r="CF199">
        <v>303</v>
      </c>
      <c r="CH199" s="24"/>
      <c r="CI199">
        <v>21550</v>
      </c>
      <c r="CJ199">
        <v>21558</v>
      </c>
      <c r="CK199">
        <v>21556</v>
      </c>
      <c r="CL199">
        <v>463383</v>
      </c>
      <c r="CM199">
        <v>175</v>
      </c>
      <c r="CO199" s="24"/>
      <c r="CP199">
        <v>6100</v>
      </c>
      <c r="CQ199">
        <v>6420</v>
      </c>
      <c r="CR199">
        <v>6300</v>
      </c>
      <c r="CS199">
        <v>1166090</v>
      </c>
      <c r="CT199">
        <v>362</v>
      </c>
      <c r="CV199" s="24"/>
      <c r="CW199">
        <v>1400000</v>
      </c>
      <c r="CX199">
        <v>1488850</v>
      </c>
      <c r="CY199">
        <v>1400000</v>
      </c>
      <c r="CZ199">
        <v>7593</v>
      </c>
      <c r="DA199">
        <v>42</v>
      </c>
      <c r="DC199" s="24"/>
      <c r="DD199">
        <v>562</v>
      </c>
      <c r="DE199">
        <v>572</v>
      </c>
      <c r="DF199">
        <v>564</v>
      </c>
      <c r="DG199">
        <v>40880968</v>
      </c>
      <c r="DH199">
        <v>190</v>
      </c>
      <c r="DJ199" s="24"/>
      <c r="DK199">
        <v>32800035</v>
      </c>
      <c r="DL199">
        <v>34819000</v>
      </c>
      <c r="DM199">
        <v>34000000</v>
      </c>
      <c r="DN199">
        <v>377</v>
      </c>
      <c r="DO199">
        <v>86</v>
      </c>
      <c r="DQ199" s="24"/>
      <c r="DR199">
        <v>1695700</v>
      </c>
      <c r="DS199">
        <v>1733986</v>
      </c>
      <c r="DT199">
        <v>1733984</v>
      </c>
      <c r="DU199">
        <v>7086</v>
      </c>
      <c r="DV199">
        <v>233</v>
      </c>
      <c r="DX199" s="24"/>
      <c r="DY199">
        <v>19614020</v>
      </c>
      <c r="DZ199">
        <v>20949000</v>
      </c>
      <c r="EA199">
        <v>19713320</v>
      </c>
      <c r="EB199">
        <v>584</v>
      </c>
      <c r="EC199">
        <v>108</v>
      </c>
      <c r="EE199" s="24"/>
      <c r="EF199">
        <v>151</v>
      </c>
      <c r="EG199">
        <v>156</v>
      </c>
      <c r="EH199">
        <v>152</v>
      </c>
      <c r="EI199">
        <v>100584047</v>
      </c>
      <c r="EJ199">
        <v>157</v>
      </c>
      <c r="EL199" s="24"/>
      <c r="EM199">
        <v>58683</v>
      </c>
      <c r="EN199">
        <v>58684</v>
      </c>
      <c r="EO199">
        <v>58684</v>
      </c>
      <c r="EP199">
        <v>66358</v>
      </c>
      <c r="EQ199">
        <v>734</v>
      </c>
      <c r="ES199" s="24"/>
      <c r="ET199">
        <v>320</v>
      </c>
      <c r="EU199">
        <v>342</v>
      </c>
      <c r="EV199">
        <v>339</v>
      </c>
      <c r="EW199">
        <v>34597785</v>
      </c>
      <c r="EX199">
        <v>616</v>
      </c>
      <c r="EZ199" s="24"/>
      <c r="FA199">
        <v>3300000</v>
      </c>
      <c r="FB199">
        <v>3447947</v>
      </c>
      <c r="FC199">
        <v>3350006</v>
      </c>
      <c r="FD199">
        <v>992</v>
      </c>
      <c r="FE199">
        <v>23</v>
      </c>
      <c r="FG199" s="24"/>
      <c r="FH199">
        <v>5945</v>
      </c>
      <c r="FI199">
        <v>6100</v>
      </c>
      <c r="FJ199">
        <v>6094</v>
      </c>
      <c r="FK199">
        <v>1487145</v>
      </c>
      <c r="FL199">
        <v>424</v>
      </c>
      <c r="FN199" s="24"/>
      <c r="FO199">
        <v>17200</v>
      </c>
      <c r="FP199">
        <v>17875</v>
      </c>
      <c r="FQ199">
        <v>17873</v>
      </c>
      <c r="FR199">
        <v>134175</v>
      </c>
      <c r="FS199">
        <v>63</v>
      </c>
      <c r="FU199" s="24"/>
      <c r="FV199">
        <v>17900</v>
      </c>
      <c r="FW199">
        <v>17905</v>
      </c>
      <c r="FX199">
        <v>17903</v>
      </c>
      <c r="FY199">
        <v>333849</v>
      </c>
      <c r="FZ199">
        <v>1243</v>
      </c>
      <c r="GB199" s="24"/>
      <c r="GC199">
        <v>95000003</v>
      </c>
      <c r="GD199">
        <v>99988996</v>
      </c>
      <c r="GE199">
        <v>95000005</v>
      </c>
      <c r="GF199">
        <v>102</v>
      </c>
      <c r="GG199">
        <v>71</v>
      </c>
      <c r="GI199" s="24"/>
      <c r="GJ199">
        <v>22419448</v>
      </c>
      <c r="GK199">
        <v>22421459</v>
      </c>
      <c r="GL199">
        <v>22419470</v>
      </c>
      <c r="GM199">
        <v>401</v>
      </c>
      <c r="GN199">
        <v>76</v>
      </c>
      <c r="GP199" s="24"/>
      <c r="GQ199">
        <v>81</v>
      </c>
      <c r="GR199">
        <v>83</v>
      </c>
      <c r="GS199">
        <v>83</v>
      </c>
      <c r="GT199">
        <v>155546751</v>
      </c>
      <c r="GU199">
        <v>121</v>
      </c>
      <c r="GW199" s="24"/>
      <c r="GX199">
        <v>490</v>
      </c>
      <c r="GY199">
        <v>501</v>
      </c>
      <c r="GZ199">
        <v>498</v>
      </c>
      <c r="HA199">
        <v>46521673</v>
      </c>
      <c r="HB199">
        <v>223</v>
      </c>
      <c r="HD199" s="24"/>
      <c r="HE199">
        <v>6000</v>
      </c>
      <c r="HF199">
        <v>6048</v>
      </c>
      <c r="HG199">
        <v>6004</v>
      </c>
      <c r="HH199">
        <v>17421460</v>
      </c>
      <c r="HI199">
        <v>268</v>
      </c>
      <c r="HK199" s="24"/>
      <c r="HL199">
        <v>93000003</v>
      </c>
      <c r="HM199">
        <v>97112999</v>
      </c>
      <c r="HN199">
        <v>93000004</v>
      </c>
      <c r="HO199">
        <v>109</v>
      </c>
      <c r="HP199">
        <v>74</v>
      </c>
      <c r="HR199" s="24"/>
      <c r="HS199">
        <v>6207</v>
      </c>
      <c r="HT199">
        <v>6648</v>
      </c>
      <c r="HU199">
        <v>6618</v>
      </c>
      <c r="HV199">
        <v>540321</v>
      </c>
      <c r="HW199">
        <v>122</v>
      </c>
      <c r="HY199" s="24"/>
      <c r="HZ199">
        <v>4658</v>
      </c>
      <c r="IA199">
        <v>4944</v>
      </c>
      <c r="IB199">
        <v>4942</v>
      </c>
      <c r="IC199">
        <v>1363914</v>
      </c>
      <c r="ID199">
        <v>419</v>
      </c>
      <c r="IF199" s="24"/>
      <c r="IG199">
        <v>2624</v>
      </c>
      <c r="IH199">
        <v>2624</v>
      </c>
      <c r="II199">
        <v>2624</v>
      </c>
      <c r="IJ199">
        <v>842870</v>
      </c>
      <c r="IK199">
        <v>100</v>
      </c>
      <c r="IM199" s="24"/>
      <c r="IN199">
        <v>94000004</v>
      </c>
      <c r="IO199">
        <v>99425923</v>
      </c>
      <c r="IP199">
        <v>96146095</v>
      </c>
      <c r="IQ199">
        <v>98</v>
      </c>
      <c r="IR199">
        <v>59</v>
      </c>
      <c r="IT199" s="24"/>
      <c r="IU199">
        <v>7670</v>
      </c>
      <c r="IV199">
        <v>7986</v>
      </c>
      <c r="IW199">
        <v>7672</v>
      </c>
      <c r="IX199">
        <v>1449844</v>
      </c>
      <c r="IY199">
        <v>148</v>
      </c>
      <c r="JA199" s="24"/>
      <c r="JB199">
        <v>90900001</v>
      </c>
      <c r="JC199">
        <v>96858995</v>
      </c>
      <c r="JD199">
        <v>93203008</v>
      </c>
      <c r="JE199">
        <v>190</v>
      </c>
      <c r="JF199">
        <v>138</v>
      </c>
      <c r="JH199" s="24"/>
      <c r="JI199">
        <v>90000000</v>
      </c>
      <c r="JJ199">
        <v>94897000</v>
      </c>
      <c r="JK199">
        <v>91146614</v>
      </c>
      <c r="JL199">
        <v>98</v>
      </c>
      <c r="JM199">
        <v>48</v>
      </c>
      <c r="JO199" s="24"/>
      <c r="JP199">
        <v>74</v>
      </c>
      <c r="JQ199">
        <v>74</v>
      </c>
      <c r="JR199">
        <v>74</v>
      </c>
      <c r="JS199">
        <v>45246122</v>
      </c>
      <c r="JT199">
        <v>80</v>
      </c>
      <c r="JV199" s="24"/>
      <c r="JW199">
        <v>65</v>
      </c>
      <c r="JX199">
        <v>65</v>
      </c>
      <c r="JY199">
        <v>65</v>
      </c>
      <c r="JZ199">
        <v>80894542</v>
      </c>
      <c r="KA199">
        <v>79</v>
      </c>
      <c r="KC199" s="24"/>
      <c r="KD199">
        <v>20</v>
      </c>
      <c r="KE199">
        <v>21</v>
      </c>
      <c r="KF199">
        <v>21</v>
      </c>
      <c r="KG199">
        <v>51339377</v>
      </c>
      <c r="KH199">
        <v>353</v>
      </c>
      <c r="KJ199" s="24"/>
      <c r="KK199">
        <v>80</v>
      </c>
      <c r="KL199">
        <v>80</v>
      </c>
      <c r="KM199">
        <v>80</v>
      </c>
      <c r="KN199">
        <v>67654077</v>
      </c>
      <c r="KO199">
        <v>97</v>
      </c>
      <c r="KQ199" s="24"/>
      <c r="KR199">
        <v>107515</v>
      </c>
      <c r="KS199">
        <v>107585</v>
      </c>
      <c r="KT199">
        <v>107522</v>
      </c>
      <c r="KU199">
        <v>50612</v>
      </c>
      <c r="KV199">
        <v>681</v>
      </c>
      <c r="KX199" s="24"/>
      <c r="KY199">
        <v>468</v>
      </c>
      <c r="KZ199">
        <v>473</v>
      </c>
      <c r="LA199">
        <v>473</v>
      </c>
      <c r="LB199">
        <v>3642157</v>
      </c>
      <c r="LC199">
        <v>158</v>
      </c>
      <c r="LE199" s="24"/>
      <c r="LF199">
        <v>183008</v>
      </c>
      <c r="LG199">
        <v>186010</v>
      </c>
      <c r="LH199">
        <v>183012</v>
      </c>
      <c r="LI199">
        <v>114171</v>
      </c>
      <c r="LJ199">
        <v>977</v>
      </c>
      <c r="LL199" s="24"/>
      <c r="LM199">
        <v>76019</v>
      </c>
      <c r="LN199">
        <v>76500</v>
      </c>
      <c r="LO199">
        <v>76025</v>
      </c>
      <c r="LP199">
        <v>312576</v>
      </c>
      <c r="LQ199">
        <v>1309</v>
      </c>
      <c r="LS199" s="24"/>
      <c r="LT199">
        <v>555</v>
      </c>
      <c r="LU199">
        <v>571</v>
      </c>
      <c r="LV199">
        <v>570</v>
      </c>
      <c r="LW199">
        <v>89229321</v>
      </c>
      <c r="LX199">
        <v>366</v>
      </c>
      <c r="LZ199" s="24"/>
      <c r="MA199">
        <v>107011</v>
      </c>
      <c r="MB199">
        <v>110500</v>
      </c>
      <c r="MC199">
        <v>109500</v>
      </c>
      <c r="MD199">
        <v>989951</v>
      </c>
      <c r="ME199">
        <v>91</v>
      </c>
    </row>
    <row r="200" spans="2:343" x14ac:dyDescent="0.25">
      <c r="B200" s="24"/>
      <c r="C200">
        <v>3</v>
      </c>
      <c r="D200">
        <v>3</v>
      </c>
      <c r="E200">
        <v>3</v>
      </c>
      <c r="F200">
        <v>38849967014</v>
      </c>
      <c r="G200">
        <v>3091</v>
      </c>
      <c r="I200" s="24"/>
      <c r="J200">
        <v>4</v>
      </c>
      <c r="K200">
        <v>4</v>
      </c>
      <c r="L200">
        <v>4</v>
      </c>
      <c r="M200">
        <v>5244921017</v>
      </c>
      <c r="N200">
        <v>2230</v>
      </c>
      <c r="P200" s="24"/>
      <c r="Q200">
        <v>25</v>
      </c>
      <c r="R200">
        <v>26</v>
      </c>
      <c r="S200">
        <v>26</v>
      </c>
      <c r="T200">
        <v>1436866886</v>
      </c>
      <c r="U200">
        <v>2025</v>
      </c>
      <c r="W200" s="24"/>
      <c r="X200">
        <v>62</v>
      </c>
      <c r="Y200">
        <v>62</v>
      </c>
      <c r="Z200">
        <v>62</v>
      </c>
      <c r="AA200">
        <v>299496963</v>
      </c>
      <c r="AB200">
        <v>1580</v>
      </c>
      <c r="AD200" s="24"/>
      <c r="AE200">
        <v>409</v>
      </c>
      <c r="AF200">
        <v>415</v>
      </c>
      <c r="AG200">
        <v>415</v>
      </c>
      <c r="AH200">
        <v>109992150</v>
      </c>
      <c r="AI200">
        <v>1668</v>
      </c>
      <c r="AK200" s="24"/>
      <c r="AL200">
        <v>827</v>
      </c>
      <c r="AM200">
        <v>840</v>
      </c>
      <c r="AN200">
        <v>830</v>
      </c>
      <c r="AO200">
        <v>58451028</v>
      </c>
      <c r="AP200">
        <v>1359</v>
      </c>
      <c r="AR200" s="24"/>
      <c r="AS200">
        <v>2451</v>
      </c>
      <c r="AT200">
        <v>2499</v>
      </c>
      <c r="AU200">
        <v>2487</v>
      </c>
      <c r="AV200">
        <v>10121353</v>
      </c>
      <c r="AW200">
        <v>1319</v>
      </c>
      <c r="AY200" s="24"/>
      <c r="AZ200">
        <v>377756000</v>
      </c>
      <c r="BA200">
        <v>385894993</v>
      </c>
      <c r="BB200">
        <v>384000000</v>
      </c>
      <c r="BC200">
        <v>2397</v>
      </c>
      <c r="BD200">
        <v>1671</v>
      </c>
      <c r="BF200" s="24"/>
      <c r="BG200">
        <v>24708</v>
      </c>
      <c r="BH200">
        <v>24712</v>
      </c>
      <c r="BI200">
        <v>24708</v>
      </c>
      <c r="BJ200">
        <v>3466294</v>
      </c>
      <c r="BK200">
        <v>250</v>
      </c>
      <c r="BM200" s="24"/>
      <c r="BN200">
        <v>6123004</v>
      </c>
      <c r="BO200">
        <v>6124000</v>
      </c>
      <c r="BP200">
        <v>6123005</v>
      </c>
      <c r="BQ200">
        <v>9101</v>
      </c>
      <c r="BR200">
        <v>275</v>
      </c>
      <c r="BT200" s="24"/>
      <c r="BU200">
        <v>2132</v>
      </c>
      <c r="BV200">
        <v>2198</v>
      </c>
      <c r="BW200">
        <v>2188</v>
      </c>
      <c r="BX200">
        <v>22294225</v>
      </c>
      <c r="BY200">
        <v>240</v>
      </c>
      <c r="CA200" s="24"/>
      <c r="CB200">
        <v>561</v>
      </c>
      <c r="CC200">
        <v>562</v>
      </c>
      <c r="CD200">
        <v>561</v>
      </c>
      <c r="CE200">
        <v>60582019</v>
      </c>
      <c r="CF200">
        <v>267</v>
      </c>
      <c r="CH200" s="24"/>
      <c r="CI200">
        <v>21627</v>
      </c>
      <c r="CJ200">
        <v>21765</v>
      </c>
      <c r="CK200">
        <v>21759</v>
      </c>
      <c r="CL200">
        <v>1704405</v>
      </c>
      <c r="CM200">
        <v>226</v>
      </c>
      <c r="CO200" s="24"/>
      <c r="CP200">
        <v>5963</v>
      </c>
      <c r="CQ200">
        <v>6421</v>
      </c>
      <c r="CR200">
        <v>6339</v>
      </c>
      <c r="CS200">
        <v>1130681</v>
      </c>
      <c r="CT200">
        <v>321</v>
      </c>
      <c r="CV200" s="24"/>
      <c r="CW200">
        <v>1400000</v>
      </c>
      <c r="CX200">
        <v>1443995</v>
      </c>
      <c r="CY200">
        <v>1400000</v>
      </c>
      <c r="CZ200">
        <v>11767</v>
      </c>
      <c r="DA200">
        <v>56</v>
      </c>
      <c r="DC200" s="24"/>
      <c r="DD200">
        <v>572</v>
      </c>
      <c r="DE200">
        <v>580</v>
      </c>
      <c r="DF200">
        <v>575</v>
      </c>
      <c r="DG200">
        <v>29208180</v>
      </c>
      <c r="DH200">
        <v>162</v>
      </c>
      <c r="DJ200" s="24"/>
      <c r="DK200">
        <v>33559001</v>
      </c>
      <c r="DL200">
        <v>35400034</v>
      </c>
      <c r="DM200">
        <v>34848887</v>
      </c>
      <c r="DN200">
        <v>425</v>
      </c>
      <c r="DO200">
        <v>84</v>
      </c>
      <c r="DQ200" s="24"/>
      <c r="DR200">
        <v>1650007</v>
      </c>
      <c r="DS200">
        <v>1733988</v>
      </c>
      <c r="DT200">
        <v>1660007</v>
      </c>
      <c r="DU200">
        <v>6085</v>
      </c>
      <c r="DV200">
        <v>258</v>
      </c>
      <c r="DX200" s="24"/>
      <c r="DY200">
        <v>19719362</v>
      </c>
      <c r="DZ200">
        <v>21786999</v>
      </c>
      <c r="EA200">
        <v>20600002</v>
      </c>
      <c r="EB200">
        <v>510</v>
      </c>
      <c r="EC200">
        <v>90</v>
      </c>
      <c r="EE200" s="24"/>
      <c r="EF200">
        <v>151</v>
      </c>
      <c r="EG200">
        <v>156</v>
      </c>
      <c r="EH200">
        <v>156</v>
      </c>
      <c r="EI200">
        <v>116668617</v>
      </c>
      <c r="EJ200">
        <v>160</v>
      </c>
      <c r="EL200" s="24"/>
      <c r="EM200">
        <v>58129</v>
      </c>
      <c r="EN200">
        <v>61988</v>
      </c>
      <c r="EO200">
        <v>58685</v>
      </c>
      <c r="EP200">
        <v>105405</v>
      </c>
      <c r="EQ200">
        <v>735</v>
      </c>
      <c r="ES200" s="24"/>
      <c r="ET200">
        <v>316</v>
      </c>
      <c r="EU200">
        <v>333</v>
      </c>
      <c r="EV200">
        <v>324</v>
      </c>
      <c r="EW200">
        <v>57076346</v>
      </c>
      <c r="EX200">
        <v>614</v>
      </c>
      <c r="EZ200" s="24"/>
      <c r="FA200">
        <v>3300000</v>
      </c>
      <c r="FB200">
        <v>3446999</v>
      </c>
      <c r="FC200">
        <v>3300000</v>
      </c>
      <c r="FD200">
        <v>1334</v>
      </c>
      <c r="FE200">
        <v>23</v>
      </c>
      <c r="FG200" s="24"/>
      <c r="FH200">
        <v>5951</v>
      </c>
      <c r="FI200">
        <v>6295</v>
      </c>
      <c r="FJ200">
        <v>6199</v>
      </c>
      <c r="FK200">
        <v>1371643</v>
      </c>
      <c r="FL200">
        <v>445</v>
      </c>
      <c r="FN200" s="24"/>
      <c r="FO200">
        <v>17874</v>
      </c>
      <c r="FP200">
        <v>17990</v>
      </c>
      <c r="FQ200">
        <v>17875</v>
      </c>
      <c r="FR200">
        <v>103760</v>
      </c>
      <c r="FS200">
        <v>76</v>
      </c>
      <c r="FU200" s="24"/>
      <c r="FV200">
        <v>17910</v>
      </c>
      <c r="FW200">
        <v>17922</v>
      </c>
      <c r="FX200">
        <v>17911</v>
      </c>
      <c r="FY200">
        <v>418882</v>
      </c>
      <c r="FZ200">
        <v>1343</v>
      </c>
      <c r="GB200" s="24"/>
      <c r="GC200">
        <v>95000004</v>
      </c>
      <c r="GD200">
        <v>102000000</v>
      </c>
      <c r="GE200">
        <v>99549415</v>
      </c>
      <c r="GF200">
        <v>80</v>
      </c>
      <c r="GG200">
        <v>71</v>
      </c>
      <c r="GI200" s="24"/>
      <c r="GJ200">
        <v>22429559</v>
      </c>
      <c r="GK200">
        <v>23399998</v>
      </c>
      <c r="GL200">
        <v>22438999</v>
      </c>
      <c r="GM200">
        <v>504</v>
      </c>
      <c r="GN200">
        <v>77</v>
      </c>
      <c r="GP200" s="24"/>
      <c r="GQ200">
        <v>81</v>
      </c>
      <c r="GR200">
        <v>83</v>
      </c>
      <c r="GS200">
        <v>83</v>
      </c>
      <c r="GT200">
        <v>92889196</v>
      </c>
      <c r="GU200">
        <v>87</v>
      </c>
      <c r="GW200" s="24"/>
      <c r="GX200">
        <v>480</v>
      </c>
      <c r="GY200">
        <v>499</v>
      </c>
      <c r="GZ200">
        <v>499</v>
      </c>
      <c r="HA200">
        <v>54696561</v>
      </c>
      <c r="HB200">
        <v>266</v>
      </c>
      <c r="HD200" s="24"/>
      <c r="HE200">
        <v>5931</v>
      </c>
      <c r="HF200">
        <v>6066</v>
      </c>
      <c r="HG200">
        <v>6055</v>
      </c>
      <c r="HH200">
        <v>16373822</v>
      </c>
      <c r="HI200">
        <v>278</v>
      </c>
      <c r="HK200" s="24"/>
      <c r="HL200">
        <v>93000207</v>
      </c>
      <c r="HM200">
        <v>97299999</v>
      </c>
      <c r="HN200">
        <v>96294039</v>
      </c>
      <c r="HO200">
        <v>88</v>
      </c>
      <c r="HP200">
        <v>73</v>
      </c>
      <c r="HR200" s="24"/>
      <c r="HS200">
        <v>6208</v>
      </c>
      <c r="HT200">
        <v>6498</v>
      </c>
      <c r="HU200">
        <v>6208</v>
      </c>
      <c r="HV200">
        <v>562332</v>
      </c>
      <c r="HW200">
        <v>121</v>
      </c>
      <c r="HY200" s="24"/>
      <c r="HZ200">
        <v>4661</v>
      </c>
      <c r="IA200">
        <v>4999</v>
      </c>
      <c r="IB200">
        <v>4999</v>
      </c>
      <c r="IC200">
        <v>1614167</v>
      </c>
      <c r="ID200">
        <v>384</v>
      </c>
      <c r="IF200" s="24"/>
      <c r="IG200">
        <v>2540</v>
      </c>
      <c r="IH200">
        <v>2624</v>
      </c>
      <c r="II200">
        <v>2624</v>
      </c>
      <c r="IJ200">
        <v>1707013</v>
      </c>
      <c r="IK200">
        <v>136</v>
      </c>
      <c r="IM200" s="24"/>
      <c r="IN200">
        <v>94000100</v>
      </c>
      <c r="IO200">
        <v>99425920</v>
      </c>
      <c r="IP200">
        <v>97969438</v>
      </c>
      <c r="IQ200">
        <v>71</v>
      </c>
      <c r="IR200">
        <v>62</v>
      </c>
      <c r="IT200" s="24"/>
      <c r="IU200">
        <v>7970</v>
      </c>
      <c r="IV200">
        <v>7980</v>
      </c>
      <c r="IW200">
        <v>7980</v>
      </c>
      <c r="IX200">
        <v>1089373</v>
      </c>
      <c r="IY200">
        <v>121</v>
      </c>
      <c r="JA200" s="24"/>
      <c r="JB200">
        <v>90200005</v>
      </c>
      <c r="JC200">
        <v>97998000</v>
      </c>
      <c r="JD200">
        <v>95689180</v>
      </c>
      <c r="JE200">
        <v>89</v>
      </c>
      <c r="JF200">
        <v>76</v>
      </c>
      <c r="JH200" s="24"/>
      <c r="JI200">
        <v>89105206</v>
      </c>
      <c r="JJ200">
        <v>94893000</v>
      </c>
      <c r="JK200">
        <v>94198852</v>
      </c>
      <c r="JL200">
        <v>58</v>
      </c>
      <c r="JM200">
        <v>46</v>
      </c>
      <c r="JO200" s="24"/>
      <c r="JP200">
        <v>74</v>
      </c>
      <c r="JQ200">
        <v>74</v>
      </c>
      <c r="JR200">
        <v>74</v>
      </c>
      <c r="JS200">
        <v>87281836</v>
      </c>
      <c r="JT200">
        <v>73</v>
      </c>
      <c r="JV200" s="24"/>
      <c r="JW200">
        <v>65</v>
      </c>
      <c r="JX200">
        <v>67</v>
      </c>
      <c r="JY200">
        <v>67</v>
      </c>
      <c r="JZ200">
        <v>138723540</v>
      </c>
      <c r="KA200">
        <v>114</v>
      </c>
      <c r="KC200" s="24"/>
      <c r="KD200">
        <v>20</v>
      </c>
      <c r="KE200">
        <v>21</v>
      </c>
      <c r="KF200">
        <v>21</v>
      </c>
      <c r="KG200">
        <v>50648066</v>
      </c>
      <c r="KH200">
        <v>274</v>
      </c>
      <c r="KJ200" s="24"/>
      <c r="KK200">
        <v>80</v>
      </c>
      <c r="KL200">
        <v>80</v>
      </c>
      <c r="KM200">
        <v>80</v>
      </c>
      <c r="KN200">
        <v>78283252</v>
      </c>
      <c r="KO200">
        <v>97</v>
      </c>
      <c r="KQ200" s="24"/>
      <c r="KR200">
        <v>107588</v>
      </c>
      <c r="KS200">
        <v>111700</v>
      </c>
      <c r="KT200">
        <v>107590</v>
      </c>
      <c r="KU200">
        <v>114077</v>
      </c>
      <c r="KV200">
        <v>668</v>
      </c>
      <c r="KX200" s="24"/>
      <c r="KY200">
        <v>463</v>
      </c>
      <c r="KZ200">
        <v>473</v>
      </c>
      <c r="LA200">
        <v>473</v>
      </c>
      <c r="LB200">
        <v>7319372</v>
      </c>
      <c r="LC200">
        <v>153</v>
      </c>
      <c r="LE200" s="24"/>
      <c r="LF200">
        <v>183012</v>
      </c>
      <c r="LG200">
        <v>183030</v>
      </c>
      <c r="LH200">
        <v>183015</v>
      </c>
      <c r="LI200">
        <v>135573</v>
      </c>
      <c r="LJ200">
        <v>974</v>
      </c>
      <c r="LL200" s="24"/>
      <c r="LM200">
        <v>76031</v>
      </c>
      <c r="LN200">
        <v>76037</v>
      </c>
      <c r="LO200">
        <v>76035</v>
      </c>
      <c r="LP200">
        <v>440388</v>
      </c>
      <c r="LQ200">
        <v>1396</v>
      </c>
      <c r="LS200" s="24"/>
      <c r="LT200">
        <v>555</v>
      </c>
      <c r="LU200">
        <v>567</v>
      </c>
      <c r="LV200">
        <v>567</v>
      </c>
      <c r="LW200">
        <v>88844018</v>
      </c>
      <c r="LX200">
        <v>361</v>
      </c>
      <c r="LZ200" s="24"/>
      <c r="MA200">
        <v>99999</v>
      </c>
      <c r="MB200">
        <v>108695</v>
      </c>
      <c r="MC200">
        <v>101000</v>
      </c>
      <c r="MD200">
        <v>1406755</v>
      </c>
      <c r="ME200">
        <v>105</v>
      </c>
    </row>
    <row r="201" spans="2:343" x14ac:dyDescent="0.25">
      <c r="B201" s="24"/>
      <c r="C201">
        <v>3</v>
      </c>
      <c r="D201">
        <v>3</v>
      </c>
      <c r="E201">
        <v>3</v>
      </c>
      <c r="F201">
        <v>25804363610</v>
      </c>
      <c r="G201">
        <v>3210</v>
      </c>
      <c r="I201" s="24"/>
      <c r="J201">
        <v>4</v>
      </c>
      <c r="K201">
        <v>4</v>
      </c>
      <c r="L201">
        <v>4</v>
      </c>
      <c r="M201">
        <v>7140806903</v>
      </c>
      <c r="N201">
        <v>2274</v>
      </c>
      <c r="P201" s="24"/>
      <c r="Q201">
        <v>26</v>
      </c>
      <c r="R201">
        <v>26</v>
      </c>
      <c r="S201">
        <v>26</v>
      </c>
      <c r="T201">
        <v>1759814822</v>
      </c>
      <c r="U201">
        <v>2146</v>
      </c>
      <c r="W201" s="24"/>
      <c r="X201">
        <v>58</v>
      </c>
      <c r="Y201">
        <v>62</v>
      </c>
      <c r="Z201">
        <v>62</v>
      </c>
      <c r="AA201">
        <v>537742823</v>
      </c>
      <c r="AB201">
        <v>1744</v>
      </c>
      <c r="AD201" s="24"/>
      <c r="AE201">
        <v>410</v>
      </c>
      <c r="AF201">
        <v>415</v>
      </c>
      <c r="AG201">
        <v>414</v>
      </c>
      <c r="AH201">
        <v>111209004</v>
      </c>
      <c r="AI201">
        <v>1733</v>
      </c>
      <c r="AK201" s="24"/>
      <c r="AL201">
        <v>817</v>
      </c>
      <c r="AM201">
        <v>845</v>
      </c>
      <c r="AN201">
        <v>836</v>
      </c>
      <c r="AO201">
        <v>46714376</v>
      </c>
      <c r="AP201">
        <v>1454</v>
      </c>
      <c r="AR201" s="24"/>
      <c r="AS201">
        <v>2403</v>
      </c>
      <c r="AT201">
        <v>2479</v>
      </c>
      <c r="AU201">
        <v>2461</v>
      </c>
      <c r="AV201">
        <v>16592458</v>
      </c>
      <c r="AW201">
        <v>1372</v>
      </c>
      <c r="AY201" s="24"/>
      <c r="AZ201">
        <v>375846100</v>
      </c>
      <c r="BA201">
        <v>382999997</v>
      </c>
      <c r="BB201">
        <v>380687456</v>
      </c>
      <c r="BC201">
        <v>2543</v>
      </c>
      <c r="BD201">
        <v>1752</v>
      </c>
      <c r="BF201" s="24"/>
      <c r="BG201">
        <v>24717</v>
      </c>
      <c r="BH201">
        <v>24719</v>
      </c>
      <c r="BI201">
        <v>24717</v>
      </c>
      <c r="BJ201">
        <v>1816090</v>
      </c>
      <c r="BK201">
        <v>222</v>
      </c>
      <c r="BM201" s="24"/>
      <c r="BN201">
        <v>5780034</v>
      </c>
      <c r="BO201">
        <v>6123006</v>
      </c>
      <c r="BP201">
        <v>5900001</v>
      </c>
      <c r="BQ201">
        <v>13537</v>
      </c>
      <c r="BR201">
        <v>367</v>
      </c>
      <c r="BT201" s="24"/>
      <c r="BU201">
        <v>2139</v>
      </c>
      <c r="BV201">
        <v>2195</v>
      </c>
      <c r="BW201">
        <v>2188</v>
      </c>
      <c r="BX201">
        <v>42873003</v>
      </c>
      <c r="BY201">
        <v>307</v>
      </c>
      <c r="CA201" s="24"/>
      <c r="CB201">
        <v>561</v>
      </c>
      <c r="CC201">
        <v>561</v>
      </c>
      <c r="CD201">
        <v>561</v>
      </c>
      <c r="CE201">
        <v>53882906</v>
      </c>
      <c r="CF201">
        <v>306</v>
      </c>
      <c r="CH201" s="24"/>
      <c r="CI201">
        <v>21771</v>
      </c>
      <c r="CJ201">
        <v>21772</v>
      </c>
      <c r="CK201">
        <v>21771</v>
      </c>
      <c r="CL201">
        <v>761599</v>
      </c>
      <c r="CM201">
        <v>178</v>
      </c>
      <c r="CO201" s="24"/>
      <c r="CP201">
        <v>6152</v>
      </c>
      <c r="CQ201">
        <v>6421</v>
      </c>
      <c r="CR201">
        <v>6420</v>
      </c>
      <c r="CS201">
        <v>1040023</v>
      </c>
      <c r="CT201">
        <v>401</v>
      </c>
      <c r="CV201" s="24"/>
      <c r="CW201">
        <v>1350000</v>
      </c>
      <c r="CX201">
        <v>1394999</v>
      </c>
      <c r="CY201">
        <v>1350001</v>
      </c>
      <c r="CZ201">
        <v>11741</v>
      </c>
      <c r="DA201">
        <v>48</v>
      </c>
      <c r="DC201" s="24"/>
      <c r="DD201">
        <v>559</v>
      </c>
      <c r="DE201">
        <v>584</v>
      </c>
      <c r="DF201">
        <v>570</v>
      </c>
      <c r="DG201">
        <v>21537566</v>
      </c>
      <c r="DH201">
        <v>186</v>
      </c>
      <c r="DJ201" s="24"/>
      <c r="DK201">
        <v>34655005</v>
      </c>
      <c r="DL201">
        <v>35695996</v>
      </c>
      <c r="DM201">
        <v>35571500</v>
      </c>
      <c r="DN201">
        <v>358</v>
      </c>
      <c r="DO201">
        <v>106</v>
      </c>
      <c r="DQ201" s="24"/>
      <c r="DR201">
        <v>1670000</v>
      </c>
      <c r="DS201">
        <v>1750000</v>
      </c>
      <c r="DT201">
        <v>1749998</v>
      </c>
      <c r="DU201">
        <v>7596</v>
      </c>
      <c r="DV201">
        <v>266</v>
      </c>
      <c r="DX201" s="24"/>
      <c r="DY201">
        <v>20000013</v>
      </c>
      <c r="DZ201">
        <v>21689003</v>
      </c>
      <c r="EA201">
        <v>20000020</v>
      </c>
      <c r="EB201">
        <v>450</v>
      </c>
      <c r="EC201">
        <v>116</v>
      </c>
      <c r="EE201" s="24"/>
      <c r="EF201">
        <v>151</v>
      </c>
      <c r="EG201">
        <v>159</v>
      </c>
      <c r="EH201">
        <v>158</v>
      </c>
      <c r="EI201">
        <v>117234695</v>
      </c>
      <c r="EJ201">
        <v>195</v>
      </c>
      <c r="EL201" s="24"/>
      <c r="EM201">
        <v>58132</v>
      </c>
      <c r="EN201">
        <v>59000</v>
      </c>
      <c r="EO201">
        <v>58500</v>
      </c>
      <c r="EP201">
        <v>88236</v>
      </c>
      <c r="EQ201">
        <v>754</v>
      </c>
      <c r="ES201" s="24"/>
      <c r="ET201">
        <v>296</v>
      </c>
      <c r="EU201">
        <v>327</v>
      </c>
      <c r="EV201">
        <v>326</v>
      </c>
      <c r="EW201">
        <v>54489509</v>
      </c>
      <c r="EX201">
        <v>715</v>
      </c>
      <c r="EZ201" s="24"/>
      <c r="FA201">
        <v>3101258</v>
      </c>
      <c r="FB201">
        <v>3101261</v>
      </c>
      <c r="FC201">
        <v>3101260</v>
      </c>
      <c r="FD201">
        <v>3210</v>
      </c>
      <c r="FE201">
        <v>50</v>
      </c>
      <c r="FG201" s="24"/>
      <c r="FH201">
        <v>5951</v>
      </c>
      <c r="FI201">
        <v>6399</v>
      </c>
      <c r="FJ201">
        <v>6297</v>
      </c>
      <c r="FK201">
        <v>1864086</v>
      </c>
      <c r="FL201">
        <v>496</v>
      </c>
      <c r="FN201" s="24"/>
      <c r="FO201">
        <v>17253</v>
      </c>
      <c r="FP201">
        <v>18780</v>
      </c>
      <c r="FQ201">
        <v>18748</v>
      </c>
      <c r="FR201">
        <v>266911</v>
      </c>
      <c r="FS201">
        <v>91</v>
      </c>
      <c r="FU201" s="24"/>
      <c r="FV201">
        <v>17926</v>
      </c>
      <c r="FW201">
        <v>18000</v>
      </c>
      <c r="FX201">
        <v>17929</v>
      </c>
      <c r="FY201">
        <v>362806</v>
      </c>
      <c r="FZ201">
        <v>1431</v>
      </c>
      <c r="GB201" s="24"/>
      <c r="GC201">
        <v>95252000</v>
      </c>
      <c r="GD201">
        <v>101998965</v>
      </c>
      <c r="GE201">
        <v>95253000</v>
      </c>
      <c r="GF201">
        <v>106</v>
      </c>
      <c r="GG201">
        <v>81</v>
      </c>
      <c r="GI201" s="24"/>
      <c r="GJ201">
        <v>22439603</v>
      </c>
      <c r="GK201">
        <v>23700000</v>
      </c>
      <c r="GL201">
        <v>23489600</v>
      </c>
      <c r="GM201">
        <v>460</v>
      </c>
      <c r="GN201">
        <v>88</v>
      </c>
      <c r="GP201" s="24"/>
      <c r="GQ201">
        <v>81</v>
      </c>
      <c r="GR201">
        <v>83</v>
      </c>
      <c r="GS201">
        <v>81</v>
      </c>
      <c r="GT201">
        <v>163805914</v>
      </c>
      <c r="GU201">
        <v>166</v>
      </c>
      <c r="GW201" s="24"/>
      <c r="GX201">
        <v>499</v>
      </c>
      <c r="GY201">
        <v>499</v>
      </c>
      <c r="GZ201">
        <v>499</v>
      </c>
      <c r="HA201">
        <v>43231232</v>
      </c>
      <c r="HB201">
        <v>244</v>
      </c>
      <c r="HD201" s="24"/>
      <c r="HE201">
        <v>5960</v>
      </c>
      <c r="HF201">
        <v>6066</v>
      </c>
      <c r="HG201">
        <v>6063</v>
      </c>
      <c r="HH201">
        <v>15655719</v>
      </c>
      <c r="HI201">
        <v>288</v>
      </c>
      <c r="HK201" s="24"/>
      <c r="HL201">
        <v>94000605</v>
      </c>
      <c r="HM201">
        <v>100848000</v>
      </c>
      <c r="HN201">
        <v>98792000</v>
      </c>
      <c r="HO201">
        <v>117</v>
      </c>
      <c r="HP201">
        <v>84</v>
      </c>
      <c r="HR201" s="24"/>
      <c r="HS201">
        <v>6209</v>
      </c>
      <c r="HT201">
        <v>6498</v>
      </c>
      <c r="HU201">
        <v>6496</v>
      </c>
      <c r="HV201">
        <v>661607</v>
      </c>
      <c r="HW201">
        <v>131</v>
      </c>
      <c r="HY201" s="24"/>
      <c r="HZ201">
        <v>4725</v>
      </c>
      <c r="IA201">
        <v>5242</v>
      </c>
      <c r="IB201">
        <v>5087</v>
      </c>
      <c r="IC201">
        <v>1754272</v>
      </c>
      <c r="ID201">
        <v>534</v>
      </c>
      <c r="IF201" s="24"/>
      <c r="IG201">
        <v>2679</v>
      </c>
      <c r="IH201">
        <v>3000</v>
      </c>
      <c r="II201">
        <v>2882</v>
      </c>
      <c r="IJ201">
        <v>3048063</v>
      </c>
      <c r="IK201">
        <v>176</v>
      </c>
      <c r="IM201" s="24"/>
      <c r="IN201">
        <v>95000005</v>
      </c>
      <c r="IO201">
        <v>99425916</v>
      </c>
      <c r="IP201">
        <v>97322655</v>
      </c>
      <c r="IQ201">
        <v>99</v>
      </c>
      <c r="IR201">
        <v>82</v>
      </c>
      <c r="IT201" s="24"/>
      <c r="IU201">
        <v>7659</v>
      </c>
      <c r="IV201">
        <v>7960</v>
      </c>
      <c r="IW201">
        <v>7947</v>
      </c>
      <c r="IX201">
        <v>1723125</v>
      </c>
      <c r="IY201">
        <v>192</v>
      </c>
      <c r="JA201" s="24"/>
      <c r="JB201">
        <v>91298004</v>
      </c>
      <c r="JC201">
        <v>98200865</v>
      </c>
      <c r="JD201">
        <v>97997999</v>
      </c>
      <c r="JE201">
        <v>110</v>
      </c>
      <c r="JF201">
        <v>93</v>
      </c>
      <c r="JH201" s="24"/>
      <c r="JI201">
        <v>91000004</v>
      </c>
      <c r="JJ201">
        <v>94894000</v>
      </c>
      <c r="JK201">
        <v>93494001</v>
      </c>
      <c r="JL201">
        <v>50</v>
      </c>
      <c r="JM201">
        <v>44</v>
      </c>
      <c r="JO201" s="24"/>
      <c r="JP201">
        <v>74</v>
      </c>
      <c r="JQ201">
        <v>74</v>
      </c>
      <c r="JR201">
        <v>74</v>
      </c>
      <c r="JS201">
        <v>118441865</v>
      </c>
      <c r="JT201">
        <v>103</v>
      </c>
      <c r="JV201" s="24"/>
      <c r="JW201">
        <v>67</v>
      </c>
      <c r="JX201">
        <v>68</v>
      </c>
      <c r="JY201">
        <v>67</v>
      </c>
      <c r="JZ201">
        <v>148283597</v>
      </c>
      <c r="KA201">
        <v>109</v>
      </c>
      <c r="KC201" s="24"/>
      <c r="KD201">
        <v>21</v>
      </c>
      <c r="KE201">
        <v>21</v>
      </c>
      <c r="KF201">
        <v>21</v>
      </c>
      <c r="KG201">
        <v>61292063</v>
      </c>
      <c r="KH201">
        <v>396</v>
      </c>
      <c r="KJ201" s="24"/>
      <c r="KK201">
        <v>79</v>
      </c>
      <c r="KL201">
        <v>81</v>
      </c>
      <c r="KM201">
        <v>79</v>
      </c>
      <c r="KN201">
        <v>147702710</v>
      </c>
      <c r="KO201">
        <v>121</v>
      </c>
      <c r="KQ201" s="24"/>
      <c r="KR201">
        <v>109001</v>
      </c>
      <c r="KS201">
        <v>115999</v>
      </c>
      <c r="KT201">
        <v>110002</v>
      </c>
      <c r="KU201">
        <v>92062</v>
      </c>
      <c r="KV201">
        <v>725</v>
      </c>
      <c r="KX201" s="24"/>
      <c r="KY201">
        <v>473</v>
      </c>
      <c r="KZ201">
        <v>505</v>
      </c>
      <c r="LA201">
        <v>484</v>
      </c>
      <c r="LB201">
        <v>9424375</v>
      </c>
      <c r="LC201">
        <v>207</v>
      </c>
      <c r="LE201" s="24"/>
      <c r="LF201">
        <v>183032</v>
      </c>
      <c r="LG201">
        <v>184500</v>
      </c>
      <c r="LH201">
        <v>184000</v>
      </c>
      <c r="LI201">
        <v>110851</v>
      </c>
      <c r="LJ201">
        <v>1074</v>
      </c>
      <c r="LL201" s="24"/>
      <c r="LM201">
        <v>76041</v>
      </c>
      <c r="LN201">
        <v>76300</v>
      </c>
      <c r="LO201">
        <v>76055</v>
      </c>
      <c r="LP201">
        <v>377012</v>
      </c>
      <c r="LQ201">
        <v>1475</v>
      </c>
      <c r="LS201" s="24"/>
      <c r="LT201">
        <v>515</v>
      </c>
      <c r="LU201">
        <v>569</v>
      </c>
      <c r="LV201">
        <v>567</v>
      </c>
      <c r="LW201">
        <v>203871867</v>
      </c>
      <c r="LX201">
        <v>462</v>
      </c>
      <c r="LZ201" s="24"/>
      <c r="MA201">
        <v>108248</v>
      </c>
      <c r="MB201">
        <v>108298</v>
      </c>
      <c r="MC201">
        <v>108286</v>
      </c>
      <c r="MD201">
        <v>1098387</v>
      </c>
      <c r="ME201">
        <v>111</v>
      </c>
    </row>
    <row r="202" spans="2:343" x14ac:dyDescent="0.25">
      <c r="B202" s="24"/>
      <c r="C202">
        <v>3</v>
      </c>
      <c r="D202">
        <v>3</v>
      </c>
      <c r="E202">
        <v>3</v>
      </c>
      <c r="F202">
        <v>29768608364</v>
      </c>
      <c r="G202">
        <v>3750</v>
      </c>
      <c r="I202" s="24"/>
      <c r="J202">
        <v>4</v>
      </c>
      <c r="K202">
        <v>4</v>
      </c>
      <c r="L202">
        <v>4</v>
      </c>
      <c r="M202">
        <v>5427882811</v>
      </c>
      <c r="N202">
        <v>2651</v>
      </c>
      <c r="P202" s="24"/>
      <c r="Q202">
        <v>26</v>
      </c>
      <c r="R202">
        <v>27</v>
      </c>
      <c r="S202">
        <v>26</v>
      </c>
      <c r="T202">
        <v>1474068791</v>
      </c>
      <c r="U202">
        <v>2405</v>
      </c>
      <c r="W202" s="24"/>
      <c r="X202">
        <v>60</v>
      </c>
      <c r="Y202">
        <v>61</v>
      </c>
      <c r="Z202">
        <v>61</v>
      </c>
      <c r="AA202">
        <v>502743727</v>
      </c>
      <c r="AB202">
        <v>1883</v>
      </c>
      <c r="AD202" s="24"/>
      <c r="AE202">
        <v>406</v>
      </c>
      <c r="AF202">
        <v>415</v>
      </c>
      <c r="AG202">
        <v>408</v>
      </c>
      <c r="AH202">
        <v>135552189</v>
      </c>
      <c r="AI202">
        <v>2014</v>
      </c>
      <c r="AK202" s="24"/>
      <c r="AL202">
        <v>816</v>
      </c>
      <c r="AM202">
        <v>838</v>
      </c>
      <c r="AN202">
        <v>822</v>
      </c>
      <c r="AO202">
        <v>34642618</v>
      </c>
      <c r="AP202">
        <v>1597</v>
      </c>
      <c r="AR202" s="24"/>
      <c r="AS202">
        <v>2462</v>
      </c>
      <c r="AT202">
        <v>2546</v>
      </c>
      <c r="AU202">
        <v>2500</v>
      </c>
      <c r="AV202">
        <v>17316537</v>
      </c>
      <c r="AW202">
        <v>1618</v>
      </c>
      <c r="AY202" s="24"/>
      <c r="AZ202">
        <v>375250000</v>
      </c>
      <c r="BA202">
        <v>382749999</v>
      </c>
      <c r="BB202">
        <v>381321654</v>
      </c>
      <c r="BC202">
        <v>2523</v>
      </c>
      <c r="BD202">
        <v>1701</v>
      </c>
      <c r="BF202" s="24"/>
      <c r="BG202">
        <v>24720</v>
      </c>
      <c r="BH202">
        <v>24720</v>
      </c>
      <c r="BI202">
        <v>24720</v>
      </c>
      <c r="BJ202">
        <v>2304046</v>
      </c>
      <c r="BK202">
        <v>244</v>
      </c>
      <c r="BM202" s="24"/>
      <c r="BN202">
        <v>5804041</v>
      </c>
      <c r="BO202">
        <v>6109999</v>
      </c>
      <c r="BP202">
        <v>6036005</v>
      </c>
      <c r="BQ202">
        <v>11507</v>
      </c>
      <c r="BR202">
        <v>383</v>
      </c>
      <c r="BT202" s="24"/>
      <c r="BU202">
        <v>2200</v>
      </c>
      <c r="BV202">
        <v>2357</v>
      </c>
      <c r="BW202">
        <v>2348</v>
      </c>
      <c r="BX202">
        <v>17987252</v>
      </c>
      <c r="BY202">
        <v>254</v>
      </c>
      <c r="CA202" s="24"/>
      <c r="CB202">
        <v>561</v>
      </c>
      <c r="CC202">
        <v>561</v>
      </c>
      <c r="CD202">
        <v>561</v>
      </c>
      <c r="CE202">
        <v>43902677</v>
      </c>
      <c r="CF202">
        <v>280</v>
      </c>
      <c r="CH202" s="24"/>
      <c r="CI202">
        <v>21778</v>
      </c>
      <c r="CJ202">
        <v>22196</v>
      </c>
      <c r="CK202">
        <v>21779</v>
      </c>
      <c r="CL202">
        <v>828922</v>
      </c>
      <c r="CM202">
        <v>215</v>
      </c>
      <c r="CO202" s="24"/>
      <c r="CP202">
        <v>6075</v>
      </c>
      <c r="CQ202">
        <v>6423</v>
      </c>
      <c r="CR202">
        <v>6323</v>
      </c>
      <c r="CS202">
        <v>1134254</v>
      </c>
      <c r="CT202">
        <v>387</v>
      </c>
      <c r="CV202" s="24"/>
      <c r="CW202">
        <v>1340005</v>
      </c>
      <c r="CX202">
        <v>1396998</v>
      </c>
      <c r="CY202">
        <v>1395000</v>
      </c>
      <c r="CZ202">
        <v>10444</v>
      </c>
      <c r="DA202">
        <v>43</v>
      </c>
      <c r="DC202" s="24"/>
      <c r="DD202">
        <v>555</v>
      </c>
      <c r="DE202">
        <v>575</v>
      </c>
      <c r="DF202">
        <v>565</v>
      </c>
      <c r="DG202">
        <v>44054097</v>
      </c>
      <c r="DH202">
        <v>190</v>
      </c>
      <c r="DJ202" s="24"/>
      <c r="DK202">
        <v>33655003</v>
      </c>
      <c r="DL202">
        <v>34655042</v>
      </c>
      <c r="DM202">
        <v>33655032</v>
      </c>
      <c r="DN202">
        <v>331</v>
      </c>
      <c r="DO202">
        <v>96</v>
      </c>
      <c r="DQ202" s="24"/>
      <c r="DR202">
        <v>1672000</v>
      </c>
      <c r="DS202">
        <v>1799999</v>
      </c>
      <c r="DT202">
        <v>1672014</v>
      </c>
      <c r="DU202">
        <v>6701</v>
      </c>
      <c r="DV202">
        <v>283</v>
      </c>
      <c r="DX202" s="24"/>
      <c r="DY202">
        <v>19750005</v>
      </c>
      <c r="DZ202">
        <v>20000015</v>
      </c>
      <c r="EA202">
        <v>19750008</v>
      </c>
      <c r="EB202">
        <v>478</v>
      </c>
      <c r="EC202">
        <v>98</v>
      </c>
      <c r="EE202" s="24"/>
      <c r="EF202">
        <v>152</v>
      </c>
      <c r="EG202">
        <v>158</v>
      </c>
      <c r="EH202">
        <v>156</v>
      </c>
      <c r="EI202">
        <v>65510833</v>
      </c>
      <c r="EJ202">
        <v>138</v>
      </c>
      <c r="EL202" s="24"/>
      <c r="EM202">
        <v>58134</v>
      </c>
      <c r="EN202">
        <v>59000</v>
      </c>
      <c r="EO202">
        <v>59000</v>
      </c>
      <c r="EP202">
        <v>111191</v>
      </c>
      <c r="EQ202">
        <v>879</v>
      </c>
      <c r="ES202" s="24"/>
      <c r="ET202">
        <v>322</v>
      </c>
      <c r="EU202">
        <v>326</v>
      </c>
      <c r="EV202">
        <v>323</v>
      </c>
      <c r="EW202">
        <v>35922444</v>
      </c>
      <c r="EX202">
        <v>702</v>
      </c>
      <c r="EZ202" s="24"/>
      <c r="FA202">
        <v>3100004</v>
      </c>
      <c r="FB202">
        <v>3294998</v>
      </c>
      <c r="FC202">
        <v>3294898</v>
      </c>
      <c r="FD202">
        <v>1468</v>
      </c>
      <c r="FE202">
        <v>27</v>
      </c>
      <c r="FG202" s="24"/>
      <c r="FH202">
        <v>5964</v>
      </c>
      <c r="FI202">
        <v>6395</v>
      </c>
      <c r="FJ202">
        <v>6279</v>
      </c>
      <c r="FK202">
        <v>1506206</v>
      </c>
      <c r="FL202">
        <v>439</v>
      </c>
      <c r="FN202" s="24"/>
      <c r="FO202">
        <v>18698</v>
      </c>
      <c r="FP202">
        <v>18748</v>
      </c>
      <c r="FQ202">
        <v>18742</v>
      </c>
      <c r="FR202">
        <v>91886</v>
      </c>
      <c r="FS202">
        <v>77</v>
      </c>
      <c r="FU202" s="24"/>
      <c r="FV202">
        <v>18051</v>
      </c>
      <c r="FW202">
        <v>18102</v>
      </c>
      <c r="FX202">
        <v>18102</v>
      </c>
      <c r="FY202">
        <v>451761</v>
      </c>
      <c r="FZ202">
        <v>1676</v>
      </c>
      <c r="GB202" s="24"/>
      <c r="GC202">
        <v>95265000</v>
      </c>
      <c r="GD202">
        <v>101996999</v>
      </c>
      <c r="GE202">
        <v>97500408</v>
      </c>
      <c r="GF202">
        <v>120</v>
      </c>
      <c r="GG202">
        <v>83</v>
      </c>
      <c r="GI202" s="24"/>
      <c r="GJ202">
        <v>22439808</v>
      </c>
      <c r="GK202">
        <v>23897999</v>
      </c>
      <c r="GL202">
        <v>22600013</v>
      </c>
      <c r="GM202">
        <v>677</v>
      </c>
      <c r="GN202">
        <v>117</v>
      </c>
      <c r="GP202" s="24"/>
      <c r="GQ202">
        <v>81</v>
      </c>
      <c r="GR202">
        <v>84</v>
      </c>
      <c r="GS202">
        <v>81</v>
      </c>
      <c r="GT202">
        <v>148894297</v>
      </c>
      <c r="GU202">
        <v>137</v>
      </c>
      <c r="GW202" s="24"/>
      <c r="GX202">
        <v>488</v>
      </c>
      <c r="GY202">
        <v>512</v>
      </c>
      <c r="GZ202">
        <v>509</v>
      </c>
      <c r="HA202">
        <v>43172047</v>
      </c>
      <c r="HB202">
        <v>259</v>
      </c>
      <c r="HD202" s="24"/>
      <c r="HE202">
        <v>6066</v>
      </c>
      <c r="HF202">
        <v>6066</v>
      </c>
      <c r="HG202">
        <v>6066</v>
      </c>
      <c r="HH202">
        <v>13130611</v>
      </c>
      <c r="HI202">
        <v>258</v>
      </c>
      <c r="HK202" s="24"/>
      <c r="HL202">
        <v>96500600</v>
      </c>
      <c r="HM202">
        <v>100847793</v>
      </c>
      <c r="HN202">
        <v>100846998</v>
      </c>
      <c r="HO202">
        <v>101</v>
      </c>
      <c r="HP202">
        <v>71</v>
      </c>
      <c r="HR202" s="24"/>
      <c r="HS202">
        <v>6549</v>
      </c>
      <c r="HT202">
        <v>7000</v>
      </c>
      <c r="HU202">
        <v>6575</v>
      </c>
      <c r="HV202">
        <v>714994</v>
      </c>
      <c r="HW202">
        <v>146</v>
      </c>
      <c r="HY202" s="24"/>
      <c r="HZ202">
        <v>4952</v>
      </c>
      <c r="IA202">
        <v>5246</v>
      </c>
      <c r="IB202">
        <v>5200</v>
      </c>
      <c r="IC202">
        <v>1906781</v>
      </c>
      <c r="ID202">
        <v>566</v>
      </c>
      <c r="IF202" s="24"/>
      <c r="IG202">
        <v>2801</v>
      </c>
      <c r="IH202">
        <v>3793</v>
      </c>
      <c r="II202">
        <v>2850</v>
      </c>
      <c r="IJ202">
        <v>1850283</v>
      </c>
      <c r="IK202">
        <v>158</v>
      </c>
      <c r="IM202" s="24"/>
      <c r="IN202">
        <v>95000005</v>
      </c>
      <c r="IO202">
        <v>99424999</v>
      </c>
      <c r="IP202">
        <v>97288032</v>
      </c>
      <c r="IQ202">
        <v>82</v>
      </c>
      <c r="IR202">
        <v>71</v>
      </c>
      <c r="IT202" s="24"/>
      <c r="IU202">
        <v>7776</v>
      </c>
      <c r="IV202">
        <v>7779</v>
      </c>
      <c r="IW202">
        <v>7778</v>
      </c>
      <c r="IX202">
        <v>1138538</v>
      </c>
      <c r="IY202">
        <v>152</v>
      </c>
      <c r="JA202" s="24"/>
      <c r="JB202">
        <v>94000000</v>
      </c>
      <c r="JC202">
        <v>98198997</v>
      </c>
      <c r="JD202">
        <v>95948806</v>
      </c>
      <c r="JE202">
        <v>98</v>
      </c>
      <c r="JF202">
        <v>77</v>
      </c>
      <c r="JH202" s="24"/>
      <c r="JI202">
        <v>91500600</v>
      </c>
      <c r="JJ202">
        <v>94893799</v>
      </c>
      <c r="JK202">
        <v>93037103</v>
      </c>
      <c r="JL202">
        <v>56</v>
      </c>
      <c r="JM202">
        <v>44</v>
      </c>
      <c r="JO202" s="24"/>
      <c r="JP202">
        <v>79</v>
      </c>
      <c r="JQ202">
        <v>80</v>
      </c>
      <c r="JR202">
        <v>79</v>
      </c>
      <c r="JS202">
        <v>65596523</v>
      </c>
      <c r="JT202">
        <v>83</v>
      </c>
      <c r="JV202" s="24"/>
      <c r="JW202">
        <v>66</v>
      </c>
      <c r="JX202">
        <v>69</v>
      </c>
      <c r="JY202">
        <v>68</v>
      </c>
      <c r="JZ202">
        <v>93941690</v>
      </c>
      <c r="KA202">
        <v>107</v>
      </c>
      <c r="KC202" s="24"/>
      <c r="KD202">
        <v>20</v>
      </c>
      <c r="KE202">
        <v>22</v>
      </c>
      <c r="KF202">
        <v>22</v>
      </c>
      <c r="KG202">
        <v>46097392</v>
      </c>
      <c r="KH202">
        <v>353</v>
      </c>
      <c r="KJ202" s="24"/>
      <c r="KK202">
        <v>78</v>
      </c>
      <c r="KL202">
        <v>82</v>
      </c>
      <c r="KM202">
        <v>79</v>
      </c>
      <c r="KN202">
        <v>107789237</v>
      </c>
      <c r="KO202">
        <v>122</v>
      </c>
      <c r="KQ202" s="24"/>
      <c r="KR202">
        <v>112000</v>
      </c>
      <c r="KS202">
        <v>115900</v>
      </c>
      <c r="KT202">
        <v>112001</v>
      </c>
      <c r="KU202">
        <v>79544</v>
      </c>
      <c r="KV202">
        <v>885</v>
      </c>
      <c r="KX202" s="24"/>
      <c r="KY202">
        <v>518</v>
      </c>
      <c r="KZ202">
        <v>519</v>
      </c>
      <c r="LA202">
        <v>518</v>
      </c>
      <c r="LB202">
        <v>4023330</v>
      </c>
      <c r="LC202">
        <v>175</v>
      </c>
      <c r="LE202" s="24"/>
      <c r="LF202">
        <v>184500</v>
      </c>
      <c r="LG202">
        <v>187006</v>
      </c>
      <c r="LH202">
        <v>186501</v>
      </c>
      <c r="LI202">
        <v>115128</v>
      </c>
      <c r="LJ202">
        <v>1227</v>
      </c>
      <c r="LL202" s="24"/>
      <c r="LM202">
        <v>76701</v>
      </c>
      <c r="LN202">
        <v>77301</v>
      </c>
      <c r="LO202">
        <v>76702</v>
      </c>
      <c r="LP202">
        <v>417841</v>
      </c>
      <c r="LQ202">
        <v>1717</v>
      </c>
      <c r="LS202" s="24"/>
      <c r="LT202">
        <v>545</v>
      </c>
      <c r="LU202">
        <v>565</v>
      </c>
      <c r="LV202">
        <v>563</v>
      </c>
      <c r="LW202">
        <v>124844033</v>
      </c>
      <c r="LX202">
        <v>438</v>
      </c>
      <c r="LZ202" s="24"/>
      <c r="MA202">
        <v>105085</v>
      </c>
      <c r="MB202">
        <v>108248</v>
      </c>
      <c r="MC202">
        <v>108200</v>
      </c>
      <c r="MD202">
        <v>1508732</v>
      </c>
      <c r="ME202">
        <v>78</v>
      </c>
    </row>
    <row r="203" spans="2:343" x14ac:dyDescent="0.25">
      <c r="B203" s="24"/>
      <c r="C203">
        <v>3</v>
      </c>
      <c r="D203">
        <v>3</v>
      </c>
      <c r="E203">
        <v>3</v>
      </c>
      <c r="F203">
        <v>24364679987</v>
      </c>
      <c r="G203">
        <v>3160</v>
      </c>
      <c r="I203" s="24"/>
      <c r="J203">
        <v>4</v>
      </c>
      <c r="K203">
        <v>4</v>
      </c>
      <c r="L203">
        <v>4</v>
      </c>
      <c r="M203">
        <v>5473063486</v>
      </c>
      <c r="N203">
        <v>2294</v>
      </c>
      <c r="P203" s="24"/>
      <c r="Q203">
        <v>26</v>
      </c>
      <c r="R203">
        <v>27</v>
      </c>
      <c r="S203">
        <v>26</v>
      </c>
      <c r="T203">
        <v>1676653149</v>
      </c>
      <c r="U203">
        <v>2119</v>
      </c>
      <c r="W203" s="24"/>
      <c r="X203">
        <v>60</v>
      </c>
      <c r="Y203">
        <v>62</v>
      </c>
      <c r="Z203">
        <v>61</v>
      </c>
      <c r="AA203">
        <v>260005092</v>
      </c>
      <c r="AB203">
        <v>1623</v>
      </c>
      <c r="AD203" s="24"/>
      <c r="AE203">
        <v>405</v>
      </c>
      <c r="AF203">
        <v>415</v>
      </c>
      <c r="AG203">
        <v>415</v>
      </c>
      <c r="AH203">
        <v>90485805</v>
      </c>
      <c r="AI203">
        <v>1748</v>
      </c>
      <c r="AK203" s="24"/>
      <c r="AL203">
        <v>810</v>
      </c>
      <c r="AM203">
        <v>829</v>
      </c>
      <c r="AN203">
        <v>825</v>
      </c>
      <c r="AO203">
        <v>30122418</v>
      </c>
      <c r="AP203">
        <v>1402</v>
      </c>
      <c r="AR203" s="24"/>
      <c r="AS203">
        <v>2440</v>
      </c>
      <c r="AT203">
        <v>2491</v>
      </c>
      <c r="AU203">
        <v>2491</v>
      </c>
      <c r="AV203">
        <v>12276909</v>
      </c>
      <c r="AW203">
        <v>1356</v>
      </c>
      <c r="AY203" s="24"/>
      <c r="AZ203">
        <v>381000512</v>
      </c>
      <c r="BA203">
        <v>389680000</v>
      </c>
      <c r="BB203">
        <v>383697719</v>
      </c>
      <c r="BC203">
        <v>2603</v>
      </c>
      <c r="BD203">
        <v>1835</v>
      </c>
      <c r="BF203" s="24"/>
      <c r="BG203">
        <v>24722</v>
      </c>
      <c r="BH203">
        <v>25050</v>
      </c>
      <c r="BI203">
        <v>25000</v>
      </c>
      <c r="BJ203">
        <v>3352041</v>
      </c>
      <c r="BK203">
        <v>260</v>
      </c>
      <c r="BM203" s="24"/>
      <c r="BN203">
        <v>5864124</v>
      </c>
      <c r="BO203">
        <v>6196000</v>
      </c>
      <c r="BP203">
        <v>6000000</v>
      </c>
      <c r="BQ203">
        <v>11646</v>
      </c>
      <c r="BR203">
        <v>316</v>
      </c>
      <c r="BT203" s="24"/>
      <c r="BU203">
        <v>2280</v>
      </c>
      <c r="BV203">
        <v>2300</v>
      </c>
      <c r="BW203">
        <v>2299</v>
      </c>
      <c r="BX203">
        <v>24319130</v>
      </c>
      <c r="BY203">
        <v>263</v>
      </c>
      <c r="CA203" s="24"/>
      <c r="CB203">
        <v>557</v>
      </c>
      <c r="CC203">
        <v>560</v>
      </c>
      <c r="CD203">
        <v>560</v>
      </c>
      <c r="CE203">
        <v>77727494</v>
      </c>
      <c r="CF203">
        <v>276</v>
      </c>
      <c r="CH203" s="24"/>
      <c r="CI203">
        <v>22100</v>
      </c>
      <c r="CJ203">
        <v>22100</v>
      </c>
      <c r="CK203">
        <v>22100</v>
      </c>
      <c r="CL203">
        <v>1820341</v>
      </c>
      <c r="CM203">
        <v>202</v>
      </c>
      <c r="CO203" s="24"/>
      <c r="CP203">
        <v>6075</v>
      </c>
      <c r="CQ203">
        <v>6338</v>
      </c>
      <c r="CR203">
        <v>6328</v>
      </c>
      <c r="CS203">
        <v>1140531</v>
      </c>
      <c r="CT203">
        <v>374</v>
      </c>
      <c r="CV203" s="24"/>
      <c r="CW203">
        <v>1350000</v>
      </c>
      <c r="CX203">
        <v>1379700</v>
      </c>
      <c r="CY203">
        <v>1377900</v>
      </c>
      <c r="CZ203">
        <v>12112</v>
      </c>
      <c r="DA203">
        <v>44</v>
      </c>
      <c r="DC203" s="24"/>
      <c r="DD203">
        <v>566</v>
      </c>
      <c r="DE203">
        <v>568</v>
      </c>
      <c r="DF203">
        <v>568</v>
      </c>
      <c r="DG203">
        <v>31867891</v>
      </c>
      <c r="DH203">
        <v>196</v>
      </c>
      <c r="DJ203" s="24"/>
      <c r="DK203">
        <v>33655046</v>
      </c>
      <c r="DL203">
        <v>35053999</v>
      </c>
      <c r="DM203">
        <v>35049990</v>
      </c>
      <c r="DN203">
        <v>348</v>
      </c>
      <c r="DO203">
        <v>92</v>
      </c>
      <c r="DQ203" s="24"/>
      <c r="DR203">
        <v>1450000</v>
      </c>
      <c r="DS203">
        <v>1700008</v>
      </c>
      <c r="DT203">
        <v>1652007</v>
      </c>
      <c r="DU203">
        <v>14673</v>
      </c>
      <c r="DV203">
        <v>322</v>
      </c>
      <c r="DX203" s="24"/>
      <c r="DY203">
        <v>19723000</v>
      </c>
      <c r="DZ203">
        <v>22590972</v>
      </c>
      <c r="EA203">
        <v>20400002</v>
      </c>
      <c r="EB203">
        <v>764</v>
      </c>
      <c r="EC203">
        <v>143</v>
      </c>
      <c r="EE203" s="24"/>
      <c r="EF203">
        <v>152</v>
      </c>
      <c r="EG203">
        <v>158</v>
      </c>
      <c r="EH203">
        <v>158</v>
      </c>
      <c r="EI203">
        <v>61171901</v>
      </c>
      <c r="EJ203">
        <v>157</v>
      </c>
      <c r="EL203" s="24"/>
      <c r="EM203">
        <v>54975</v>
      </c>
      <c r="EN203">
        <v>57699</v>
      </c>
      <c r="EO203">
        <v>56066</v>
      </c>
      <c r="EP203">
        <v>99509</v>
      </c>
      <c r="EQ203">
        <v>780</v>
      </c>
      <c r="ES203" s="24"/>
      <c r="ET203">
        <v>309</v>
      </c>
      <c r="EU203">
        <v>320</v>
      </c>
      <c r="EV203">
        <v>317</v>
      </c>
      <c r="EW203">
        <v>48502126</v>
      </c>
      <c r="EX203">
        <v>675</v>
      </c>
      <c r="EZ203" s="24"/>
      <c r="FA203">
        <v>3100005</v>
      </c>
      <c r="FB203">
        <v>3260000</v>
      </c>
      <c r="FC203">
        <v>3100005</v>
      </c>
      <c r="FD203">
        <v>1185</v>
      </c>
      <c r="FE203">
        <v>30</v>
      </c>
      <c r="FG203" s="24"/>
      <c r="FH203">
        <v>6001</v>
      </c>
      <c r="FI203">
        <v>6247</v>
      </c>
      <c r="FJ203">
        <v>6198</v>
      </c>
      <c r="FK203">
        <v>1639124</v>
      </c>
      <c r="FL203">
        <v>427</v>
      </c>
      <c r="FN203" s="24"/>
      <c r="FO203">
        <v>17764</v>
      </c>
      <c r="FP203">
        <v>18592</v>
      </c>
      <c r="FQ203">
        <v>17766</v>
      </c>
      <c r="FR203">
        <v>247142</v>
      </c>
      <c r="FS203">
        <v>95</v>
      </c>
      <c r="FU203" s="24"/>
      <c r="FV203">
        <v>18002</v>
      </c>
      <c r="FW203">
        <v>18100</v>
      </c>
      <c r="FX203">
        <v>18100</v>
      </c>
      <c r="FY203">
        <v>389978</v>
      </c>
      <c r="FZ203">
        <v>1402</v>
      </c>
      <c r="GB203" s="24"/>
      <c r="GC203">
        <v>96000000</v>
      </c>
      <c r="GD203">
        <v>100999995</v>
      </c>
      <c r="GE203">
        <v>98151370</v>
      </c>
      <c r="GF203">
        <v>67</v>
      </c>
      <c r="GG203">
        <v>59</v>
      </c>
      <c r="GI203" s="24"/>
      <c r="GJ203">
        <v>22600010</v>
      </c>
      <c r="GK203">
        <v>23898000</v>
      </c>
      <c r="GL203">
        <v>23896999</v>
      </c>
      <c r="GM203">
        <v>401</v>
      </c>
      <c r="GN203">
        <v>93</v>
      </c>
      <c r="GP203" s="24"/>
      <c r="GQ203">
        <v>79</v>
      </c>
      <c r="GR203">
        <v>83</v>
      </c>
      <c r="GS203">
        <v>83</v>
      </c>
      <c r="GT203">
        <v>91844110</v>
      </c>
      <c r="GU203">
        <v>84</v>
      </c>
      <c r="GW203" s="24"/>
      <c r="GX203">
        <v>495</v>
      </c>
      <c r="GY203">
        <v>509</v>
      </c>
      <c r="GZ203">
        <v>507</v>
      </c>
      <c r="HA203">
        <v>42317454</v>
      </c>
      <c r="HB203">
        <v>240</v>
      </c>
      <c r="HD203" s="24"/>
      <c r="HE203">
        <v>6010</v>
      </c>
      <c r="HF203">
        <v>6147</v>
      </c>
      <c r="HG203">
        <v>6146</v>
      </c>
      <c r="HH203">
        <v>13280715</v>
      </c>
      <c r="HI203">
        <v>260</v>
      </c>
      <c r="HK203" s="24"/>
      <c r="HL203">
        <v>90535758</v>
      </c>
      <c r="HM203">
        <v>100845999</v>
      </c>
      <c r="HN203">
        <v>97156770</v>
      </c>
      <c r="HO203">
        <v>80</v>
      </c>
      <c r="HP203">
        <v>66</v>
      </c>
      <c r="HR203" s="24"/>
      <c r="HS203">
        <v>6575</v>
      </c>
      <c r="HT203">
        <v>7100</v>
      </c>
      <c r="HU203">
        <v>6999</v>
      </c>
      <c r="HV203">
        <v>705811</v>
      </c>
      <c r="HW203">
        <v>151</v>
      </c>
      <c r="HY203" s="24"/>
      <c r="HZ203">
        <v>5198</v>
      </c>
      <c r="IA203">
        <v>5354</v>
      </c>
      <c r="IB203">
        <v>5255</v>
      </c>
      <c r="IC203">
        <v>2030660</v>
      </c>
      <c r="ID203">
        <v>530</v>
      </c>
      <c r="IF203" s="24"/>
      <c r="IG203">
        <v>2901</v>
      </c>
      <c r="IH203">
        <v>2901</v>
      </c>
      <c r="II203">
        <v>2901</v>
      </c>
      <c r="IJ203">
        <v>2154326</v>
      </c>
      <c r="IK203">
        <v>137</v>
      </c>
      <c r="IM203" s="24"/>
      <c r="IN203">
        <v>94000003</v>
      </c>
      <c r="IO203">
        <v>99279987</v>
      </c>
      <c r="IP203">
        <v>94101000</v>
      </c>
      <c r="IQ203">
        <v>106</v>
      </c>
      <c r="IR203">
        <v>74</v>
      </c>
      <c r="IT203" s="24"/>
      <c r="IU203">
        <v>7506</v>
      </c>
      <c r="IV203">
        <v>7765</v>
      </c>
      <c r="IW203">
        <v>7659</v>
      </c>
      <c r="IX203">
        <v>1861183</v>
      </c>
      <c r="IY203">
        <v>155</v>
      </c>
      <c r="JA203" s="24"/>
      <c r="JB203">
        <v>94000001</v>
      </c>
      <c r="JC203">
        <v>98196997</v>
      </c>
      <c r="JD203">
        <v>95000000</v>
      </c>
      <c r="JE203">
        <v>106</v>
      </c>
      <c r="JF203">
        <v>76</v>
      </c>
      <c r="JH203" s="24"/>
      <c r="JI203">
        <v>89111205</v>
      </c>
      <c r="JJ203">
        <v>94900001</v>
      </c>
      <c r="JK203">
        <v>93281582</v>
      </c>
      <c r="JL203">
        <v>33</v>
      </c>
      <c r="JM203">
        <v>29</v>
      </c>
      <c r="JO203" s="24"/>
      <c r="JP203">
        <v>79</v>
      </c>
      <c r="JQ203">
        <v>79</v>
      </c>
      <c r="JR203">
        <v>79</v>
      </c>
      <c r="JS203">
        <v>69896684</v>
      </c>
      <c r="JT203">
        <v>74</v>
      </c>
      <c r="JV203" s="24"/>
      <c r="JW203">
        <v>69</v>
      </c>
      <c r="JX203">
        <v>69</v>
      </c>
      <c r="JY203">
        <v>69</v>
      </c>
      <c r="JZ203">
        <v>133528290</v>
      </c>
      <c r="KA203">
        <v>102</v>
      </c>
      <c r="KC203" s="24"/>
      <c r="KD203">
        <v>20</v>
      </c>
      <c r="KE203">
        <v>22</v>
      </c>
      <c r="KF203">
        <v>22</v>
      </c>
      <c r="KG203">
        <v>53252380</v>
      </c>
      <c r="KH203">
        <v>335</v>
      </c>
      <c r="KJ203" s="24"/>
      <c r="KK203">
        <v>80</v>
      </c>
      <c r="KL203">
        <v>81</v>
      </c>
      <c r="KM203">
        <v>81</v>
      </c>
      <c r="KN203">
        <v>71040832</v>
      </c>
      <c r="KO203">
        <v>111</v>
      </c>
      <c r="KQ203" s="24"/>
      <c r="KR203">
        <v>109005</v>
      </c>
      <c r="KS203">
        <v>115000</v>
      </c>
      <c r="KT203">
        <v>110819</v>
      </c>
      <c r="KU203">
        <v>68576</v>
      </c>
      <c r="KV203">
        <v>764</v>
      </c>
      <c r="KX203" s="24"/>
      <c r="KY203">
        <v>518</v>
      </c>
      <c r="KZ203">
        <v>518</v>
      </c>
      <c r="LA203">
        <v>518</v>
      </c>
      <c r="LB203">
        <v>5395075</v>
      </c>
      <c r="LC203">
        <v>170</v>
      </c>
      <c r="LE203" s="24"/>
      <c r="LF203">
        <v>184802</v>
      </c>
      <c r="LG203">
        <v>191168</v>
      </c>
      <c r="LH203">
        <v>185000</v>
      </c>
      <c r="LI203">
        <v>210505</v>
      </c>
      <c r="LJ203">
        <v>1147</v>
      </c>
      <c r="LL203" s="24"/>
      <c r="LM203">
        <v>76701</v>
      </c>
      <c r="LN203">
        <v>77982</v>
      </c>
      <c r="LO203">
        <v>76722</v>
      </c>
      <c r="LP203">
        <v>440371</v>
      </c>
      <c r="LQ203">
        <v>1481</v>
      </c>
      <c r="LS203" s="24"/>
      <c r="LT203">
        <v>524</v>
      </c>
      <c r="LU203">
        <v>538</v>
      </c>
      <c r="LV203">
        <v>533</v>
      </c>
      <c r="LW203">
        <v>114954128</v>
      </c>
      <c r="LX203">
        <v>418</v>
      </c>
      <c r="LZ203" s="24"/>
      <c r="MA203">
        <v>108344</v>
      </c>
      <c r="MB203">
        <v>120000</v>
      </c>
      <c r="MC203">
        <v>115000</v>
      </c>
      <c r="MD203">
        <v>2054336</v>
      </c>
      <c r="ME203">
        <v>142</v>
      </c>
    </row>
    <row r="204" spans="2:343" x14ac:dyDescent="0.25">
      <c r="B204" s="24"/>
      <c r="C204">
        <v>3</v>
      </c>
      <c r="D204">
        <v>3</v>
      </c>
      <c r="E204">
        <v>3</v>
      </c>
      <c r="F204">
        <v>3876506686</v>
      </c>
      <c r="G204">
        <v>785</v>
      </c>
      <c r="I204" s="24"/>
      <c r="J204">
        <v>4</v>
      </c>
      <c r="K204">
        <v>4</v>
      </c>
      <c r="L204">
        <v>4</v>
      </c>
      <c r="M204">
        <v>1744381937</v>
      </c>
      <c r="N204">
        <v>569</v>
      </c>
      <c r="P204" s="24"/>
      <c r="Q204">
        <v>26</v>
      </c>
      <c r="R204">
        <v>26</v>
      </c>
      <c r="S204">
        <v>26</v>
      </c>
      <c r="T204">
        <v>316064880</v>
      </c>
      <c r="U204">
        <v>490</v>
      </c>
      <c r="W204" s="24"/>
      <c r="X204">
        <v>60</v>
      </c>
      <c r="Y204">
        <v>61</v>
      </c>
      <c r="Z204">
        <v>60</v>
      </c>
      <c r="AA204">
        <v>65244074</v>
      </c>
      <c r="AB204">
        <v>376</v>
      </c>
      <c r="AD204" s="24"/>
      <c r="AE204">
        <v>398</v>
      </c>
      <c r="AF204">
        <v>414</v>
      </c>
      <c r="AG204">
        <v>398</v>
      </c>
      <c r="AH204">
        <v>17297339</v>
      </c>
      <c r="AI204">
        <v>412</v>
      </c>
      <c r="AK204" s="24"/>
      <c r="AL204">
        <v>810</v>
      </c>
      <c r="AM204">
        <v>820</v>
      </c>
      <c r="AN204">
        <v>810</v>
      </c>
      <c r="AO204">
        <v>12837853</v>
      </c>
      <c r="AP204">
        <v>325</v>
      </c>
      <c r="AR204" s="24"/>
      <c r="AS204">
        <v>2393</v>
      </c>
      <c r="AT204">
        <v>2405</v>
      </c>
      <c r="AU204">
        <v>2400</v>
      </c>
      <c r="AV204">
        <v>6164396</v>
      </c>
      <c r="AW204">
        <v>357</v>
      </c>
      <c r="AY204" s="24"/>
      <c r="AZ204">
        <v>392446000</v>
      </c>
      <c r="BA204">
        <v>399999959</v>
      </c>
      <c r="BB204">
        <v>398749500</v>
      </c>
      <c r="BC204">
        <v>1016</v>
      </c>
      <c r="BD204">
        <v>654</v>
      </c>
      <c r="BF204" s="24"/>
      <c r="BG204">
        <v>24723</v>
      </c>
      <c r="BH204">
        <v>24723</v>
      </c>
      <c r="BI204">
        <v>24723</v>
      </c>
      <c r="BJ204">
        <v>849025</v>
      </c>
      <c r="BK204">
        <v>49</v>
      </c>
      <c r="BM204" s="24"/>
      <c r="BN204">
        <v>5864131</v>
      </c>
      <c r="BO204">
        <v>6199999</v>
      </c>
      <c r="BP204">
        <v>6100000</v>
      </c>
      <c r="BQ204">
        <v>3023</v>
      </c>
      <c r="BR204">
        <v>84</v>
      </c>
      <c r="BT204" s="24"/>
      <c r="BU204">
        <v>2297</v>
      </c>
      <c r="BV204">
        <v>2343</v>
      </c>
      <c r="BW204">
        <v>2319</v>
      </c>
      <c r="BX204">
        <v>21833676</v>
      </c>
      <c r="BY204">
        <v>70</v>
      </c>
      <c r="CA204" s="24"/>
      <c r="CB204">
        <v>559</v>
      </c>
      <c r="CC204">
        <v>560</v>
      </c>
      <c r="CD204">
        <v>559</v>
      </c>
      <c r="CE204">
        <v>15963408</v>
      </c>
      <c r="CF204">
        <v>51</v>
      </c>
      <c r="CH204" s="24"/>
      <c r="CI204">
        <v>22100</v>
      </c>
      <c r="CJ204">
        <v>22100</v>
      </c>
      <c r="CK204">
        <v>22100</v>
      </c>
      <c r="CL204">
        <v>202395</v>
      </c>
      <c r="CM204">
        <v>32</v>
      </c>
      <c r="CO204" s="24"/>
      <c r="CP204">
        <v>6076</v>
      </c>
      <c r="CQ204">
        <v>6299</v>
      </c>
      <c r="CR204">
        <v>6299</v>
      </c>
      <c r="CS204">
        <v>201867</v>
      </c>
      <c r="CT204">
        <v>85</v>
      </c>
      <c r="CV204" s="24"/>
      <c r="CW204">
        <v>1340007</v>
      </c>
      <c r="CX204">
        <v>1378297</v>
      </c>
      <c r="CY204">
        <v>1350000</v>
      </c>
      <c r="CZ204">
        <v>6232</v>
      </c>
      <c r="DA204">
        <v>18</v>
      </c>
      <c r="DC204" s="24"/>
      <c r="DD204">
        <v>569</v>
      </c>
      <c r="DE204">
        <v>569</v>
      </c>
      <c r="DF204">
        <v>569</v>
      </c>
      <c r="DG204">
        <v>4179431</v>
      </c>
      <c r="DH204">
        <v>40</v>
      </c>
      <c r="DJ204" s="24"/>
      <c r="DK204">
        <v>33655556</v>
      </c>
      <c r="DL204">
        <v>35655000</v>
      </c>
      <c r="DM204">
        <v>34628032</v>
      </c>
      <c r="DN204">
        <v>24</v>
      </c>
      <c r="DO204">
        <v>10</v>
      </c>
      <c r="DQ204" s="24"/>
      <c r="DR204">
        <v>1400002</v>
      </c>
      <c r="DS204">
        <v>1499999</v>
      </c>
      <c r="DT204">
        <v>1499999</v>
      </c>
      <c r="DU204">
        <v>1218</v>
      </c>
      <c r="DV204">
        <v>68</v>
      </c>
      <c r="DX204" s="24"/>
      <c r="DY204">
        <v>19722009</v>
      </c>
      <c r="DZ204">
        <v>21699999</v>
      </c>
      <c r="EA204">
        <v>19722009</v>
      </c>
      <c r="EB204">
        <v>113</v>
      </c>
      <c r="EC204">
        <v>23</v>
      </c>
      <c r="EE204" s="24"/>
      <c r="EF204">
        <v>154</v>
      </c>
      <c r="EG204">
        <v>160</v>
      </c>
      <c r="EH204">
        <v>154</v>
      </c>
      <c r="EI204">
        <v>19767651</v>
      </c>
      <c r="EJ204">
        <v>35</v>
      </c>
      <c r="EL204" s="24"/>
      <c r="EM204">
        <v>51000</v>
      </c>
      <c r="EN204">
        <v>56066</v>
      </c>
      <c r="EO204">
        <v>54056</v>
      </c>
      <c r="EP204">
        <v>17726</v>
      </c>
      <c r="EQ204">
        <v>199</v>
      </c>
      <c r="ES204" s="24"/>
      <c r="ET204">
        <v>316</v>
      </c>
      <c r="EU204">
        <v>316</v>
      </c>
      <c r="EV204">
        <v>316</v>
      </c>
      <c r="EW204">
        <v>8480054</v>
      </c>
      <c r="EX204">
        <v>124</v>
      </c>
      <c r="EZ204" s="24"/>
      <c r="FA204">
        <v>3101000</v>
      </c>
      <c r="FB204">
        <v>3101000</v>
      </c>
      <c r="FC204">
        <v>3101000</v>
      </c>
      <c r="FD204">
        <v>228</v>
      </c>
      <c r="FE204">
        <v>4</v>
      </c>
      <c r="FG204" s="24"/>
      <c r="FH204">
        <v>5959</v>
      </c>
      <c r="FI204">
        <v>6199</v>
      </c>
      <c r="FJ204">
        <v>6001</v>
      </c>
      <c r="FK204">
        <v>413679</v>
      </c>
      <c r="FL204">
        <v>107</v>
      </c>
      <c r="FN204" s="24"/>
      <c r="FO204">
        <v>17763</v>
      </c>
      <c r="FP204">
        <v>17763</v>
      </c>
      <c r="FQ204">
        <v>17763</v>
      </c>
      <c r="FR204">
        <v>39344</v>
      </c>
      <c r="FS204">
        <v>16</v>
      </c>
      <c r="FU204" s="24"/>
      <c r="FV204">
        <v>17701</v>
      </c>
      <c r="FW204">
        <v>18000</v>
      </c>
      <c r="FX204">
        <v>17905</v>
      </c>
      <c r="FY204">
        <v>105089</v>
      </c>
      <c r="FZ204">
        <v>334</v>
      </c>
      <c r="GB204" s="24"/>
      <c r="GC204">
        <v>93006911</v>
      </c>
      <c r="GD204">
        <v>96000000</v>
      </c>
      <c r="GE204">
        <v>95734585</v>
      </c>
      <c r="GF204">
        <v>49</v>
      </c>
      <c r="GG204">
        <v>25</v>
      </c>
      <c r="GI204" s="24"/>
      <c r="GJ204">
        <v>22600678</v>
      </c>
      <c r="GK204">
        <v>24000011</v>
      </c>
      <c r="GL204">
        <v>23449018</v>
      </c>
      <c r="GM204">
        <v>51</v>
      </c>
      <c r="GN204">
        <v>11</v>
      </c>
      <c r="GP204" s="24"/>
      <c r="GQ204">
        <v>83</v>
      </c>
      <c r="GR204">
        <v>83</v>
      </c>
      <c r="GS204">
        <v>83</v>
      </c>
      <c r="GT204">
        <v>28407094</v>
      </c>
      <c r="GU204">
        <v>28</v>
      </c>
      <c r="GW204" s="24"/>
      <c r="GX204">
        <v>488</v>
      </c>
      <c r="GY204">
        <v>506</v>
      </c>
      <c r="GZ204">
        <v>488</v>
      </c>
      <c r="HA204">
        <v>7309301</v>
      </c>
      <c r="HB204">
        <v>42</v>
      </c>
      <c r="HD204" s="24"/>
      <c r="HE204">
        <v>6013</v>
      </c>
      <c r="HF204">
        <v>6139</v>
      </c>
      <c r="HG204">
        <v>6139</v>
      </c>
      <c r="HH204">
        <v>2384133</v>
      </c>
      <c r="HI204">
        <v>48</v>
      </c>
      <c r="HK204" s="24"/>
      <c r="HL204">
        <v>96040241</v>
      </c>
      <c r="HM204">
        <v>100845599</v>
      </c>
      <c r="HN204">
        <v>97121410</v>
      </c>
      <c r="HO204">
        <v>40</v>
      </c>
      <c r="HP204">
        <v>19</v>
      </c>
      <c r="HR204" s="24"/>
      <c r="HS204">
        <v>6600</v>
      </c>
      <c r="HT204">
        <v>7249</v>
      </c>
      <c r="HU204">
        <v>7247</v>
      </c>
      <c r="HV204">
        <v>107597</v>
      </c>
      <c r="HW204">
        <v>22</v>
      </c>
      <c r="HY204" s="24"/>
      <c r="HZ204">
        <v>5003</v>
      </c>
      <c r="IA204">
        <v>5198</v>
      </c>
      <c r="IB204">
        <v>5197</v>
      </c>
      <c r="IC204">
        <v>422052</v>
      </c>
      <c r="ID204">
        <v>113</v>
      </c>
      <c r="IF204" s="24"/>
      <c r="IG204">
        <v>2901</v>
      </c>
      <c r="IH204">
        <v>2901</v>
      </c>
      <c r="II204">
        <v>2901</v>
      </c>
      <c r="IJ204">
        <v>423934</v>
      </c>
      <c r="IK204">
        <v>27</v>
      </c>
      <c r="IM204" s="24"/>
      <c r="IN204">
        <v>95500000</v>
      </c>
      <c r="IO204">
        <v>99279987</v>
      </c>
      <c r="IP204">
        <v>98103242</v>
      </c>
      <c r="IQ204">
        <v>12</v>
      </c>
      <c r="IR204">
        <v>11</v>
      </c>
      <c r="IT204" s="24"/>
      <c r="IU204">
        <v>7776</v>
      </c>
      <c r="IV204">
        <v>7777</v>
      </c>
      <c r="IW204">
        <v>7776</v>
      </c>
      <c r="IX204">
        <v>411404</v>
      </c>
      <c r="IY204">
        <v>33</v>
      </c>
      <c r="JA204" s="24"/>
      <c r="JB204">
        <v>94000000</v>
      </c>
      <c r="JC204">
        <v>98099999</v>
      </c>
      <c r="JD204">
        <v>95161964</v>
      </c>
      <c r="JE204">
        <v>28</v>
      </c>
      <c r="JF204">
        <v>19</v>
      </c>
      <c r="JH204" s="24"/>
      <c r="JI204">
        <v>97999999</v>
      </c>
      <c r="JJ204">
        <v>97999999</v>
      </c>
      <c r="JK204">
        <v>97999999</v>
      </c>
      <c r="JL204">
        <v>3</v>
      </c>
      <c r="JM204">
        <v>3</v>
      </c>
      <c r="JO204" s="24"/>
      <c r="JP204">
        <v>80</v>
      </c>
      <c r="JQ204">
        <v>81</v>
      </c>
      <c r="JR204">
        <v>80</v>
      </c>
      <c r="JS204">
        <v>18376973</v>
      </c>
      <c r="JT204">
        <v>19</v>
      </c>
      <c r="JV204" s="24"/>
      <c r="JW204">
        <v>70</v>
      </c>
      <c r="JX204">
        <v>70</v>
      </c>
      <c r="JY204">
        <v>70</v>
      </c>
      <c r="JZ204">
        <v>30325758</v>
      </c>
      <c r="KA204">
        <v>28</v>
      </c>
      <c r="KC204" s="24"/>
      <c r="KD204">
        <v>22</v>
      </c>
      <c r="KE204">
        <v>22</v>
      </c>
      <c r="KF204">
        <v>22</v>
      </c>
      <c r="KG204">
        <v>6752709</v>
      </c>
      <c r="KH204">
        <v>87</v>
      </c>
      <c r="KJ204" s="24"/>
      <c r="KK204">
        <v>81</v>
      </c>
      <c r="KL204">
        <v>81</v>
      </c>
      <c r="KM204">
        <v>81</v>
      </c>
      <c r="KN204">
        <v>21908323</v>
      </c>
      <c r="KO204">
        <v>19</v>
      </c>
      <c r="KQ204" s="24"/>
      <c r="KR204">
        <v>110821</v>
      </c>
      <c r="KS204">
        <v>110821</v>
      </c>
      <c r="KT204">
        <v>110821</v>
      </c>
      <c r="KU204">
        <v>13396</v>
      </c>
      <c r="KV204">
        <v>186</v>
      </c>
      <c r="KX204" s="24"/>
      <c r="KY204">
        <v>518</v>
      </c>
      <c r="KZ204">
        <v>518</v>
      </c>
      <c r="LA204">
        <v>518</v>
      </c>
      <c r="LB204">
        <v>667283</v>
      </c>
      <c r="LC204">
        <v>26</v>
      </c>
      <c r="LE204" s="24"/>
      <c r="LF204">
        <v>184905</v>
      </c>
      <c r="LG204">
        <v>184905</v>
      </c>
      <c r="LH204">
        <v>184905</v>
      </c>
      <c r="LI204">
        <v>30931</v>
      </c>
      <c r="LJ204">
        <v>252</v>
      </c>
      <c r="LL204" s="24"/>
      <c r="LM204">
        <v>76748</v>
      </c>
      <c r="LN204">
        <v>77000</v>
      </c>
      <c r="LO204">
        <v>76748</v>
      </c>
      <c r="LP204">
        <v>104698</v>
      </c>
      <c r="LQ204">
        <v>349</v>
      </c>
      <c r="LS204" s="24"/>
      <c r="LT204">
        <v>517</v>
      </c>
      <c r="LU204">
        <v>534</v>
      </c>
      <c r="LV204">
        <v>517</v>
      </c>
      <c r="LW204">
        <v>20840198</v>
      </c>
      <c r="LX204">
        <v>110</v>
      </c>
      <c r="LZ204" s="24"/>
      <c r="MA204">
        <v>117000</v>
      </c>
      <c r="MB204">
        <v>117000</v>
      </c>
      <c r="MC204">
        <v>117000</v>
      </c>
      <c r="MD204">
        <v>193219</v>
      </c>
      <c r="ME204">
        <v>10</v>
      </c>
    </row>
    <row r="205" spans="2:343" x14ac:dyDescent="0.25">
      <c r="B205" s="24"/>
      <c r="C205">
        <v>3</v>
      </c>
      <c r="D205">
        <v>3</v>
      </c>
      <c r="E205">
        <v>3</v>
      </c>
      <c r="F205">
        <v>23027706126</v>
      </c>
      <c r="G205">
        <v>3008</v>
      </c>
      <c r="I205" s="24"/>
      <c r="J205">
        <v>4</v>
      </c>
      <c r="K205">
        <v>4</v>
      </c>
      <c r="L205">
        <v>4</v>
      </c>
      <c r="M205">
        <v>5112198027</v>
      </c>
      <c r="N205">
        <v>2243</v>
      </c>
      <c r="P205" s="24"/>
      <c r="Q205">
        <v>26</v>
      </c>
      <c r="R205">
        <v>26</v>
      </c>
      <c r="S205">
        <v>26</v>
      </c>
      <c r="T205">
        <v>1263342059</v>
      </c>
      <c r="U205">
        <v>1973</v>
      </c>
      <c r="W205" s="24"/>
      <c r="X205">
        <v>58</v>
      </c>
      <c r="Y205">
        <v>59</v>
      </c>
      <c r="Z205">
        <v>58</v>
      </c>
      <c r="AA205">
        <v>241250195</v>
      </c>
      <c r="AB205">
        <v>1499</v>
      </c>
      <c r="AD205" s="24"/>
      <c r="AE205">
        <v>396</v>
      </c>
      <c r="AF205">
        <v>412</v>
      </c>
      <c r="AG205">
        <v>398</v>
      </c>
      <c r="AH205">
        <v>115202088</v>
      </c>
      <c r="AI205">
        <v>1627</v>
      </c>
      <c r="AK205" s="24"/>
      <c r="AL205">
        <v>802</v>
      </c>
      <c r="AM205">
        <v>814</v>
      </c>
      <c r="AN205">
        <v>814</v>
      </c>
      <c r="AO205">
        <v>39155098</v>
      </c>
      <c r="AP205">
        <v>1300</v>
      </c>
      <c r="AR205" s="24"/>
      <c r="AS205">
        <v>2391</v>
      </c>
      <c r="AT205">
        <v>2440</v>
      </c>
      <c r="AU205">
        <v>2392</v>
      </c>
      <c r="AV205">
        <v>16951993</v>
      </c>
      <c r="AW205">
        <v>1287</v>
      </c>
      <c r="AY205" s="24"/>
      <c r="AZ205">
        <v>382522000</v>
      </c>
      <c r="BA205">
        <v>392150000</v>
      </c>
      <c r="BB205">
        <v>389201000</v>
      </c>
      <c r="BC205">
        <v>3897</v>
      </c>
      <c r="BD205">
        <v>2594</v>
      </c>
      <c r="BF205" s="24"/>
      <c r="BG205">
        <v>23814</v>
      </c>
      <c r="BH205">
        <v>23825</v>
      </c>
      <c r="BI205">
        <v>23814</v>
      </c>
      <c r="BJ205">
        <v>4112342</v>
      </c>
      <c r="BK205">
        <v>248</v>
      </c>
      <c r="BM205" s="24"/>
      <c r="BN205">
        <v>5875032</v>
      </c>
      <c r="BO205">
        <v>6239999</v>
      </c>
      <c r="BP205">
        <v>6186995</v>
      </c>
      <c r="BQ205">
        <v>12749</v>
      </c>
      <c r="BR205">
        <v>370</v>
      </c>
      <c r="BT205" s="24"/>
      <c r="BU205">
        <v>2335</v>
      </c>
      <c r="BV205">
        <v>2357</v>
      </c>
      <c r="BW205">
        <v>2357</v>
      </c>
      <c r="BX205">
        <v>18875377</v>
      </c>
      <c r="BY205">
        <v>207</v>
      </c>
      <c r="CA205" s="24"/>
      <c r="CB205">
        <v>552</v>
      </c>
      <c r="CC205">
        <v>559</v>
      </c>
      <c r="CD205">
        <v>554</v>
      </c>
      <c r="CE205">
        <v>34495120</v>
      </c>
      <c r="CF205">
        <v>195</v>
      </c>
      <c r="CH205" s="24"/>
      <c r="CI205">
        <v>22120</v>
      </c>
      <c r="CJ205">
        <v>22152</v>
      </c>
      <c r="CK205">
        <v>22151</v>
      </c>
      <c r="CL205">
        <v>2130722</v>
      </c>
      <c r="CM205">
        <v>193</v>
      </c>
      <c r="CO205" s="24"/>
      <c r="CP205">
        <v>6200</v>
      </c>
      <c r="CQ205">
        <v>6657</v>
      </c>
      <c r="CR205">
        <v>6299</v>
      </c>
      <c r="CS205">
        <v>1082404</v>
      </c>
      <c r="CT205">
        <v>364</v>
      </c>
      <c r="CV205" s="24"/>
      <c r="CW205">
        <v>1300012</v>
      </c>
      <c r="CX205">
        <v>1378296</v>
      </c>
      <c r="CY205">
        <v>1376998</v>
      </c>
      <c r="CZ205">
        <v>9344</v>
      </c>
      <c r="DA205">
        <v>46</v>
      </c>
      <c r="DC205" s="24"/>
      <c r="DD205">
        <v>590</v>
      </c>
      <c r="DE205">
        <v>697</v>
      </c>
      <c r="DF205">
        <v>675</v>
      </c>
      <c r="DG205">
        <v>40164961</v>
      </c>
      <c r="DH205">
        <v>192</v>
      </c>
      <c r="DJ205" s="24"/>
      <c r="DK205">
        <v>33700000</v>
      </c>
      <c r="DL205">
        <v>33700102</v>
      </c>
      <c r="DM205">
        <v>33700101</v>
      </c>
      <c r="DN205">
        <v>257</v>
      </c>
      <c r="DO205">
        <v>51</v>
      </c>
      <c r="DQ205" s="24"/>
      <c r="DR205">
        <v>1410000</v>
      </c>
      <c r="DS205">
        <v>1690004</v>
      </c>
      <c r="DT205">
        <v>1650000</v>
      </c>
      <c r="DU205">
        <v>3892</v>
      </c>
      <c r="DV205">
        <v>224</v>
      </c>
      <c r="DX205" s="24"/>
      <c r="DY205">
        <v>19722011</v>
      </c>
      <c r="DZ205">
        <v>21899998</v>
      </c>
      <c r="EA205">
        <v>19725001</v>
      </c>
      <c r="EB205">
        <v>202</v>
      </c>
      <c r="EC205">
        <v>73</v>
      </c>
      <c r="EE205" s="24"/>
      <c r="EF205">
        <v>157</v>
      </c>
      <c r="EG205">
        <v>162</v>
      </c>
      <c r="EH205">
        <v>161</v>
      </c>
      <c r="EI205">
        <v>119336724</v>
      </c>
      <c r="EJ205">
        <v>160</v>
      </c>
      <c r="EL205" s="24"/>
      <c r="EM205">
        <v>54501</v>
      </c>
      <c r="EN205">
        <v>57700</v>
      </c>
      <c r="EO205">
        <v>55820</v>
      </c>
      <c r="EP205">
        <v>55893</v>
      </c>
      <c r="EQ205">
        <v>674</v>
      </c>
      <c r="ES205" s="24"/>
      <c r="ET205">
        <v>286</v>
      </c>
      <c r="EU205">
        <v>319</v>
      </c>
      <c r="EV205">
        <v>315</v>
      </c>
      <c r="EW205">
        <v>62193573</v>
      </c>
      <c r="EX205">
        <v>631</v>
      </c>
      <c r="EZ205" s="24"/>
      <c r="FA205">
        <v>3259964</v>
      </c>
      <c r="FB205">
        <v>3260898</v>
      </c>
      <c r="FC205">
        <v>3260898</v>
      </c>
      <c r="FD205">
        <v>1525</v>
      </c>
      <c r="FE205">
        <v>30</v>
      </c>
      <c r="FG205" s="24"/>
      <c r="FH205">
        <v>5900</v>
      </c>
      <c r="FI205">
        <v>6230</v>
      </c>
      <c r="FJ205">
        <v>6214</v>
      </c>
      <c r="FK205">
        <v>1419579</v>
      </c>
      <c r="FL205">
        <v>414</v>
      </c>
      <c r="FN205" s="24"/>
      <c r="FO205">
        <v>17261</v>
      </c>
      <c r="FP205">
        <v>17763</v>
      </c>
      <c r="FQ205">
        <v>17263</v>
      </c>
      <c r="FR205">
        <v>178898</v>
      </c>
      <c r="FS205">
        <v>82</v>
      </c>
      <c r="FU205" s="24"/>
      <c r="FV205">
        <v>17701</v>
      </c>
      <c r="FW205">
        <v>17717</v>
      </c>
      <c r="FX205">
        <v>17710</v>
      </c>
      <c r="FY205">
        <v>282806</v>
      </c>
      <c r="FZ205">
        <v>1312</v>
      </c>
      <c r="GB205" s="24"/>
      <c r="GC205">
        <v>92949006</v>
      </c>
      <c r="GD205">
        <v>100849986</v>
      </c>
      <c r="GE205">
        <v>98118028</v>
      </c>
      <c r="GF205">
        <v>55</v>
      </c>
      <c r="GG205">
        <v>47</v>
      </c>
      <c r="GI205" s="24"/>
      <c r="GJ205">
        <v>22852335</v>
      </c>
      <c r="GK205">
        <v>22960100</v>
      </c>
      <c r="GL205">
        <v>22960001</v>
      </c>
      <c r="GM205">
        <v>277</v>
      </c>
      <c r="GN205">
        <v>62</v>
      </c>
      <c r="GP205" s="24"/>
      <c r="GQ205">
        <v>79</v>
      </c>
      <c r="GR205">
        <v>83</v>
      </c>
      <c r="GS205">
        <v>83</v>
      </c>
      <c r="GT205">
        <v>132491463</v>
      </c>
      <c r="GU205">
        <v>111</v>
      </c>
      <c r="GW205" s="24"/>
      <c r="GX205">
        <v>505</v>
      </c>
      <c r="GY205">
        <v>507</v>
      </c>
      <c r="GZ205">
        <v>507</v>
      </c>
      <c r="HA205">
        <v>33211397</v>
      </c>
      <c r="HB205">
        <v>255</v>
      </c>
      <c r="HD205" s="24"/>
      <c r="HE205">
        <v>6012</v>
      </c>
      <c r="HF205">
        <v>6136</v>
      </c>
      <c r="HG205">
        <v>6135</v>
      </c>
      <c r="HH205">
        <v>18060262</v>
      </c>
      <c r="HI205">
        <v>260</v>
      </c>
      <c r="HK205" s="24"/>
      <c r="HL205">
        <v>96000001</v>
      </c>
      <c r="HM205">
        <v>100844978</v>
      </c>
      <c r="HN205">
        <v>98819466</v>
      </c>
      <c r="HO205">
        <v>65</v>
      </c>
      <c r="HP205">
        <v>55</v>
      </c>
      <c r="HR205" s="24"/>
      <c r="HS205">
        <v>6612</v>
      </c>
      <c r="HT205">
        <v>7188</v>
      </c>
      <c r="HU205">
        <v>6800</v>
      </c>
      <c r="HV205">
        <v>322523</v>
      </c>
      <c r="HW205">
        <v>103</v>
      </c>
      <c r="HY205" s="24"/>
      <c r="HZ205">
        <v>5105</v>
      </c>
      <c r="IA205">
        <v>5403</v>
      </c>
      <c r="IB205">
        <v>5398</v>
      </c>
      <c r="IC205">
        <v>1787603</v>
      </c>
      <c r="ID205">
        <v>432</v>
      </c>
      <c r="IF205" s="24"/>
      <c r="IG205">
        <v>2703</v>
      </c>
      <c r="IH205">
        <v>2999</v>
      </c>
      <c r="II205">
        <v>2901</v>
      </c>
      <c r="IJ205">
        <v>1921144</v>
      </c>
      <c r="IK205">
        <v>129</v>
      </c>
      <c r="IM205" s="24"/>
      <c r="IN205">
        <v>94102060</v>
      </c>
      <c r="IO205">
        <v>99274995</v>
      </c>
      <c r="IP205">
        <v>97551061</v>
      </c>
      <c r="IQ205">
        <v>70</v>
      </c>
      <c r="IR205">
        <v>64</v>
      </c>
      <c r="IT205" s="24"/>
      <c r="IU205">
        <v>7521</v>
      </c>
      <c r="IV205">
        <v>7942</v>
      </c>
      <c r="IW205">
        <v>7843</v>
      </c>
      <c r="IX205">
        <v>880453</v>
      </c>
      <c r="IY205">
        <v>122</v>
      </c>
      <c r="JA205" s="24"/>
      <c r="JB205">
        <v>93504000</v>
      </c>
      <c r="JC205">
        <v>98193884</v>
      </c>
      <c r="JD205">
        <v>96545283</v>
      </c>
      <c r="JE205">
        <v>59</v>
      </c>
      <c r="JF205">
        <v>49</v>
      </c>
      <c r="JH205" s="24"/>
      <c r="JI205">
        <v>98000009</v>
      </c>
      <c r="JJ205">
        <v>102522999</v>
      </c>
      <c r="JK205">
        <v>99633780</v>
      </c>
      <c r="JL205">
        <v>27</v>
      </c>
      <c r="JM205">
        <v>27</v>
      </c>
      <c r="JO205" s="24"/>
      <c r="JP205">
        <v>84</v>
      </c>
      <c r="JQ205">
        <v>89</v>
      </c>
      <c r="JR205">
        <v>89</v>
      </c>
      <c r="JS205">
        <v>170296105</v>
      </c>
      <c r="JT205">
        <v>103</v>
      </c>
      <c r="JV205" s="24"/>
      <c r="JW205">
        <v>72</v>
      </c>
      <c r="JX205">
        <v>79</v>
      </c>
      <c r="JY205">
        <v>75</v>
      </c>
      <c r="JZ205">
        <v>179449419</v>
      </c>
      <c r="KA205">
        <v>102</v>
      </c>
      <c r="KC205" s="24"/>
      <c r="KD205">
        <v>21</v>
      </c>
      <c r="KE205">
        <v>22</v>
      </c>
      <c r="KF205">
        <v>22</v>
      </c>
      <c r="KG205">
        <v>46122759</v>
      </c>
      <c r="KH205">
        <v>350</v>
      </c>
      <c r="KJ205" s="24"/>
      <c r="KK205">
        <v>81</v>
      </c>
      <c r="KL205">
        <v>82</v>
      </c>
      <c r="KM205">
        <v>82</v>
      </c>
      <c r="KN205">
        <v>168113155</v>
      </c>
      <c r="KO205">
        <v>116</v>
      </c>
      <c r="KQ205" s="24"/>
      <c r="KR205">
        <v>110821</v>
      </c>
      <c r="KS205">
        <v>110842</v>
      </c>
      <c r="KT205">
        <v>110821</v>
      </c>
      <c r="KU205">
        <v>48449</v>
      </c>
      <c r="KV205">
        <v>645</v>
      </c>
      <c r="KX205" s="24"/>
      <c r="KY205">
        <v>471</v>
      </c>
      <c r="KZ205">
        <v>518</v>
      </c>
      <c r="LA205">
        <v>471</v>
      </c>
      <c r="LB205">
        <v>16492984</v>
      </c>
      <c r="LC205">
        <v>168</v>
      </c>
      <c r="LE205" s="24"/>
      <c r="LF205">
        <v>188000</v>
      </c>
      <c r="LG205">
        <v>189999</v>
      </c>
      <c r="LH205">
        <v>188000</v>
      </c>
      <c r="LI205">
        <v>108837</v>
      </c>
      <c r="LJ205">
        <v>928</v>
      </c>
      <c r="LL205" s="24"/>
      <c r="LM205">
        <v>76749</v>
      </c>
      <c r="LN205">
        <v>76757</v>
      </c>
      <c r="LO205">
        <v>76756</v>
      </c>
      <c r="LP205">
        <v>307599</v>
      </c>
      <c r="LQ205">
        <v>1378</v>
      </c>
      <c r="LS205" s="24"/>
      <c r="LT205">
        <v>518</v>
      </c>
      <c r="LU205">
        <v>548</v>
      </c>
      <c r="LV205">
        <v>544</v>
      </c>
      <c r="LW205">
        <v>106722211</v>
      </c>
      <c r="LX205">
        <v>370</v>
      </c>
      <c r="LZ205" s="24"/>
      <c r="MA205">
        <v>114000</v>
      </c>
      <c r="MB205">
        <v>118000</v>
      </c>
      <c r="MC205">
        <v>115000</v>
      </c>
      <c r="MD205">
        <v>791219</v>
      </c>
      <c r="ME205">
        <v>87</v>
      </c>
    </row>
    <row r="206" spans="2:343" x14ac:dyDescent="0.25">
      <c r="B206" s="24"/>
      <c r="C206">
        <v>3</v>
      </c>
      <c r="D206">
        <v>3</v>
      </c>
      <c r="E206">
        <v>3</v>
      </c>
      <c r="F206">
        <v>35635085261</v>
      </c>
      <c r="G206">
        <v>3277</v>
      </c>
      <c r="I206" s="24"/>
      <c r="J206">
        <v>4</v>
      </c>
      <c r="K206">
        <v>4</v>
      </c>
      <c r="L206">
        <v>4</v>
      </c>
      <c r="M206">
        <v>6772175266</v>
      </c>
      <c r="N206">
        <v>2297</v>
      </c>
      <c r="P206" s="24"/>
      <c r="Q206">
        <v>25</v>
      </c>
      <c r="R206">
        <v>26</v>
      </c>
      <c r="S206">
        <v>26</v>
      </c>
      <c r="T206">
        <v>1163690488</v>
      </c>
      <c r="U206">
        <v>2027</v>
      </c>
      <c r="W206" s="24"/>
      <c r="X206">
        <v>56</v>
      </c>
      <c r="Y206">
        <v>58</v>
      </c>
      <c r="Z206">
        <v>56</v>
      </c>
      <c r="AA206">
        <v>457801794</v>
      </c>
      <c r="AB206">
        <v>1663</v>
      </c>
      <c r="AD206" s="24"/>
      <c r="AE206">
        <v>403</v>
      </c>
      <c r="AF206">
        <v>405</v>
      </c>
      <c r="AG206">
        <v>405</v>
      </c>
      <c r="AH206">
        <v>106034871</v>
      </c>
      <c r="AI206">
        <v>1686</v>
      </c>
      <c r="AK206" s="24"/>
      <c r="AL206">
        <v>792</v>
      </c>
      <c r="AM206">
        <v>813</v>
      </c>
      <c r="AN206">
        <v>800</v>
      </c>
      <c r="AO206">
        <v>34876637</v>
      </c>
      <c r="AP206">
        <v>1396</v>
      </c>
      <c r="AR206" s="24"/>
      <c r="AS206">
        <v>2383</v>
      </c>
      <c r="AT206">
        <v>2445</v>
      </c>
      <c r="AU206">
        <v>2444</v>
      </c>
      <c r="AV206">
        <v>13720433</v>
      </c>
      <c r="AW206">
        <v>1347</v>
      </c>
      <c r="AY206" s="24"/>
      <c r="AZ206">
        <v>379100000</v>
      </c>
      <c r="BA206">
        <v>387899997</v>
      </c>
      <c r="BB206">
        <v>382750005</v>
      </c>
      <c r="BC206">
        <v>2450</v>
      </c>
      <c r="BD206">
        <v>1756</v>
      </c>
      <c r="BF206" s="24"/>
      <c r="BG206">
        <v>23899</v>
      </c>
      <c r="BH206">
        <v>24747</v>
      </c>
      <c r="BI206">
        <v>23902</v>
      </c>
      <c r="BJ206">
        <v>3335615</v>
      </c>
      <c r="BK206">
        <v>308</v>
      </c>
      <c r="BM206" s="24"/>
      <c r="BN206">
        <v>5875305</v>
      </c>
      <c r="BO206">
        <v>6397999</v>
      </c>
      <c r="BP206">
        <v>5876508</v>
      </c>
      <c r="BQ206">
        <v>11586</v>
      </c>
      <c r="BR206">
        <v>380</v>
      </c>
      <c r="BT206" s="24"/>
      <c r="BU206">
        <v>2354</v>
      </c>
      <c r="BV206">
        <v>2399</v>
      </c>
      <c r="BW206">
        <v>2399</v>
      </c>
      <c r="BX206">
        <v>16791400</v>
      </c>
      <c r="BY206">
        <v>237</v>
      </c>
      <c r="CA206" s="24"/>
      <c r="CB206">
        <v>541</v>
      </c>
      <c r="CC206">
        <v>552</v>
      </c>
      <c r="CD206">
        <v>547</v>
      </c>
      <c r="CE206">
        <v>59388405</v>
      </c>
      <c r="CF206">
        <v>251</v>
      </c>
      <c r="CH206" s="24"/>
      <c r="CI206">
        <v>22150</v>
      </c>
      <c r="CJ206">
        <v>22150</v>
      </c>
      <c r="CK206">
        <v>22150</v>
      </c>
      <c r="CL206">
        <v>1000954</v>
      </c>
      <c r="CM206">
        <v>180</v>
      </c>
      <c r="CO206" s="24"/>
      <c r="CP206">
        <v>6202</v>
      </c>
      <c r="CQ206">
        <v>6596</v>
      </c>
      <c r="CR206">
        <v>6204</v>
      </c>
      <c r="CS206">
        <v>1590009</v>
      </c>
      <c r="CT206">
        <v>369</v>
      </c>
      <c r="CV206" s="24"/>
      <c r="CW206">
        <v>1330301</v>
      </c>
      <c r="CX206">
        <v>1376995</v>
      </c>
      <c r="CY206">
        <v>1376495</v>
      </c>
      <c r="CZ206">
        <v>8669</v>
      </c>
      <c r="DA206">
        <v>48</v>
      </c>
      <c r="DC206" s="24"/>
      <c r="DD206">
        <v>589</v>
      </c>
      <c r="DE206">
        <v>690</v>
      </c>
      <c r="DF206">
        <v>600</v>
      </c>
      <c r="DG206">
        <v>38563581</v>
      </c>
      <c r="DH206">
        <v>166</v>
      </c>
      <c r="DJ206" s="24"/>
      <c r="DK206">
        <v>33760008</v>
      </c>
      <c r="DL206">
        <v>35099996</v>
      </c>
      <c r="DM206">
        <v>33770000</v>
      </c>
      <c r="DN206">
        <v>489</v>
      </c>
      <c r="DO206">
        <v>79</v>
      </c>
      <c r="DQ206" s="24"/>
      <c r="DR206">
        <v>1501036</v>
      </c>
      <c r="DS206">
        <v>1740000</v>
      </c>
      <c r="DT206">
        <v>1630006</v>
      </c>
      <c r="DU206">
        <v>8511</v>
      </c>
      <c r="DV206">
        <v>266</v>
      </c>
      <c r="DX206" s="24"/>
      <c r="DY206">
        <v>19727008</v>
      </c>
      <c r="DZ206">
        <v>20726999</v>
      </c>
      <c r="EA206">
        <v>19758001</v>
      </c>
      <c r="EB206">
        <v>351</v>
      </c>
      <c r="EC206">
        <v>88</v>
      </c>
      <c r="EE206" s="24"/>
      <c r="EF206">
        <v>157</v>
      </c>
      <c r="EG206">
        <v>169</v>
      </c>
      <c r="EH206">
        <v>160</v>
      </c>
      <c r="EI206">
        <v>87491645</v>
      </c>
      <c r="EJ206">
        <v>168</v>
      </c>
      <c r="EL206" s="24"/>
      <c r="EM206">
        <v>59500</v>
      </c>
      <c r="EN206">
        <v>60999</v>
      </c>
      <c r="EO206">
        <v>59558</v>
      </c>
      <c r="EP206">
        <v>81219</v>
      </c>
      <c r="EQ206">
        <v>741</v>
      </c>
      <c r="ES206" s="24"/>
      <c r="ET206">
        <v>297</v>
      </c>
      <c r="EU206">
        <v>306</v>
      </c>
      <c r="EV206">
        <v>303</v>
      </c>
      <c r="EW206">
        <v>30700884</v>
      </c>
      <c r="EX206">
        <v>618</v>
      </c>
      <c r="EZ206" s="24"/>
      <c r="FA206">
        <v>3261998</v>
      </c>
      <c r="FB206">
        <v>3445899</v>
      </c>
      <c r="FC206">
        <v>3262000</v>
      </c>
      <c r="FD206">
        <v>1176</v>
      </c>
      <c r="FE206">
        <v>34</v>
      </c>
      <c r="FG206" s="24"/>
      <c r="FH206">
        <v>5901</v>
      </c>
      <c r="FI206">
        <v>6200</v>
      </c>
      <c r="FJ206">
        <v>6146</v>
      </c>
      <c r="FK206">
        <v>1467976</v>
      </c>
      <c r="FL206">
        <v>448</v>
      </c>
      <c r="FN206" s="24"/>
      <c r="FO206">
        <v>18295</v>
      </c>
      <c r="FP206">
        <v>18299</v>
      </c>
      <c r="FQ206">
        <v>18295</v>
      </c>
      <c r="FR206">
        <v>86848</v>
      </c>
      <c r="FS206">
        <v>74</v>
      </c>
      <c r="FU206" s="24"/>
      <c r="FV206">
        <v>17731</v>
      </c>
      <c r="FW206">
        <v>18300</v>
      </c>
      <c r="FX206">
        <v>17755</v>
      </c>
      <c r="FY206">
        <v>360011</v>
      </c>
      <c r="FZ206">
        <v>1404</v>
      </c>
      <c r="GB206" s="24"/>
      <c r="GC206">
        <v>93001012</v>
      </c>
      <c r="GD206">
        <v>100748997</v>
      </c>
      <c r="GE206">
        <v>96777069</v>
      </c>
      <c r="GF206">
        <v>68</v>
      </c>
      <c r="GG206">
        <v>49</v>
      </c>
      <c r="GI206" s="24"/>
      <c r="GJ206">
        <v>22992388</v>
      </c>
      <c r="GK206">
        <v>24200000</v>
      </c>
      <c r="GL206">
        <v>23092336</v>
      </c>
      <c r="GM206">
        <v>473</v>
      </c>
      <c r="GN206">
        <v>95</v>
      </c>
      <c r="GP206" s="24"/>
      <c r="GQ206">
        <v>79</v>
      </c>
      <c r="GR206">
        <v>83</v>
      </c>
      <c r="GS206">
        <v>79</v>
      </c>
      <c r="GT206">
        <v>153059155</v>
      </c>
      <c r="GU206">
        <v>150</v>
      </c>
      <c r="GW206" s="24"/>
      <c r="GX206">
        <v>507</v>
      </c>
      <c r="GY206">
        <v>587</v>
      </c>
      <c r="GZ206">
        <v>512</v>
      </c>
      <c r="HA206">
        <v>80697027</v>
      </c>
      <c r="HB206">
        <v>308</v>
      </c>
      <c r="HD206" s="24"/>
      <c r="HE206">
        <v>5951</v>
      </c>
      <c r="HF206">
        <v>6129</v>
      </c>
      <c r="HG206">
        <v>6122</v>
      </c>
      <c r="HH206">
        <v>10963294</v>
      </c>
      <c r="HI206">
        <v>243</v>
      </c>
      <c r="HK206" s="24"/>
      <c r="HL206">
        <v>90539002</v>
      </c>
      <c r="HM206">
        <v>99999998</v>
      </c>
      <c r="HN206">
        <v>96608000</v>
      </c>
      <c r="HO206">
        <v>60</v>
      </c>
      <c r="HP206">
        <v>48</v>
      </c>
      <c r="HR206" s="24"/>
      <c r="HS206">
        <v>6612</v>
      </c>
      <c r="HT206">
        <v>6999</v>
      </c>
      <c r="HU206">
        <v>6997</v>
      </c>
      <c r="HV206">
        <v>877256</v>
      </c>
      <c r="HW206">
        <v>129</v>
      </c>
      <c r="HY206" s="24"/>
      <c r="HZ206">
        <v>5105</v>
      </c>
      <c r="IA206">
        <v>5394</v>
      </c>
      <c r="IB206">
        <v>5297</v>
      </c>
      <c r="IC206">
        <v>1886575</v>
      </c>
      <c r="ID206">
        <v>484</v>
      </c>
      <c r="IF206" s="24"/>
      <c r="IG206">
        <v>2561</v>
      </c>
      <c r="IH206">
        <v>2897</v>
      </c>
      <c r="II206">
        <v>2894</v>
      </c>
      <c r="IJ206">
        <v>1181561</v>
      </c>
      <c r="IK206">
        <v>126</v>
      </c>
      <c r="IM206" s="24"/>
      <c r="IN206">
        <v>94102060</v>
      </c>
      <c r="IO206">
        <v>99273990</v>
      </c>
      <c r="IP206">
        <v>96004699</v>
      </c>
      <c r="IQ206">
        <v>79</v>
      </c>
      <c r="IR206">
        <v>53</v>
      </c>
      <c r="IT206" s="24"/>
      <c r="IU206">
        <v>7520</v>
      </c>
      <c r="IV206">
        <v>7843</v>
      </c>
      <c r="IW206">
        <v>7669</v>
      </c>
      <c r="IX206">
        <v>1103596</v>
      </c>
      <c r="IY206">
        <v>153</v>
      </c>
      <c r="JA206" s="24"/>
      <c r="JB206">
        <v>93505006</v>
      </c>
      <c r="JC206">
        <v>98195883</v>
      </c>
      <c r="JD206">
        <v>96061646</v>
      </c>
      <c r="JE206">
        <v>70</v>
      </c>
      <c r="JF206">
        <v>56</v>
      </c>
      <c r="JH206" s="24"/>
      <c r="JI206">
        <v>102522999</v>
      </c>
      <c r="JJ206">
        <v>110291998</v>
      </c>
      <c r="JK206">
        <v>102807502</v>
      </c>
      <c r="JL206">
        <v>24</v>
      </c>
      <c r="JM206">
        <v>23</v>
      </c>
      <c r="JO206" s="24"/>
      <c r="JP206">
        <v>88</v>
      </c>
      <c r="JQ206">
        <v>106</v>
      </c>
      <c r="JR206">
        <v>99</v>
      </c>
      <c r="JS206">
        <v>66373126</v>
      </c>
      <c r="JT206">
        <v>69</v>
      </c>
      <c r="JV206" s="24"/>
      <c r="JW206">
        <v>70</v>
      </c>
      <c r="JX206">
        <v>72</v>
      </c>
      <c r="JY206">
        <v>72</v>
      </c>
      <c r="JZ206">
        <v>106526115</v>
      </c>
      <c r="KA206">
        <v>97</v>
      </c>
      <c r="KC206" s="24"/>
      <c r="KD206">
        <v>21</v>
      </c>
      <c r="KE206">
        <v>22</v>
      </c>
      <c r="KF206">
        <v>22</v>
      </c>
      <c r="KG206">
        <v>43430213</v>
      </c>
      <c r="KH206">
        <v>342</v>
      </c>
      <c r="KJ206" s="24"/>
      <c r="KK206">
        <v>86</v>
      </c>
      <c r="KL206">
        <v>86</v>
      </c>
      <c r="KM206">
        <v>86</v>
      </c>
      <c r="KN206">
        <v>107375980</v>
      </c>
      <c r="KO206">
        <v>104</v>
      </c>
      <c r="KQ206" s="24"/>
      <c r="KR206">
        <v>110845</v>
      </c>
      <c r="KS206">
        <v>110847</v>
      </c>
      <c r="KT206">
        <v>110846</v>
      </c>
      <c r="KU206">
        <v>84705</v>
      </c>
      <c r="KV206">
        <v>693</v>
      </c>
      <c r="KX206" s="24"/>
      <c r="KY206">
        <v>516</v>
      </c>
      <c r="KZ206">
        <v>516</v>
      </c>
      <c r="LA206">
        <v>516</v>
      </c>
      <c r="LB206">
        <v>1833812</v>
      </c>
      <c r="LC206">
        <v>136</v>
      </c>
      <c r="LE206" s="24"/>
      <c r="LF206">
        <v>190000</v>
      </c>
      <c r="LG206">
        <v>192000</v>
      </c>
      <c r="LH206">
        <v>191500</v>
      </c>
      <c r="LI206">
        <v>110709</v>
      </c>
      <c r="LJ206">
        <v>1001</v>
      </c>
      <c r="LL206" s="24"/>
      <c r="LM206">
        <v>77500</v>
      </c>
      <c r="LN206">
        <v>77777</v>
      </c>
      <c r="LO206">
        <v>77501</v>
      </c>
      <c r="LP206">
        <v>331411</v>
      </c>
      <c r="LQ206">
        <v>1461</v>
      </c>
      <c r="LS206" s="24"/>
      <c r="LT206">
        <v>524</v>
      </c>
      <c r="LU206">
        <v>544</v>
      </c>
      <c r="LV206">
        <v>539</v>
      </c>
      <c r="LW206">
        <v>136347733</v>
      </c>
      <c r="LX206">
        <v>415</v>
      </c>
      <c r="LZ206" s="24"/>
      <c r="MA206">
        <v>117500</v>
      </c>
      <c r="MB206">
        <v>117500</v>
      </c>
      <c r="MC206">
        <v>117500</v>
      </c>
      <c r="MD206">
        <v>1274792</v>
      </c>
      <c r="ME206">
        <v>104</v>
      </c>
    </row>
    <row r="207" spans="2:343" x14ac:dyDescent="0.25">
      <c r="B207" s="24"/>
      <c r="C207">
        <v>3</v>
      </c>
      <c r="D207">
        <v>3</v>
      </c>
      <c r="E207">
        <v>3</v>
      </c>
      <c r="F207">
        <v>17082431993</v>
      </c>
      <c r="G207">
        <v>3073</v>
      </c>
      <c r="I207" s="24"/>
      <c r="J207">
        <v>4</v>
      </c>
      <c r="K207">
        <v>4</v>
      </c>
      <c r="L207">
        <v>4</v>
      </c>
      <c r="M207">
        <v>2714949384</v>
      </c>
      <c r="N207">
        <v>2113</v>
      </c>
      <c r="P207" s="24"/>
      <c r="Q207">
        <v>26</v>
      </c>
      <c r="R207">
        <v>26</v>
      </c>
      <c r="S207">
        <v>26</v>
      </c>
      <c r="T207">
        <v>1107210285</v>
      </c>
      <c r="U207">
        <v>1888</v>
      </c>
      <c r="W207" s="24"/>
      <c r="X207">
        <v>56</v>
      </c>
      <c r="Y207">
        <v>58</v>
      </c>
      <c r="Z207">
        <v>58</v>
      </c>
      <c r="AA207">
        <v>198393241</v>
      </c>
      <c r="AB207">
        <v>1477</v>
      </c>
      <c r="AD207" s="24"/>
      <c r="AE207">
        <v>390</v>
      </c>
      <c r="AF207">
        <v>404</v>
      </c>
      <c r="AG207">
        <v>392</v>
      </c>
      <c r="AH207">
        <v>65274467</v>
      </c>
      <c r="AI207">
        <v>1487</v>
      </c>
      <c r="AK207" s="24"/>
      <c r="AL207">
        <v>799</v>
      </c>
      <c r="AM207">
        <v>800</v>
      </c>
      <c r="AN207">
        <v>800</v>
      </c>
      <c r="AO207">
        <v>24456553</v>
      </c>
      <c r="AP207">
        <v>1233</v>
      </c>
      <c r="AR207" s="24"/>
      <c r="AS207">
        <v>2365</v>
      </c>
      <c r="AT207">
        <v>2439</v>
      </c>
      <c r="AU207">
        <v>2425</v>
      </c>
      <c r="AV207">
        <v>12216536</v>
      </c>
      <c r="AW207">
        <v>1235</v>
      </c>
      <c r="AY207" s="24"/>
      <c r="AZ207">
        <v>371291111</v>
      </c>
      <c r="BA207">
        <v>377997000</v>
      </c>
      <c r="BB207">
        <v>376000000</v>
      </c>
      <c r="BC207">
        <v>2504</v>
      </c>
      <c r="BD207">
        <v>1731</v>
      </c>
      <c r="BF207" s="24"/>
      <c r="BG207">
        <v>23911</v>
      </c>
      <c r="BH207">
        <v>23911</v>
      </c>
      <c r="BI207">
        <v>23911</v>
      </c>
      <c r="BJ207">
        <v>3461919</v>
      </c>
      <c r="BK207">
        <v>241</v>
      </c>
      <c r="BM207" s="24"/>
      <c r="BN207">
        <v>5961317</v>
      </c>
      <c r="BO207">
        <v>6000011</v>
      </c>
      <c r="BP207">
        <v>5970010</v>
      </c>
      <c r="BQ207">
        <v>8457</v>
      </c>
      <c r="BR207">
        <v>302</v>
      </c>
      <c r="BT207" s="24"/>
      <c r="BU207">
        <v>2277</v>
      </c>
      <c r="BV207">
        <v>2383</v>
      </c>
      <c r="BW207">
        <v>2383</v>
      </c>
      <c r="BX207">
        <v>14601107</v>
      </c>
      <c r="BY207">
        <v>181</v>
      </c>
      <c r="CA207" s="24"/>
      <c r="CB207">
        <v>525</v>
      </c>
      <c r="CC207">
        <v>547</v>
      </c>
      <c r="CD207">
        <v>547</v>
      </c>
      <c r="CE207">
        <v>52409344</v>
      </c>
      <c r="CF207">
        <v>214</v>
      </c>
      <c r="CH207" s="24"/>
      <c r="CI207">
        <v>21008</v>
      </c>
      <c r="CJ207">
        <v>21013</v>
      </c>
      <c r="CK207">
        <v>21011</v>
      </c>
      <c r="CL207">
        <v>1939709</v>
      </c>
      <c r="CM207">
        <v>211</v>
      </c>
      <c r="CO207" s="24"/>
      <c r="CP207">
        <v>6093</v>
      </c>
      <c r="CQ207">
        <v>6479</v>
      </c>
      <c r="CR207">
        <v>6394</v>
      </c>
      <c r="CS207">
        <v>951335</v>
      </c>
      <c r="CT207">
        <v>296</v>
      </c>
      <c r="CV207" s="24"/>
      <c r="CW207">
        <v>1330000</v>
      </c>
      <c r="CX207">
        <v>1375999</v>
      </c>
      <c r="CY207">
        <v>1330301</v>
      </c>
      <c r="CZ207">
        <v>11267</v>
      </c>
      <c r="DA207">
        <v>45</v>
      </c>
      <c r="DC207" s="24"/>
      <c r="DD207">
        <v>609</v>
      </c>
      <c r="DE207">
        <v>615</v>
      </c>
      <c r="DF207">
        <v>610</v>
      </c>
      <c r="DG207">
        <v>51547428</v>
      </c>
      <c r="DH207">
        <v>190</v>
      </c>
      <c r="DJ207" s="24"/>
      <c r="DK207">
        <v>33800017</v>
      </c>
      <c r="DL207">
        <v>33800021</v>
      </c>
      <c r="DM207">
        <v>33800020</v>
      </c>
      <c r="DN207">
        <v>309</v>
      </c>
      <c r="DO207">
        <v>68</v>
      </c>
      <c r="DQ207" s="24"/>
      <c r="DR207">
        <v>1670002</v>
      </c>
      <c r="DS207">
        <v>1809996</v>
      </c>
      <c r="DT207">
        <v>1749998</v>
      </c>
      <c r="DU207">
        <v>7307</v>
      </c>
      <c r="DV207">
        <v>236</v>
      </c>
      <c r="DX207" s="24"/>
      <c r="DY207">
        <v>19758003</v>
      </c>
      <c r="DZ207">
        <v>21500000</v>
      </c>
      <c r="EA207">
        <v>19758006</v>
      </c>
      <c r="EB207">
        <v>432</v>
      </c>
      <c r="EC207">
        <v>82</v>
      </c>
      <c r="EE207" s="24"/>
      <c r="EF207">
        <v>152</v>
      </c>
      <c r="EG207">
        <v>159</v>
      </c>
      <c r="EH207">
        <v>154</v>
      </c>
      <c r="EI207">
        <v>112292567</v>
      </c>
      <c r="EJ207">
        <v>162</v>
      </c>
      <c r="EL207" s="24"/>
      <c r="EM207">
        <v>59571</v>
      </c>
      <c r="EN207">
        <v>60000</v>
      </c>
      <c r="EO207">
        <v>59619</v>
      </c>
      <c r="EP207">
        <v>88130</v>
      </c>
      <c r="EQ207">
        <v>670</v>
      </c>
      <c r="ES207" s="24"/>
      <c r="ET207">
        <v>290</v>
      </c>
      <c r="EU207">
        <v>306</v>
      </c>
      <c r="EV207">
        <v>303</v>
      </c>
      <c r="EW207">
        <v>35254721</v>
      </c>
      <c r="EX207">
        <v>574</v>
      </c>
      <c r="EZ207" s="24"/>
      <c r="FA207">
        <v>3201001</v>
      </c>
      <c r="FB207">
        <v>3351001</v>
      </c>
      <c r="FC207">
        <v>3251001</v>
      </c>
      <c r="FD207">
        <v>1127</v>
      </c>
      <c r="FE207">
        <v>41</v>
      </c>
      <c r="FG207" s="24"/>
      <c r="FH207">
        <v>5862</v>
      </c>
      <c r="FI207">
        <v>6142</v>
      </c>
      <c r="FJ207">
        <v>6050</v>
      </c>
      <c r="FK207">
        <v>1200350</v>
      </c>
      <c r="FL207">
        <v>373</v>
      </c>
      <c r="FN207" s="24"/>
      <c r="FO207">
        <v>17600</v>
      </c>
      <c r="FP207">
        <v>18198</v>
      </c>
      <c r="FQ207">
        <v>18193</v>
      </c>
      <c r="FR207">
        <v>105849</v>
      </c>
      <c r="FS207">
        <v>66</v>
      </c>
      <c r="FU207" s="24"/>
      <c r="FV207">
        <v>17850</v>
      </c>
      <c r="FW207">
        <v>17858</v>
      </c>
      <c r="FX207">
        <v>17854</v>
      </c>
      <c r="FY207">
        <v>380657</v>
      </c>
      <c r="FZ207">
        <v>1241</v>
      </c>
      <c r="GB207" s="24"/>
      <c r="GC207">
        <v>95459009</v>
      </c>
      <c r="GD207">
        <v>100746993</v>
      </c>
      <c r="GE207">
        <v>97940936</v>
      </c>
      <c r="GF207">
        <v>98</v>
      </c>
      <c r="GG207">
        <v>74</v>
      </c>
      <c r="GI207" s="24"/>
      <c r="GJ207">
        <v>23300001</v>
      </c>
      <c r="GK207">
        <v>23400033</v>
      </c>
      <c r="GL207">
        <v>23400007</v>
      </c>
      <c r="GM207">
        <v>243</v>
      </c>
      <c r="GN207">
        <v>54</v>
      </c>
      <c r="GP207" s="24"/>
      <c r="GQ207">
        <v>79</v>
      </c>
      <c r="GR207">
        <v>82</v>
      </c>
      <c r="GS207">
        <v>82</v>
      </c>
      <c r="GT207">
        <v>128833928</v>
      </c>
      <c r="GU207">
        <v>110</v>
      </c>
      <c r="GW207" s="24"/>
      <c r="GX207">
        <v>537</v>
      </c>
      <c r="GY207">
        <v>597</v>
      </c>
      <c r="GZ207">
        <v>597</v>
      </c>
      <c r="HA207">
        <v>47800568</v>
      </c>
      <c r="HB207">
        <v>254</v>
      </c>
      <c r="HD207" s="24"/>
      <c r="HE207">
        <v>5900</v>
      </c>
      <c r="HF207">
        <v>6089</v>
      </c>
      <c r="HG207">
        <v>6000</v>
      </c>
      <c r="HH207">
        <v>14532044</v>
      </c>
      <c r="HI207">
        <v>233</v>
      </c>
      <c r="HK207" s="24"/>
      <c r="HL207">
        <v>92643222</v>
      </c>
      <c r="HM207">
        <v>100844000</v>
      </c>
      <c r="HN207">
        <v>98109371</v>
      </c>
      <c r="HO207">
        <v>55</v>
      </c>
      <c r="HP207">
        <v>54</v>
      </c>
      <c r="HR207" s="24"/>
      <c r="HS207">
        <v>6610</v>
      </c>
      <c r="HT207">
        <v>6610</v>
      </c>
      <c r="HU207">
        <v>6610</v>
      </c>
      <c r="HV207">
        <v>693477</v>
      </c>
      <c r="HW207">
        <v>99</v>
      </c>
      <c r="HY207" s="24"/>
      <c r="HZ207">
        <v>5106</v>
      </c>
      <c r="IA207">
        <v>5385</v>
      </c>
      <c r="IB207">
        <v>5290</v>
      </c>
      <c r="IC207">
        <v>1472974</v>
      </c>
      <c r="ID207">
        <v>382</v>
      </c>
      <c r="IF207" s="24"/>
      <c r="IG207">
        <v>2665</v>
      </c>
      <c r="IH207">
        <v>2749</v>
      </c>
      <c r="II207">
        <v>2699</v>
      </c>
      <c r="IJ207">
        <v>1749331</v>
      </c>
      <c r="IK207">
        <v>130</v>
      </c>
      <c r="IM207" s="24"/>
      <c r="IN207">
        <v>94013051</v>
      </c>
      <c r="IO207">
        <v>99264905</v>
      </c>
      <c r="IP207">
        <v>97237429</v>
      </c>
      <c r="IQ207">
        <v>67</v>
      </c>
      <c r="IR207">
        <v>62</v>
      </c>
      <c r="IT207" s="24"/>
      <c r="IU207">
        <v>7840</v>
      </c>
      <c r="IV207">
        <v>7840</v>
      </c>
      <c r="IW207">
        <v>7840</v>
      </c>
      <c r="IX207">
        <v>752866</v>
      </c>
      <c r="IY207">
        <v>112</v>
      </c>
      <c r="JA207" s="24"/>
      <c r="JB207">
        <v>94525008</v>
      </c>
      <c r="JC207">
        <v>98124998</v>
      </c>
      <c r="JD207">
        <v>96086942</v>
      </c>
      <c r="JE207">
        <v>81</v>
      </c>
      <c r="JF207">
        <v>70</v>
      </c>
      <c r="JH207" s="24"/>
      <c r="JI207">
        <v>91212911</v>
      </c>
      <c r="JJ207">
        <v>110201995</v>
      </c>
      <c r="JK207">
        <v>95192038</v>
      </c>
      <c r="JL207">
        <v>76</v>
      </c>
      <c r="JM207">
        <v>43</v>
      </c>
      <c r="JO207" s="24"/>
      <c r="JP207">
        <v>88</v>
      </c>
      <c r="JQ207">
        <v>96</v>
      </c>
      <c r="JR207">
        <v>92</v>
      </c>
      <c r="JS207">
        <v>80160202</v>
      </c>
      <c r="JT207">
        <v>91</v>
      </c>
      <c r="JV207" s="24"/>
      <c r="JW207">
        <v>68</v>
      </c>
      <c r="JX207">
        <v>71</v>
      </c>
      <c r="JY207">
        <v>70</v>
      </c>
      <c r="JZ207">
        <v>105864038</v>
      </c>
      <c r="KA207">
        <v>85</v>
      </c>
      <c r="KC207" s="24"/>
      <c r="KD207">
        <v>21</v>
      </c>
      <c r="KE207">
        <v>22</v>
      </c>
      <c r="KF207">
        <v>22</v>
      </c>
      <c r="KG207">
        <v>42073267</v>
      </c>
      <c r="KH207">
        <v>281</v>
      </c>
      <c r="KJ207" s="24"/>
      <c r="KK207">
        <v>82</v>
      </c>
      <c r="KL207">
        <v>90</v>
      </c>
      <c r="KM207">
        <v>83</v>
      </c>
      <c r="KN207">
        <v>115475034</v>
      </c>
      <c r="KO207">
        <v>119</v>
      </c>
      <c r="KQ207" s="24"/>
      <c r="KR207">
        <v>111000</v>
      </c>
      <c r="KS207">
        <v>111007</v>
      </c>
      <c r="KT207">
        <v>111004</v>
      </c>
      <c r="KU207">
        <v>59894</v>
      </c>
      <c r="KV207">
        <v>639</v>
      </c>
      <c r="KX207" s="24"/>
      <c r="KY207">
        <v>456</v>
      </c>
      <c r="KZ207">
        <v>504</v>
      </c>
      <c r="LA207">
        <v>502</v>
      </c>
      <c r="LB207">
        <v>5145146</v>
      </c>
      <c r="LC207">
        <v>143</v>
      </c>
      <c r="LE207" s="24"/>
      <c r="LF207">
        <v>184938</v>
      </c>
      <c r="LG207">
        <v>189500</v>
      </c>
      <c r="LH207">
        <v>189005</v>
      </c>
      <c r="LI207">
        <v>114418</v>
      </c>
      <c r="LJ207">
        <v>901</v>
      </c>
      <c r="LL207" s="24"/>
      <c r="LM207">
        <v>77825</v>
      </c>
      <c r="LN207">
        <v>78100</v>
      </c>
      <c r="LO207">
        <v>77828</v>
      </c>
      <c r="LP207">
        <v>397003</v>
      </c>
      <c r="LQ207">
        <v>1293</v>
      </c>
      <c r="LS207" s="24"/>
      <c r="LT207">
        <v>517</v>
      </c>
      <c r="LU207">
        <v>538</v>
      </c>
      <c r="LV207">
        <v>537</v>
      </c>
      <c r="LW207">
        <v>73322728</v>
      </c>
      <c r="LX207">
        <v>365</v>
      </c>
      <c r="LZ207" s="24"/>
      <c r="MA207">
        <v>110000</v>
      </c>
      <c r="MB207">
        <v>116499</v>
      </c>
      <c r="MC207">
        <v>116399</v>
      </c>
      <c r="MD207">
        <v>532978</v>
      </c>
      <c r="ME207">
        <v>63</v>
      </c>
    </row>
    <row r="208" spans="2:343" x14ac:dyDescent="0.25">
      <c r="B208" s="24"/>
      <c r="C208">
        <v>3</v>
      </c>
      <c r="D208">
        <v>3</v>
      </c>
      <c r="E208">
        <v>3</v>
      </c>
      <c r="F208">
        <v>24708628163</v>
      </c>
      <c r="G208">
        <v>3313</v>
      </c>
      <c r="I208" s="24"/>
      <c r="J208">
        <v>4</v>
      </c>
      <c r="K208">
        <v>4</v>
      </c>
      <c r="L208">
        <v>4</v>
      </c>
      <c r="M208">
        <v>4185793596</v>
      </c>
      <c r="N208">
        <v>2388</v>
      </c>
      <c r="P208" s="24"/>
      <c r="Q208">
        <v>26</v>
      </c>
      <c r="R208">
        <v>26</v>
      </c>
      <c r="S208">
        <v>26</v>
      </c>
      <c r="T208">
        <v>1369802138</v>
      </c>
      <c r="U208">
        <v>2105</v>
      </c>
      <c r="W208" s="24"/>
      <c r="X208">
        <v>57</v>
      </c>
      <c r="Y208">
        <v>57</v>
      </c>
      <c r="Z208">
        <v>57</v>
      </c>
      <c r="AA208">
        <v>394319355</v>
      </c>
      <c r="AB208">
        <v>1667</v>
      </c>
      <c r="AD208" s="24"/>
      <c r="AE208">
        <v>386</v>
      </c>
      <c r="AF208">
        <v>395</v>
      </c>
      <c r="AG208">
        <v>395</v>
      </c>
      <c r="AH208">
        <v>65108005</v>
      </c>
      <c r="AI208">
        <v>1653</v>
      </c>
      <c r="AK208" s="24"/>
      <c r="AL208">
        <v>785</v>
      </c>
      <c r="AM208">
        <v>816</v>
      </c>
      <c r="AN208">
        <v>805</v>
      </c>
      <c r="AO208">
        <v>36478365</v>
      </c>
      <c r="AP208">
        <v>1404</v>
      </c>
      <c r="AR208" s="24"/>
      <c r="AS208">
        <v>2446</v>
      </c>
      <c r="AT208">
        <v>2520</v>
      </c>
      <c r="AU208">
        <v>2519</v>
      </c>
      <c r="AV208">
        <v>7928194</v>
      </c>
      <c r="AW208">
        <v>1346</v>
      </c>
      <c r="AY208" s="24"/>
      <c r="AZ208">
        <v>366502646</v>
      </c>
      <c r="BA208">
        <v>374000000</v>
      </c>
      <c r="BB208">
        <v>370299999</v>
      </c>
      <c r="BC208">
        <v>2538</v>
      </c>
      <c r="BD208">
        <v>1688</v>
      </c>
      <c r="BF208" s="24"/>
      <c r="BG208">
        <v>23927</v>
      </c>
      <c r="BH208">
        <v>23928</v>
      </c>
      <c r="BI208">
        <v>23928</v>
      </c>
      <c r="BJ208">
        <v>2093539</v>
      </c>
      <c r="BK208">
        <v>200</v>
      </c>
      <c r="BM208" s="24"/>
      <c r="BN208">
        <v>6000011</v>
      </c>
      <c r="BO208">
        <v>6100000</v>
      </c>
      <c r="BP208">
        <v>6000014</v>
      </c>
      <c r="BQ208">
        <v>7859</v>
      </c>
      <c r="BR208">
        <v>293</v>
      </c>
      <c r="BT208" s="24"/>
      <c r="BU208">
        <v>2373</v>
      </c>
      <c r="BV208">
        <v>2374</v>
      </c>
      <c r="BW208">
        <v>2373</v>
      </c>
      <c r="BX208">
        <v>15670244</v>
      </c>
      <c r="BY208">
        <v>187</v>
      </c>
      <c r="CA208" s="24"/>
      <c r="CB208">
        <v>546</v>
      </c>
      <c r="CC208">
        <v>547</v>
      </c>
      <c r="CD208">
        <v>546</v>
      </c>
      <c r="CE208">
        <v>43119568</v>
      </c>
      <c r="CF208">
        <v>222</v>
      </c>
      <c r="CH208" s="24"/>
      <c r="CI208">
        <v>21014</v>
      </c>
      <c r="CJ208">
        <v>21028</v>
      </c>
      <c r="CK208">
        <v>21020</v>
      </c>
      <c r="CL208">
        <v>632325</v>
      </c>
      <c r="CM208">
        <v>159</v>
      </c>
      <c r="CO208" s="24"/>
      <c r="CP208">
        <v>6129</v>
      </c>
      <c r="CQ208">
        <v>6389</v>
      </c>
      <c r="CR208">
        <v>6388</v>
      </c>
      <c r="CS208">
        <v>841654</v>
      </c>
      <c r="CT208">
        <v>323</v>
      </c>
      <c r="CV208" s="24"/>
      <c r="CW208">
        <v>1310000</v>
      </c>
      <c r="CX208">
        <v>1344999</v>
      </c>
      <c r="CY208">
        <v>1344999</v>
      </c>
      <c r="CZ208">
        <v>7184</v>
      </c>
      <c r="DA208">
        <v>38</v>
      </c>
      <c r="DC208" s="24"/>
      <c r="DD208">
        <v>575</v>
      </c>
      <c r="DE208">
        <v>590</v>
      </c>
      <c r="DF208">
        <v>587</v>
      </c>
      <c r="DG208">
        <v>31447582</v>
      </c>
      <c r="DH208">
        <v>184</v>
      </c>
      <c r="DJ208" s="24"/>
      <c r="DK208">
        <v>33700106</v>
      </c>
      <c r="DL208">
        <v>33700108</v>
      </c>
      <c r="DM208">
        <v>33700106</v>
      </c>
      <c r="DN208">
        <v>270</v>
      </c>
      <c r="DO208">
        <v>77</v>
      </c>
      <c r="DQ208" s="24"/>
      <c r="DR208">
        <v>1681000</v>
      </c>
      <c r="DS208">
        <v>1948988</v>
      </c>
      <c r="DT208">
        <v>1759005</v>
      </c>
      <c r="DU208">
        <v>6729</v>
      </c>
      <c r="DV208">
        <v>251</v>
      </c>
      <c r="DX208" s="24"/>
      <c r="DY208">
        <v>19959005</v>
      </c>
      <c r="DZ208">
        <v>22956999</v>
      </c>
      <c r="EA208">
        <v>19961028</v>
      </c>
      <c r="EB208">
        <v>288</v>
      </c>
      <c r="EC208">
        <v>86</v>
      </c>
      <c r="EE208" s="24"/>
      <c r="EF208">
        <v>147</v>
      </c>
      <c r="EG208">
        <v>152</v>
      </c>
      <c r="EH208">
        <v>152</v>
      </c>
      <c r="EI208">
        <v>119458215</v>
      </c>
      <c r="EJ208">
        <v>122</v>
      </c>
      <c r="EL208" s="24"/>
      <c r="EM208">
        <v>59624</v>
      </c>
      <c r="EN208">
        <v>60020</v>
      </c>
      <c r="EO208">
        <v>60000</v>
      </c>
      <c r="EP208">
        <v>57187</v>
      </c>
      <c r="EQ208">
        <v>712</v>
      </c>
      <c r="ES208" s="24"/>
      <c r="ET208">
        <v>296</v>
      </c>
      <c r="EU208">
        <v>308</v>
      </c>
      <c r="EV208">
        <v>300</v>
      </c>
      <c r="EW208">
        <v>40381691</v>
      </c>
      <c r="EX208">
        <v>575</v>
      </c>
      <c r="EZ208" s="24"/>
      <c r="FA208">
        <v>3150001</v>
      </c>
      <c r="FB208">
        <v>3351001</v>
      </c>
      <c r="FC208">
        <v>3200000</v>
      </c>
      <c r="FD208">
        <v>718</v>
      </c>
      <c r="FE208">
        <v>30</v>
      </c>
      <c r="FG208" s="24"/>
      <c r="FH208">
        <v>5861</v>
      </c>
      <c r="FI208">
        <v>6049</v>
      </c>
      <c r="FJ208">
        <v>5861</v>
      </c>
      <c r="FK208">
        <v>1821511</v>
      </c>
      <c r="FL208">
        <v>357</v>
      </c>
      <c r="FN208" s="24"/>
      <c r="FO208">
        <v>17899</v>
      </c>
      <c r="FP208">
        <v>18000</v>
      </c>
      <c r="FQ208">
        <v>17999</v>
      </c>
      <c r="FR208">
        <v>108346</v>
      </c>
      <c r="FS208">
        <v>56</v>
      </c>
      <c r="FU208" s="24"/>
      <c r="FV208">
        <v>17859</v>
      </c>
      <c r="FW208">
        <v>17900</v>
      </c>
      <c r="FX208">
        <v>17864</v>
      </c>
      <c r="FY208">
        <v>280495</v>
      </c>
      <c r="FZ208">
        <v>1349</v>
      </c>
      <c r="GB208" s="24"/>
      <c r="GC208">
        <v>95459009</v>
      </c>
      <c r="GD208">
        <v>100688973</v>
      </c>
      <c r="GE208">
        <v>95495012</v>
      </c>
      <c r="GF208">
        <v>125</v>
      </c>
      <c r="GG208">
        <v>99</v>
      </c>
      <c r="GI208" s="24"/>
      <c r="GJ208">
        <v>23400036</v>
      </c>
      <c r="GK208">
        <v>25000000</v>
      </c>
      <c r="GL208">
        <v>23400039</v>
      </c>
      <c r="GM208">
        <v>419</v>
      </c>
      <c r="GN208">
        <v>88</v>
      </c>
      <c r="GP208" s="24"/>
      <c r="GQ208">
        <v>79</v>
      </c>
      <c r="GR208">
        <v>82</v>
      </c>
      <c r="GS208">
        <v>80</v>
      </c>
      <c r="GT208">
        <v>113874663</v>
      </c>
      <c r="GU208">
        <v>115</v>
      </c>
      <c r="GW208" s="24"/>
      <c r="GX208">
        <v>530</v>
      </c>
      <c r="GY208">
        <v>586</v>
      </c>
      <c r="GZ208">
        <v>580</v>
      </c>
      <c r="HA208">
        <v>35561065</v>
      </c>
      <c r="HB208">
        <v>215</v>
      </c>
      <c r="HD208" s="24"/>
      <c r="HE208">
        <v>5980</v>
      </c>
      <c r="HF208">
        <v>6036</v>
      </c>
      <c r="HG208">
        <v>6036</v>
      </c>
      <c r="HH208">
        <v>18280732</v>
      </c>
      <c r="HI208">
        <v>301</v>
      </c>
      <c r="HK208" s="24"/>
      <c r="HL208">
        <v>93742323</v>
      </c>
      <c r="HM208">
        <v>100741768</v>
      </c>
      <c r="HN208">
        <v>97175310</v>
      </c>
      <c r="HO208">
        <v>76</v>
      </c>
      <c r="HP208">
        <v>58</v>
      </c>
      <c r="HR208" s="24"/>
      <c r="HS208">
        <v>6922</v>
      </c>
      <c r="HT208">
        <v>7149</v>
      </c>
      <c r="HU208">
        <v>6925</v>
      </c>
      <c r="HV208">
        <v>349715</v>
      </c>
      <c r="HW208">
        <v>105</v>
      </c>
      <c r="HY208" s="24"/>
      <c r="HZ208">
        <v>5107</v>
      </c>
      <c r="IA208">
        <v>5377</v>
      </c>
      <c r="IB208">
        <v>5334</v>
      </c>
      <c r="IC208">
        <v>1687640</v>
      </c>
      <c r="ID208">
        <v>431</v>
      </c>
      <c r="IF208" s="24"/>
      <c r="IG208">
        <v>2665</v>
      </c>
      <c r="IH208">
        <v>2699</v>
      </c>
      <c r="II208">
        <v>2699</v>
      </c>
      <c r="IJ208">
        <v>1881359</v>
      </c>
      <c r="IK208">
        <v>129</v>
      </c>
      <c r="IM208" s="24"/>
      <c r="IN208">
        <v>94075000</v>
      </c>
      <c r="IO208">
        <v>99264903</v>
      </c>
      <c r="IP208">
        <v>97269308</v>
      </c>
      <c r="IQ208">
        <v>81</v>
      </c>
      <c r="IR208">
        <v>63</v>
      </c>
      <c r="IT208" s="24"/>
      <c r="IU208">
        <v>7520</v>
      </c>
      <c r="IV208">
        <v>7837</v>
      </c>
      <c r="IW208">
        <v>7836</v>
      </c>
      <c r="IX208">
        <v>1019906</v>
      </c>
      <c r="IY208">
        <v>103</v>
      </c>
      <c r="JA208" s="24"/>
      <c r="JB208">
        <v>93607000</v>
      </c>
      <c r="JC208">
        <v>98124997</v>
      </c>
      <c r="JD208">
        <v>94525008</v>
      </c>
      <c r="JE208">
        <v>131</v>
      </c>
      <c r="JF208">
        <v>81</v>
      </c>
      <c r="JH208" s="24"/>
      <c r="JI208">
        <v>91218000</v>
      </c>
      <c r="JJ208">
        <v>110107994</v>
      </c>
      <c r="JK208">
        <v>100532798</v>
      </c>
      <c r="JL208">
        <v>48</v>
      </c>
      <c r="JM208">
        <v>34</v>
      </c>
      <c r="JO208" s="24"/>
      <c r="JP208">
        <v>84</v>
      </c>
      <c r="JQ208">
        <v>92</v>
      </c>
      <c r="JR208">
        <v>84</v>
      </c>
      <c r="JS208">
        <v>43724393</v>
      </c>
      <c r="JT208">
        <v>69</v>
      </c>
      <c r="JV208" s="24"/>
      <c r="JW208">
        <v>69</v>
      </c>
      <c r="JX208">
        <v>70</v>
      </c>
      <c r="JY208">
        <v>69</v>
      </c>
      <c r="JZ208">
        <v>93248171</v>
      </c>
      <c r="KA208">
        <v>107</v>
      </c>
      <c r="KC208" s="24"/>
      <c r="KD208">
        <v>20</v>
      </c>
      <c r="KE208">
        <v>22</v>
      </c>
      <c r="KF208">
        <v>21</v>
      </c>
      <c r="KG208">
        <v>50767564</v>
      </c>
      <c r="KH208">
        <v>320</v>
      </c>
      <c r="KJ208" s="24"/>
      <c r="KK208">
        <v>83</v>
      </c>
      <c r="KL208">
        <v>85</v>
      </c>
      <c r="KM208">
        <v>83</v>
      </c>
      <c r="KN208">
        <v>91447999</v>
      </c>
      <c r="KO208">
        <v>94</v>
      </c>
      <c r="KQ208" s="24"/>
      <c r="KR208">
        <v>111500</v>
      </c>
      <c r="KS208">
        <v>115998</v>
      </c>
      <c r="KT208">
        <v>112111</v>
      </c>
      <c r="KU208">
        <v>50856</v>
      </c>
      <c r="KV208">
        <v>669</v>
      </c>
      <c r="KX208" s="24"/>
      <c r="KY208">
        <v>465</v>
      </c>
      <c r="KZ208">
        <v>502</v>
      </c>
      <c r="LA208">
        <v>502</v>
      </c>
      <c r="LB208">
        <v>6151013</v>
      </c>
      <c r="LC208">
        <v>179</v>
      </c>
      <c r="LE208" s="24"/>
      <c r="LF208">
        <v>185102</v>
      </c>
      <c r="LG208">
        <v>186500</v>
      </c>
      <c r="LH208">
        <v>186006</v>
      </c>
      <c r="LI208">
        <v>102092</v>
      </c>
      <c r="LJ208">
        <v>939</v>
      </c>
      <c r="LL208" s="24"/>
      <c r="LM208">
        <v>77850</v>
      </c>
      <c r="LN208">
        <v>78010</v>
      </c>
      <c r="LO208">
        <v>77857</v>
      </c>
      <c r="LP208">
        <v>287245</v>
      </c>
      <c r="LQ208">
        <v>1386</v>
      </c>
      <c r="LS208" s="24"/>
      <c r="LT208">
        <v>535</v>
      </c>
      <c r="LU208">
        <v>537</v>
      </c>
      <c r="LV208">
        <v>537</v>
      </c>
      <c r="LW208">
        <v>105479790</v>
      </c>
      <c r="LX208">
        <v>331</v>
      </c>
      <c r="LZ208" s="24"/>
      <c r="MA208">
        <v>115000</v>
      </c>
      <c r="MB208">
        <v>116499</v>
      </c>
      <c r="MC208">
        <v>116499</v>
      </c>
      <c r="MD208">
        <v>1068747</v>
      </c>
      <c r="ME208">
        <v>92</v>
      </c>
    </row>
    <row r="209" spans="2:343" x14ac:dyDescent="0.25">
      <c r="B209" s="24"/>
      <c r="C209">
        <v>3</v>
      </c>
      <c r="D209">
        <v>3</v>
      </c>
      <c r="E209">
        <v>3</v>
      </c>
      <c r="F209">
        <v>29906386801</v>
      </c>
      <c r="G209">
        <v>3687</v>
      </c>
      <c r="I209" s="24"/>
      <c r="J209">
        <v>4</v>
      </c>
      <c r="K209">
        <v>4</v>
      </c>
      <c r="L209">
        <v>4</v>
      </c>
      <c r="M209">
        <v>6186931959</v>
      </c>
      <c r="N209">
        <v>2739</v>
      </c>
      <c r="P209" s="24"/>
      <c r="Q209">
        <v>26</v>
      </c>
      <c r="R209">
        <v>26</v>
      </c>
      <c r="S209">
        <v>26</v>
      </c>
      <c r="T209">
        <v>1814556747</v>
      </c>
      <c r="U209">
        <v>2374</v>
      </c>
      <c r="W209" s="24"/>
      <c r="X209">
        <v>55</v>
      </c>
      <c r="Y209">
        <v>57</v>
      </c>
      <c r="Z209">
        <v>57</v>
      </c>
      <c r="AA209">
        <v>345047176</v>
      </c>
      <c r="AB209">
        <v>1886</v>
      </c>
      <c r="AD209" s="24"/>
      <c r="AE209">
        <v>389</v>
      </c>
      <c r="AF209">
        <v>402</v>
      </c>
      <c r="AG209">
        <v>396</v>
      </c>
      <c r="AH209">
        <v>87539004</v>
      </c>
      <c r="AI209">
        <v>1940</v>
      </c>
      <c r="AK209" s="24"/>
      <c r="AL209">
        <v>780</v>
      </c>
      <c r="AM209">
        <v>808</v>
      </c>
      <c r="AN209">
        <v>780</v>
      </c>
      <c r="AO209">
        <v>51006062</v>
      </c>
      <c r="AP209">
        <v>1647</v>
      </c>
      <c r="AR209" s="24"/>
      <c r="AS209">
        <v>2496</v>
      </c>
      <c r="AT209">
        <v>2554</v>
      </c>
      <c r="AU209">
        <v>2520</v>
      </c>
      <c r="AV209">
        <v>11116730</v>
      </c>
      <c r="AW209">
        <v>1557</v>
      </c>
      <c r="AY209" s="24"/>
      <c r="AZ209">
        <v>365000600</v>
      </c>
      <c r="BA209">
        <v>372002001</v>
      </c>
      <c r="BB209">
        <v>370897499</v>
      </c>
      <c r="BC209">
        <v>2754</v>
      </c>
      <c r="BD209">
        <v>1846</v>
      </c>
      <c r="BF209" s="24"/>
      <c r="BG209">
        <v>23302</v>
      </c>
      <c r="BH209">
        <v>23928</v>
      </c>
      <c r="BI209">
        <v>23304</v>
      </c>
      <c r="BJ209">
        <v>2464427</v>
      </c>
      <c r="BK209">
        <v>230</v>
      </c>
      <c r="BM209" s="24"/>
      <c r="BN209">
        <v>6000011</v>
      </c>
      <c r="BO209">
        <v>6000015</v>
      </c>
      <c r="BP209">
        <v>6000015</v>
      </c>
      <c r="BQ209">
        <v>13250</v>
      </c>
      <c r="BR209">
        <v>307</v>
      </c>
      <c r="BT209" s="24"/>
      <c r="BU209">
        <v>2321</v>
      </c>
      <c r="BV209">
        <v>2373</v>
      </c>
      <c r="BW209">
        <v>2371</v>
      </c>
      <c r="BX209">
        <v>32467323</v>
      </c>
      <c r="BY209">
        <v>280</v>
      </c>
      <c r="CA209" s="24"/>
      <c r="CB209">
        <v>545</v>
      </c>
      <c r="CC209">
        <v>546</v>
      </c>
      <c r="CD209">
        <v>545</v>
      </c>
      <c r="CE209">
        <v>56787084</v>
      </c>
      <c r="CF209">
        <v>247</v>
      </c>
      <c r="CH209" s="24"/>
      <c r="CI209">
        <v>21031</v>
      </c>
      <c r="CJ209">
        <v>21039</v>
      </c>
      <c r="CK209">
        <v>21036</v>
      </c>
      <c r="CL209">
        <v>801879</v>
      </c>
      <c r="CM209">
        <v>186</v>
      </c>
      <c r="CO209" s="24"/>
      <c r="CP209">
        <v>6100</v>
      </c>
      <c r="CQ209">
        <v>6389</v>
      </c>
      <c r="CR209">
        <v>6387</v>
      </c>
      <c r="CS209">
        <v>1343264</v>
      </c>
      <c r="CT209">
        <v>334</v>
      </c>
      <c r="CV209" s="24"/>
      <c r="CW209">
        <v>1300000</v>
      </c>
      <c r="CX209">
        <v>1335000</v>
      </c>
      <c r="CY209">
        <v>1300003</v>
      </c>
      <c r="CZ209">
        <v>11328</v>
      </c>
      <c r="DA209">
        <v>32</v>
      </c>
      <c r="DC209" s="24"/>
      <c r="DD209">
        <v>562</v>
      </c>
      <c r="DE209">
        <v>585</v>
      </c>
      <c r="DF209">
        <v>584</v>
      </c>
      <c r="DG209">
        <v>30838885</v>
      </c>
      <c r="DH209">
        <v>197</v>
      </c>
      <c r="DJ209" s="24"/>
      <c r="DK209">
        <v>33150000</v>
      </c>
      <c r="DL209">
        <v>33655041</v>
      </c>
      <c r="DM209">
        <v>33655041</v>
      </c>
      <c r="DN209">
        <v>270</v>
      </c>
      <c r="DO209">
        <v>65</v>
      </c>
      <c r="DQ209" s="24"/>
      <c r="DR209">
        <v>1700002</v>
      </c>
      <c r="DS209">
        <v>1799999</v>
      </c>
      <c r="DT209">
        <v>1706003</v>
      </c>
      <c r="DU209">
        <v>6676</v>
      </c>
      <c r="DV209">
        <v>261</v>
      </c>
      <c r="DX209" s="24"/>
      <c r="DY209">
        <v>20000121</v>
      </c>
      <c r="DZ209">
        <v>20490121</v>
      </c>
      <c r="EA209">
        <v>20000122</v>
      </c>
      <c r="EB209">
        <v>355</v>
      </c>
      <c r="EC209">
        <v>97</v>
      </c>
      <c r="EE209" s="24"/>
      <c r="EF209">
        <v>152</v>
      </c>
      <c r="EG209">
        <v>159</v>
      </c>
      <c r="EH209">
        <v>155</v>
      </c>
      <c r="EI209">
        <v>92037279</v>
      </c>
      <c r="EJ209">
        <v>190</v>
      </c>
      <c r="EL209" s="24"/>
      <c r="EM209">
        <v>60011</v>
      </c>
      <c r="EN209">
        <v>60900</v>
      </c>
      <c r="EO209">
        <v>60013</v>
      </c>
      <c r="EP209">
        <v>86212</v>
      </c>
      <c r="EQ209">
        <v>830</v>
      </c>
      <c r="ES209" s="24"/>
      <c r="ET209">
        <v>290</v>
      </c>
      <c r="EU209">
        <v>305</v>
      </c>
      <c r="EV209">
        <v>299</v>
      </c>
      <c r="EW209">
        <v>52244934</v>
      </c>
      <c r="EX209">
        <v>684</v>
      </c>
      <c r="EZ209" s="24"/>
      <c r="FA209">
        <v>3350001</v>
      </c>
      <c r="FB209">
        <v>3440900</v>
      </c>
      <c r="FC209">
        <v>3350001</v>
      </c>
      <c r="FD209">
        <v>1910</v>
      </c>
      <c r="FE209">
        <v>37</v>
      </c>
      <c r="FG209" s="24"/>
      <c r="FH209">
        <v>5861</v>
      </c>
      <c r="FI209">
        <v>6049</v>
      </c>
      <c r="FJ209">
        <v>5996</v>
      </c>
      <c r="FK209">
        <v>1522051</v>
      </c>
      <c r="FL209">
        <v>431</v>
      </c>
      <c r="FN209" s="24"/>
      <c r="FO209">
        <v>17500</v>
      </c>
      <c r="FP209">
        <v>17999</v>
      </c>
      <c r="FQ209">
        <v>17998</v>
      </c>
      <c r="FR209">
        <v>247441</v>
      </c>
      <c r="FS209">
        <v>84</v>
      </c>
      <c r="FU209" s="24"/>
      <c r="FV209">
        <v>17869</v>
      </c>
      <c r="FW209">
        <v>17900</v>
      </c>
      <c r="FX209">
        <v>17873</v>
      </c>
      <c r="FY209">
        <v>355824</v>
      </c>
      <c r="FZ209">
        <v>1535</v>
      </c>
      <c r="GB209" s="24"/>
      <c r="GC209">
        <v>94000001</v>
      </c>
      <c r="GD209">
        <v>99699998</v>
      </c>
      <c r="GE209">
        <v>94000002</v>
      </c>
      <c r="GF209">
        <v>112</v>
      </c>
      <c r="GG209">
        <v>70</v>
      </c>
      <c r="GI209" s="24"/>
      <c r="GJ209">
        <v>22700000</v>
      </c>
      <c r="GK209">
        <v>23090055</v>
      </c>
      <c r="GL209">
        <v>22990010</v>
      </c>
      <c r="GM209">
        <v>228</v>
      </c>
      <c r="GN209">
        <v>66</v>
      </c>
      <c r="GP209" s="24"/>
      <c r="GQ209">
        <v>78</v>
      </c>
      <c r="GR209">
        <v>82</v>
      </c>
      <c r="GS209">
        <v>82</v>
      </c>
      <c r="GT209">
        <v>159546126</v>
      </c>
      <c r="GU209">
        <v>147</v>
      </c>
      <c r="GW209" s="24"/>
      <c r="GX209">
        <v>533</v>
      </c>
      <c r="GY209">
        <v>578</v>
      </c>
      <c r="GZ209">
        <v>569</v>
      </c>
      <c r="HA209">
        <v>37473160</v>
      </c>
      <c r="HB209">
        <v>209</v>
      </c>
      <c r="HD209" s="24"/>
      <c r="HE209">
        <v>5889</v>
      </c>
      <c r="HF209">
        <v>6097</v>
      </c>
      <c r="HG209">
        <v>6092</v>
      </c>
      <c r="HH209">
        <v>19307605</v>
      </c>
      <c r="HI209">
        <v>319</v>
      </c>
      <c r="HK209" s="24"/>
      <c r="HL209">
        <v>94499999</v>
      </c>
      <c r="HM209">
        <v>100841999</v>
      </c>
      <c r="HN209">
        <v>97001001</v>
      </c>
      <c r="HO209">
        <v>109</v>
      </c>
      <c r="HP209">
        <v>65</v>
      </c>
      <c r="HR209" s="24"/>
      <c r="HS209">
        <v>6360</v>
      </c>
      <c r="HT209">
        <v>6997</v>
      </c>
      <c r="HU209">
        <v>6700</v>
      </c>
      <c r="HV209">
        <v>769983</v>
      </c>
      <c r="HW209">
        <v>157</v>
      </c>
      <c r="HY209" s="24"/>
      <c r="HZ209">
        <v>5150</v>
      </c>
      <c r="IA209">
        <v>5308</v>
      </c>
      <c r="IB209">
        <v>5306</v>
      </c>
      <c r="IC209">
        <v>2317039</v>
      </c>
      <c r="ID209">
        <v>499</v>
      </c>
      <c r="IF209" s="24"/>
      <c r="IG209">
        <v>2695</v>
      </c>
      <c r="IH209">
        <v>2700</v>
      </c>
      <c r="II209">
        <v>2695</v>
      </c>
      <c r="IJ209">
        <v>3056464</v>
      </c>
      <c r="IK209">
        <v>156</v>
      </c>
      <c r="IM209" s="24"/>
      <c r="IN209">
        <v>93613053</v>
      </c>
      <c r="IO209">
        <v>94075000</v>
      </c>
      <c r="IP209">
        <v>94075000</v>
      </c>
      <c r="IQ209">
        <v>146</v>
      </c>
      <c r="IR209">
        <v>71</v>
      </c>
      <c r="IT209" s="24"/>
      <c r="IU209">
        <v>7774</v>
      </c>
      <c r="IV209">
        <v>7835</v>
      </c>
      <c r="IW209">
        <v>7800</v>
      </c>
      <c r="IX209">
        <v>1271426</v>
      </c>
      <c r="IY209">
        <v>133</v>
      </c>
      <c r="JA209" s="24"/>
      <c r="JB209">
        <v>93000000</v>
      </c>
      <c r="JC209">
        <v>98121999</v>
      </c>
      <c r="JD209">
        <v>95000002</v>
      </c>
      <c r="JE209">
        <v>105</v>
      </c>
      <c r="JF209">
        <v>70</v>
      </c>
      <c r="JH209" s="24"/>
      <c r="JI209">
        <v>101999997</v>
      </c>
      <c r="JJ209">
        <v>109499996</v>
      </c>
      <c r="JK209">
        <v>103007627</v>
      </c>
      <c r="JL209">
        <v>35</v>
      </c>
      <c r="JM209">
        <v>27</v>
      </c>
      <c r="JO209" s="24"/>
      <c r="JP209">
        <v>86</v>
      </c>
      <c r="JQ209">
        <v>91</v>
      </c>
      <c r="JR209">
        <v>90</v>
      </c>
      <c r="JS209">
        <v>102344786</v>
      </c>
      <c r="JT209">
        <v>91</v>
      </c>
      <c r="JV209" s="24"/>
      <c r="JW209">
        <v>68</v>
      </c>
      <c r="JX209">
        <v>71</v>
      </c>
      <c r="JY209">
        <v>69</v>
      </c>
      <c r="JZ209">
        <v>130192766</v>
      </c>
      <c r="KA209">
        <v>109</v>
      </c>
      <c r="KC209" s="24"/>
      <c r="KD209">
        <v>20</v>
      </c>
      <c r="KE209">
        <v>22</v>
      </c>
      <c r="KF209">
        <v>21</v>
      </c>
      <c r="KG209">
        <v>45161028</v>
      </c>
      <c r="KH209">
        <v>345</v>
      </c>
      <c r="KJ209" s="24"/>
      <c r="KK209">
        <v>83</v>
      </c>
      <c r="KL209">
        <v>87</v>
      </c>
      <c r="KM209">
        <v>85</v>
      </c>
      <c r="KN209">
        <v>165005617</v>
      </c>
      <c r="KO209">
        <v>141</v>
      </c>
      <c r="KQ209" s="24"/>
      <c r="KR209">
        <v>113252</v>
      </c>
      <c r="KS209">
        <v>113500</v>
      </c>
      <c r="KT209">
        <v>113257</v>
      </c>
      <c r="KU209">
        <v>41425</v>
      </c>
      <c r="KV209">
        <v>717</v>
      </c>
      <c r="KX209" s="24"/>
      <c r="KY209">
        <v>477</v>
      </c>
      <c r="KZ209">
        <v>501</v>
      </c>
      <c r="LA209">
        <v>499</v>
      </c>
      <c r="LB209">
        <v>6172840</v>
      </c>
      <c r="LC209">
        <v>169</v>
      </c>
      <c r="LE209" s="24"/>
      <c r="LF209">
        <v>186200</v>
      </c>
      <c r="LG209">
        <v>186500</v>
      </c>
      <c r="LH209">
        <v>186205</v>
      </c>
      <c r="LI209">
        <v>114440</v>
      </c>
      <c r="LJ209">
        <v>1076</v>
      </c>
      <c r="LL209" s="24"/>
      <c r="LM209">
        <v>77868</v>
      </c>
      <c r="LN209">
        <v>78601</v>
      </c>
      <c r="LO209">
        <v>78000</v>
      </c>
      <c r="LP209">
        <v>365564</v>
      </c>
      <c r="LQ209">
        <v>1567</v>
      </c>
      <c r="LS209" s="24"/>
      <c r="LT209">
        <v>411</v>
      </c>
      <c r="LU209">
        <v>541</v>
      </c>
      <c r="LV209">
        <v>510</v>
      </c>
      <c r="LW209">
        <v>353905180</v>
      </c>
      <c r="LX209">
        <v>436</v>
      </c>
      <c r="LZ209" s="24"/>
      <c r="MA209">
        <v>117800</v>
      </c>
      <c r="MB209">
        <v>118999</v>
      </c>
      <c r="MC209">
        <v>118997</v>
      </c>
      <c r="MD209">
        <v>854478</v>
      </c>
      <c r="ME209">
        <v>60</v>
      </c>
    </row>
    <row r="210" spans="2:343" x14ac:dyDescent="0.25">
      <c r="B210" s="24"/>
      <c r="C210">
        <v>3</v>
      </c>
      <c r="D210">
        <v>3</v>
      </c>
      <c r="E210">
        <v>3</v>
      </c>
      <c r="F210">
        <v>42350587195</v>
      </c>
      <c r="G210">
        <v>3462</v>
      </c>
      <c r="I210" s="24"/>
      <c r="J210">
        <v>4</v>
      </c>
      <c r="K210">
        <v>4</v>
      </c>
      <c r="L210">
        <v>4</v>
      </c>
      <c r="M210">
        <v>7588837531</v>
      </c>
      <c r="N210">
        <v>2494</v>
      </c>
      <c r="P210" s="24"/>
      <c r="Q210">
        <v>26</v>
      </c>
      <c r="R210">
        <v>27</v>
      </c>
      <c r="S210">
        <v>26</v>
      </c>
      <c r="T210">
        <v>2048417650</v>
      </c>
      <c r="U210">
        <v>2258</v>
      </c>
      <c r="W210" s="24"/>
      <c r="X210">
        <v>57</v>
      </c>
      <c r="Y210">
        <v>58</v>
      </c>
      <c r="Z210">
        <v>57</v>
      </c>
      <c r="AA210">
        <v>488386455</v>
      </c>
      <c r="AB210">
        <v>1776</v>
      </c>
      <c r="AD210" s="24"/>
      <c r="AE210">
        <v>391</v>
      </c>
      <c r="AF210">
        <v>396</v>
      </c>
      <c r="AG210">
        <v>394</v>
      </c>
      <c r="AH210">
        <v>109248748</v>
      </c>
      <c r="AI210">
        <v>1830</v>
      </c>
      <c r="AK210" s="24"/>
      <c r="AL210">
        <v>759</v>
      </c>
      <c r="AM210">
        <v>802</v>
      </c>
      <c r="AN210">
        <v>798</v>
      </c>
      <c r="AO210">
        <v>34631371</v>
      </c>
      <c r="AP210">
        <v>1578</v>
      </c>
      <c r="AR210" s="24"/>
      <c r="AS210">
        <v>2505</v>
      </c>
      <c r="AT210">
        <v>2610</v>
      </c>
      <c r="AU210">
        <v>2555</v>
      </c>
      <c r="AV210">
        <v>19839575</v>
      </c>
      <c r="AW210">
        <v>1434</v>
      </c>
      <c r="AY210" s="24"/>
      <c r="AZ210">
        <v>369600506</v>
      </c>
      <c r="BA210">
        <v>377500000</v>
      </c>
      <c r="BB210">
        <v>374900000</v>
      </c>
      <c r="BC210">
        <v>2307</v>
      </c>
      <c r="BD210">
        <v>1615</v>
      </c>
      <c r="BF210" s="24"/>
      <c r="BG210">
        <v>23500</v>
      </c>
      <c r="BH210">
        <v>23510</v>
      </c>
      <c r="BI210">
        <v>23509</v>
      </c>
      <c r="BJ210">
        <v>1885328</v>
      </c>
      <c r="BK210">
        <v>218</v>
      </c>
      <c r="BM210" s="24"/>
      <c r="BN210">
        <v>6000000</v>
      </c>
      <c r="BO210">
        <v>6144698</v>
      </c>
      <c r="BP210">
        <v>6000002</v>
      </c>
      <c r="BQ210">
        <v>10534</v>
      </c>
      <c r="BR210">
        <v>295</v>
      </c>
      <c r="BT210" s="24"/>
      <c r="BU210">
        <v>2290</v>
      </c>
      <c r="BV210">
        <v>2398</v>
      </c>
      <c r="BW210">
        <v>2397</v>
      </c>
      <c r="BX210">
        <v>14870457</v>
      </c>
      <c r="BY210">
        <v>196</v>
      </c>
      <c r="CA210" s="24"/>
      <c r="CB210">
        <v>545</v>
      </c>
      <c r="CC210">
        <v>545</v>
      </c>
      <c r="CD210">
        <v>545</v>
      </c>
      <c r="CE210">
        <v>58830695</v>
      </c>
      <c r="CF210">
        <v>266</v>
      </c>
      <c r="CH210" s="24"/>
      <c r="CI210">
        <v>21148</v>
      </c>
      <c r="CJ210">
        <v>21154</v>
      </c>
      <c r="CK210">
        <v>21152</v>
      </c>
      <c r="CL210">
        <v>1125244</v>
      </c>
      <c r="CM210">
        <v>200</v>
      </c>
      <c r="CO210" s="24"/>
      <c r="CP210">
        <v>6092</v>
      </c>
      <c r="CQ210">
        <v>6380</v>
      </c>
      <c r="CR210">
        <v>6200</v>
      </c>
      <c r="CS210">
        <v>1160355</v>
      </c>
      <c r="CT210">
        <v>324</v>
      </c>
      <c r="CV210" s="24"/>
      <c r="CW210">
        <v>1300000</v>
      </c>
      <c r="CX210">
        <v>1334999</v>
      </c>
      <c r="CY210">
        <v>1333399</v>
      </c>
      <c r="CZ210">
        <v>4535</v>
      </c>
      <c r="DA210">
        <v>31</v>
      </c>
      <c r="DC210" s="24"/>
      <c r="DD210">
        <v>584</v>
      </c>
      <c r="DE210">
        <v>587</v>
      </c>
      <c r="DF210">
        <v>585</v>
      </c>
      <c r="DG210">
        <v>37011788</v>
      </c>
      <c r="DH210">
        <v>204</v>
      </c>
      <c r="DJ210" s="24"/>
      <c r="DK210">
        <v>32600003</v>
      </c>
      <c r="DL210">
        <v>32600081</v>
      </c>
      <c r="DM210">
        <v>32600004</v>
      </c>
      <c r="DN210">
        <v>433</v>
      </c>
      <c r="DO210">
        <v>88</v>
      </c>
      <c r="DQ210" s="24"/>
      <c r="DR210">
        <v>1690001</v>
      </c>
      <c r="DS210">
        <v>1750000</v>
      </c>
      <c r="DT210">
        <v>1700000</v>
      </c>
      <c r="DU210">
        <v>5319</v>
      </c>
      <c r="DV210">
        <v>261</v>
      </c>
      <c r="DX210" s="24"/>
      <c r="DY210">
        <v>20000127</v>
      </c>
      <c r="DZ210">
        <v>20000140</v>
      </c>
      <c r="EA210">
        <v>20000134</v>
      </c>
      <c r="EB210">
        <v>430</v>
      </c>
      <c r="EC210">
        <v>104</v>
      </c>
      <c r="EE210" s="24"/>
      <c r="EF210">
        <v>149</v>
      </c>
      <c r="EG210">
        <v>158</v>
      </c>
      <c r="EH210">
        <v>157</v>
      </c>
      <c r="EI210">
        <v>70708004</v>
      </c>
      <c r="EJ210">
        <v>154</v>
      </c>
      <c r="EL210" s="24"/>
      <c r="EM210">
        <v>60115</v>
      </c>
      <c r="EN210">
        <v>60209</v>
      </c>
      <c r="EO210">
        <v>60201</v>
      </c>
      <c r="EP210">
        <v>57564</v>
      </c>
      <c r="EQ210">
        <v>755</v>
      </c>
      <c r="ES210" s="24"/>
      <c r="ET210">
        <v>230</v>
      </c>
      <c r="EU210">
        <v>299</v>
      </c>
      <c r="EV210">
        <v>286</v>
      </c>
      <c r="EW210">
        <v>65163722</v>
      </c>
      <c r="EX210">
        <v>610</v>
      </c>
      <c r="EZ210" s="24"/>
      <c r="FA210">
        <v>3151710</v>
      </c>
      <c r="FB210">
        <v>3200000</v>
      </c>
      <c r="FC210">
        <v>3151711</v>
      </c>
      <c r="FD210">
        <v>1125</v>
      </c>
      <c r="FE210">
        <v>34</v>
      </c>
      <c r="FG210" s="24"/>
      <c r="FH210">
        <v>5616</v>
      </c>
      <c r="FI210">
        <v>5898</v>
      </c>
      <c r="FJ210">
        <v>5887</v>
      </c>
      <c r="FK210">
        <v>1010024</v>
      </c>
      <c r="FL210">
        <v>376</v>
      </c>
      <c r="FN210" s="24"/>
      <c r="FO210">
        <v>17995</v>
      </c>
      <c r="FP210">
        <v>17995</v>
      </c>
      <c r="FQ210">
        <v>17995</v>
      </c>
      <c r="FR210">
        <v>94205</v>
      </c>
      <c r="FS210">
        <v>74</v>
      </c>
      <c r="FU210" s="24"/>
      <c r="FV210">
        <v>17887</v>
      </c>
      <c r="FW210">
        <v>17931</v>
      </c>
      <c r="FX210">
        <v>17914</v>
      </c>
      <c r="FY210">
        <v>332222</v>
      </c>
      <c r="FZ210">
        <v>1499</v>
      </c>
      <c r="GB210" s="24"/>
      <c r="GC210">
        <v>90169000</v>
      </c>
      <c r="GD210">
        <v>99486988</v>
      </c>
      <c r="GE210">
        <v>93500000</v>
      </c>
      <c r="GF210">
        <v>118</v>
      </c>
      <c r="GG210">
        <v>66</v>
      </c>
      <c r="GI210" s="24"/>
      <c r="GJ210">
        <v>22660002</v>
      </c>
      <c r="GK210">
        <v>24376270</v>
      </c>
      <c r="GL210">
        <v>23153555</v>
      </c>
      <c r="GM210">
        <v>584</v>
      </c>
      <c r="GN210">
        <v>111</v>
      </c>
      <c r="GP210" s="24"/>
      <c r="GQ210">
        <v>82</v>
      </c>
      <c r="GR210">
        <v>83</v>
      </c>
      <c r="GS210">
        <v>82</v>
      </c>
      <c r="GT210">
        <v>133410332</v>
      </c>
      <c r="GU210">
        <v>123</v>
      </c>
      <c r="GW210" s="24"/>
      <c r="GX210">
        <v>533</v>
      </c>
      <c r="GY210">
        <v>552</v>
      </c>
      <c r="GZ210">
        <v>548</v>
      </c>
      <c r="HA210">
        <v>51124071</v>
      </c>
      <c r="HB210">
        <v>259</v>
      </c>
      <c r="HD210" s="24"/>
      <c r="HE210">
        <v>5901</v>
      </c>
      <c r="HF210">
        <v>6097</v>
      </c>
      <c r="HG210">
        <v>6089</v>
      </c>
      <c r="HH210">
        <v>13245888</v>
      </c>
      <c r="HI210">
        <v>243</v>
      </c>
      <c r="HK210" s="24"/>
      <c r="HL210">
        <v>93744000</v>
      </c>
      <c r="HM210">
        <v>98999998</v>
      </c>
      <c r="HN210">
        <v>93999999</v>
      </c>
      <c r="HO210">
        <v>107</v>
      </c>
      <c r="HP210">
        <v>73</v>
      </c>
      <c r="HR210" s="24"/>
      <c r="HS210">
        <v>6520</v>
      </c>
      <c r="HT210">
        <v>6797</v>
      </c>
      <c r="HU210">
        <v>6610</v>
      </c>
      <c r="HV210">
        <v>591306</v>
      </c>
      <c r="HW210">
        <v>117</v>
      </c>
      <c r="HY210" s="24"/>
      <c r="HZ210">
        <v>4999</v>
      </c>
      <c r="IA210">
        <v>5300</v>
      </c>
      <c r="IB210">
        <v>5000</v>
      </c>
      <c r="IC210">
        <v>1427326</v>
      </c>
      <c r="ID210">
        <v>471</v>
      </c>
      <c r="IF210" s="24"/>
      <c r="IG210">
        <v>2749</v>
      </c>
      <c r="IH210">
        <v>2749</v>
      </c>
      <c r="II210">
        <v>2749</v>
      </c>
      <c r="IJ210">
        <v>832411</v>
      </c>
      <c r="IK210">
        <v>131</v>
      </c>
      <c r="IM210" s="24"/>
      <c r="IN210">
        <v>91000006</v>
      </c>
      <c r="IO210">
        <v>96998995</v>
      </c>
      <c r="IP210">
        <v>93000011</v>
      </c>
      <c r="IQ210">
        <v>116</v>
      </c>
      <c r="IR210">
        <v>70</v>
      </c>
      <c r="IT210" s="24"/>
      <c r="IU210">
        <v>7565</v>
      </c>
      <c r="IV210">
        <v>7649</v>
      </c>
      <c r="IW210">
        <v>7600</v>
      </c>
      <c r="IX210">
        <v>988286</v>
      </c>
      <c r="IY210">
        <v>131</v>
      </c>
      <c r="JA210" s="24"/>
      <c r="JB210">
        <v>91309500</v>
      </c>
      <c r="JC210">
        <v>97999298</v>
      </c>
      <c r="JD210">
        <v>94588906</v>
      </c>
      <c r="JE210">
        <v>73</v>
      </c>
      <c r="JF210">
        <v>62</v>
      </c>
      <c r="JH210" s="24"/>
      <c r="JI210">
        <v>96701000</v>
      </c>
      <c r="JJ210">
        <v>101999990</v>
      </c>
      <c r="JK210">
        <v>99295464</v>
      </c>
      <c r="JL210">
        <v>32</v>
      </c>
      <c r="JM210">
        <v>29</v>
      </c>
      <c r="JO210" s="24"/>
      <c r="JP210">
        <v>84</v>
      </c>
      <c r="JQ210">
        <v>89</v>
      </c>
      <c r="JR210">
        <v>85</v>
      </c>
      <c r="JS210">
        <v>186518112</v>
      </c>
      <c r="JT210">
        <v>108</v>
      </c>
      <c r="JV210" s="24"/>
      <c r="JW210">
        <v>71</v>
      </c>
      <c r="JX210">
        <v>73</v>
      </c>
      <c r="JY210">
        <v>73</v>
      </c>
      <c r="JZ210">
        <v>127468859</v>
      </c>
      <c r="KA210">
        <v>93</v>
      </c>
      <c r="KC210" s="24"/>
      <c r="KD210">
        <v>20</v>
      </c>
      <c r="KE210">
        <v>22</v>
      </c>
      <c r="KF210">
        <v>20</v>
      </c>
      <c r="KG210">
        <v>72250734</v>
      </c>
      <c r="KH210">
        <v>317</v>
      </c>
      <c r="KJ210" s="24"/>
      <c r="KK210">
        <v>84</v>
      </c>
      <c r="KL210">
        <v>87</v>
      </c>
      <c r="KM210">
        <v>84</v>
      </c>
      <c r="KN210">
        <v>81001519</v>
      </c>
      <c r="KO210">
        <v>108</v>
      </c>
      <c r="KQ210" s="24"/>
      <c r="KR210">
        <v>114102</v>
      </c>
      <c r="KS210">
        <v>119999</v>
      </c>
      <c r="KT210">
        <v>114111</v>
      </c>
      <c r="KU210">
        <v>60082</v>
      </c>
      <c r="KV210">
        <v>747</v>
      </c>
      <c r="KX210" s="24"/>
      <c r="KY210">
        <v>490</v>
      </c>
      <c r="KZ210">
        <v>501</v>
      </c>
      <c r="LA210">
        <v>501</v>
      </c>
      <c r="LB210">
        <v>4788560</v>
      </c>
      <c r="LC210">
        <v>169</v>
      </c>
      <c r="LE210" s="24"/>
      <c r="LF210">
        <v>186618</v>
      </c>
      <c r="LG210">
        <v>190000</v>
      </c>
      <c r="LH210">
        <v>187510</v>
      </c>
      <c r="LI210">
        <v>134173</v>
      </c>
      <c r="LJ210">
        <v>1120</v>
      </c>
      <c r="LL210" s="24"/>
      <c r="LM210">
        <v>77906</v>
      </c>
      <c r="LN210">
        <v>77942</v>
      </c>
      <c r="LO210">
        <v>77916</v>
      </c>
      <c r="LP210">
        <v>359880</v>
      </c>
      <c r="LQ210">
        <v>1521</v>
      </c>
      <c r="LS210" s="24"/>
      <c r="LT210">
        <v>460</v>
      </c>
      <c r="LU210">
        <v>509</v>
      </c>
      <c r="LV210">
        <v>471</v>
      </c>
      <c r="LW210">
        <v>179586900</v>
      </c>
      <c r="LX210">
        <v>440</v>
      </c>
      <c r="LZ210" s="24"/>
      <c r="MA210">
        <v>113659</v>
      </c>
      <c r="MB210">
        <v>116999</v>
      </c>
      <c r="MC210">
        <v>113688</v>
      </c>
      <c r="MD210">
        <v>759267</v>
      </c>
      <c r="ME210">
        <v>86</v>
      </c>
    </row>
    <row r="211" spans="2:343" x14ac:dyDescent="0.25">
      <c r="B211" s="24"/>
      <c r="C211">
        <v>3</v>
      </c>
      <c r="D211">
        <v>3</v>
      </c>
      <c r="E211">
        <v>3</v>
      </c>
      <c r="F211">
        <v>27436710791</v>
      </c>
      <c r="G211">
        <v>2656</v>
      </c>
      <c r="I211" s="24"/>
      <c r="J211">
        <v>4</v>
      </c>
      <c r="K211">
        <v>4</v>
      </c>
      <c r="L211">
        <v>4</v>
      </c>
      <c r="M211">
        <v>6289369910</v>
      </c>
      <c r="N211">
        <v>1945</v>
      </c>
      <c r="P211" s="24"/>
      <c r="Q211">
        <v>26</v>
      </c>
      <c r="R211">
        <v>26</v>
      </c>
      <c r="S211">
        <v>26</v>
      </c>
      <c r="T211">
        <v>1368867701</v>
      </c>
      <c r="U211">
        <v>1712</v>
      </c>
      <c r="W211" s="24"/>
      <c r="X211">
        <v>57</v>
      </c>
      <c r="Y211">
        <v>58</v>
      </c>
      <c r="Z211">
        <v>58</v>
      </c>
      <c r="AA211">
        <v>274738799</v>
      </c>
      <c r="AB211">
        <v>1352</v>
      </c>
      <c r="AD211" s="24"/>
      <c r="AE211">
        <v>396</v>
      </c>
      <c r="AF211">
        <v>402</v>
      </c>
      <c r="AG211">
        <v>402</v>
      </c>
      <c r="AH211">
        <v>73049241</v>
      </c>
      <c r="AI211">
        <v>1396</v>
      </c>
      <c r="AK211" s="24"/>
      <c r="AL211">
        <v>768</v>
      </c>
      <c r="AM211">
        <v>798</v>
      </c>
      <c r="AN211">
        <v>798</v>
      </c>
      <c r="AO211">
        <v>25567260</v>
      </c>
      <c r="AP211">
        <v>1160</v>
      </c>
      <c r="AR211" s="24"/>
      <c r="AS211">
        <v>2506</v>
      </c>
      <c r="AT211">
        <v>2715</v>
      </c>
      <c r="AU211">
        <v>2698</v>
      </c>
      <c r="AV211">
        <v>9928932</v>
      </c>
      <c r="AW211">
        <v>1191</v>
      </c>
      <c r="AY211" s="24"/>
      <c r="AZ211">
        <v>369001002</v>
      </c>
      <c r="BA211">
        <v>377060000</v>
      </c>
      <c r="BB211">
        <v>374000000</v>
      </c>
      <c r="BC211">
        <v>1873</v>
      </c>
      <c r="BD211">
        <v>1407</v>
      </c>
      <c r="BF211" s="24"/>
      <c r="BG211">
        <v>23520</v>
      </c>
      <c r="BH211">
        <v>23529</v>
      </c>
      <c r="BI211">
        <v>23522</v>
      </c>
      <c r="BJ211">
        <v>4748018</v>
      </c>
      <c r="BK211">
        <v>238</v>
      </c>
      <c r="BM211" s="24"/>
      <c r="BN211">
        <v>5876817</v>
      </c>
      <c r="BO211">
        <v>6000000</v>
      </c>
      <c r="BP211">
        <v>5900001</v>
      </c>
      <c r="BQ211">
        <v>8108</v>
      </c>
      <c r="BR211">
        <v>252</v>
      </c>
      <c r="BT211" s="24"/>
      <c r="BU211">
        <v>2390</v>
      </c>
      <c r="BV211">
        <v>2390</v>
      </c>
      <c r="BW211">
        <v>2390</v>
      </c>
      <c r="BX211">
        <v>14490599</v>
      </c>
      <c r="BY211">
        <v>193</v>
      </c>
      <c r="CA211" s="24"/>
      <c r="CB211">
        <v>545</v>
      </c>
      <c r="CC211">
        <v>545</v>
      </c>
      <c r="CD211">
        <v>545</v>
      </c>
      <c r="CE211">
        <v>44099011</v>
      </c>
      <c r="CF211">
        <v>188</v>
      </c>
      <c r="CH211" s="24"/>
      <c r="CI211">
        <v>21157</v>
      </c>
      <c r="CJ211">
        <v>21179</v>
      </c>
      <c r="CK211">
        <v>21171</v>
      </c>
      <c r="CL211">
        <v>985214</v>
      </c>
      <c r="CM211">
        <v>127</v>
      </c>
      <c r="CO211" s="24"/>
      <c r="CP211">
        <v>6283</v>
      </c>
      <c r="CQ211">
        <v>6388</v>
      </c>
      <c r="CR211">
        <v>6349</v>
      </c>
      <c r="CS211">
        <v>668260</v>
      </c>
      <c r="CT211">
        <v>233</v>
      </c>
      <c r="CV211" s="24"/>
      <c r="CW211">
        <v>1333399</v>
      </c>
      <c r="CX211">
        <v>1338999</v>
      </c>
      <c r="CY211">
        <v>1335000</v>
      </c>
      <c r="CZ211">
        <v>7710</v>
      </c>
      <c r="DA211">
        <v>36</v>
      </c>
      <c r="DC211" s="24"/>
      <c r="DD211">
        <v>590</v>
      </c>
      <c r="DE211">
        <v>629</v>
      </c>
      <c r="DF211">
        <v>590</v>
      </c>
      <c r="DG211">
        <v>16623934</v>
      </c>
      <c r="DH211">
        <v>111</v>
      </c>
      <c r="DJ211" s="24"/>
      <c r="DK211">
        <v>32651004</v>
      </c>
      <c r="DL211">
        <v>32700000</v>
      </c>
      <c r="DM211">
        <v>32652001</v>
      </c>
      <c r="DN211">
        <v>306</v>
      </c>
      <c r="DO211">
        <v>79</v>
      </c>
      <c r="DQ211" s="24"/>
      <c r="DR211">
        <v>1696006</v>
      </c>
      <c r="DS211">
        <v>1889997</v>
      </c>
      <c r="DT211">
        <v>1729001</v>
      </c>
      <c r="DU211">
        <v>5128</v>
      </c>
      <c r="DV211">
        <v>199</v>
      </c>
      <c r="DX211" s="24"/>
      <c r="DY211">
        <v>19963013</v>
      </c>
      <c r="DZ211">
        <v>21500129</v>
      </c>
      <c r="EA211">
        <v>20000129</v>
      </c>
      <c r="EB211">
        <v>408</v>
      </c>
      <c r="EC211">
        <v>99</v>
      </c>
      <c r="EE211" s="24"/>
      <c r="EF211">
        <v>156</v>
      </c>
      <c r="EG211">
        <v>156</v>
      </c>
      <c r="EH211">
        <v>156</v>
      </c>
      <c r="EI211">
        <v>56721369</v>
      </c>
      <c r="EJ211">
        <v>116</v>
      </c>
      <c r="EL211" s="24"/>
      <c r="EM211">
        <v>60211</v>
      </c>
      <c r="EN211">
        <v>60500</v>
      </c>
      <c r="EO211">
        <v>60211</v>
      </c>
      <c r="EP211">
        <v>75202</v>
      </c>
      <c r="EQ211">
        <v>584</v>
      </c>
      <c r="ES211" s="24"/>
      <c r="ET211">
        <v>278</v>
      </c>
      <c r="EU211">
        <v>294</v>
      </c>
      <c r="EV211">
        <v>285</v>
      </c>
      <c r="EW211">
        <v>32028521</v>
      </c>
      <c r="EX211">
        <v>550</v>
      </c>
      <c r="EZ211" s="24"/>
      <c r="FA211">
        <v>3445899</v>
      </c>
      <c r="FB211">
        <v>3445899</v>
      </c>
      <c r="FC211">
        <v>3445899</v>
      </c>
      <c r="FD211">
        <v>625</v>
      </c>
      <c r="FE211">
        <v>13</v>
      </c>
      <c r="FG211" s="24"/>
      <c r="FH211">
        <v>5620</v>
      </c>
      <c r="FI211">
        <v>5890</v>
      </c>
      <c r="FJ211">
        <v>5850</v>
      </c>
      <c r="FK211">
        <v>1293017</v>
      </c>
      <c r="FL211">
        <v>327</v>
      </c>
      <c r="FN211" s="24"/>
      <c r="FO211">
        <v>17300</v>
      </c>
      <c r="FP211">
        <v>17997</v>
      </c>
      <c r="FQ211">
        <v>17995</v>
      </c>
      <c r="FR211">
        <v>320409</v>
      </c>
      <c r="FS211">
        <v>94</v>
      </c>
      <c r="FU211" s="24"/>
      <c r="FV211">
        <v>17927</v>
      </c>
      <c r="FW211">
        <v>18002</v>
      </c>
      <c r="FX211">
        <v>17930</v>
      </c>
      <c r="FY211">
        <v>424314</v>
      </c>
      <c r="FZ211">
        <v>1125</v>
      </c>
      <c r="GB211" s="24"/>
      <c r="GC211">
        <v>90500010</v>
      </c>
      <c r="GD211">
        <v>99484998</v>
      </c>
      <c r="GE211">
        <v>94079558</v>
      </c>
      <c r="GF211">
        <v>88</v>
      </c>
      <c r="GG211">
        <v>62</v>
      </c>
      <c r="GI211" s="24"/>
      <c r="GJ211">
        <v>22710000</v>
      </c>
      <c r="GK211">
        <v>23090003</v>
      </c>
      <c r="GL211">
        <v>23000010</v>
      </c>
      <c r="GM211">
        <v>355</v>
      </c>
      <c r="GN211">
        <v>74</v>
      </c>
      <c r="GP211" s="24"/>
      <c r="GQ211">
        <v>80</v>
      </c>
      <c r="GR211">
        <v>82</v>
      </c>
      <c r="GS211">
        <v>82</v>
      </c>
      <c r="GT211">
        <v>68573960</v>
      </c>
      <c r="GU211">
        <v>100</v>
      </c>
      <c r="GW211" s="24"/>
      <c r="GX211">
        <v>511</v>
      </c>
      <c r="GY211">
        <v>529</v>
      </c>
      <c r="GZ211">
        <v>517</v>
      </c>
      <c r="HA211">
        <v>41021053</v>
      </c>
      <c r="HB211">
        <v>208</v>
      </c>
      <c r="HD211" s="24"/>
      <c r="HE211">
        <v>5897</v>
      </c>
      <c r="HF211">
        <v>6067</v>
      </c>
      <c r="HG211">
        <v>5945</v>
      </c>
      <c r="HH211">
        <v>13001609</v>
      </c>
      <c r="HI211">
        <v>211</v>
      </c>
      <c r="HK211" s="24"/>
      <c r="HL211">
        <v>92748422</v>
      </c>
      <c r="HM211">
        <v>98998999</v>
      </c>
      <c r="HN211">
        <v>98249219</v>
      </c>
      <c r="HO211">
        <v>34</v>
      </c>
      <c r="HP211">
        <v>33</v>
      </c>
      <c r="HR211" s="24"/>
      <c r="HS211">
        <v>6300</v>
      </c>
      <c r="HT211">
        <v>6795</v>
      </c>
      <c r="HU211">
        <v>6740</v>
      </c>
      <c r="HV211">
        <v>709851</v>
      </c>
      <c r="HW211">
        <v>125</v>
      </c>
      <c r="HY211" s="24"/>
      <c r="HZ211">
        <v>4621</v>
      </c>
      <c r="IA211">
        <v>5197</v>
      </c>
      <c r="IB211">
        <v>5098</v>
      </c>
      <c r="IC211">
        <v>1455031</v>
      </c>
      <c r="ID211">
        <v>330</v>
      </c>
      <c r="IF211" s="24"/>
      <c r="IG211">
        <v>2749</v>
      </c>
      <c r="IH211">
        <v>2749</v>
      </c>
      <c r="II211">
        <v>2749</v>
      </c>
      <c r="IJ211">
        <v>1173896</v>
      </c>
      <c r="IK211">
        <v>107</v>
      </c>
      <c r="IM211" s="24"/>
      <c r="IN211">
        <v>90000004</v>
      </c>
      <c r="IO211">
        <v>98878997</v>
      </c>
      <c r="IP211">
        <v>95532702</v>
      </c>
      <c r="IQ211">
        <v>54</v>
      </c>
      <c r="IR211">
        <v>48</v>
      </c>
      <c r="IT211" s="24"/>
      <c r="IU211">
        <v>7550</v>
      </c>
      <c r="IV211">
        <v>7649</v>
      </c>
      <c r="IW211">
        <v>7649</v>
      </c>
      <c r="IX211">
        <v>2152048</v>
      </c>
      <c r="IY211">
        <v>153</v>
      </c>
      <c r="JA211" s="24"/>
      <c r="JB211">
        <v>92000001</v>
      </c>
      <c r="JC211">
        <v>97996899</v>
      </c>
      <c r="JD211">
        <v>95535449</v>
      </c>
      <c r="JE211">
        <v>67</v>
      </c>
      <c r="JF211">
        <v>58</v>
      </c>
      <c r="JH211" s="24"/>
      <c r="JI211">
        <v>96401001</v>
      </c>
      <c r="JJ211">
        <v>99999999</v>
      </c>
      <c r="JK211">
        <v>97533901</v>
      </c>
      <c r="JL211">
        <v>42</v>
      </c>
      <c r="JM211">
        <v>42</v>
      </c>
      <c r="JO211" s="24"/>
      <c r="JP211">
        <v>88</v>
      </c>
      <c r="JQ211">
        <v>89</v>
      </c>
      <c r="JR211">
        <v>89</v>
      </c>
      <c r="JS211">
        <v>59613210</v>
      </c>
      <c r="JT211">
        <v>78</v>
      </c>
      <c r="JV211" s="24"/>
      <c r="JW211">
        <v>69</v>
      </c>
      <c r="JX211">
        <v>72</v>
      </c>
      <c r="JY211">
        <v>71</v>
      </c>
      <c r="JZ211">
        <v>63117251</v>
      </c>
      <c r="KA211">
        <v>89</v>
      </c>
      <c r="KC211" s="24"/>
      <c r="KD211">
        <v>20</v>
      </c>
      <c r="KE211">
        <v>22</v>
      </c>
      <c r="KF211">
        <v>22</v>
      </c>
      <c r="KG211">
        <v>30856263</v>
      </c>
      <c r="KH211">
        <v>238</v>
      </c>
      <c r="KJ211" s="24"/>
      <c r="KK211">
        <v>80</v>
      </c>
      <c r="KL211">
        <v>83</v>
      </c>
      <c r="KM211">
        <v>80</v>
      </c>
      <c r="KN211">
        <v>184609390</v>
      </c>
      <c r="KO211">
        <v>101</v>
      </c>
      <c r="KQ211" s="24"/>
      <c r="KR211">
        <v>114113</v>
      </c>
      <c r="KS211">
        <v>116498</v>
      </c>
      <c r="KT211">
        <v>114133</v>
      </c>
      <c r="KU211">
        <v>51249</v>
      </c>
      <c r="KV211">
        <v>568</v>
      </c>
      <c r="KX211" s="24"/>
      <c r="KY211">
        <v>477</v>
      </c>
      <c r="KZ211">
        <v>493</v>
      </c>
      <c r="LA211">
        <v>480</v>
      </c>
      <c r="LB211">
        <v>10967025</v>
      </c>
      <c r="LC211">
        <v>162</v>
      </c>
      <c r="LE211" s="24"/>
      <c r="LF211">
        <v>188000</v>
      </c>
      <c r="LG211">
        <v>192023</v>
      </c>
      <c r="LH211">
        <v>190005</v>
      </c>
      <c r="LI211">
        <v>88562</v>
      </c>
      <c r="LJ211">
        <v>817</v>
      </c>
      <c r="LL211" s="24"/>
      <c r="LM211">
        <v>77930</v>
      </c>
      <c r="LN211">
        <v>78004</v>
      </c>
      <c r="LO211">
        <v>78000</v>
      </c>
      <c r="LP211">
        <v>351379</v>
      </c>
      <c r="LQ211">
        <v>1132</v>
      </c>
      <c r="LS211" s="24"/>
      <c r="LT211">
        <v>450</v>
      </c>
      <c r="LU211">
        <v>456</v>
      </c>
      <c r="LV211">
        <v>454</v>
      </c>
      <c r="LW211">
        <v>65681376</v>
      </c>
      <c r="LX211">
        <v>338</v>
      </c>
      <c r="LZ211" s="24"/>
      <c r="MA211">
        <v>108417</v>
      </c>
      <c r="MB211">
        <v>115922</v>
      </c>
      <c r="MC211">
        <v>114999</v>
      </c>
      <c r="MD211">
        <v>634752</v>
      </c>
      <c r="ME211">
        <v>61</v>
      </c>
    </row>
    <row r="212" spans="2:343" x14ac:dyDescent="0.25">
      <c r="B212" s="24"/>
      <c r="C212">
        <v>3</v>
      </c>
      <c r="D212">
        <v>3</v>
      </c>
      <c r="E212">
        <v>3</v>
      </c>
      <c r="F212">
        <v>22341097403</v>
      </c>
      <c r="G212">
        <v>2986</v>
      </c>
      <c r="I212" s="24"/>
      <c r="J212">
        <v>4</v>
      </c>
      <c r="K212">
        <v>4</v>
      </c>
      <c r="L212">
        <v>4</v>
      </c>
      <c r="M212">
        <v>4555244359</v>
      </c>
      <c r="N212">
        <v>2148</v>
      </c>
      <c r="P212" s="24"/>
      <c r="Q212">
        <v>26</v>
      </c>
      <c r="R212">
        <v>26</v>
      </c>
      <c r="S212">
        <v>26</v>
      </c>
      <c r="T212">
        <v>1347233942</v>
      </c>
      <c r="U212">
        <v>1941</v>
      </c>
      <c r="W212" s="24"/>
      <c r="X212">
        <v>57</v>
      </c>
      <c r="Y212">
        <v>58</v>
      </c>
      <c r="Z212">
        <v>58</v>
      </c>
      <c r="AA212">
        <v>273213158</v>
      </c>
      <c r="AB212">
        <v>1550</v>
      </c>
      <c r="AD212" s="24"/>
      <c r="AE212">
        <v>383</v>
      </c>
      <c r="AF212">
        <v>391</v>
      </c>
      <c r="AG212">
        <v>389</v>
      </c>
      <c r="AH212">
        <v>130269555</v>
      </c>
      <c r="AI212">
        <v>1614</v>
      </c>
      <c r="AK212" s="24"/>
      <c r="AL212">
        <v>788</v>
      </c>
      <c r="AM212">
        <v>797</v>
      </c>
      <c r="AN212">
        <v>795</v>
      </c>
      <c r="AO212">
        <v>48736236</v>
      </c>
      <c r="AP212">
        <v>1414</v>
      </c>
      <c r="AR212" s="24"/>
      <c r="AS212">
        <v>2510</v>
      </c>
      <c r="AT212">
        <v>2700</v>
      </c>
      <c r="AU212">
        <v>2585</v>
      </c>
      <c r="AV212">
        <v>15928963</v>
      </c>
      <c r="AW212">
        <v>1376</v>
      </c>
      <c r="AY212" s="24"/>
      <c r="AZ212">
        <v>370260330</v>
      </c>
      <c r="BA212">
        <v>378000251</v>
      </c>
      <c r="BB212">
        <v>375940000</v>
      </c>
      <c r="BC212">
        <v>2430</v>
      </c>
      <c r="BD212">
        <v>1713</v>
      </c>
      <c r="BF212" s="24"/>
      <c r="BG212">
        <v>23523</v>
      </c>
      <c r="BH212">
        <v>25440</v>
      </c>
      <c r="BI212">
        <v>23523</v>
      </c>
      <c r="BJ212">
        <v>3103718</v>
      </c>
      <c r="BK212">
        <v>261</v>
      </c>
      <c r="BM212" s="24"/>
      <c r="BN212">
        <v>6000002</v>
      </c>
      <c r="BO212">
        <v>6150000</v>
      </c>
      <c r="BP212">
        <v>6050005</v>
      </c>
      <c r="BQ212">
        <v>12147</v>
      </c>
      <c r="BR212">
        <v>309</v>
      </c>
      <c r="BT212" s="24"/>
      <c r="BU212">
        <v>2316</v>
      </c>
      <c r="BV212">
        <v>2385</v>
      </c>
      <c r="BW212">
        <v>2369</v>
      </c>
      <c r="BX212">
        <v>23953133</v>
      </c>
      <c r="BY212">
        <v>209</v>
      </c>
      <c r="CA212" s="24"/>
      <c r="CB212">
        <v>543</v>
      </c>
      <c r="CC212">
        <v>544</v>
      </c>
      <c r="CD212">
        <v>544</v>
      </c>
      <c r="CE212">
        <v>75720608</v>
      </c>
      <c r="CF212">
        <v>239</v>
      </c>
      <c r="CH212" s="24"/>
      <c r="CI212">
        <v>21180</v>
      </c>
      <c r="CJ212">
        <v>21180</v>
      </c>
      <c r="CK212">
        <v>21180</v>
      </c>
      <c r="CL212">
        <v>1418191</v>
      </c>
      <c r="CM212">
        <v>188</v>
      </c>
      <c r="CO212" s="24"/>
      <c r="CP212">
        <v>5550</v>
      </c>
      <c r="CQ212">
        <v>6388</v>
      </c>
      <c r="CR212">
        <v>6249</v>
      </c>
      <c r="CS212">
        <v>925288</v>
      </c>
      <c r="CT212">
        <v>312</v>
      </c>
      <c r="CV212" s="24"/>
      <c r="CW212">
        <v>1340000</v>
      </c>
      <c r="CX212">
        <v>1370499</v>
      </c>
      <c r="CY212">
        <v>1370499</v>
      </c>
      <c r="CZ212">
        <v>7830</v>
      </c>
      <c r="DA212">
        <v>60</v>
      </c>
      <c r="DC212" s="24"/>
      <c r="DD212">
        <v>627</v>
      </c>
      <c r="DE212">
        <v>629</v>
      </c>
      <c r="DF212">
        <v>628</v>
      </c>
      <c r="DG212">
        <v>26131091</v>
      </c>
      <c r="DH212">
        <v>163</v>
      </c>
      <c r="DJ212" s="24"/>
      <c r="DK212">
        <v>32050500</v>
      </c>
      <c r="DL212">
        <v>32692002</v>
      </c>
      <c r="DM212">
        <v>32600004</v>
      </c>
      <c r="DN212">
        <v>403</v>
      </c>
      <c r="DO212">
        <v>81</v>
      </c>
      <c r="DQ212" s="24"/>
      <c r="DR212">
        <v>1785002</v>
      </c>
      <c r="DS212">
        <v>1837000</v>
      </c>
      <c r="DT212">
        <v>1789001</v>
      </c>
      <c r="DU212">
        <v>6327</v>
      </c>
      <c r="DV212">
        <v>239</v>
      </c>
      <c r="DX212" s="24"/>
      <c r="DY212">
        <v>19964014</v>
      </c>
      <c r="DZ212">
        <v>21498000</v>
      </c>
      <c r="EA212">
        <v>19999999</v>
      </c>
      <c r="EB212">
        <v>353</v>
      </c>
      <c r="EC212">
        <v>90</v>
      </c>
      <c r="EE212" s="24"/>
      <c r="EF212">
        <v>150</v>
      </c>
      <c r="EG212">
        <v>156</v>
      </c>
      <c r="EH212">
        <v>151</v>
      </c>
      <c r="EI212">
        <v>84131912</v>
      </c>
      <c r="EJ212">
        <v>172</v>
      </c>
      <c r="EL212" s="24"/>
      <c r="EM212">
        <v>60217</v>
      </c>
      <c r="EN212">
        <v>60500</v>
      </c>
      <c r="EO212">
        <v>60228</v>
      </c>
      <c r="EP212">
        <v>57472</v>
      </c>
      <c r="EQ212">
        <v>670</v>
      </c>
      <c r="ES212" s="24"/>
      <c r="ET212">
        <v>278</v>
      </c>
      <c r="EU212">
        <v>294</v>
      </c>
      <c r="EV212">
        <v>291</v>
      </c>
      <c r="EW212">
        <v>42970227</v>
      </c>
      <c r="EX212">
        <v>594</v>
      </c>
      <c r="EZ212" s="24"/>
      <c r="FA212">
        <v>3200000</v>
      </c>
      <c r="FB212">
        <v>3445899</v>
      </c>
      <c r="FC212">
        <v>3439999</v>
      </c>
      <c r="FD212">
        <v>1169</v>
      </c>
      <c r="FE212">
        <v>32</v>
      </c>
      <c r="FG212" s="24"/>
      <c r="FH212">
        <v>5611</v>
      </c>
      <c r="FI212">
        <v>5899</v>
      </c>
      <c r="FJ212">
        <v>5898</v>
      </c>
      <c r="FK212">
        <v>1395695</v>
      </c>
      <c r="FL212">
        <v>373</v>
      </c>
      <c r="FN212" s="24"/>
      <c r="FO212">
        <v>18199</v>
      </c>
      <c r="FP212">
        <v>18199</v>
      </c>
      <c r="FQ212">
        <v>18199</v>
      </c>
      <c r="FR212">
        <v>131961</v>
      </c>
      <c r="FS212">
        <v>60</v>
      </c>
      <c r="FU212" s="24"/>
      <c r="FV212">
        <v>17800</v>
      </c>
      <c r="FW212">
        <v>18306</v>
      </c>
      <c r="FX212">
        <v>17913</v>
      </c>
      <c r="FY212">
        <v>342267</v>
      </c>
      <c r="FZ212">
        <v>1306</v>
      </c>
      <c r="GB212" s="24"/>
      <c r="GC212">
        <v>90500019</v>
      </c>
      <c r="GD212">
        <v>96999999</v>
      </c>
      <c r="GE212">
        <v>94190744</v>
      </c>
      <c r="GF212">
        <v>66</v>
      </c>
      <c r="GG212">
        <v>52</v>
      </c>
      <c r="GI212" s="24"/>
      <c r="GJ212">
        <v>22791004</v>
      </c>
      <c r="GK212">
        <v>23090002</v>
      </c>
      <c r="GL212">
        <v>22801000</v>
      </c>
      <c r="GM212">
        <v>527</v>
      </c>
      <c r="GN212">
        <v>82</v>
      </c>
      <c r="GP212" s="24"/>
      <c r="GQ212">
        <v>82</v>
      </c>
      <c r="GR212">
        <v>82</v>
      </c>
      <c r="GS212">
        <v>82</v>
      </c>
      <c r="GT212">
        <v>109008822</v>
      </c>
      <c r="GU212">
        <v>144</v>
      </c>
      <c r="GW212" s="24"/>
      <c r="GX212">
        <v>508</v>
      </c>
      <c r="GY212">
        <v>523</v>
      </c>
      <c r="GZ212">
        <v>518</v>
      </c>
      <c r="HA212">
        <v>49428301</v>
      </c>
      <c r="HB212">
        <v>285</v>
      </c>
      <c r="HD212" s="24"/>
      <c r="HE212">
        <v>5933</v>
      </c>
      <c r="HF212">
        <v>6065</v>
      </c>
      <c r="HG212">
        <v>6064</v>
      </c>
      <c r="HH212">
        <v>17159343</v>
      </c>
      <c r="HI212">
        <v>289</v>
      </c>
      <c r="HK212" s="24"/>
      <c r="HL212">
        <v>92753004</v>
      </c>
      <c r="HM212">
        <v>98997998</v>
      </c>
      <c r="HN212">
        <v>96682123</v>
      </c>
      <c r="HO212">
        <v>60</v>
      </c>
      <c r="HP212">
        <v>52</v>
      </c>
      <c r="HR212" s="24"/>
      <c r="HS212">
        <v>6143</v>
      </c>
      <c r="HT212">
        <v>6750</v>
      </c>
      <c r="HU212">
        <v>6599</v>
      </c>
      <c r="HV212">
        <v>763157</v>
      </c>
      <c r="HW212">
        <v>144</v>
      </c>
      <c r="HY212" s="24"/>
      <c r="HZ212">
        <v>5187</v>
      </c>
      <c r="IA212">
        <v>5196</v>
      </c>
      <c r="IB212">
        <v>5189</v>
      </c>
      <c r="IC212">
        <v>1491275</v>
      </c>
      <c r="ID212">
        <v>335</v>
      </c>
      <c r="IF212" s="24"/>
      <c r="IG212">
        <v>2568</v>
      </c>
      <c r="IH212">
        <v>2746</v>
      </c>
      <c r="II212">
        <v>2745</v>
      </c>
      <c r="IJ212">
        <v>2140135</v>
      </c>
      <c r="IK212">
        <v>147</v>
      </c>
      <c r="IM212" s="24"/>
      <c r="IN212">
        <v>91000113</v>
      </c>
      <c r="IO212">
        <v>97497997</v>
      </c>
      <c r="IP212">
        <v>95795355</v>
      </c>
      <c r="IQ212">
        <v>66</v>
      </c>
      <c r="IR212">
        <v>54</v>
      </c>
      <c r="IT212" s="24"/>
      <c r="IU212">
        <v>7510</v>
      </c>
      <c r="IV212">
        <v>7774</v>
      </c>
      <c r="IW212">
        <v>7774</v>
      </c>
      <c r="IX212">
        <v>1280372</v>
      </c>
      <c r="IY212">
        <v>153</v>
      </c>
      <c r="JA212" s="24"/>
      <c r="JB212">
        <v>92000309</v>
      </c>
      <c r="JC212">
        <v>97993997</v>
      </c>
      <c r="JD212">
        <v>95332925</v>
      </c>
      <c r="JE212">
        <v>81</v>
      </c>
      <c r="JF212">
        <v>61</v>
      </c>
      <c r="JH212" s="24"/>
      <c r="JI212">
        <v>93002004</v>
      </c>
      <c r="JJ212">
        <v>98899995</v>
      </c>
      <c r="JK212">
        <v>96031905</v>
      </c>
      <c r="JL212">
        <v>54</v>
      </c>
      <c r="JM212">
        <v>42</v>
      </c>
      <c r="JO212" s="24"/>
      <c r="JP212">
        <v>79</v>
      </c>
      <c r="JQ212">
        <v>84</v>
      </c>
      <c r="JR212">
        <v>84</v>
      </c>
      <c r="JS212">
        <v>103706744</v>
      </c>
      <c r="JT212">
        <v>99</v>
      </c>
      <c r="JV212" s="24"/>
      <c r="JW212">
        <v>72</v>
      </c>
      <c r="JX212">
        <v>73</v>
      </c>
      <c r="JY212">
        <v>72</v>
      </c>
      <c r="JZ212">
        <v>221062636</v>
      </c>
      <c r="KA212">
        <v>125</v>
      </c>
      <c r="KC212" s="24"/>
      <c r="KD212">
        <v>20</v>
      </c>
      <c r="KE212">
        <v>21</v>
      </c>
      <c r="KF212">
        <v>21</v>
      </c>
      <c r="KG212">
        <v>67001844</v>
      </c>
      <c r="KH212">
        <v>322</v>
      </c>
      <c r="KJ212" s="24"/>
      <c r="KK212">
        <v>80</v>
      </c>
      <c r="KL212">
        <v>83</v>
      </c>
      <c r="KM212">
        <v>83</v>
      </c>
      <c r="KN212">
        <v>85457324</v>
      </c>
      <c r="KO212">
        <v>105</v>
      </c>
      <c r="KQ212" s="24"/>
      <c r="KR212">
        <v>115001</v>
      </c>
      <c r="KS212">
        <v>115100</v>
      </c>
      <c r="KT212">
        <v>115007</v>
      </c>
      <c r="KU212">
        <v>70869</v>
      </c>
      <c r="KV212">
        <v>662</v>
      </c>
      <c r="KX212" s="24"/>
      <c r="KY212">
        <v>452</v>
      </c>
      <c r="KZ212">
        <v>501</v>
      </c>
      <c r="LA212">
        <v>456</v>
      </c>
      <c r="LB212">
        <v>8998132</v>
      </c>
      <c r="LC212">
        <v>200</v>
      </c>
      <c r="LE212" s="24"/>
      <c r="LF212">
        <v>192800</v>
      </c>
      <c r="LG212">
        <v>193270</v>
      </c>
      <c r="LH212">
        <v>193061</v>
      </c>
      <c r="LI212">
        <v>136926</v>
      </c>
      <c r="LJ212">
        <v>1017</v>
      </c>
      <c r="LL212" s="24"/>
      <c r="LM212">
        <v>78103</v>
      </c>
      <c r="LN212">
        <v>78305</v>
      </c>
      <c r="LO212">
        <v>78106</v>
      </c>
      <c r="LP212">
        <v>338507</v>
      </c>
      <c r="LQ212">
        <v>1406</v>
      </c>
      <c r="LS212" s="24"/>
      <c r="LT212">
        <v>431</v>
      </c>
      <c r="LU212">
        <v>445</v>
      </c>
      <c r="LV212">
        <v>444</v>
      </c>
      <c r="LW212">
        <v>113586926</v>
      </c>
      <c r="LX212">
        <v>422</v>
      </c>
      <c r="LZ212" s="24"/>
      <c r="MA212">
        <v>106110</v>
      </c>
      <c r="MB212">
        <v>113779</v>
      </c>
      <c r="MC212">
        <v>108410</v>
      </c>
      <c r="MD212">
        <v>1572677</v>
      </c>
      <c r="ME212">
        <v>110</v>
      </c>
    </row>
    <row r="213" spans="2:343" x14ac:dyDescent="0.25">
      <c r="B213" s="24"/>
      <c r="C213">
        <v>3</v>
      </c>
      <c r="D213">
        <v>3</v>
      </c>
      <c r="E213">
        <v>3</v>
      </c>
      <c r="F213">
        <v>25248623081</v>
      </c>
      <c r="G213">
        <v>3001</v>
      </c>
      <c r="I213" s="24"/>
      <c r="J213">
        <v>4</v>
      </c>
      <c r="K213">
        <v>4</v>
      </c>
      <c r="L213">
        <v>4</v>
      </c>
      <c r="M213">
        <v>5487009845</v>
      </c>
      <c r="N213">
        <v>2143</v>
      </c>
      <c r="P213" s="24"/>
      <c r="Q213">
        <v>26</v>
      </c>
      <c r="R213">
        <v>26</v>
      </c>
      <c r="S213">
        <v>26</v>
      </c>
      <c r="T213">
        <v>1505761347</v>
      </c>
      <c r="U213">
        <v>1922</v>
      </c>
      <c r="W213" s="24"/>
      <c r="X213">
        <v>58</v>
      </c>
      <c r="Y213">
        <v>61</v>
      </c>
      <c r="Z213">
        <v>58</v>
      </c>
      <c r="AA213">
        <v>380186962</v>
      </c>
      <c r="AB213">
        <v>1546</v>
      </c>
      <c r="AD213" s="24"/>
      <c r="AE213">
        <v>389</v>
      </c>
      <c r="AF213">
        <v>397</v>
      </c>
      <c r="AG213">
        <v>396</v>
      </c>
      <c r="AH213">
        <v>88168709</v>
      </c>
      <c r="AI213">
        <v>1585</v>
      </c>
      <c r="AK213" s="24"/>
      <c r="AL213">
        <v>798</v>
      </c>
      <c r="AM213">
        <v>824</v>
      </c>
      <c r="AN213">
        <v>804</v>
      </c>
      <c r="AO213">
        <v>37047516</v>
      </c>
      <c r="AP213">
        <v>1303</v>
      </c>
      <c r="AR213" s="24"/>
      <c r="AS213">
        <v>2604</v>
      </c>
      <c r="AT213">
        <v>2712</v>
      </c>
      <c r="AU213">
        <v>2709</v>
      </c>
      <c r="AV213">
        <v>14179409</v>
      </c>
      <c r="AW213">
        <v>1334</v>
      </c>
      <c r="AY213" s="24"/>
      <c r="AZ213">
        <v>370249116</v>
      </c>
      <c r="BA213">
        <v>377500000</v>
      </c>
      <c r="BB213">
        <v>375000000</v>
      </c>
      <c r="BC213">
        <v>2308</v>
      </c>
      <c r="BD213">
        <v>1623</v>
      </c>
      <c r="BF213" s="24"/>
      <c r="BG213">
        <v>23525</v>
      </c>
      <c r="BH213">
        <v>23529</v>
      </c>
      <c r="BI213">
        <v>23527</v>
      </c>
      <c r="BJ213">
        <v>2722048</v>
      </c>
      <c r="BK213">
        <v>223</v>
      </c>
      <c r="BM213" s="24"/>
      <c r="BN213">
        <v>6100000</v>
      </c>
      <c r="BO213">
        <v>6102004</v>
      </c>
      <c r="BP213">
        <v>6100025</v>
      </c>
      <c r="BQ213">
        <v>10340</v>
      </c>
      <c r="BR213">
        <v>277</v>
      </c>
      <c r="BT213" s="24"/>
      <c r="BU213">
        <v>2317</v>
      </c>
      <c r="BV213">
        <v>2368</v>
      </c>
      <c r="BW213">
        <v>2349</v>
      </c>
      <c r="BX213">
        <v>24075132</v>
      </c>
      <c r="BY213">
        <v>216</v>
      </c>
      <c r="CA213" s="24"/>
      <c r="CB213">
        <v>543</v>
      </c>
      <c r="CC213">
        <v>544</v>
      </c>
      <c r="CD213">
        <v>543</v>
      </c>
      <c r="CE213">
        <v>49436915</v>
      </c>
      <c r="CF213">
        <v>243</v>
      </c>
      <c r="CH213" s="24"/>
      <c r="CI213">
        <v>21183</v>
      </c>
      <c r="CJ213">
        <v>21185</v>
      </c>
      <c r="CK213">
        <v>21184</v>
      </c>
      <c r="CL213">
        <v>1569942</v>
      </c>
      <c r="CM213">
        <v>179</v>
      </c>
      <c r="CO213" s="24"/>
      <c r="CP213">
        <v>5998</v>
      </c>
      <c r="CQ213">
        <v>6389</v>
      </c>
      <c r="CR213">
        <v>6380</v>
      </c>
      <c r="CS213">
        <v>895230</v>
      </c>
      <c r="CT213">
        <v>324</v>
      </c>
      <c r="CV213" s="24"/>
      <c r="CW213">
        <v>1370000</v>
      </c>
      <c r="CX213">
        <v>1378296</v>
      </c>
      <c r="CY213">
        <v>1370026</v>
      </c>
      <c r="CZ213">
        <v>11663</v>
      </c>
      <c r="DA213">
        <v>44</v>
      </c>
      <c r="DC213" s="24"/>
      <c r="DD213">
        <v>599</v>
      </c>
      <c r="DE213">
        <v>608</v>
      </c>
      <c r="DF213">
        <v>601</v>
      </c>
      <c r="DG213">
        <v>54890446</v>
      </c>
      <c r="DH213">
        <v>214</v>
      </c>
      <c r="DJ213" s="24"/>
      <c r="DK213">
        <v>32109003</v>
      </c>
      <c r="DL213">
        <v>34224999</v>
      </c>
      <c r="DM213">
        <v>32162000</v>
      </c>
      <c r="DN213">
        <v>241</v>
      </c>
      <c r="DO213">
        <v>63</v>
      </c>
      <c r="DQ213" s="24"/>
      <c r="DR213">
        <v>1697006</v>
      </c>
      <c r="DS213">
        <v>1799989</v>
      </c>
      <c r="DT213">
        <v>1697018</v>
      </c>
      <c r="DU213">
        <v>6249</v>
      </c>
      <c r="DV213">
        <v>226</v>
      </c>
      <c r="DX213" s="24"/>
      <c r="DY213">
        <v>19971000</v>
      </c>
      <c r="DZ213">
        <v>20889500</v>
      </c>
      <c r="EA213">
        <v>20000000</v>
      </c>
      <c r="EB213">
        <v>413</v>
      </c>
      <c r="EC213">
        <v>95</v>
      </c>
      <c r="EE213" s="24"/>
      <c r="EF213">
        <v>152</v>
      </c>
      <c r="EG213">
        <v>156</v>
      </c>
      <c r="EH213">
        <v>156</v>
      </c>
      <c r="EI213">
        <v>91456410</v>
      </c>
      <c r="EJ213">
        <v>158</v>
      </c>
      <c r="EL213" s="24"/>
      <c r="EM213">
        <v>60226</v>
      </c>
      <c r="EN213">
        <v>60229</v>
      </c>
      <c r="EO213">
        <v>60228</v>
      </c>
      <c r="EP213">
        <v>76001</v>
      </c>
      <c r="EQ213">
        <v>638</v>
      </c>
      <c r="ES213" s="24"/>
      <c r="ET213">
        <v>283</v>
      </c>
      <c r="EU213">
        <v>292</v>
      </c>
      <c r="EV213">
        <v>292</v>
      </c>
      <c r="EW213">
        <v>37946754</v>
      </c>
      <c r="EX213">
        <v>561</v>
      </c>
      <c r="EZ213" s="24"/>
      <c r="FA213">
        <v>3300000</v>
      </c>
      <c r="FB213">
        <v>3399999</v>
      </c>
      <c r="FC213">
        <v>3399999</v>
      </c>
      <c r="FD213">
        <v>1210</v>
      </c>
      <c r="FE213">
        <v>28</v>
      </c>
      <c r="FG213" s="24"/>
      <c r="FH213">
        <v>5872</v>
      </c>
      <c r="FI213">
        <v>5888</v>
      </c>
      <c r="FJ213">
        <v>5872</v>
      </c>
      <c r="FK213">
        <v>1239774</v>
      </c>
      <c r="FL213">
        <v>343</v>
      </c>
      <c r="FN213" s="24"/>
      <c r="FO213">
        <v>17035</v>
      </c>
      <c r="FP213">
        <v>18198</v>
      </c>
      <c r="FQ213">
        <v>18046</v>
      </c>
      <c r="FR213">
        <v>157562</v>
      </c>
      <c r="FS213">
        <v>83</v>
      </c>
      <c r="FU213" s="24"/>
      <c r="FV213">
        <v>17810</v>
      </c>
      <c r="FW213">
        <v>17937</v>
      </c>
      <c r="FX213">
        <v>17811</v>
      </c>
      <c r="FY213">
        <v>403561</v>
      </c>
      <c r="FZ213">
        <v>1257</v>
      </c>
      <c r="GB213" s="24"/>
      <c r="GC213">
        <v>91000005</v>
      </c>
      <c r="GD213">
        <v>94999999</v>
      </c>
      <c r="GE213">
        <v>92721130</v>
      </c>
      <c r="GF213">
        <v>94</v>
      </c>
      <c r="GG213">
        <v>65</v>
      </c>
      <c r="GI213" s="24"/>
      <c r="GJ213">
        <v>22661000</v>
      </c>
      <c r="GK213">
        <v>23984342</v>
      </c>
      <c r="GL213">
        <v>22665001</v>
      </c>
      <c r="GM213">
        <v>395</v>
      </c>
      <c r="GN213">
        <v>65</v>
      </c>
      <c r="GP213" s="24"/>
      <c r="GQ213">
        <v>81</v>
      </c>
      <c r="GR213">
        <v>82</v>
      </c>
      <c r="GS213">
        <v>82</v>
      </c>
      <c r="GT213">
        <v>119535976</v>
      </c>
      <c r="GU213">
        <v>127</v>
      </c>
      <c r="GW213" s="24"/>
      <c r="GX213">
        <v>516</v>
      </c>
      <c r="GY213">
        <v>516</v>
      </c>
      <c r="GZ213">
        <v>516</v>
      </c>
      <c r="HA213">
        <v>50218197</v>
      </c>
      <c r="HB213">
        <v>213</v>
      </c>
      <c r="HD213" s="24"/>
      <c r="HE213">
        <v>5933</v>
      </c>
      <c r="HF213">
        <v>6059</v>
      </c>
      <c r="HG213">
        <v>6033</v>
      </c>
      <c r="HH213">
        <v>16618427</v>
      </c>
      <c r="HI213">
        <v>264</v>
      </c>
      <c r="HK213" s="24"/>
      <c r="HL213">
        <v>93000001</v>
      </c>
      <c r="HM213">
        <v>98996996</v>
      </c>
      <c r="HN213">
        <v>93000004</v>
      </c>
      <c r="HO213">
        <v>141</v>
      </c>
      <c r="HP213">
        <v>72</v>
      </c>
      <c r="HR213" s="24"/>
      <c r="HS213">
        <v>6498</v>
      </c>
      <c r="HT213">
        <v>6599</v>
      </c>
      <c r="HU213">
        <v>6574</v>
      </c>
      <c r="HV213">
        <v>413081</v>
      </c>
      <c r="HW213">
        <v>80</v>
      </c>
      <c r="HY213" s="24"/>
      <c r="HZ213">
        <v>5124</v>
      </c>
      <c r="IA213">
        <v>5177</v>
      </c>
      <c r="IB213">
        <v>5177</v>
      </c>
      <c r="IC213">
        <v>1764110</v>
      </c>
      <c r="ID213">
        <v>343</v>
      </c>
      <c r="IF213" s="24"/>
      <c r="IG213">
        <v>2694</v>
      </c>
      <c r="IH213">
        <v>2739</v>
      </c>
      <c r="II213">
        <v>2699</v>
      </c>
      <c r="IJ213">
        <v>1042759</v>
      </c>
      <c r="IK213">
        <v>133</v>
      </c>
      <c r="IM213" s="24"/>
      <c r="IN213">
        <v>93000001</v>
      </c>
      <c r="IO213">
        <v>96599998</v>
      </c>
      <c r="IP213">
        <v>93000004</v>
      </c>
      <c r="IQ213">
        <v>135</v>
      </c>
      <c r="IR213">
        <v>83</v>
      </c>
      <c r="IT213" s="24"/>
      <c r="IU213">
        <v>7491</v>
      </c>
      <c r="IV213">
        <v>7767</v>
      </c>
      <c r="IW213">
        <v>7766</v>
      </c>
      <c r="IX213">
        <v>1338080</v>
      </c>
      <c r="IY213">
        <v>130</v>
      </c>
      <c r="JA213" s="24"/>
      <c r="JB213">
        <v>92520000</v>
      </c>
      <c r="JC213">
        <v>97992995</v>
      </c>
      <c r="JD213">
        <v>93000001</v>
      </c>
      <c r="JE213">
        <v>132</v>
      </c>
      <c r="JF213">
        <v>78</v>
      </c>
      <c r="JH213" s="24"/>
      <c r="JI213">
        <v>93102000</v>
      </c>
      <c r="JJ213">
        <v>97999996</v>
      </c>
      <c r="JK213">
        <v>94038859</v>
      </c>
      <c r="JL213">
        <v>99</v>
      </c>
      <c r="JM213">
        <v>51</v>
      </c>
      <c r="JO213" s="24"/>
      <c r="JP213">
        <v>85</v>
      </c>
      <c r="JQ213">
        <v>89</v>
      </c>
      <c r="JR213">
        <v>88</v>
      </c>
      <c r="JS213">
        <v>83894264</v>
      </c>
      <c r="JT213">
        <v>99</v>
      </c>
      <c r="JV213" s="24"/>
      <c r="JW213">
        <v>70</v>
      </c>
      <c r="JX213">
        <v>74</v>
      </c>
      <c r="JY213">
        <v>74</v>
      </c>
      <c r="JZ213">
        <v>89241917</v>
      </c>
      <c r="KA213">
        <v>92</v>
      </c>
      <c r="KC213" s="24"/>
      <c r="KD213">
        <v>21</v>
      </c>
      <c r="KE213">
        <v>21</v>
      </c>
      <c r="KF213">
        <v>21</v>
      </c>
      <c r="KG213">
        <v>53961063</v>
      </c>
      <c r="KH213">
        <v>286</v>
      </c>
      <c r="KJ213" s="24"/>
      <c r="KK213">
        <v>81</v>
      </c>
      <c r="KL213">
        <v>83</v>
      </c>
      <c r="KM213">
        <v>83</v>
      </c>
      <c r="KN213">
        <v>154127867</v>
      </c>
      <c r="KO213">
        <v>120</v>
      </c>
      <c r="KQ213" s="24"/>
      <c r="KR213">
        <v>115011</v>
      </c>
      <c r="KS213">
        <v>115011</v>
      </c>
      <c r="KT213">
        <v>115011</v>
      </c>
      <c r="KU213">
        <v>65303</v>
      </c>
      <c r="KV213">
        <v>664</v>
      </c>
      <c r="KX213" s="24"/>
      <c r="KY213">
        <v>501</v>
      </c>
      <c r="KZ213">
        <v>501</v>
      </c>
      <c r="LA213">
        <v>501</v>
      </c>
      <c r="LB213">
        <v>3943345</v>
      </c>
      <c r="LC213">
        <v>147</v>
      </c>
      <c r="LE213" s="24"/>
      <c r="LF213">
        <v>189100</v>
      </c>
      <c r="LG213">
        <v>192800</v>
      </c>
      <c r="LH213">
        <v>191000</v>
      </c>
      <c r="LI213">
        <v>96585</v>
      </c>
      <c r="LJ213">
        <v>863</v>
      </c>
      <c r="LL213" s="24"/>
      <c r="LM213">
        <v>78402</v>
      </c>
      <c r="LN213">
        <v>78501</v>
      </c>
      <c r="LO213">
        <v>78405</v>
      </c>
      <c r="LP213">
        <v>384870</v>
      </c>
      <c r="LQ213">
        <v>1294</v>
      </c>
      <c r="LS213" s="24"/>
      <c r="LT213">
        <v>442</v>
      </c>
      <c r="LU213">
        <v>444</v>
      </c>
      <c r="LV213">
        <v>444</v>
      </c>
      <c r="LW213">
        <v>71131774</v>
      </c>
      <c r="LX213">
        <v>384</v>
      </c>
      <c r="LZ213" s="24"/>
      <c r="MA213">
        <v>108899</v>
      </c>
      <c r="MB213">
        <v>109884</v>
      </c>
      <c r="MC213">
        <v>109882</v>
      </c>
      <c r="MD213">
        <v>809054</v>
      </c>
      <c r="ME213">
        <v>85</v>
      </c>
    </row>
    <row r="214" spans="2:343" x14ac:dyDescent="0.25">
      <c r="B214" s="24"/>
      <c r="C214">
        <v>3</v>
      </c>
      <c r="D214">
        <v>3</v>
      </c>
      <c r="E214">
        <v>3</v>
      </c>
      <c r="F214">
        <v>24334233282</v>
      </c>
      <c r="G214">
        <v>2967</v>
      </c>
      <c r="I214" s="24"/>
      <c r="J214">
        <v>4</v>
      </c>
      <c r="K214">
        <v>4</v>
      </c>
      <c r="L214">
        <v>4</v>
      </c>
      <c r="M214">
        <v>5221968408</v>
      </c>
      <c r="N214">
        <v>2112</v>
      </c>
      <c r="P214" s="24"/>
      <c r="Q214">
        <v>27</v>
      </c>
      <c r="R214">
        <v>27</v>
      </c>
      <c r="S214">
        <v>27</v>
      </c>
      <c r="T214">
        <v>1535257134</v>
      </c>
      <c r="U214">
        <v>1922</v>
      </c>
      <c r="W214" s="24"/>
      <c r="X214">
        <v>61</v>
      </c>
      <c r="Y214">
        <v>62</v>
      </c>
      <c r="Z214">
        <v>61</v>
      </c>
      <c r="AA214">
        <v>344585143</v>
      </c>
      <c r="AB214">
        <v>1541</v>
      </c>
      <c r="AD214" s="24"/>
      <c r="AE214">
        <v>396</v>
      </c>
      <c r="AF214">
        <v>397</v>
      </c>
      <c r="AG214">
        <v>396</v>
      </c>
      <c r="AH214">
        <v>105551206</v>
      </c>
      <c r="AI214">
        <v>1524</v>
      </c>
      <c r="AK214" s="24"/>
      <c r="AL214">
        <v>815</v>
      </c>
      <c r="AM214">
        <v>846</v>
      </c>
      <c r="AN214">
        <v>820</v>
      </c>
      <c r="AO214">
        <v>28114765</v>
      </c>
      <c r="AP214">
        <v>1280</v>
      </c>
      <c r="AR214" s="24"/>
      <c r="AS214">
        <v>2662</v>
      </c>
      <c r="AT214">
        <v>2712</v>
      </c>
      <c r="AU214">
        <v>2711</v>
      </c>
      <c r="AV214">
        <v>10908742</v>
      </c>
      <c r="AW214">
        <v>1241</v>
      </c>
      <c r="AY214" s="24"/>
      <c r="AZ214">
        <v>363100201</v>
      </c>
      <c r="BA214">
        <v>371719771</v>
      </c>
      <c r="BB214">
        <v>366900008</v>
      </c>
      <c r="BC214">
        <v>2651</v>
      </c>
      <c r="BD214">
        <v>1725</v>
      </c>
      <c r="BF214" s="24"/>
      <c r="BG214">
        <v>24110</v>
      </c>
      <c r="BH214">
        <v>25097</v>
      </c>
      <c r="BI214">
        <v>25097</v>
      </c>
      <c r="BJ214">
        <v>1391588</v>
      </c>
      <c r="BK214">
        <v>232</v>
      </c>
      <c r="BM214" s="24"/>
      <c r="BN214">
        <v>6100036</v>
      </c>
      <c r="BO214">
        <v>6267005</v>
      </c>
      <c r="BP214">
        <v>6200000</v>
      </c>
      <c r="BQ214">
        <v>16553</v>
      </c>
      <c r="BR214">
        <v>358</v>
      </c>
      <c r="BT214" s="24"/>
      <c r="BU214">
        <v>2327</v>
      </c>
      <c r="BV214">
        <v>2364</v>
      </c>
      <c r="BW214">
        <v>2328</v>
      </c>
      <c r="BX214">
        <v>23150128</v>
      </c>
      <c r="BY214">
        <v>206</v>
      </c>
      <c r="CA214" s="24"/>
      <c r="CB214">
        <v>540</v>
      </c>
      <c r="CC214">
        <v>544</v>
      </c>
      <c r="CD214">
        <v>544</v>
      </c>
      <c r="CE214">
        <v>71212022</v>
      </c>
      <c r="CF214">
        <v>266</v>
      </c>
      <c r="CH214" s="24"/>
      <c r="CI214">
        <v>21300</v>
      </c>
      <c r="CJ214">
        <v>21527</v>
      </c>
      <c r="CK214">
        <v>21350</v>
      </c>
      <c r="CL214">
        <v>841913</v>
      </c>
      <c r="CM214">
        <v>169</v>
      </c>
      <c r="CO214" s="24"/>
      <c r="CP214">
        <v>5593</v>
      </c>
      <c r="CQ214">
        <v>6389</v>
      </c>
      <c r="CR214">
        <v>6279</v>
      </c>
      <c r="CS214">
        <v>923488</v>
      </c>
      <c r="CT214">
        <v>297</v>
      </c>
      <c r="CV214" s="24"/>
      <c r="CW214">
        <v>1335007</v>
      </c>
      <c r="CX214">
        <v>1400999</v>
      </c>
      <c r="CY214">
        <v>1389999</v>
      </c>
      <c r="CZ214">
        <v>11488</v>
      </c>
      <c r="DA214">
        <v>33</v>
      </c>
      <c r="DC214" s="24"/>
      <c r="DD214">
        <v>562</v>
      </c>
      <c r="DE214">
        <v>576</v>
      </c>
      <c r="DF214">
        <v>572</v>
      </c>
      <c r="DG214">
        <v>35052992</v>
      </c>
      <c r="DH214">
        <v>173</v>
      </c>
      <c r="DJ214" s="24"/>
      <c r="DK214">
        <v>32109004</v>
      </c>
      <c r="DL214">
        <v>34050000</v>
      </c>
      <c r="DM214">
        <v>32109010</v>
      </c>
      <c r="DN214">
        <v>224</v>
      </c>
      <c r="DO214">
        <v>68</v>
      </c>
      <c r="DQ214" s="24"/>
      <c r="DR214">
        <v>1700023</v>
      </c>
      <c r="DS214">
        <v>1793999</v>
      </c>
      <c r="DT214">
        <v>1700027</v>
      </c>
      <c r="DU214">
        <v>5018</v>
      </c>
      <c r="DV214">
        <v>208</v>
      </c>
      <c r="DX214" s="24"/>
      <c r="DY214">
        <v>19971106</v>
      </c>
      <c r="DZ214">
        <v>21547005</v>
      </c>
      <c r="EA214">
        <v>19972000</v>
      </c>
      <c r="EB214">
        <v>495</v>
      </c>
      <c r="EC214">
        <v>98</v>
      </c>
      <c r="EE214" s="24"/>
      <c r="EF214">
        <v>150</v>
      </c>
      <c r="EG214">
        <v>156</v>
      </c>
      <c r="EH214">
        <v>152</v>
      </c>
      <c r="EI214">
        <v>87378066</v>
      </c>
      <c r="EJ214">
        <v>166</v>
      </c>
      <c r="EL214" s="24"/>
      <c r="EM214">
        <v>55003</v>
      </c>
      <c r="EN214">
        <v>62500</v>
      </c>
      <c r="EO214">
        <v>56000</v>
      </c>
      <c r="EP214">
        <v>77083</v>
      </c>
      <c r="EQ214">
        <v>680</v>
      </c>
      <c r="ES214" s="24"/>
      <c r="ET214">
        <v>278</v>
      </c>
      <c r="EU214">
        <v>291</v>
      </c>
      <c r="EV214">
        <v>289</v>
      </c>
      <c r="EW214">
        <v>36204580</v>
      </c>
      <c r="EX214">
        <v>549</v>
      </c>
      <c r="EZ214" s="24"/>
      <c r="FA214">
        <v>3350000</v>
      </c>
      <c r="FB214">
        <v>3399999</v>
      </c>
      <c r="FC214">
        <v>3399999</v>
      </c>
      <c r="FD214">
        <v>2568</v>
      </c>
      <c r="FE214">
        <v>25</v>
      </c>
      <c r="FG214" s="24"/>
      <c r="FH214">
        <v>5199</v>
      </c>
      <c r="FI214">
        <v>5613</v>
      </c>
      <c r="FJ214">
        <v>5400</v>
      </c>
      <c r="FK214">
        <v>2161828</v>
      </c>
      <c r="FL214">
        <v>396</v>
      </c>
      <c r="FN214" s="24"/>
      <c r="FO214">
        <v>17100</v>
      </c>
      <c r="FP214">
        <v>17100</v>
      </c>
      <c r="FQ214">
        <v>17100</v>
      </c>
      <c r="FR214">
        <v>108261</v>
      </c>
      <c r="FS214">
        <v>71</v>
      </c>
      <c r="FU214" s="24"/>
      <c r="FV214">
        <v>17900</v>
      </c>
      <c r="FW214">
        <v>18169</v>
      </c>
      <c r="FX214">
        <v>18001</v>
      </c>
      <c r="FY214">
        <v>379387</v>
      </c>
      <c r="FZ214">
        <v>1340</v>
      </c>
      <c r="GB214" s="24"/>
      <c r="GC214">
        <v>91000001</v>
      </c>
      <c r="GD214">
        <v>94098994</v>
      </c>
      <c r="GE214">
        <v>94098991</v>
      </c>
      <c r="GF214">
        <v>103</v>
      </c>
      <c r="GG214">
        <v>63</v>
      </c>
      <c r="GI214" s="24"/>
      <c r="GJ214">
        <v>22500014</v>
      </c>
      <c r="GK214">
        <v>23993000</v>
      </c>
      <c r="GL214">
        <v>22500017</v>
      </c>
      <c r="GM214">
        <v>341</v>
      </c>
      <c r="GN214">
        <v>75</v>
      </c>
      <c r="GP214" s="24"/>
      <c r="GQ214">
        <v>81</v>
      </c>
      <c r="GR214">
        <v>82</v>
      </c>
      <c r="GS214">
        <v>81</v>
      </c>
      <c r="GT214">
        <v>161007882</v>
      </c>
      <c r="GU214">
        <v>150</v>
      </c>
      <c r="GW214" s="24"/>
      <c r="GX214">
        <v>519</v>
      </c>
      <c r="GY214">
        <v>522</v>
      </c>
      <c r="GZ214">
        <v>520</v>
      </c>
      <c r="HA214">
        <v>47124514</v>
      </c>
      <c r="HB214">
        <v>219</v>
      </c>
      <c r="HD214" s="24"/>
      <c r="HE214">
        <v>5898</v>
      </c>
      <c r="HF214">
        <v>6020</v>
      </c>
      <c r="HG214">
        <v>6002</v>
      </c>
      <c r="HH214">
        <v>11950124</v>
      </c>
      <c r="HI214">
        <v>251</v>
      </c>
      <c r="HK214" s="24"/>
      <c r="HL214">
        <v>90000000</v>
      </c>
      <c r="HM214">
        <v>92800002</v>
      </c>
      <c r="HN214">
        <v>92743550</v>
      </c>
      <c r="HO214">
        <v>203</v>
      </c>
      <c r="HP214">
        <v>111</v>
      </c>
      <c r="HR214" s="24"/>
      <c r="HS214">
        <v>6145</v>
      </c>
      <c r="HT214">
        <v>6547</v>
      </c>
      <c r="HU214">
        <v>6470</v>
      </c>
      <c r="HV214">
        <v>602227</v>
      </c>
      <c r="HW214">
        <v>103</v>
      </c>
      <c r="HY214" s="24"/>
      <c r="HZ214">
        <v>4950</v>
      </c>
      <c r="IA214">
        <v>5177</v>
      </c>
      <c r="IB214">
        <v>5158</v>
      </c>
      <c r="IC214">
        <v>1920747</v>
      </c>
      <c r="ID214">
        <v>372</v>
      </c>
      <c r="IF214" s="24"/>
      <c r="IG214">
        <v>2604</v>
      </c>
      <c r="IH214">
        <v>2699</v>
      </c>
      <c r="II214">
        <v>2699</v>
      </c>
      <c r="IJ214">
        <v>1414243</v>
      </c>
      <c r="IK214">
        <v>142</v>
      </c>
      <c r="IM214" s="24"/>
      <c r="IN214">
        <v>90000003</v>
      </c>
      <c r="IO214">
        <v>96599983</v>
      </c>
      <c r="IP214">
        <v>93624579</v>
      </c>
      <c r="IQ214">
        <v>96</v>
      </c>
      <c r="IR214">
        <v>51</v>
      </c>
      <c r="IT214" s="24"/>
      <c r="IU214">
        <v>7492</v>
      </c>
      <c r="IV214">
        <v>7749</v>
      </c>
      <c r="IW214">
        <v>7500</v>
      </c>
      <c r="IX214">
        <v>1038539</v>
      </c>
      <c r="IY214">
        <v>144</v>
      </c>
      <c r="JA214" s="24"/>
      <c r="JB214">
        <v>91000001</v>
      </c>
      <c r="JC214">
        <v>96999999</v>
      </c>
      <c r="JD214">
        <v>91309500</v>
      </c>
      <c r="JE214">
        <v>126</v>
      </c>
      <c r="JF214">
        <v>74</v>
      </c>
      <c r="JH214" s="24"/>
      <c r="JI214">
        <v>91228005</v>
      </c>
      <c r="JJ214">
        <v>91232000</v>
      </c>
      <c r="JK214">
        <v>91232000</v>
      </c>
      <c r="JL214">
        <v>135</v>
      </c>
      <c r="JM214">
        <v>62</v>
      </c>
      <c r="JO214" s="24"/>
      <c r="JP214">
        <v>89</v>
      </c>
      <c r="JQ214">
        <v>89</v>
      </c>
      <c r="JR214">
        <v>89</v>
      </c>
      <c r="JS214">
        <v>40567890</v>
      </c>
      <c r="JT214">
        <v>77</v>
      </c>
      <c r="JV214" s="24"/>
      <c r="JW214">
        <v>72</v>
      </c>
      <c r="JX214">
        <v>72</v>
      </c>
      <c r="JY214">
        <v>72</v>
      </c>
      <c r="JZ214">
        <v>95503709</v>
      </c>
      <c r="KA214">
        <v>84</v>
      </c>
      <c r="KC214" s="24"/>
      <c r="KD214">
        <v>20</v>
      </c>
      <c r="KE214">
        <v>21</v>
      </c>
      <c r="KF214">
        <v>21</v>
      </c>
      <c r="KG214">
        <v>43792889</v>
      </c>
      <c r="KH214">
        <v>319</v>
      </c>
      <c r="KJ214" s="24"/>
      <c r="KK214">
        <v>82</v>
      </c>
      <c r="KL214">
        <v>85</v>
      </c>
      <c r="KM214">
        <v>83</v>
      </c>
      <c r="KN214">
        <v>54274014</v>
      </c>
      <c r="KO214">
        <v>75</v>
      </c>
      <c r="KQ214" s="24"/>
      <c r="KR214">
        <v>115008</v>
      </c>
      <c r="KS214">
        <v>115500</v>
      </c>
      <c r="KT214">
        <v>115008</v>
      </c>
      <c r="KU214">
        <v>44491</v>
      </c>
      <c r="KV214">
        <v>614</v>
      </c>
      <c r="KX214" s="24"/>
      <c r="KY214">
        <v>475</v>
      </c>
      <c r="KZ214">
        <v>501</v>
      </c>
      <c r="LA214">
        <v>501</v>
      </c>
      <c r="LB214">
        <v>3632668</v>
      </c>
      <c r="LC214">
        <v>158</v>
      </c>
      <c r="LE214" s="24"/>
      <c r="LF214">
        <v>187520</v>
      </c>
      <c r="LG214">
        <v>188000</v>
      </c>
      <c r="LH214">
        <v>187520</v>
      </c>
      <c r="LI214">
        <v>94988</v>
      </c>
      <c r="LJ214">
        <v>931</v>
      </c>
      <c r="LL214" s="24"/>
      <c r="LM214">
        <v>78150</v>
      </c>
      <c r="LN214">
        <v>78200</v>
      </c>
      <c r="LO214">
        <v>78152</v>
      </c>
      <c r="LP214">
        <v>361866</v>
      </c>
      <c r="LQ214">
        <v>1375</v>
      </c>
      <c r="LS214" s="24"/>
      <c r="LT214">
        <v>468</v>
      </c>
      <c r="LU214">
        <v>469</v>
      </c>
      <c r="LV214">
        <v>469</v>
      </c>
      <c r="LW214">
        <v>86571713</v>
      </c>
      <c r="LX214">
        <v>382</v>
      </c>
      <c r="LZ214" s="24"/>
      <c r="MA214">
        <v>107942</v>
      </c>
      <c r="MB214">
        <v>109868</v>
      </c>
      <c r="MC214">
        <v>109867</v>
      </c>
      <c r="MD214">
        <v>980172</v>
      </c>
      <c r="ME214">
        <v>86</v>
      </c>
    </row>
    <row r="215" spans="2:343" x14ac:dyDescent="0.25">
      <c r="B215" s="24"/>
      <c r="C215">
        <v>3</v>
      </c>
      <c r="D215">
        <v>3</v>
      </c>
      <c r="E215">
        <v>3</v>
      </c>
      <c r="F215">
        <v>19979080232</v>
      </c>
      <c r="G215">
        <v>3026</v>
      </c>
      <c r="I215" s="24"/>
      <c r="J215">
        <v>4</v>
      </c>
      <c r="K215">
        <v>4</v>
      </c>
      <c r="L215">
        <v>4</v>
      </c>
      <c r="M215">
        <v>3895075478</v>
      </c>
      <c r="N215">
        <v>2200</v>
      </c>
      <c r="P215" s="24"/>
      <c r="Q215">
        <v>26</v>
      </c>
      <c r="R215">
        <v>27</v>
      </c>
      <c r="S215">
        <v>27</v>
      </c>
      <c r="T215">
        <v>1100824868</v>
      </c>
      <c r="U215">
        <v>2046</v>
      </c>
      <c r="W215" s="24"/>
      <c r="X215">
        <v>60</v>
      </c>
      <c r="Y215">
        <v>62</v>
      </c>
      <c r="Z215">
        <v>62</v>
      </c>
      <c r="AA215">
        <v>375181794</v>
      </c>
      <c r="AB215">
        <v>1619</v>
      </c>
      <c r="AD215" s="24"/>
      <c r="AE215">
        <v>392</v>
      </c>
      <c r="AF215">
        <v>399</v>
      </c>
      <c r="AG215">
        <v>398</v>
      </c>
      <c r="AH215">
        <v>66291332</v>
      </c>
      <c r="AI215">
        <v>1623</v>
      </c>
      <c r="AK215" s="24"/>
      <c r="AL215">
        <v>824</v>
      </c>
      <c r="AM215">
        <v>846</v>
      </c>
      <c r="AN215">
        <v>827</v>
      </c>
      <c r="AO215">
        <v>16536157</v>
      </c>
      <c r="AP215">
        <v>1325</v>
      </c>
      <c r="AR215" s="24"/>
      <c r="AS215">
        <v>2684</v>
      </c>
      <c r="AT215">
        <v>2798</v>
      </c>
      <c r="AU215">
        <v>2710</v>
      </c>
      <c r="AV215">
        <v>9343990</v>
      </c>
      <c r="AW215">
        <v>1305</v>
      </c>
      <c r="AY215" s="24"/>
      <c r="AZ215">
        <v>360000000</v>
      </c>
      <c r="BA215">
        <v>366348874</v>
      </c>
      <c r="BB215">
        <v>363800000</v>
      </c>
      <c r="BC215">
        <v>2706</v>
      </c>
      <c r="BD215">
        <v>1808</v>
      </c>
      <c r="BF215" s="24"/>
      <c r="BG215">
        <v>24113</v>
      </c>
      <c r="BH215">
        <v>24800</v>
      </c>
      <c r="BI215">
        <v>24116</v>
      </c>
      <c r="BJ215">
        <v>973295</v>
      </c>
      <c r="BK215">
        <v>192</v>
      </c>
      <c r="BM215" s="24"/>
      <c r="BN215">
        <v>6100036</v>
      </c>
      <c r="BO215">
        <v>6100055</v>
      </c>
      <c r="BP215">
        <v>6100042</v>
      </c>
      <c r="BQ215">
        <v>11062</v>
      </c>
      <c r="BR215">
        <v>364</v>
      </c>
      <c r="BT215" s="24"/>
      <c r="BU215">
        <v>2319</v>
      </c>
      <c r="BV215">
        <v>2365</v>
      </c>
      <c r="BW215">
        <v>2365</v>
      </c>
      <c r="BX215">
        <v>16006496</v>
      </c>
      <c r="BY215">
        <v>194</v>
      </c>
      <c r="CA215" s="24"/>
      <c r="CB215">
        <v>543</v>
      </c>
      <c r="CC215">
        <v>545</v>
      </c>
      <c r="CD215">
        <v>545</v>
      </c>
      <c r="CE215">
        <v>53717981</v>
      </c>
      <c r="CF215">
        <v>234</v>
      </c>
      <c r="CH215" s="24"/>
      <c r="CI215">
        <v>21352</v>
      </c>
      <c r="CJ215">
        <v>21355</v>
      </c>
      <c r="CK215">
        <v>21355</v>
      </c>
      <c r="CL215">
        <v>503701</v>
      </c>
      <c r="CM215">
        <v>165</v>
      </c>
      <c r="CO215" s="24"/>
      <c r="CP215">
        <v>5801</v>
      </c>
      <c r="CQ215">
        <v>6272</v>
      </c>
      <c r="CR215">
        <v>6124</v>
      </c>
      <c r="CS215">
        <v>1483463</v>
      </c>
      <c r="CT215">
        <v>350</v>
      </c>
      <c r="CV215" s="24"/>
      <c r="CW215">
        <v>1300030</v>
      </c>
      <c r="CX215">
        <v>1387999</v>
      </c>
      <c r="CY215">
        <v>1334999</v>
      </c>
      <c r="CZ215">
        <v>14990</v>
      </c>
      <c r="DA215">
        <v>45</v>
      </c>
      <c r="DC215" s="24"/>
      <c r="DD215">
        <v>555</v>
      </c>
      <c r="DE215">
        <v>578</v>
      </c>
      <c r="DF215">
        <v>578</v>
      </c>
      <c r="DG215">
        <v>26492670</v>
      </c>
      <c r="DH215">
        <v>165</v>
      </c>
      <c r="DJ215" s="24"/>
      <c r="DK215">
        <v>32111001</v>
      </c>
      <c r="DL215">
        <v>32800201</v>
      </c>
      <c r="DM215">
        <v>32510001</v>
      </c>
      <c r="DN215">
        <v>220</v>
      </c>
      <c r="DO215">
        <v>75</v>
      </c>
      <c r="DQ215" s="24"/>
      <c r="DR215">
        <v>1700045</v>
      </c>
      <c r="DS215">
        <v>1792500</v>
      </c>
      <c r="DT215">
        <v>1789000</v>
      </c>
      <c r="DU215">
        <v>8111</v>
      </c>
      <c r="DV215">
        <v>257</v>
      </c>
      <c r="DX215" s="24"/>
      <c r="DY215">
        <v>19971125</v>
      </c>
      <c r="DZ215">
        <v>21499999</v>
      </c>
      <c r="EA215">
        <v>19997211</v>
      </c>
      <c r="EB215">
        <v>333</v>
      </c>
      <c r="EC215">
        <v>94</v>
      </c>
      <c r="EE215" s="24"/>
      <c r="EF215">
        <v>153</v>
      </c>
      <c r="EG215">
        <v>156</v>
      </c>
      <c r="EH215">
        <v>156</v>
      </c>
      <c r="EI215">
        <v>85651247</v>
      </c>
      <c r="EJ215">
        <v>155</v>
      </c>
      <c r="EL215" s="24"/>
      <c r="EM215">
        <v>56005</v>
      </c>
      <c r="EN215">
        <v>59891</v>
      </c>
      <c r="EO215">
        <v>56120</v>
      </c>
      <c r="EP215">
        <v>80546</v>
      </c>
      <c r="EQ215">
        <v>734</v>
      </c>
      <c r="ES215" s="24"/>
      <c r="ET215">
        <v>278</v>
      </c>
      <c r="EU215">
        <v>292</v>
      </c>
      <c r="EV215">
        <v>292</v>
      </c>
      <c r="EW215">
        <v>31811400</v>
      </c>
      <c r="EX215">
        <v>594</v>
      </c>
      <c r="EZ215" s="24"/>
      <c r="FA215">
        <v>3300000</v>
      </c>
      <c r="FB215">
        <v>3390000</v>
      </c>
      <c r="FC215">
        <v>3300000</v>
      </c>
      <c r="FD215">
        <v>1272</v>
      </c>
      <c r="FE215">
        <v>22</v>
      </c>
      <c r="FG215" s="24"/>
      <c r="FH215">
        <v>5500</v>
      </c>
      <c r="FI215">
        <v>5799</v>
      </c>
      <c r="FJ215">
        <v>5795</v>
      </c>
      <c r="FK215">
        <v>1727496</v>
      </c>
      <c r="FL215">
        <v>405</v>
      </c>
      <c r="FN215" s="24"/>
      <c r="FO215">
        <v>18185</v>
      </c>
      <c r="FP215">
        <v>18185</v>
      </c>
      <c r="FQ215">
        <v>18185</v>
      </c>
      <c r="FR215">
        <v>167140</v>
      </c>
      <c r="FS215">
        <v>70</v>
      </c>
      <c r="FU215" s="24"/>
      <c r="FV215">
        <v>17600</v>
      </c>
      <c r="FW215">
        <v>18051</v>
      </c>
      <c r="FX215">
        <v>18002</v>
      </c>
      <c r="FY215">
        <v>327253</v>
      </c>
      <c r="FZ215">
        <v>1425</v>
      </c>
      <c r="GB215" s="24"/>
      <c r="GC215">
        <v>90500021</v>
      </c>
      <c r="GD215">
        <v>94999000</v>
      </c>
      <c r="GE215">
        <v>93040095</v>
      </c>
      <c r="GF215">
        <v>68</v>
      </c>
      <c r="GG215">
        <v>53</v>
      </c>
      <c r="GI215" s="24"/>
      <c r="GJ215">
        <v>22991002</v>
      </c>
      <c r="GK215">
        <v>23895000</v>
      </c>
      <c r="GL215">
        <v>23092017</v>
      </c>
      <c r="GM215">
        <v>541</v>
      </c>
      <c r="GN215">
        <v>100</v>
      </c>
      <c r="GP215" s="24"/>
      <c r="GQ215">
        <v>83</v>
      </c>
      <c r="GR215">
        <v>85</v>
      </c>
      <c r="GS215">
        <v>83</v>
      </c>
      <c r="GT215">
        <v>191587554</v>
      </c>
      <c r="GU215">
        <v>123</v>
      </c>
      <c r="GW215" s="24"/>
      <c r="GX215">
        <v>530</v>
      </c>
      <c r="GY215">
        <v>580</v>
      </c>
      <c r="GZ215">
        <v>548</v>
      </c>
      <c r="HA215">
        <v>45332654</v>
      </c>
      <c r="HB215">
        <v>244</v>
      </c>
      <c r="HD215" s="24"/>
      <c r="HE215">
        <v>5924</v>
      </c>
      <c r="HF215">
        <v>5996</v>
      </c>
      <c r="HG215">
        <v>5994</v>
      </c>
      <c r="HH215">
        <v>13669714</v>
      </c>
      <c r="HI215">
        <v>234</v>
      </c>
      <c r="HK215" s="24"/>
      <c r="HL215">
        <v>85107115</v>
      </c>
      <c r="HM215">
        <v>94988999</v>
      </c>
      <c r="HN215">
        <v>91951997</v>
      </c>
      <c r="HO215">
        <v>79</v>
      </c>
      <c r="HP215">
        <v>68</v>
      </c>
      <c r="HR215" s="24"/>
      <c r="HS215">
        <v>5898</v>
      </c>
      <c r="HT215">
        <v>6145</v>
      </c>
      <c r="HU215">
        <v>5973</v>
      </c>
      <c r="HV215">
        <v>1369102</v>
      </c>
      <c r="HW215">
        <v>127</v>
      </c>
      <c r="HY215" s="24"/>
      <c r="HZ215">
        <v>4950</v>
      </c>
      <c r="IA215">
        <v>5178</v>
      </c>
      <c r="IB215">
        <v>5174</v>
      </c>
      <c r="IC215">
        <v>1956669</v>
      </c>
      <c r="ID215">
        <v>422</v>
      </c>
      <c r="IF215" s="24"/>
      <c r="IG215">
        <v>2580</v>
      </c>
      <c r="IH215">
        <v>2699</v>
      </c>
      <c r="II215">
        <v>2699</v>
      </c>
      <c r="IJ215">
        <v>1651002</v>
      </c>
      <c r="IK215">
        <v>118</v>
      </c>
      <c r="IM215" s="24"/>
      <c r="IN215">
        <v>90000001</v>
      </c>
      <c r="IO215">
        <v>93998000</v>
      </c>
      <c r="IP215">
        <v>90001000</v>
      </c>
      <c r="IQ215">
        <v>102</v>
      </c>
      <c r="IR215">
        <v>80</v>
      </c>
      <c r="IT215" s="24"/>
      <c r="IU215">
        <v>7491</v>
      </c>
      <c r="IV215">
        <v>7748</v>
      </c>
      <c r="IW215">
        <v>7649</v>
      </c>
      <c r="IX215">
        <v>1166682</v>
      </c>
      <c r="IY215">
        <v>162</v>
      </c>
      <c r="JA215" s="24"/>
      <c r="JB215">
        <v>92391002</v>
      </c>
      <c r="JC215">
        <v>97391989</v>
      </c>
      <c r="JD215">
        <v>94556164</v>
      </c>
      <c r="JE215">
        <v>98</v>
      </c>
      <c r="JF215">
        <v>79</v>
      </c>
      <c r="JH215" s="24"/>
      <c r="JI215">
        <v>85311008</v>
      </c>
      <c r="JJ215">
        <v>94997992</v>
      </c>
      <c r="JK215">
        <v>93108912</v>
      </c>
      <c r="JL215">
        <v>36</v>
      </c>
      <c r="JM215">
        <v>31</v>
      </c>
      <c r="JO215" s="24"/>
      <c r="JP215">
        <v>88</v>
      </c>
      <c r="JQ215">
        <v>88</v>
      </c>
      <c r="JR215">
        <v>88</v>
      </c>
      <c r="JS215">
        <v>98172560</v>
      </c>
      <c r="JT215">
        <v>95</v>
      </c>
      <c r="JV215" s="24"/>
      <c r="JW215">
        <v>72</v>
      </c>
      <c r="JX215">
        <v>73</v>
      </c>
      <c r="JY215">
        <v>73</v>
      </c>
      <c r="JZ215">
        <v>128825857</v>
      </c>
      <c r="KA215">
        <v>116</v>
      </c>
      <c r="KC215" s="24"/>
      <c r="KD215">
        <v>20</v>
      </c>
      <c r="KE215">
        <v>22</v>
      </c>
      <c r="KF215">
        <v>22</v>
      </c>
      <c r="KG215">
        <v>32767136</v>
      </c>
      <c r="KH215">
        <v>319</v>
      </c>
      <c r="KJ215" s="24"/>
      <c r="KK215">
        <v>86</v>
      </c>
      <c r="KL215">
        <v>86</v>
      </c>
      <c r="KM215">
        <v>86</v>
      </c>
      <c r="KN215">
        <v>102678897</v>
      </c>
      <c r="KO215">
        <v>107</v>
      </c>
      <c r="KQ215" s="24"/>
      <c r="KR215">
        <v>115001</v>
      </c>
      <c r="KS215">
        <v>118499</v>
      </c>
      <c r="KT215">
        <v>115006</v>
      </c>
      <c r="KU215">
        <v>61228</v>
      </c>
      <c r="KV215">
        <v>737</v>
      </c>
      <c r="KX215" s="24"/>
      <c r="KY215">
        <v>497</v>
      </c>
      <c r="KZ215">
        <v>500</v>
      </c>
      <c r="LA215">
        <v>500</v>
      </c>
      <c r="LB215">
        <v>4747049</v>
      </c>
      <c r="LC215">
        <v>139</v>
      </c>
      <c r="LE215" s="24"/>
      <c r="LF215">
        <v>186500</v>
      </c>
      <c r="LG215">
        <v>188000</v>
      </c>
      <c r="LH215">
        <v>187520</v>
      </c>
      <c r="LI215">
        <v>160634</v>
      </c>
      <c r="LJ215">
        <v>1079</v>
      </c>
      <c r="LL215" s="24"/>
      <c r="LM215">
        <v>76000</v>
      </c>
      <c r="LN215">
        <v>77829</v>
      </c>
      <c r="LO215">
        <v>77828</v>
      </c>
      <c r="LP215">
        <v>306163</v>
      </c>
      <c r="LQ215">
        <v>1457</v>
      </c>
      <c r="LS215" s="24"/>
      <c r="LT215">
        <v>500</v>
      </c>
      <c r="LU215">
        <v>529</v>
      </c>
      <c r="LV215">
        <v>518</v>
      </c>
      <c r="LW215">
        <v>83395921</v>
      </c>
      <c r="LX215">
        <v>379</v>
      </c>
      <c r="LZ215" s="24"/>
      <c r="MA215">
        <v>104102</v>
      </c>
      <c r="MB215">
        <v>109744</v>
      </c>
      <c r="MC215">
        <v>109743</v>
      </c>
      <c r="MD215">
        <v>511942</v>
      </c>
      <c r="ME215">
        <v>56</v>
      </c>
    </row>
    <row r="216" spans="2:343" x14ac:dyDescent="0.25">
      <c r="B216" s="24"/>
      <c r="C216">
        <v>3</v>
      </c>
      <c r="D216">
        <v>3</v>
      </c>
      <c r="E216">
        <v>3</v>
      </c>
      <c r="F216">
        <v>26402289953</v>
      </c>
      <c r="G216">
        <v>3818</v>
      </c>
      <c r="I216" s="24"/>
      <c r="J216">
        <v>4</v>
      </c>
      <c r="K216">
        <v>4</v>
      </c>
      <c r="L216">
        <v>4</v>
      </c>
      <c r="M216">
        <v>4758444529</v>
      </c>
      <c r="N216">
        <v>2573</v>
      </c>
      <c r="P216" s="24"/>
      <c r="Q216">
        <v>26</v>
      </c>
      <c r="R216">
        <v>27</v>
      </c>
      <c r="S216">
        <v>27</v>
      </c>
      <c r="T216">
        <v>1753381705</v>
      </c>
      <c r="U216">
        <v>2351</v>
      </c>
      <c r="W216" s="24"/>
      <c r="X216">
        <v>60</v>
      </c>
      <c r="Y216">
        <v>62</v>
      </c>
      <c r="Z216">
        <v>61</v>
      </c>
      <c r="AA216">
        <v>456532175</v>
      </c>
      <c r="AB216">
        <v>1870</v>
      </c>
      <c r="AD216" s="24"/>
      <c r="AE216">
        <v>396</v>
      </c>
      <c r="AF216">
        <v>399</v>
      </c>
      <c r="AG216">
        <v>399</v>
      </c>
      <c r="AH216">
        <v>120382245</v>
      </c>
      <c r="AI216">
        <v>1820</v>
      </c>
      <c r="AK216" s="24"/>
      <c r="AL216">
        <v>770</v>
      </c>
      <c r="AM216">
        <v>806</v>
      </c>
      <c r="AN216">
        <v>790</v>
      </c>
      <c r="AO216">
        <v>61105066</v>
      </c>
      <c r="AP216">
        <v>1563</v>
      </c>
      <c r="AR216" s="24"/>
      <c r="AS216">
        <v>2696</v>
      </c>
      <c r="AT216">
        <v>2771</v>
      </c>
      <c r="AU216">
        <v>2696</v>
      </c>
      <c r="AV216">
        <v>15336304</v>
      </c>
      <c r="AW216">
        <v>1459</v>
      </c>
      <c r="AY216" s="24"/>
      <c r="AZ216">
        <v>356498000</v>
      </c>
      <c r="BA216">
        <v>364000000</v>
      </c>
      <c r="BB216">
        <v>362999995</v>
      </c>
      <c r="BC216">
        <v>2803</v>
      </c>
      <c r="BD216">
        <v>1996</v>
      </c>
      <c r="BF216" s="24"/>
      <c r="BG216">
        <v>24117</v>
      </c>
      <c r="BH216">
        <v>24161</v>
      </c>
      <c r="BI216">
        <v>24146</v>
      </c>
      <c r="BJ216">
        <v>2419215</v>
      </c>
      <c r="BK216">
        <v>253</v>
      </c>
      <c r="BM216" s="24"/>
      <c r="BN216">
        <v>6100729</v>
      </c>
      <c r="BO216">
        <v>6329000</v>
      </c>
      <c r="BP216">
        <v>6100739</v>
      </c>
      <c r="BQ216">
        <v>14001</v>
      </c>
      <c r="BR216">
        <v>419</v>
      </c>
      <c r="BT216" s="24"/>
      <c r="BU216">
        <v>2365</v>
      </c>
      <c r="BV216">
        <v>2365</v>
      </c>
      <c r="BW216">
        <v>2365</v>
      </c>
      <c r="BX216">
        <v>29589109</v>
      </c>
      <c r="BY216">
        <v>238</v>
      </c>
      <c r="CA216" s="24"/>
      <c r="CB216">
        <v>544</v>
      </c>
      <c r="CC216">
        <v>545</v>
      </c>
      <c r="CD216">
        <v>545</v>
      </c>
      <c r="CE216">
        <v>43412453</v>
      </c>
      <c r="CF216">
        <v>224</v>
      </c>
      <c r="CH216" s="24"/>
      <c r="CI216">
        <v>21411</v>
      </c>
      <c r="CJ216">
        <v>23300</v>
      </c>
      <c r="CK216">
        <v>21427</v>
      </c>
      <c r="CL216">
        <v>1193100</v>
      </c>
      <c r="CM216">
        <v>231</v>
      </c>
      <c r="CO216" s="24"/>
      <c r="CP216">
        <v>5801</v>
      </c>
      <c r="CQ216">
        <v>5998</v>
      </c>
      <c r="CR216">
        <v>5978</v>
      </c>
      <c r="CS216">
        <v>1029458</v>
      </c>
      <c r="CT216">
        <v>329</v>
      </c>
      <c r="CV216" s="24"/>
      <c r="CW216">
        <v>1300001</v>
      </c>
      <c r="CX216">
        <v>1381897</v>
      </c>
      <c r="CY216">
        <v>1300003</v>
      </c>
      <c r="CZ216">
        <v>12124</v>
      </c>
      <c r="DA216">
        <v>43</v>
      </c>
      <c r="DC216" s="24"/>
      <c r="DD216">
        <v>564</v>
      </c>
      <c r="DE216">
        <v>578</v>
      </c>
      <c r="DF216">
        <v>570</v>
      </c>
      <c r="DG216">
        <v>32603227</v>
      </c>
      <c r="DH216">
        <v>190</v>
      </c>
      <c r="DJ216" s="24"/>
      <c r="DK216">
        <v>32111002</v>
      </c>
      <c r="DL216">
        <v>33999999</v>
      </c>
      <c r="DM216">
        <v>32411026</v>
      </c>
      <c r="DN216">
        <v>336</v>
      </c>
      <c r="DO216">
        <v>84</v>
      </c>
      <c r="DQ216" s="24"/>
      <c r="DR216">
        <v>1740004</v>
      </c>
      <c r="DS216">
        <v>1820002</v>
      </c>
      <c r="DT216">
        <v>1750001</v>
      </c>
      <c r="DU216">
        <v>4632</v>
      </c>
      <c r="DV216">
        <v>226</v>
      </c>
      <c r="DX216" s="24"/>
      <c r="DY216">
        <v>20000132</v>
      </c>
      <c r="DZ216">
        <v>20900001</v>
      </c>
      <c r="EA216">
        <v>20800006</v>
      </c>
      <c r="EB216">
        <v>320</v>
      </c>
      <c r="EC216">
        <v>84</v>
      </c>
      <c r="EE216" s="24"/>
      <c r="EF216">
        <v>151</v>
      </c>
      <c r="EG216">
        <v>156</v>
      </c>
      <c r="EH216">
        <v>156</v>
      </c>
      <c r="EI216">
        <v>96684695</v>
      </c>
      <c r="EJ216">
        <v>180</v>
      </c>
      <c r="EL216" s="24"/>
      <c r="EM216">
        <v>59002</v>
      </c>
      <c r="EN216">
        <v>60000</v>
      </c>
      <c r="EO216">
        <v>59003</v>
      </c>
      <c r="EP216">
        <v>119712</v>
      </c>
      <c r="EQ216">
        <v>779</v>
      </c>
      <c r="ES216" s="24"/>
      <c r="ET216">
        <v>300</v>
      </c>
      <c r="EU216">
        <v>301</v>
      </c>
      <c r="EV216">
        <v>301</v>
      </c>
      <c r="EW216">
        <v>22269329</v>
      </c>
      <c r="EX216">
        <v>608</v>
      </c>
      <c r="EZ216" s="24"/>
      <c r="FA216">
        <v>3320001</v>
      </c>
      <c r="FB216">
        <v>3399999</v>
      </c>
      <c r="FC216">
        <v>3320001</v>
      </c>
      <c r="FD216">
        <v>3128</v>
      </c>
      <c r="FE216">
        <v>30</v>
      </c>
      <c r="FG216" s="24"/>
      <c r="FH216">
        <v>5510</v>
      </c>
      <c r="FI216">
        <v>5789</v>
      </c>
      <c r="FJ216">
        <v>5780</v>
      </c>
      <c r="FK216">
        <v>1430397</v>
      </c>
      <c r="FL216">
        <v>412</v>
      </c>
      <c r="FN216" s="24"/>
      <c r="FO216">
        <v>18185</v>
      </c>
      <c r="FP216">
        <v>18185</v>
      </c>
      <c r="FQ216">
        <v>18185</v>
      </c>
      <c r="FR216">
        <v>187407</v>
      </c>
      <c r="FS216">
        <v>101</v>
      </c>
      <c r="FU216" s="24"/>
      <c r="FV216">
        <v>17701</v>
      </c>
      <c r="FW216">
        <v>17704</v>
      </c>
      <c r="FX216">
        <v>17701</v>
      </c>
      <c r="FY216">
        <v>340427</v>
      </c>
      <c r="FZ216">
        <v>1489</v>
      </c>
      <c r="GB216" s="24"/>
      <c r="GC216">
        <v>90500021</v>
      </c>
      <c r="GD216">
        <v>94799997</v>
      </c>
      <c r="GE216">
        <v>93140149</v>
      </c>
      <c r="GF216">
        <v>98</v>
      </c>
      <c r="GG216">
        <v>78</v>
      </c>
      <c r="GI216" s="24"/>
      <c r="GJ216">
        <v>23005005</v>
      </c>
      <c r="GK216">
        <v>24000000</v>
      </c>
      <c r="GL216">
        <v>23894989</v>
      </c>
      <c r="GM216">
        <v>471</v>
      </c>
      <c r="GN216">
        <v>88</v>
      </c>
      <c r="GP216" s="24"/>
      <c r="GQ216">
        <v>80</v>
      </c>
      <c r="GR216">
        <v>85</v>
      </c>
      <c r="GS216">
        <v>84</v>
      </c>
      <c r="GT216">
        <v>156282649</v>
      </c>
      <c r="GU216">
        <v>126</v>
      </c>
      <c r="GW216" s="24"/>
      <c r="GX216">
        <v>535</v>
      </c>
      <c r="GY216">
        <v>574</v>
      </c>
      <c r="GZ216">
        <v>540</v>
      </c>
      <c r="HA216">
        <v>42420117</v>
      </c>
      <c r="HB216">
        <v>233</v>
      </c>
      <c r="HD216" s="24"/>
      <c r="HE216">
        <v>5889</v>
      </c>
      <c r="HF216">
        <v>5977</v>
      </c>
      <c r="HG216">
        <v>5968</v>
      </c>
      <c r="HH216">
        <v>23409237</v>
      </c>
      <c r="HI216">
        <v>342</v>
      </c>
      <c r="HK216" s="24"/>
      <c r="HL216">
        <v>91208009</v>
      </c>
      <c r="HM216">
        <v>94943000</v>
      </c>
      <c r="HN216">
        <v>93175432</v>
      </c>
      <c r="HO216">
        <v>81</v>
      </c>
      <c r="HP216">
        <v>64</v>
      </c>
      <c r="HR216" s="24"/>
      <c r="HS216">
        <v>5252</v>
      </c>
      <c r="HT216">
        <v>5880</v>
      </c>
      <c r="HU216">
        <v>5849</v>
      </c>
      <c r="HV216">
        <v>498984</v>
      </c>
      <c r="HW216">
        <v>130</v>
      </c>
      <c r="HY216" s="24"/>
      <c r="HZ216">
        <v>4953</v>
      </c>
      <c r="IA216">
        <v>5169</v>
      </c>
      <c r="IB216">
        <v>5168</v>
      </c>
      <c r="IC216">
        <v>1456629</v>
      </c>
      <c r="ID216">
        <v>480</v>
      </c>
      <c r="IF216" s="24"/>
      <c r="IG216">
        <v>2620</v>
      </c>
      <c r="IH216">
        <v>2693</v>
      </c>
      <c r="II216">
        <v>2693</v>
      </c>
      <c r="IJ216">
        <v>2006621</v>
      </c>
      <c r="IK216">
        <v>165</v>
      </c>
      <c r="IM216" s="24"/>
      <c r="IN216">
        <v>85710002</v>
      </c>
      <c r="IO216">
        <v>92549999</v>
      </c>
      <c r="IP216">
        <v>91108008</v>
      </c>
      <c r="IQ216">
        <v>122</v>
      </c>
      <c r="IR216">
        <v>82</v>
      </c>
      <c r="IT216" s="24"/>
      <c r="IU216">
        <v>7647</v>
      </c>
      <c r="IV216">
        <v>7649</v>
      </c>
      <c r="IW216">
        <v>7649</v>
      </c>
      <c r="IX216">
        <v>1438874</v>
      </c>
      <c r="IY216">
        <v>178</v>
      </c>
      <c r="JA216" s="24"/>
      <c r="JB216">
        <v>92700001</v>
      </c>
      <c r="JC216">
        <v>97199998</v>
      </c>
      <c r="JD216">
        <v>95098999</v>
      </c>
      <c r="JE216">
        <v>107</v>
      </c>
      <c r="JF216">
        <v>81</v>
      </c>
      <c r="JH216" s="24"/>
      <c r="JI216">
        <v>90998005</v>
      </c>
      <c r="JJ216">
        <v>94049999</v>
      </c>
      <c r="JK216">
        <v>91774402</v>
      </c>
      <c r="JL216">
        <v>79</v>
      </c>
      <c r="JM216">
        <v>67</v>
      </c>
      <c r="JO216" s="24"/>
      <c r="JP216">
        <v>88</v>
      </c>
      <c r="JQ216">
        <v>88</v>
      </c>
      <c r="JR216">
        <v>88</v>
      </c>
      <c r="JS216">
        <v>83714430</v>
      </c>
      <c r="JT216">
        <v>80</v>
      </c>
      <c r="JV216" s="24"/>
      <c r="JW216">
        <v>74</v>
      </c>
      <c r="JX216">
        <v>74</v>
      </c>
      <c r="JY216">
        <v>74</v>
      </c>
      <c r="JZ216">
        <v>105603780</v>
      </c>
      <c r="KA216">
        <v>113</v>
      </c>
      <c r="KC216" s="24"/>
      <c r="KD216">
        <v>21</v>
      </c>
      <c r="KE216">
        <v>22</v>
      </c>
      <c r="KF216">
        <v>21</v>
      </c>
      <c r="KG216">
        <v>41410248</v>
      </c>
      <c r="KH216">
        <v>336</v>
      </c>
      <c r="KJ216" s="24"/>
      <c r="KK216">
        <v>86</v>
      </c>
      <c r="KL216">
        <v>86</v>
      </c>
      <c r="KM216">
        <v>86</v>
      </c>
      <c r="KN216">
        <v>136170359</v>
      </c>
      <c r="KO216">
        <v>128</v>
      </c>
      <c r="KQ216" s="24"/>
      <c r="KR216">
        <v>115001</v>
      </c>
      <c r="KS216">
        <v>120000</v>
      </c>
      <c r="KT216">
        <v>119889</v>
      </c>
      <c r="KU216">
        <v>57853</v>
      </c>
      <c r="KV216">
        <v>740</v>
      </c>
      <c r="KX216" s="24"/>
      <c r="KY216">
        <v>500</v>
      </c>
      <c r="KZ216">
        <v>500</v>
      </c>
      <c r="LA216">
        <v>500</v>
      </c>
      <c r="LB216">
        <v>7101984</v>
      </c>
      <c r="LC216">
        <v>205</v>
      </c>
      <c r="LE216" s="24"/>
      <c r="LF216">
        <v>185109</v>
      </c>
      <c r="LG216">
        <v>186001</v>
      </c>
      <c r="LH216">
        <v>185110</v>
      </c>
      <c r="LI216">
        <v>122941</v>
      </c>
      <c r="LJ216">
        <v>1080</v>
      </c>
      <c r="LL216" s="24"/>
      <c r="LM216">
        <v>77003</v>
      </c>
      <c r="LN216">
        <v>77005</v>
      </c>
      <c r="LO216">
        <v>77004</v>
      </c>
      <c r="LP216">
        <v>324979</v>
      </c>
      <c r="LQ216">
        <v>1500</v>
      </c>
      <c r="LS216" s="24"/>
      <c r="LT216">
        <v>500</v>
      </c>
      <c r="LU216">
        <v>517</v>
      </c>
      <c r="LV216">
        <v>514</v>
      </c>
      <c r="LW216">
        <v>75807777</v>
      </c>
      <c r="LX216">
        <v>389</v>
      </c>
      <c r="LZ216" s="24"/>
      <c r="MA216">
        <v>107000</v>
      </c>
      <c r="MB216">
        <v>109741</v>
      </c>
      <c r="MC216">
        <v>109598</v>
      </c>
      <c r="MD216">
        <v>848404</v>
      </c>
      <c r="ME216">
        <v>77</v>
      </c>
    </row>
    <row r="217" spans="2:343" x14ac:dyDescent="0.25">
      <c r="B217" s="24"/>
      <c r="C217">
        <v>3</v>
      </c>
      <c r="D217">
        <v>3</v>
      </c>
      <c r="E217">
        <v>3</v>
      </c>
      <c r="F217">
        <v>27598042608</v>
      </c>
      <c r="G217">
        <v>3313</v>
      </c>
      <c r="I217" s="24"/>
      <c r="J217">
        <v>4</v>
      </c>
      <c r="K217">
        <v>4</v>
      </c>
      <c r="L217">
        <v>4</v>
      </c>
      <c r="M217">
        <v>3959541549</v>
      </c>
      <c r="N217">
        <v>2207</v>
      </c>
      <c r="P217" s="24"/>
      <c r="Q217">
        <v>27</v>
      </c>
      <c r="R217">
        <v>27</v>
      </c>
      <c r="S217">
        <v>27</v>
      </c>
      <c r="T217">
        <v>1559616939</v>
      </c>
      <c r="U217">
        <v>2026</v>
      </c>
      <c r="W217" s="24"/>
      <c r="X217">
        <v>61</v>
      </c>
      <c r="Y217">
        <v>62</v>
      </c>
      <c r="Z217">
        <v>62</v>
      </c>
      <c r="AA217">
        <v>291871850</v>
      </c>
      <c r="AB217">
        <v>1526</v>
      </c>
      <c r="AD217" s="24"/>
      <c r="AE217">
        <v>399</v>
      </c>
      <c r="AF217">
        <v>401</v>
      </c>
      <c r="AG217">
        <v>401</v>
      </c>
      <c r="AH217">
        <v>126434754</v>
      </c>
      <c r="AI217">
        <v>1573</v>
      </c>
      <c r="AK217" s="24"/>
      <c r="AL217">
        <v>775</v>
      </c>
      <c r="AM217">
        <v>798</v>
      </c>
      <c r="AN217">
        <v>789</v>
      </c>
      <c r="AO217">
        <v>43844292</v>
      </c>
      <c r="AP217">
        <v>1334</v>
      </c>
      <c r="AR217" s="24"/>
      <c r="AS217">
        <v>2683</v>
      </c>
      <c r="AT217">
        <v>2769</v>
      </c>
      <c r="AU217">
        <v>2743</v>
      </c>
      <c r="AV217">
        <v>11725537</v>
      </c>
      <c r="AW217">
        <v>1325</v>
      </c>
      <c r="AY217" s="24"/>
      <c r="AZ217">
        <v>357000011</v>
      </c>
      <c r="BA217">
        <v>364500000</v>
      </c>
      <c r="BB217">
        <v>363999995</v>
      </c>
      <c r="BC217">
        <v>2304</v>
      </c>
      <c r="BD217">
        <v>1677</v>
      </c>
      <c r="BF217" s="24"/>
      <c r="BG217">
        <v>24501</v>
      </c>
      <c r="BH217">
        <v>24610</v>
      </c>
      <c r="BI217">
        <v>24512</v>
      </c>
      <c r="BJ217">
        <v>2113906</v>
      </c>
      <c r="BK217">
        <v>211</v>
      </c>
      <c r="BM217" s="24"/>
      <c r="BN217">
        <v>6101000</v>
      </c>
      <c r="BO217">
        <v>6213000</v>
      </c>
      <c r="BP217">
        <v>6113001</v>
      </c>
      <c r="BQ217">
        <v>9333</v>
      </c>
      <c r="BR217">
        <v>311</v>
      </c>
      <c r="BT217" s="24"/>
      <c r="BU217">
        <v>2365</v>
      </c>
      <c r="BV217">
        <v>2365</v>
      </c>
      <c r="BW217">
        <v>2365</v>
      </c>
      <c r="BX217">
        <v>12259077</v>
      </c>
      <c r="BY217">
        <v>203</v>
      </c>
      <c r="CA217" s="24"/>
      <c r="CB217">
        <v>531</v>
      </c>
      <c r="CC217">
        <v>545</v>
      </c>
      <c r="CD217">
        <v>544</v>
      </c>
      <c r="CE217">
        <v>79863260</v>
      </c>
      <c r="CF217">
        <v>283</v>
      </c>
      <c r="CH217" s="24"/>
      <c r="CI217">
        <v>22101</v>
      </c>
      <c r="CJ217">
        <v>22140</v>
      </c>
      <c r="CK217">
        <v>22140</v>
      </c>
      <c r="CL217">
        <v>1402466</v>
      </c>
      <c r="CM217">
        <v>170</v>
      </c>
      <c r="CO217" s="24"/>
      <c r="CP217">
        <v>5954</v>
      </c>
      <c r="CQ217">
        <v>5959</v>
      </c>
      <c r="CR217">
        <v>5958</v>
      </c>
      <c r="CS217">
        <v>813463</v>
      </c>
      <c r="CT217">
        <v>325</v>
      </c>
      <c r="CV217" s="24"/>
      <c r="CW217">
        <v>1290000</v>
      </c>
      <c r="CX217">
        <v>1338499</v>
      </c>
      <c r="CY217">
        <v>1300001</v>
      </c>
      <c r="CZ217">
        <v>10572</v>
      </c>
      <c r="DA217">
        <v>36</v>
      </c>
      <c r="DC217" s="24"/>
      <c r="DD217">
        <v>586</v>
      </c>
      <c r="DE217">
        <v>586</v>
      </c>
      <c r="DF217">
        <v>586</v>
      </c>
      <c r="DG217">
        <v>20387927</v>
      </c>
      <c r="DH217">
        <v>153</v>
      </c>
      <c r="DJ217" s="24"/>
      <c r="DK217">
        <v>32411000</v>
      </c>
      <c r="DL217">
        <v>32411028</v>
      </c>
      <c r="DM217">
        <v>32411027</v>
      </c>
      <c r="DN217">
        <v>309</v>
      </c>
      <c r="DO217">
        <v>73</v>
      </c>
      <c r="DQ217" s="24"/>
      <c r="DR217">
        <v>1740045</v>
      </c>
      <c r="DS217">
        <v>1819999</v>
      </c>
      <c r="DT217">
        <v>1745003</v>
      </c>
      <c r="DU217">
        <v>4587</v>
      </c>
      <c r="DV217">
        <v>239</v>
      </c>
      <c r="DX217" s="24"/>
      <c r="DY217">
        <v>20100131</v>
      </c>
      <c r="DZ217">
        <v>21499998</v>
      </c>
      <c r="EA217">
        <v>20360002</v>
      </c>
      <c r="EB217">
        <v>357</v>
      </c>
      <c r="EC217">
        <v>96</v>
      </c>
      <c r="EE217" s="24"/>
      <c r="EF217">
        <v>150</v>
      </c>
      <c r="EG217">
        <v>156</v>
      </c>
      <c r="EH217">
        <v>155</v>
      </c>
      <c r="EI217">
        <v>63870850</v>
      </c>
      <c r="EJ217">
        <v>147</v>
      </c>
      <c r="EL217" s="24"/>
      <c r="EM217">
        <v>58001</v>
      </c>
      <c r="EN217">
        <v>59000</v>
      </c>
      <c r="EO217">
        <v>58006</v>
      </c>
      <c r="EP217">
        <v>73588</v>
      </c>
      <c r="EQ217">
        <v>688</v>
      </c>
      <c r="ES217" s="24"/>
      <c r="ET217">
        <v>286</v>
      </c>
      <c r="EU217">
        <v>300</v>
      </c>
      <c r="EV217">
        <v>300</v>
      </c>
      <c r="EW217">
        <v>50363121</v>
      </c>
      <c r="EX217">
        <v>616</v>
      </c>
      <c r="EZ217" s="24"/>
      <c r="FA217">
        <v>3320001</v>
      </c>
      <c r="FB217">
        <v>3443000</v>
      </c>
      <c r="FC217">
        <v>3441998</v>
      </c>
      <c r="FD217">
        <v>1891</v>
      </c>
      <c r="FE217">
        <v>26</v>
      </c>
      <c r="FG217" s="24"/>
      <c r="FH217">
        <v>5464</v>
      </c>
      <c r="FI217">
        <v>5769</v>
      </c>
      <c r="FJ217">
        <v>5767</v>
      </c>
      <c r="FK217">
        <v>1491401</v>
      </c>
      <c r="FL217">
        <v>426</v>
      </c>
      <c r="FN217" s="24"/>
      <c r="FO217">
        <v>18181</v>
      </c>
      <c r="FP217">
        <v>18184</v>
      </c>
      <c r="FQ217">
        <v>18184</v>
      </c>
      <c r="FR217">
        <v>73367</v>
      </c>
      <c r="FS217">
        <v>69</v>
      </c>
      <c r="FU217" s="24"/>
      <c r="FV217">
        <v>17951</v>
      </c>
      <c r="FW217">
        <v>18061</v>
      </c>
      <c r="FX217">
        <v>17955</v>
      </c>
      <c r="FY217">
        <v>348126</v>
      </c>
      <c r="FZ217">
        <v>1368</v>
      </c>
      <c r="GB217" s="24"/>
      <c r="GC217">
        <v>88901002</v>
      </c>
      <c r="GD217">
        <v>94594000</v>
      </c>
      <c r="GE217">
        <v>90001000</v>
      </c>
      <c r="GF217">
        <v>136</v>
      </c>
      <c r="GG217">
        <v>84</v>
      </c>
      <c r="GI217" s="24"/>
      <c r="GJ217">
        <v>23007001</v>
      </c>
      <c r="GK217">
        <v>24999999</v>
      </c>
      <c r="GL217">
        <v>23007002</v>
      </c>
      <c r="GM217">
        <v>395</v>
      </c>
      <c r="GN217">
        <v>78</v>
      </c>
      <c r="GP217" s="24"/>
      <c r="GQ217">
        <v>85</v>
      </c>
      <c r="GR217">
        <v>88</v>
      </c>
      <c r="GS217">
        <v>88</v>
      </c>
      <c r="GT217">
        <v>182349431</v>
      </c>
      <c r="GU217">
        <v>122</v>
      </c>
      <c r="GW217" s="24"/>
      <c r="GX217">
        <v>535</v>
      </c>
      <c r="GY217">
        <v>573</v>
      </c>
      <c r="GZ217">
        <v>572</v>
      </c>
      <c r="HA217">
        <v>56150454</v>
      </c>
      <c r="HB217">
        <v>283</v>
      </c>
      <c r="HD217" s="24"/>
      <c r="HE217">
        <v>5763</v>
      </c>
      <c r="HF217">
        <v>5948</v>
      </c>
      <c r="HG217">
        <v>5933</v>
      </c>
      <c r="HH217">
        <v>13181506</v>
      </c>
      <c r="HI217">
        <v>230</v>
      </c>
      <c r="HK217" s="24"/>
      <c r="HL217">
        <v>87000004</v>
      </c>
      <c r="HM217">
        <v>93789999</v>
      </c>
      <c r="HN217">
        <v>87001000</v>
      </c>
      <c r="HO217">
        <v>121</v>
      </c>
      <c r="HP217">
        <v>79</v>
      </c>
      <c r="HR217" s="24"/>
      <c r="HS217">
        <v>5500</v>
      </c>
      <c r="HT217">
        <v>5838</v>
      </c>
      <c r="HU217">
        <v>5834</v>
      </c>
      <c r="HV217">
        <v>708662</v>
      </c>
      <c r="HW217">
        <v>129</v>
      </c>
      <c r="HY217" s="24"/>
      <c r="HZ217">
        <v>4999</v>
      </c>
      <c r="IA217">
        <v>5119</v>
      </c>
      <c r="IB217">
        <v>5100</v>
      </c>
      <c r="IC217">
        <v>1561173</v>
      </c>
      <c r="ID217">
        <v>462</v>
      </c>
      <c r="IF217" s="24"/>
      <c r="IG217">
        <v>2592</v>
      </c>
      <c r="IH217">
        <v>2693</v>
      </c>
      <c r="II217">
        <v>2650</v>
      </c>
      <c r="IJ217">
        <v>1994291</v>
      </c>
      <c r="IK217">
        <v>156</v>
      </c>
      <c r="IM217" s="24"/>
      <c r="IN217">
        <v>86504304</v>
      </c>
      <c r="IO217">
        <v>92108013</v>
      </c>
      <c r="IP217">
        <v>89706704</v>
      </c>
      <c r="IQ217">
        <v>76</v>
      </c>
      <c r="IR217">
        <v>58</v>
      </c>
      <c r="IT217" s="24"/>
      <c r="IU217">
        <v>7501</v>
      </c>
      <c r="IV217">
        <v>7646</v>
      </c>
      <c r="IW217">
        <v>7644</v>
      </c>
      <c r="IX217">
        <v>1119391</v>
      </c>
      <c r="IY217">
        <v>125</v>
      </c>
      <c r="JA217" s="24"/>
      <c r="JB217">
        <v>88900002</v>
      </c>
      <c r="JC217">
        <v>92891999</v>
      </c>
      <c r="JD217">
        <v>90000000</v>
      </c>
      <c r="JE217">
        <v>122</v>
      </c>
      <c r="JF217">
        <v>77</v>
      </c>
      <c r="JH217" s="24"/>
      <c r="JI217">
        <v>87210152</v>
      </c>
      <c r="JJ217">
        <v>93798993</v>
      </c>
      <c r="JK217">
        <v>89515671</v>
      </c>
      <c r="JL217">
        <v>60</v>
      </c>
      <c r="JM217">
        <v>37</v>
      </c>
      <c r="JO217" s="24"/>
      <c r="JP217">
        <v>86</v>
      </c>
      <c r="JQ217">
        <v>88</v>
      </c>
      <c r="JR217">
        <v>88</v>
      </c>
      <c r="JS217">
        <v>69531402</v>
      </c>
      <c r="JT217">
        <v>78</v>
      </c>
      <c r="JV217" s="24"/>
      <c r="JW217">
        <v>72</v>
      </c>
      <c r="JX217">
        <v>72</v>
      </c>
      <c r="JY217">
        <v>72</v>
      </c>
      <c r="JZ217">
        <v>129203109</v>
      </c>
      <c r="KA217">
        <v>91</v>
      </c>
      <c r="KC217" s="24"/>
      <c r="KD217">
        <v>21</v>
      </c>
      <c r="KE217">
        <v>21</v>
      </c>
      <c r="KF217">
        <v>21</v>
      </c>
      <c r="KG217">
        <v>53141121</v>
      </c>
      <c r="KH217">
        <v>327</v>
      </c>
      <c r="KJ217" s="24"/>
      <c r="KK217">
        <v>87</v>
      </c>
      <c r="KL217">
        <v>87</v>
      </c>
      <c r="KM217">
        <v>87</v>
      </c>
      <c r="KN217">
        <v>84086237</v>
      </c>
      <c r="KO217">
        <v>81</v>
      </c>
      <c r="KQ217" s="24"/>
      <c r="KR217">
        <v>118000</v>
      </c>
      <c r="KS217">
        <v>118003</v>
      </c>
      <c r="KT217">
        <v>118002</v>
      </c>
      <c r="KU217">
        <v>52235</v>
      </c>
      <c r="KV217">
        <v>672</v>
      </c>
      <c r="KX217" s="24"/>
      <c r="KY217">
        <v>500</v>
      </c>
      <c r="KZ217">
        <v>500</v>
      </c>
      <c r="LA217">
        <v>500</v>
      </c>
      <c r="LB217">
        <v>14841876</v>
      </c>
      <c r="LC217">
        <v>163</v>
      </c>
      <c r="LE217" s="24"/>
      <c r="LF217">
        <v>184115</v>
      </c>
      <c r="LG217">
        <v>185105</v>
      </c>
      <c r="LH217">
        <v>185105</v>
      </c>
      <c r="LI217">
        <v>192470</v>
      </c>
      <c r="LJ217">
        <v>936</v>
      </c>
      <c r="LL217" s="24"/>
      <c r="LM217">
        <v>76011</v>
      </c>
      <c r="LN217">
        <v>76501</v>
      </c>
      <c r="LO217">
        <v>76014</v>
      </c>
      <c r="LP217">
        <v>319197</v>
      </c>
      <c r="LQ217">
        <v>1347</v>
      </c>
      <c r="LS217" s="24"/>
      <c r="LT217">
        <v>490</v>
      </c>
      <c r="LU217">
        <v>514</v>
      </c>
      <c r="LV217">
        <v>509</v>
      </c>
      <c r="LW217">
        <v>106410491</v>
      </c>
      <c r="LX217">
        <v>450</v>
      </c>
      <c r="LZ217" s="24"/>
      <c r="MA217">
        <v>106803</v>
      </c>
      <c r="MB217">
        <v>109496</v>
      </c>
      <c r="MC217">
        <v>108005</v>
      </c>
      <c r="MD217">
        <v>957931</v>
      </c>
      <c r="ME217">
        <v>98</v>
      </c>
    </row>
    <row r="218" spans="2:343" x14ac:dyDescent="0.25">
      <c r="B218" s="24"/>
      <c r="C218">
        <v>3</v>
      </c>
      <c r="D218">
        <v>3</v>
      </c>
      <c r="E218">
        <v>3</v>
      </c>
      <c r="F218">
        <v>23807954564</v>
      </c>
      <c r="G218">
        <v>2656</v>
      </c>
      <c r="I218" s="24"/>
      <c r="J218">
        <v>4</v>
      </c>
      <c r="K218">
        <v>4</v>
      </c>
      <c r="L218">
        <v>4</v>
      </c>
      <c r="M218">
        <v>5174155792</v>
      </c>
      <c r="N218">
        <v>1681</v>
      </c>
      <c r="P218" s="24"/>
      <c r="Q218">
        <v>27</v>
      </c>
      <c r="R218">
        <v>28</v>
      </c>
      <c r="S218">
        <v>27</v>
      </c>
      <c r="T218">
        <v>1449109789</v>
      </c>
      <c r="U218">
        <v>1545</v>
      </c>
      <c r="W218" s="24"/>
      <c r="X218">
        <v>61</v>
      </c>
      <c r="Y218">
        <v>62</v>
      </c>
      <c r="Z218">
        <v>62</v>
      </c>
      <c r="AA218">
        <v>300698223</v>
      </c>
      <c r="AB218">
        <v>1178</v>
      </c>
      <c r="AD218" s="24"/>
      <c r="AE218">
        <v>395</v>
      </c>
      <c r="AF218">
        <v>401</v>
      </c>
      <c r="AG218">
        <v>400</v>
      </c>
      <c r="AH218">
        <v>60587017</v>
      </c>
      <c r="AI218">
        <v>1273</v>
      </c>
      <c r="AK218" s="24"/>
      <c r="AL218">
        <v>790</v>
      </c>
      <c r="AM218">
        <v>801</v>
      </c>
      <c r="AN218">
        <v>800</v>
      </c>
      <c r="AO218">
        <v>28299502</v>
      </c>
      <c r="AP218">
        <v>1020</v>
      </c>
      <c r="AR218" s="24"/>
      <c r="AS218">
        <v>2690</v>
      </c>
      <c r="AT218">
        <v>2750</v>
      </c>
      <c r="AU218">
        <v>2701</v>
      </c>
      <c r="AV218">
        <v>8650301</v>
      </c>
      <c r="AW218">
        <v>995</v>
      </c>
      <c r="AY218" s="24"/>
      <c r="AZ218">
        <v>356500002</v>
      </c>
      <c r="BA218">
        <v>364500000</v>
      </c>
      <c r="BB218">
        <v>363910000</v>
      </c>
      <c r="BC218">
        <v>1828</v>
      </c>
      <c r="BD218">
        <v>1415</v>
      </c>
      <c r="BF218" s="24"/>
      <c r="BG218">
        <v>25104</v>
      </c>
      <c r="BH218">
        <v>25111</v>
      </c>
      <c r="BI218">
        <v>25108</v>
      </c>
      <c r="BJ218">
        <v>3050669</v>
      </c>
      <c r="BK218">
        <v>227</v>
      </c>
      <c r="BM218" s="24"/>
      <c r="BN218">
        <v>6113000</v>
      </c>
      <c r="BO218">
        <v>6113101</v>
      </c>
      <c r="BP218">
        <v>6113100</v>
      </c>
      <c r="BQ218">
        <v>8491</v>
      </c>
      <c r="BR218">
        <v>257</v>
      </c>
      <c r="BT218" s="24"/>
      <c r="BU218">
        <v>2322</v>
      </c>
      <c r="BV218">
        <v>2365</v>
      </c>
      <c r="BW218">
        <v>2365</v>
      </c>
      <c r="BX218">
        <v>20075873</v>
      </c>
      <c r="BY218">
        <v>214</v>
      </c>
      <c r="CA218" s="24"/>
      <c r="CB218">
        <v>544</v>
      </c>
      <c r="CC218">
        <v>544</v>
      </c>
      <c r="CD218">
        <v>544</v>
      </c>
      <c r="CE218">
        <v>38412257</v>
      </c>
      <c r="CF218">
        <v>195</v>
      </c>
      <c r="CH218" s="24"/>
      <c r="CI218">
        <v>22649</v>
      </c>
      <c r="CJ218">
        <v>23499</v>
      </c>
      <c r="CK218">
        <v>22650</v>
      </c>
      <c r="CL218">
        <v>818991</v>
      </c>
      <c r="CM218">
        <v>130</v>
      </c>
      <c r="CO218" s="24"/>
      <c r="CP218">
        <v>5751</v>
      </c>
      <c r="CQ218">
        <v>5949</v>
      </c>
      <c r="CR218">
        <v>5949</v>
      </c>
      <c r="CS218">
        <v>848531</v>
      </c>
      <c r="CT218">
        <v>277</v>
      </c>
      <c r="CV218" s="24"/>
      <c r="CW218">
        <v>1290000</v>
      </c>
      <c r="CX218">
        <v>1335499</v>
      </c>
      <c r="CY218">
        <v>1290000</v>
      </c>
      <c r="CZ218">
        <v>3825</v>
      </c>
      <c r="DA218">
        <v>28</v>
      </c>
      <c r="DC218" s="24"/>
      <c r="DD218">
        <v>570</v>
      </c>
      <c r="DE218">
        <v>586</v>
      </c>
      <c r="DF218">
        <v>585</v>
      </c>
      <c r="DG218">
        <v>41376495</v>
      </c>
      <c r="DH218">
        <v>191</v>
      </c>
      <c r="DJ218" s="24"/>
      <c r="DK218">
        <v>32212023</v>
      </c>
      <c r="DL218">
        <v>32215123</v>
      </c>
      <c r="DM218">
        <v>32212123</v>
      </c>
      <c r="DN218">
        <v>243</v>
      </c>
      <c r="DO218">
        <v>60</v>
      </c>
      <c r="DQ218" s="24"/>
      <c r="DR218">
        <v>1761011</v>
      </c>
      <c r="DS218">
        <v>1878999</v>
      </c>
      <c r="DT218">
        <v>1765002</v>
      </c>
      <c r="DU218">
        <v>4848</v>
      </c>
      <c r="DV218">
        <v>212</v>
      </c>
      <c r="DX218" s="24"/>
      <c r="DY218">
        <v>20370005</v>
      </c>
      <c r="DZ218">
        <v>21899999</v>
      </c>
      <c r="EA218">
        <v>20370012</v>
      </c>
      <c r="EB218">
        <v>415</v>
      </c>
      <c r="EC218">
        <v>90</v>
      </c>
      <c r="EE218" s="24"/>
      <c r="EF218">
        <v>152</v>
      </c>
      <c r="EG218">
        <v>156</v>
      </c>
      <c r="EH218">
        <v>156</v>
      </c>
      <c r="EI218">
        <v>66848189</v>
      </c>
      <c r="EJ218">
        <v>128</v>
      </c>
      <c r="EL218" s="24"/>
      <c r="EM218">
        <v>58006</v>
      </c>
      <c r="EN218">
        <v>60890</v>
      </c>
      <c r="EO218">
        <v>58007</v>
      </c>
      <c r="EP218">
        <v>68614</v>
      </c>
      <c r="EQ218">
        <v>593</v>
      </c>
      <c r="ES218" s="24"/>
      <c r="ET218">
        <v>314</v>
      </c>
      <c r="EU218">
        <v>314</v>
      </c>
      <c r="EV218">
        <v>314</v>
      </c>
      <c r="EW218">
        <v>23159594</v>
      </c>
      <c r="EX218">
        <v>482</v>
      </c>
      <c r="EZ218" s="24"/>
      <c r="FA218">
        <v>3001004</v>
      </c>
      <c r="FB218">
        <v>3439004</v>
      </c>
      <c r="FC218">
        <v>3200000</v>
      </c>
      <c r="FD218">
        <v>466</v>
      </c>
      <c r="FE218">
        <v>11</v>
      </c>
      <c r="FG218" s="24"/>
      <c r="FH218">
        <v>5464</v>
      </c>
      <c r="FI218">
        <v>5744</v>
      </c>
      <c r="FJ218">
        <v>5690</v>
      </c>
      <c r="FK218">
        <v>1050278</v>
      </c>
      <c r="FL218">
        <v>341</v>
      </c>
      <c r="FN218" s="24"/>
      <c r="FO218">
        <v>17900</v>
      </c>
      <c r="FP218">
        <v>18187</v>
      </c>
      <c r="FQ218">
        <v>18187</v>
      </c>
      <c r="FR218">
        <v>441618</v>
      </c>
      <c r="FS218">
        <v>97</v>
      </c>
      <c r="FU218" s="24"/>
      <c r="FV218">
        <v>17956</v>
      </c>
      <c r="FW218">
        <v>17958</v>
      </c>
      <c r="FX218">
        <v>17956</v>
      </c>
      <c r="FY218">
        <v>308753</v>
      </c>
      <c r="FZ218">
        <v>1109</v>
      </c>
      <c r="GB218" s="24"/>
      <c r="GC218">
        <v>85970002</v>
      </c>
      <c r="GD218">
        <v>94551872</v>
      </c>
      <c r="GE218">
        <v>90512127</v>
      </c>
      <c r="GF218">
        <v>90</v>
      </c>
      <c r="GG218">
        <v>66</v>
      </c>
      <c r="GI218" s="24"/>
      <c r="GJ218">
        <v>23149812</v>
      </c>
      <c r="GK218">
        <v>26799999</v>
      </c>
      <c r="GL218">
        <v>23149838</v>
      </c>
      <c r="GM218">
        <v>325</v>
      </c>
      <c r="GN218">
        <v>68</v>
      </c>
      <c r="GP218" s="24"/>
      <c r="GQ218">
        <v>93</v>
      </c>
      <c r="GR218">
        <v>99</v>
      </c>
      <c r="GS218">
        <v>99</v>
      </c>
      <c r="GT218">
        <v>169147188</v>
      </c>
      <c r="GU218">
        <v>147</v>
      </c>
      <c r="GW218" s="24"/>
      <c r="GX218">
        <v>549</v>
      </c>
      <c r="GY218">
        <v>569</v>
      </c>
      <c r="GZ218">
        <v>569</v>
      </c>
      <c r="HA218">
        <v>24696863</v>
      </c>
      <c r="HB218">
        <v>183</v>
      </c>
      <c r="HD218" s="24"/>
      <c r="HE218">
        <v>5787</v>
      </c>
      <c r="HF218">
        <v>5932</v>
      </c>
      <c r="HG218">
        <v>5898</v>
      </c>
      <c r="HH218">
        <v>23016995</v>
      </c>
      <c r="HI218">
        <v>255</v>
      </c>
      <c r="HK218" s="24"/>
      <c r="HL218">
        <v>85153003</v>
      </c>
      <c r="HM218">
        <v>92778999</v>
      </c>
      <c r="HN218">
        <v>92168510</v>
      </c>
      <c r="HO218">
        <v>47</v>
      </c>
      <c r="HP218">
        <v>44</v>
      </c>
      <c r="HR218" s="24"/>
      <c r="HS218">
        <v>5701</v>
      </c>
      <c r="HT218">
        <v>5809</v>
      </c>
      <c r="HU218">
        <v>5809</v>
      </c>
      <c r="HV218">
        <v>609142</v>
      </c>
      <c r="HW218">
        <v>102</v>
      </c>
      <c r="HY218" s="24"/>
      <c r="HZ218">
        <v>4600</v>
      </c>
      <c r="IA218">
        <v>4929</v>
      </c>
      <c r="IB218">
        <v>4705</v>
      </c>
      <c r="IC218">
        <v>1833898</v>
      </c>
      <c r="ID218">
        <v>416</v>
      </c>
      <c r="IF218" s="24"/>
      <c r="IG218">
        <v>2593</v>
      </c>
      <c r="IH218">
        <v>2693</v>
      </c>
      <c r="II218">
        <v>2693</v>
      </c>
      <c r="IJ218">
        <v>1732277</v>
      </c>
      <c r="IK218">
        <v>115</v>
      </c>
      <c r="IM218" s="24"/>
      <c r="IN218">
        <v>86506017</v>
      </c>
      <c r="IO218">
        <v>92093000</v>
      </c>
      <c r="IP218">
        <v>90314618</v>
      </c>
      <c r="IQ218">
        <v>82</v>
      </c>
      <c r="IR218">
        <v>62</v>
      </c>
      <c r="IT218" s="24"/>
      <c r="IU218">
        <v>7160</v>
      </c>
      <c r="IV218">
        <v>7550</v>
      </c>
      <c r="IW218">
        <v>7449</v>
      </c>
      <c r="IX218">
        <v>1216267</v>
      </c>
      <c r="IY218">
        <v>136</v>
      </c>
      <c r="JA218" s="24"/>
      <c r="JB218">
        <v>85007008</v>
      </c>
      <c r="JC218">
        <v>91093998</v>
      </c>
      <c r="JD218">
        <v>90243939</v>
      </c>
      <c r="JE218">
        <v>61</v>
      </c>
      <c r="JF218">
        <v>58</v>
      </c>
      <c r="JH218" s="24"/>
      <c r="JI218">
        <v>87210166</v>
      </c>
      <c r="JJ218">
        <v>92797946</v>
      </c>
      <c r="JK218">
        <v>91803016</v>
      </c>
      <c r="JL218">
        <v>41</v>
      </c>
      <c r="JM218">
        <v>30</v>
      </c>
      <c r="JO218" s="24"/>
      <c r="JP218">
        <v>85</v>
      </c>
      <c r="JQ218">
        <v>88</v>
      </c>
      <c r="JR218">
        <v>85</v>
      </c>
      <c r="JS218">
        <v>117604474</v>
      </c>
      <c r="JT218">
        <v>99</v>
      </c>
      <c r="JV218" s="24"/>
      <c r="JW218">
        <v>72</v>
      </c>
      <c r="JX218">
        <v>75</v>
      </c>
      <c r="JY218">
        <v>75</v>
      </c>
      <c r="JZ218">
        <v>70664983</v>
      </c>
      <c r="KA218">
        <v>75</v>
      </c>
      <c r="KC218" s="24"/>
      <c r="KD218">
        <v>21</v>
      </c>
      <c r="KE218">
        <v>21</v>
      </c>
      <c r="KF218">
        <v>21</v>
      </c>
      <c r="KG218">
        <v>27745489</v>
      </c>
      <c r="KH218">
        <v>264</v>
      </c>
      <c r="KJ218" s="24"/>
      <c r="KK218">
        <v>84</v>
      </c>
      <c r="KL218">
        <v>87</v>
      </c>
      <c r="KM218">
        <v>84</v>
      </c>
      <c r="KN218">
        <v>94774853</v>
      </c>
      <c r="KO218">
        <v>92</v>
      </c>
      <c r="KQ218" s="24"/>
      <c r="KR218">
        <v>119001</v>
      </c>
      <c r="KS218">
        <v>124499</v>
      </c>
      <c r="KT218">
        <v>119004</v>
      </c>
      <c r="KU218">
        <v>54639</v>
      </c>
      <c r="KV218">
        <v>520</v>
      </c>
      <c r="KX218" s="24"/>
      <c r="KY218">
        <v>520</v>
      </c>
      <c r="KZ218">
        <v>585</v>
      </c>
      <c r="LA218">
        <v>579</v>
      </c>
      <c r="LB218">
        <v>7286051</v>
      </c>
      <c r="LC218">
        <v>150</v>
      </c>
      <c r="LE218" s="24"/>
      <c r="LF218">
        <v>183000</v>
      </c>
      <c r="LG218">
        <v>184900</v>
      </c>
      <c r="LH218">
        <v>184900</v>
      </c>
      <c r="LI218">
        <v>97267</v>
      </c>
      <c r="LJ218">
        <v>763</v>
      </c>
      <c r="LL218" s="24"/>
      <c r="LM218">
        <v>76056</v>
      </c>
      <c r="LN218">
        <v>76089</v>
      </c>
      <c r="LO218">
        <v>76056</v>
      </c>
      <c r="LP218">
        <v>302847</v>
      </c>
      <c r="LQ218">
        <v>1143</v>
      </c>
      <c r="LS218" s="24"/>
      <c r="LT218">
        <v>500</v>
      </c>
      <c r="LU218">
        <v>514</v>
      </c>
      <c r="LV218">
        <v>514</v>
      </c>
      <c r="LW218">
        <v>62695255</v>
      </c>
      <c r="LX218">
        <v>324</v>
      </c>
      <c r="LZ218" s="24"/>
      <c r="MA218">
        <v>101600</v>
      </c>
      <c r="MB218">
        <v>105999</v>
      </c>
      <c r="MC218">
        <v>103001</v>
      </c>
      <c r="MD218">
        <v>1053100</v>
      </c>
      <c r="ME218">
        <v>75</v>
      </c>
    </row>
    <row r="219" spans="2:343" x14ac:dyDescent="0.25">
      <c r="B219" s="24"/>
      <c r="C219">
        <v>3</v>
      </c>
      <c r="D219">
        <v>3</v>
      </c>
      <c r="E219">
        <v>3</v>
      </c>
      <c r="F219">
        <v>24661981400</v>
      </c>
      <c r="G219">
        <v>2829</v>
      </c>
      <c r="I219" s="24"/>
      <c r="J219">
        <v>4</v>
      </c>
      <c r="K219">
        <v>4</v>
      </c>
      <c r="L219">
        <v>4</v>
      </c>
      <c r="M219">
        <v>5637546107</v>
      </c>
      <c r="N219">
        <v>2017</v>
      </c>
      <c r="P219" s="24"/>
      <c r="Q219">
        <v>27</v>
      </c>
      <c r="R219">
        <v>27</v>
      </c>
      <c r="S219">
        <v>27</v>
      </c>
      <c r="T219">
        <v>1695595943</v>
      </c>
      <c r="U219">
        <v>1815</v>
      </c>
      <c r="W219" s="24"/>
      <c r="X219">
        <v>61</v>
      </c>
      <c r="Y219">
        <v>62</v>
      </c>
      <c r="Z219">
        <v>61</v>
      </c>
      <c r="AA219">
        <v>362394811</v>
      </c>
      <c r="AB219">
        <v>1419</v>
      </c>
      <c r="AD219" s="24"/>
      <c r="AE219">
        <v>377</v>
      </c>
      <c r="AF219">
        <v>400</v>
      </c>
      <c r="AG219">
        <v>395</v>
      </c>
      <c r="AH219">
        <v>98635449</v>
      </c>
      <c r="AI219">
        <v>1529</v>
      </c>
      <c r="AK219" s="24"/>
      <c r="AL219">
        <v>766</v>
      </c>
      <c r="AM219">
        <v>794</v>
      </c>
      <c r="AN219">
        <v>788</v>
      </c>
      <c r="AO219">
        <v>31591792</v>
      </c>
      <c r="AP219">
        <v>1249</v>
      </c>
      <c r="AR219" s="24"/>
      <c r="AS219">
        <v>2579</v>
      </c>
      <c r="AT219">
        <v>2748</v>
      </c>
      <c r="AU219">
        <v>2690</v>
      </c>
      <c r="AV219">
        <v>16147969</v>
      </c>
      <c r="AW219">
        <v>1239</v>
      </c>
      <c r="AY219" s="24"/>
      <c r="AZ219">
        <v>357133533</v>
      </c>
      <c r="BA219">
        <v>365945049</v>
      </c>
      <c r="BB219">
        <v>364249999</v>
      </c>
      <c r="BC219">
        <v>2067</v>
      </c>
      <c r="BD219">
        <v>1584</v>
      </c>
      <c r="BF219" s="24"/>
      <c r="BG219">
        <v>25109</v>
      </c>
      <c r="BH219">
        <v>25300</v>
      </c>
      <c r="BI219">
        <v>25113</v>
      </c>
      <c r="BJ219">
        <v>2987526</v>
      </c>
      <c r="BK219">
        <v>182</v>
      </c>
      <c r="BM219" s="24"/>
      <c r="BN219">
        <v>6114102</v>
      </c>
      <c r="BO219">
        <v>6199995</v>
      </c>
      <c r="BP219">
        <v>6114210</v>
      </c>
      <c r="BQ219">
        <v>12811</v>
      </c>
      <c r="BR219">
        <v>285</v>
      </c>
      <c r="BT219" s="24"/>
      <c r="BU219">
        <v>2365</v>
      </c>
      <c r="BV219">
        <v>2365</v>
      </c>
      <c r="BW219">
        <v>2365</v>
      </c>
      <c r="BX219">
        <v>12175480</v>
      </c>
      <c r="BY219">
        <v>214</v>
      </c>
      <c r="CA219" s="24"/>
      <c r="CB219">
        <v>543</v>
      </c>
      <c r="CC219">
        <v>544</v>
      </c>
      <c r="CD219">
        <v>544</v>
      </c>
      <c r="CE219">
        <v>48789280</v>
      </c>
      <c r="CF219">
        <v>209</v>
      </c>
      <c r="CH219" s="24"/>
      <c r="CI219">
        <v>22649</v>
      </c>
      <c r="CJ219">
        <v>22658</v>
      </c>
      <c r="CK219">
        <v>22657</v>
      </c>
      <c r="CL219">
        <v>2628657</v>
      </c>
      <c r="CM219">
        <v>171</v>
      </c>
      <c r="CO219" s="24"/>
      <c r="CP219">
        <v>5600</v>
      </c>
      <c r="CQ219">
        <v>5945</v>
      </c>
      <c r="CR219">
        <v>5944</v>
      </c>
      <c r="CS219">
        <v>953181</v>
      </c>
      <c r="CT219">
        <v>295</v>
      </c>
      <c r="CV219" s="24"/>
      <c r="CW219">
        <v>1333000</v>
      </c>
      <c r="CX219">
        <v>1335487</v>
      </c>
      <c r="CY219">
        <v>1334666</v>
      </c>
      <c r="CZ219">
        <v>6640</v>
      </c>
      <c r="DA219">
        <v>34</v>
      </c>
      <c r="DC219" s="24"/>
      <c r="DD219">
        <v>553</v>
      </c>
      <c r="DE219">
        <v>574</v>
      </c>
      <c r="DF219">
        <v>573</v>
      </c>
      <c r="DG219">
        <v>27276480</v>
      </c>
      <c r="DH219">
        <v>152</v>
      </c>
      <c r="DJ219" s="24"/>
      <c r="DK219">
        <v>32512022</v>
      </c>
      <c r="DL219">
        <v>33494783</v>
      </c>
      <c r="DM219">
        <v>32525412</v>
      </c>
      <c r="DN219">
        <v>466</v>
      </c>
      <c r="DO219">
        <v>73</v>
      </c>
      <c r="DQ219" s="24"/>
      <c r="DR219">
        <v>1751000</v>
      </c>
      <c r="DS219">
        <v>1765102</v>
      </c>
      <c r="DT219">
        <v>1751002</v>
      </c>
      <c r="DU219">
        <v>6933</v>
      </c>
      <c r="DV219">
        <v>218</v>
      </c>
      <c r="DX219" s="24"/>
      <c r="DY219">
        <v>20370014</v>
      </c>
      <c r="DZ219">
        <v>23358998</v>
      </c>
      <c r="EA219">
        <v>20374007</v>
      </c>
      <c r="EB219">
        <v>523</v>
      </c>
      <c r="EC219">
        <v>89</v>
      </c>
      <c r="EE219" s="24"/>
      <c r="EF219">
        <v>152</v>
      </c>
      <c r="EG219">
        <v>157</v>
      </c>
      <c r="EH219">
        <v>155</v>
      </c>
      <c r="EI219">
        <v>78171049</v>
      </c>
      <c r="EJ219">
        <v>183</v>
      </c>
      <c r="EL219" s="24"/>
      <c r="EM219">
        <v>58091</v>
      </c>
      <c r="EN219">
        <v>59999</v>
      </c>
      <c r="EO219">
        <v>58105</v>
      </c>
      <c r="EP219">
        <v>71657</v>
      </c>
      <c r="EQ219">
        <v>627</v>
      </c>
      <c r="ES219" s="24"/>
      <c r="ET219">
        <v>314</v>
      </c>
      <c r="EU219">
        <v>314</v>
      </c>
      <c r="EV219">
        <v>314</v>
      </c>
      <c r="EW219">
        <v>28049242</v>
      </c>
      <c r="EX219">
        <v>498</v>
      </c>
      <c r="EZ219" s="24"/>
      <c r="FA219">
        <v>3002004</v>
      </c>
      <c r="FB219">
        <v>3200000</v>
      </c>
      <c r="FC219">
        <v>3002004</v>
      </c>
      <c r="FD219">
        <v>1235</v>
      </c>
      <c r="FE219">
        <v>23</v>
      </c>
      <c r="FG219" s="24"/>
      <c r="FH219">
        <v>5510</v>
      </c>
      <c r="FI219">
        <v>5744</v>
      </c>
      <c r="FJ219">
        <v>5744</v>
      </c>
      <c r="FK219">
        <v>1344633</v>
      </c>
      <c r="FL219">
        <v>389</v>
      </c>
      <c r="FN219" s="24"/>
      <c r="FO219">
        <v>17500</v>
      </c>
      <c r="FP219">
        <v>17901</v>
      </c>
      <c r="FQ219">
        <v>17800</v>
      </c>
      <c r="FR219">
        <v>278357</v>
      </c>
      <c r="FS219">
        <v>111</v>
      </c>
      <c r="FU219" s="24"/>
      <c r="FV219">
        <v>17958</v>
      </c>
      <c r="FW219">
        <v>17963</v>
      </c>
      <c r="FX219">
        <v>17960</v>
      </c>
      <c r="FY219">
        <v>327018</v>
      </c>
      <c r="FZ219">
        <v>1223</v>
      </c>
      <c r="GB219" s="24"/>
      <c r="GC219">
        <v>82120001</v>
      </c>
      <c r="GD219">
        <v>89321132</v>
      </c>
      <c r="GE219">
        <v>89321117</v>
      </c>
      <c r="GF219">
        <v>201</v>
      </c>
      <c r="GG219">
        <v>122</v>
      </c>
      <c r="GI219" s="24"/>
      <c r="GJ219">
        <v>23149841</v>
      </c>
      <c r="GK219">
        <v>24999984</v>
      </c>
      <c r="GL219">
        <v>23149842</v>
      </c>
      <c r="GM219">
        <v>576</v>
      </c>
      <c r="GN219">
        <v>84</v>
      </c>
      <c r="GP219" s="24"/>
      <c r="GQ219">
        <v>92</v>
      </c>
      <c r="GR219">
        <v>99</v>
      </c>
      <c r="GS219">
        <v>99</v>
      </c>
      <c r="GT219">
        <v>74009245</v>
      </c>
      <c r="GU219">
        <v>114</v>
      </c>
      <c r="GW219" s="24"/>
      <c r="GX219">
        <v>555</v>
      </c>
      <c r="GY219">
        <v>557</v>
      </c>
      <c r="GZ219">
        <v>555</v>
      </c>
      <c r="HA219">
        <v>31646894</v>
      </c>
      <c r="HB219">
        <v>199</v>
      </c>
      <c r="HD219" s="24"/>
      <c r="HE219">
        <v>5820</v>
      </c>
      <c r="HF219">
        <v>5898</v>
      </c>
      <c r="HG219">
        <v>5896</v>
      </c>
      <c r="HH219">
        <v>16071116</v>
      </c>
      <c r="HI219">
        <v>290</v>
      </c>
      <c r="HK219" s="24"/>
      <c r="HL219">
        <v>87408009</v>
      </c>
      <c r="HM219">
        <v>92763000</v>
      </c>
      <c r="HN219">
        <v>87408009</v>
      </c>
      <c r="HO219">
        <v>104</v>
      </c>
      <c r="HP219">
        <v>69</v>
      </c>
      <c r="HR219" s="24"/>
      <c r="HS219">
        <v>5809</v>
      </c>
      <c r="HT219">
        <v>5836</v>
      </c>
      <c r="HU219">
        <v>5820</v>
      </c>
      <c r="HV219">
        <v>544550</v>
      </c>
      <c r="HW219">
        <v>131</v>
      </c>
      <c r="HY219" s="24"/>
      <c r="HZ219">
        <v>4895</v>
      </c>
      <c r="IA219">
        <v>4914</v>
      </c>
      <c r="IB219">
        <v>4897</v>
      </c>
      <c r="IC219">
        <v>1376233</v>
      </c>
      <c r="ID219">
        <v>385</v>
      </c>
      <c r="IF219" s="24"/>
      <c r="IG219">
        <v>2583</v>
      </c>
      <c r="IH219">
        <v>2692</v>
      </c>
      <c r="II219">
        <v>2692</v>
      </c>
      <c r="IJ219">
        <v>1418617</v>
      </c>
      <c r="IK219">
        <v>165</v>
      </c>
      <c r="IM219" s="24"/>
      <c r="IN219">
        <v>88108032</v>
      </c>
      <c r="IO219">
        <v>92078987</v>
      </c>
      <c r="IP219">
        <v>90625188</v>
      </c>
      <c r="IQ219">
        <v>82</v>
      </c>
      <c r="IR219">
        <v>59</v>
      </c>
      <c r="IT219" s="24"/>
      <c r="IU219">
        <v>7001</v>
      </c>
      <c r="IV219">
        <v>7399</v>
      </c>
      <c r="IW219">
        <v>7399</v>
      </c>
      <c r="IX219">
        <v>1069090</v>
      </c>
      <c r="IY219">
        <v>142</v>
      </c>
      <c r="JA219" s="24"/>
      <c r="JB219">
        <v>87003004</v>
      </c>
      <c r="JC219">
        <v>91898984</v>
      </c>
      <c r="JD219">
        <v>89079216</v>
      </c>
      <c r="JE219">
        <v>89</v>
      </c>
      <c r="JF219">
        <v>65</v>
      </c>
      <c r="JH219" s="24"/>
      <c r="JI219">
        <v>87908030</v>
      </c>
      <c r="JJ219">
        <v>91099998</v>
      </c>
      <c r="JK219">
        <v>87908032</v>
      </c>
      <c r="JL219">
        <v>122</v>
      </c>
      <c r="JM219">
        <v>84</v>
      </c>
      <c r="JO219" s="24"/>
      <c r="JP219">
        <v>87</v>
      </c>
      <c r="JQ219">
        <v>88</v>
      </c>
      <c r="JR219">
        <v>88</v>
      </c>
      <c r="JS219">
        <v>95647738</v>
      </c>
      <c r="JT219">
        <v>112</v>
      </c>
      <c r="JV219" s="24"/>
      <c r="JW219">
        <v>73</v>
      </c>
      <c r="JX219">
        <v>75</v>
      </c>
      <c r="JY219">
        <v>73</v>
      </c>
      <c r="JZ219">
        <v>102742509</v>
      </c>
      <c r="KA219">
        <v>114</v>
      </c>
      <c r="KC219" s="24"/>
      <c r="KD219">
        <v>20</v>
      </c>
      <c r="KE219">
        <v>21</v>
      </c>
      <c r="KF219">
        <v>20</v>
      </c>
      <c r="KG219">
        <v>35873567</v>
      </c>
      <c r="KH219">
        <v>269</v>
      </c>
      <c r="KJ219" s="24"/>
      <c r="KK219">
        <v>84</v>
      </c>
      <c r="KL219">
        <v>85</v>
      </c>
      <c r="KM219">
        <v>84</v>
      </c>
      <c r="KN219">
        <v>93517750</v>
      </c>
      <c r="KO219">
        <v>93</v>
      </c>
      <c r="KQ219" s="24"/>
      <c r="KR219">
        <v>120001</v>
      </c>
      <c r="KS219">
        <v>129999</v>
      </c>
      <c r="KT219">
        <v>120005</v>
      </c>
      <c r="KU219">
        <v>44169</v>
      </c>
      <c r="KV219">
        <v>592</v>
      </c>
      <c r="KX219" s="24"/>
      <c r="KY219">
        <v>560</v>
      </c>
      <c r="KZ219">
        <v>600</v>
      </c>
      <c r="LA219">
        <v>597</v>
      </c>
      <c r="LB219">
        <v>4750006</v>
      </c>
      <c r="LC219">
        <v>170</v>
      </c>
      <c r="LE219" s="24"/>
      <c r="LF219">
        <v>186001</v>
      </c>
      <c r="LG219">
        <v>188500</v>
      </c>
      <c r="LH219">
        <v>186950</v>
      </c>
      <c r="LI219">
        <v>99171</v>
      </c>
      <c r="LJ219">
        <v>840</v>
      </c>
      <c r="LL219" s="24"/>
      <c r="LM219">
        <v>76060</v>
      </c>
      <c r="LN219">
        <v>76500</v>
      </c>
      <c r="LO219">
        <v>76070</v>
      </c>
      <c r="LP219">
        <v>316672</v>
      </c>
      <c r="LQ219">
        <v>1241</v>
      </c>
      <c r="LS219" s="24"/>
      <c r="LT219">
        <v>505</v>
      </c>
      <c r="LU219">
        <v>514</v>
      </c>
      <c r="LV219">
        <v>510</v>
      </c>
      <c r="LW219">
        <v>68731808</v>
      </c>
      <c r="LX219">
        <v>403</v>
      </c>
      <c r="LZ219" s="24"/>
      <c r="MA219">
        <v>102713</v>
      </c>
      <c r="MB219">
        <v>105619</v>
      </c>
      <c r="MC219">
        <v>105538</v>
      </c>
      <c r="MD219">
        <v>686484</v>
      </c>
      <c r="ME219">
        <v>83</v>
      </c>
    </row>
    <row r="220" spans="2:343" x14ac:dyDescent="0.25">
      <c r="B220" s="24"/>
      <c r="C220">
        <v>3</v>
      </c>
      <c r="D220">
        <v>3</v>
      </c>
      <c r="E220">
        <v>3</v>
      </c>
      <c r="F220">
        <v>23374250715</v>
      </c>
      <c r="G220">
        <v>2868</v>
      </c>
      <c r="I220" s="24"/>
      <c r="J220">
        <v>4</v>
      </c>
      <c r="K220">
        <v>4</v>
      </c>
      <c r="L220">
        <v>4</v>
      </c>
      <c r="M220">
        <v>3594265368</v>
      </c>
      <c r="N220">
        <v>1963</v>
      </c>
      <c r="P220" s="24"/>
      <c r="Q220">
        <v>27</v>
      </c>
      <c r="R220">
        <v>27</v>
      </c>
      <c r="S220">
        <v>27</v>
      </c>
      <c r="T220">
        <v>1572647832</v>
      </c>
      <c r="U220">
        <v>1776</v>
      </c>
      <c r="W220" s="24"/>
      <c r="X220">
        <v>62</v>
      </c>
      <c r="Y220">
        <v>62</v>
      </c>
      <c r="Z220">
        <v>62</v>
      </c>
      <c r="AA220">
        <v>330852167</v>
      </c>
      <c r="AB220">
        <v>1455</v>
      </c>
      <c r="AD220" s="24"/>
      <c r="AE220">
        <v>386</v>
      </c>
      <c r="AF220">
        <v>400</v>
      </c>
      <c r="AG220">
        <v>399</v>
      </c>
      <c r="AH220">
        <v>83595028</v>
      </c>
      <c r="AI220">
        <v>1600</v>
      </c>
      <c r="AK220" s="24"/>
      <c r="AL220">
        <v>769</v>
      </c>
      <c r="AM220">
        <v>792</v>
      </c>
      <c r="AN220">
        <v>789</v>
      </c>
      <c r="AO220">
        <v>48202186</v>
      </c>
      <c r="AP220">
        <v>1183</v>
      </c>
      <c r="AR220" s="24"/>
      <c r="AS220">
        <v>2676</v>
      </c>
      <c r="AT220">
        <v>2711</v>
      </c>
      <c r="AU220">
        <v>2710</v>
      </c>
      <c r="AV220">
        <v>11737577</v>
      </c>
      <c r="AW220">
        <v>1139</v>
      </c>
      <c r="AY220" s="24"/>
      <c r="AZ220">
        <v>360611001</v>
      </c>
      <c r="BA220">
        <v>367953944</v>
      </c>
      <c r="BB220">
        <v>365000000</v>
      </c>
      <c r="BC220">
        <v>2201</v>
      </c>
      <c r="BD220">
        <v>1606</v>
      </c>
      <c r="BF220" s="24"/>
      <c r="BG220">
        <v>25000</v>
      </c>
      <c r="BH220">
        <v>25100</v>
      </c>
      <c r="BI220">
        <v>25100</v>
      </c>
      <c r="BJ220">
        <v>2848524</v>
      </c>
      <c r="BK220">
        <v>227</v>
      </c>
      <c r="BM220" s="24"/>
      <c r="BN220">
        <v>6002019</v>
      </c>
      <c r="BO220">
        <v>6198998</v>
      </c>
      <c r="BP220">
        <v>6114210</v>
      </c>
      <c r="BQ220">
        <v>12053</v>
      </c>
      <c r="BR220">
        <v>363</v>
      </c>
      <c r="BT220" s="24"/>
      <c r="BU220">
        <v>2294</v>
      </c>
      <c r="BV220">
        <v>2365</v>
      </c>
      <c r="BW220">
        <v>2303</v>
      </c>
      <c r="BX220">
        <v>27945668</v>
      </c>
      <c r="BY220">
        <v>218</v>
      </c>
      <c r="CA220" s="24"/>
      <c r="CB220">
        <v>540</v>
      </c>
      <c r="CC220">
        <v>544</v>
      </c>
      <c r="CD220">
        <v>544</v>
      </c>
      <c r="CE220">
        <v>44049001</v>
      </c>
      <c r="CF220">
        <v>211</v>
      </c>
      <c r="CH220" s="24"/>
      <c r="CI220">
        <v>21641</v>
      </c>
      <c r="CJ220">
        <v>21641</v>
      </c>
      <c r="CK220">
        <v>21641</v>
      </c>
      <c r="CL220">
        <v>1688638</v>
      </c>
      <c r="CM220">
        <v>163</v>
      </c>
      <c r="CO220" s="24"/>
      <c r="CP220">
        <v>5558</v>
      </c>
      <c r="CQ220">
        <v>5944</v>
      </c>
      <c r="CR220">
        <v>5798</v>
      </c>
      <c r="CS220">
        <v>954247</v>
      </c>
      <c r="CT220">
        <v>302</v>
      </c>
      <c r="CV220" s="24"/>
      <c r="CW220">
        <v>1334555</v>
      </c>
      <c r="CX220">
        <v>1335487</v>
      </c>
      <c r="CY220">
        <v>1335487</v>
      </c>
      <c r="CZ220">
        <v>13425</v>
      </c>
      <c r="DA220">
        <v>53</v>
      </c>
      <c r="DC220" s="24"/>
      <c r="DD220">
        <v>552</v>
      </c>
      <c r="DE220">
        <v>572</v>
      </c>
      <c r="DF220">
        <v>571</v>
      </c>
      <c r="DG220">
        <v>42354078</v>
      </c>
      <c r="DH220">
        <v>175</v>
      </c>
      <c r="DJ220" s="24"/>
      <c r="DK220">
        <v>33312023</v>
      </c>
      <c r="DL220">
        <v>33312025</v>
      </c>
      <c r="DM220">
        <v>33312023</v>
      </c>
      <c r="DN220">
        <v>643</v>
      </c>
      <c r="DO220">
        <v>93</v>
      </c>
      <c r="DQ220" s="24"/>
      <c r="DR220">
        <v>1700003</v>
      </c>
      <c r="DS220">
        <v>1799999</v>
      </c>
      <c r="DT220">
        <v>1701102</v>
      </c>
      <c r="DU220">
        <v>8382</v>
      </c>
      <c r="DV220">
        <v>237</v>
      </c>
      <c r="DX220" s="24"/>
      <c r="DY220">
        <v>20000143</v>
      </c>
      <c r="DZ220">
        <v>20374007</v>
      </c>
      <c r="EA220">
        <v>20000145</v>
      </c>
      <c r="EB220">
        <v>484</v>
      </c>
      <c r="EC220">
        <v>94</v>
      </c>
      <c r="EE220" s="24"/>
      <c r="EF220">
        <v>153</v>
      </c>
      <c r="EG220">
        <v>161</v>
      </c>
      <c r="EH220">
        <v>159</v>
      </c>
      <c r="EI220">
        <v>114007436</v>
      </c>
      <c r="EJ220">
        <v>193</v>
      </c>
      <c r="EL220" s="24"/>
      <c r="EM220">
        <v>59012</v>
      </c>
      <c r="EN220">
        <v>59105</v>
      </c>
      <c r="EO220">
        <v>59100</v>
      </c>
      <c r="EP220">
        <v>67164</v>
      </c>
      <c r="EQ220">
        <v>634</v>
      </c>
      <c r="ES220" s="24"/>
      <c r="ET220">
        <v>297</v>
      </c>
      <c r="EU220">
        <v>319</v>
      </c>
      <c r="EV220">
        <v>301</v>
      </c>
      <c r="EW220">
        <v>54336817</v>
      </c>
      <c r="EX220">
        <v>577</v>
      </c>
      <c r="EZ220" s="24"/>
      <c r="FA220">
        <v>3005996</v>
      </c>
      <c r="FB220">
        <v>3199999</v>
      </c>
      <c r="FC220">
        <v>3198999</v>
      </c>
      <c r="FD220">
        <v>1939</v>
      </c>
      <c r="FE220">
        <v>32</v>
      </c>
      <c r="FG220" s="24"/>
      <c r="FH220">
        <v>5510</v>
      </c>
      <c r="FI220">
        <v>5744</v>
      </c>
      <c r="FJ220">
        <v>5743</v>
      </c>
      <c r="FK220">
        <v>1335035</v>
      </c>
      <c r="FL220">
        <v>347</v>
      </c>
      <c r="FN220" s="24"/>
      <c r="FO220">
        <v>18189</v>
      </c>
      <c r="FP220">
        <v>18189</v>
      </c>
      <c r="FQ220">
        <v>18189</v>
      </c>
      <c r="FR220">
        <v>108636</v>
      </c>
      <c r="FS220">
        <v>77</v>
      </c>
      <c r="FU220" s="24"/>
      <c r="FV220">
        <v>18360</v>
      </c>
      <c r="FW220">
        <v>18500</v>
      </c>
      <c r="FX220">
        <v>18360</v>
      </c>
      <c r="FY220">
        <v>347436</v>
      </c>
      <c r="FZ220">
        <v>1231</v>
      </c>
      <c r="GB220" s="24"/>
      <c r="GC220">
        <v>81201002</v>
      </c>
      <c r="GD220">
        <v>87099994</v>
      </c>
      <c r="GE220">
        <v>86599998</v>
      </c>
      <c r="GF220">
        <v>142</v>
      </c>
      <c r="GG220">
        <v>98</v>
      </c>
      <c r="GI220" s="24"/>
      <c r="GJ220">
        <v>23149840</v>
      </c>
      <c r="GK220">
        <v>23149849</v>
      </c>
      <c r="GL220">
        <v>23149842</v>
      </c>
      <c r="GM220">
        <v>570</v>
      </c>
      <c r="GN220">
        <v>85</v>
      </c>
      <c r="GP220" s="24"/>
      <c r="GQ220">
        <v>92</v>
      </c>
      <c r="GR220">
        <v>96</v>
      </c>
      <c r="GS220">
        <v>96</v>
      </c>
      <c r="GT220">
        <v>190087738</v>
      </c>
      <c r="GU220">
        <v>152</v>
      </c>
      <c r="GW220" s="24"/>
      <c r="GX220">
        <v>538</v>
      </c>
      <c r="GY220">
        <v>549</v>
      </c>
      <c r="GZ220">
        <v>544</v>
      </c>
      <c r="HA220">
        <v>35334935</v>
      </c>
      <c r="HB220">
        <v>202</v>
      </c>
      <c r="HD220" s="24"/>
      <c r="HE220">
        <v>5884</v>
      </c>
      <c r="HF220">
        <v>5896</v>
      </c>
      <c r="HG220">
        <v>5895</v>
      </c>
      <c r="HH220">
        <v>19872989</v>
      </c>
      <c r="HI220">
        <v>337</v>
      </c>
      <c r="HK220" s="24"/>
      <c r="HL220">
        <v>88108047</v>
      </c>
      <c r="HM220">
        <v>92750999</v>
      </c>
      <c r="HN220">
        <v>90603709</v>
      </c>
      <c r="HO220">
        <v>80</v>
      </c>
      <c r="HP220">
        <v>60</v>
      </c>
      <c r="HR220" s="24"/>
      <c r="HS220">
        <v>5750</v>
      </c>
      <c r="HT220">
        <v>5889</v>
      </c>
      <c r="HU220">
        <v>5800</v>
      </c>
      <c r="HV220">
        <v>1391053</v>
      </c>
      <c r="HW220">
        <v>187</v>
      </c>
      <c r="HY220" s="24"/>
      <c r="HZ220">
        <v>4751</v>
      </c>
      <c r="IA220">
        <v>4895</v>
      </c>
      <c r="IB220">
        <v>4889</v>
      </c>
      <c r="IC220">
        <v>1740538</v>
      </c>
      <c r="ID220">
        <v>403</v>
      </c>
      <c r="IF220" s="24"/>
      <c r="IG220">
        <v>2581</v>
      </c>
      <c r="IH220">
        <v>2692</v>
      </c>
      <c r="II220">
        <v>2692</v>
      </c>
      <c r="IJ220">
        <v>1899005</v>
      </c>
      <c r="IK220">
        <v>150</v>
      </c>
      <c r="IM220" s="24"/>
      <c r="IN220">
        <v>88108030</v>
      </c>
      <c r="IO220">
        <v>88108051</v>
      </c>
      <c r="IP220">
        <v>88108046</v>
      </c>
      <c r="IQ220">
        <v>157</v>
      </c>
      <c r="IR220">
        <v>99</v>
      </c>
      <c r="IT220" s="24"/>
      <c r="IU220">
        <v>7300</v>
      </c>
      <c r="IV220">
        <v>7399</v>
      </c>
      <c r="IW220">
        <v>7399</v>
      </c>
      <c r="IX220">
        <v>1634979</v>
      </c>
      <c r="IY220">
        <v>152</v>
      </c>
      <c r="JA220" s="24"/>
      <c r="JB220">
        <v>87004010</v>
      </c>
      <c r="JC220">
        <v>90883990</v>
      </c>
      <c r="JD220">
        <v>89009014</v>
      </c>
      <c r="JE220">
        <v>103</v>
      </c>
      <c r="JF220">
        <v>80</v>
      </c>
      <c r="JH220" s="24"/>
      <c r="JI220">
        <v>85326000</v>
      </c>
      <c r="JJ220">
        <v>89548998</v>
      </c>
      <c r="JK220">
        <v>86326999</v>
      </c>
      <c r="JL220">
        <v>102</v>
      </c>
      <c r="JM220">
        <v>62</v>
      </c>
      <c r="JO220" s="24"/>
      <c r="JP220">
        <v>88</v>
      </c>
      <c r="JQ220">
        <v>91</v>
      </c>
      <c r="JR220">
        <v>88</v>
      </c>
      <c r="JS220">
        <v>186436683</v>
      </c>
      <c r="JT220">
        <v>119</v>
      </c>
      <c r="JV220" s="24"/>
      <c r="JW220">
        <v>75</v>
      </c>
      <c r="JX220">
        <v>76</v>
      </c>
      <c r="JY220">
        <v>75</v>
      </c>
      <c r="JZ220">
        <v>84597694</v>
      </c>
      <c r="KA220">
        <v>94</v>
      </c>
      <c r="KC220" s="24"/>
      <c r="KD220">
        <v>20</v>
      </c>
      <c r="KE220">
        <v>21</v>
      </c>
      <c r="KF220">
        <v>20</v>
      </c>
      <c r="KG220">
        <v>47966141</v>
      </c>
      <c r="KH220">
        <v>280</v>
      </c>
      <c r="KJ220" s="24"/>
      <c r="KK220">
        <v>85</v>
      </c>
      <c r="KL220">
        <v>87</v>
      </c>
      <c r="KM220">
        <v>85</v>
      </c>
      <c r="KN220">
        <v>126028488</v>
      </c>
      <c r="KO220">
        <v>118</v>
      </c>
      <c r="KQ220" s="24"/>
      <c r="KR220">
        <v>121503</v>
      </c>
      <c r="KS220">
        <v>121510</v>
      </c>
      <c r="KT220">
        <v>121505</v>
      </c>
      <c r="KU220">
        <v>37888</v>
      </c>
      <c r="KV220">
        <v>619</v>
      </c>
      <c r="KX220" s="24"/>
      <c r="KY220">
        <v>526</v>
      </c>
      <c r="KZ220">
        <v>574</v>
      </c>
      <c r="LA220">
        <v>535</v>
      </c>
      <c r="LB220">
        <v>12996895</v>
      </c>
      <c r="LC220">
        <v>241</v>
      </c>
      <c r="LE220" s="24"/>
      <c r="LF220">
        <v>192500</v>
      </c>
      <c r="LG220">
        <v>195005</v>
      </c>
      <c r="LH220">
        <v>194002</v>
      </c>
      <c r="LI220">
        <v>105333</v>
      </c>
      <c r="LJ220">
        <v>914</v>
      </c>
      <c r="LL220" s="24"/>
      <c r="LM220">
        <v>78505</v>
      </c>
      <c r="LN220">
        <v>79069</v>
      </c>
      <c r="LO220">
        <v>78506</v>
      </c>
      <c r="LP220">
        <v>340002</v>
      </c>
      <c r="LQ220">
        <v>1301</v>
      </c>
      <c r="LS220" s="24"/>
      <c r="LT220">
        <v>505</v>
      </c>
      <c r="LU220">
        <v>510</v>
      </c>
      <c r="LV220">
        <v>508</v>
      </c>
      <c r="LW220">
        <v>55155050</v>
      </c>
      <c r="LX220">
        <v>300</v>
      </c>
      <c r="LZ220" s="24"/>
      <c r="MA220">
        <v>102715</v>
      </c>
      <c r="MB220">
        <v>105399</v>
      </c>
      <c r="MC220">
        <v>102900</v>
      </c>
      <c r="MD220">
        <v>995399</v>
      </c>
      <c r="ME220">
        <v>82</v>
      </c>
    </row>
    <row r="221" spans="2:343" x14ac:dyDescent="0.25">
      <c r="B221" s="24"/>
      <c r="C221">
        <v>3</v>
      </c>
      <c r="D221">
        <v>3</v>
      </c>
      <c r="E221">
        <v>3</v>
      </c>
      <c r="F221">
        <v>26977516346</v>
      </c>
      <c r="G221">
        <v>2682</v>
      </c>
      <c r="I221" s="24"/>
      <c r="J221">
        <v>4</v>
      </c>
      <c r="K221">
        <v>4</v>
      </c>
      <c r="L221">
        <v>4</v>
      </c>
      <c r="M221">
        <v>4765192878</v>
      </c>
      <c r="N221">
        <v>1925</v>
      </c>
      <c r="P221" s="24"/>
      <c r="Q221">
        <v>27</v>
      </c>
      <c r="R221">
        <v>27</v>
      </c>
      <c r="S221">
        <v>27</v>
      </c>
      <c r="T221">
        <v>1796969887</v>
      </c>
      <c r="U221">
        <v>1705</v>
      </c>
      <c r="W221" s="24"/>
      <c r="X221">
        <v>60</v>
      </c>
      <c r="Y221">
        <v>62</v>
      </c>
      <c r="Z221">
        <v>62</v>
      </c>
      <c r="AA221">
        <v>285212630</v>
      </c>
      <c r="AB221">
        <v>1356</v>
      </c>
      <c r="AD221" s="24"/>
      <c r="AE221">
        <v>397</v>
      </c>
      <c r="AF221">
        <v>399</v>
      </c>
      <c r="AG221">
        <v>398</v>
      </c>
      <c r="AH221">
        <v>90982661</v>
      </c>
      <c r="AI221">
        <v>1462</v>
      </c>
      <c r="AK221" s="24"/>
      <c r="AL221">
        <v>770</v>
      </c>
      <c r="AM221">
        <v>785</v>
      </c>
      <c r="AN221">
        <v>784</v>
      </c>
      <c r="AO221">
        <v>34194509</v>
      </c>
      <c r="AP221">
        <v>1161</v>
      </c>
      <c r="AR221" s="24"/>
      <c r="AS221">
        <v>2631</v>
      </c>
      <c r="AT221">
        <v>2711</v>
      </c>
      <c r="AU221">
        <v>2710</v>
      </c>
      <c r="AV221">
        <v>10578193</v>
      </c>
      <c r="AW221">
        <v>1157</v>
      </c>
      <c r="AY221" s="24"/>
      <c r="AZ221">
        <v>359439701</v>
      </c>
      <c r="BA221">
        <v>366899848</v>
      </c>
      <c r="BB221">
        <v>365500000</v>
      </c>
      <c r="BC221">
        <v>2272</v>
      </c>
      <c r="BD221">
        <v>1611</v>
      </c>
      <c r="BF221" s="24"/>
      <c r="BG221">
        <v>24517</v>
      </c>
      <c r="BH221">
        <v>24641</v>
      </c>
      <c r="BI221">
        <v>24641</v>
      </c>
      <c r="BJ221">
        <v>3927467</v>
      </c>
      <c r="BK221">
        <v>258</v>
      </c>
      <c r="BM221" s="24"/>
      <c r="BN221">
        <v>6002029</v>
      </c>
      <c r="BO221">
        <v>6099999</v>
      </c>
      <c r="BP221">
        <v>6002051</v>
      </c>
      <c r="BQ221">
        <v>13795</v>
      </c>
      <c r="BR221">
        <v>325</v>
      </c>
      <c r="BT221" s="24"/>
      <c r="BU221">
        <v>2365</v>
      </c>
      <c r="BV221">
        <v>2365</v>
      </c>
      <c r="BW221">
        <v>2365</v>
      </c>
      <c r="BX221">
        <v>32438064</v>
      </c>
      <c r="BY221">
        <v>213</v>
      </c>
      <c r="CA221" s="24"/>
      <c r="CB221">
        <v>532</v>
      </c>
      <c r="CC221">
        <v>544</v>
      </c>
      <c r="CD221">
        <v>544</v>
      </c>
      <c r="CE221">
        <v>58825284</v>
      </c>
      <c r="CF221">
        <v>227</v>
      </c>
      <c r="CH221" s="24"/>
      <c r="CI221">
        <v>21641</v>
      </c>
      <c r="CJ221">
        <v>21700</v>
      </c>
      <c r="CK221">
        <v>21641</v>
      </c>
      <c r="CL221">
        <v>639784</v>
      </c>
      <c r="CM221">
        <v>189</v>
      </c>
      <c r="CO221" s="24"/>
      <c r="CP221">
        <v>5790</v>
      </c>
      <c r="CQ221">
        <v>5938</v>
      </c>
      <c r="CR221">
        <v>5900</v>
      </c>
      <c r="CS221">
        <v>846866</v>
      </c>
      <c r="CT221">
        <v>293</v>
      </c>
      <c r="CV221" s="24"/>
      <c r="CW221">
        <v>1280001</v>
      </c>
      <c r="CX221">
        <v>1335486</v>
      </c>
      <c r="CY221">
        <v>1335486</v>
      </c>
      <c r="CZ221">
        <v>6646</v>
      </c>
      <c r="DA221">
        <v>15</v>
      </c>
      <c r="DC221" s="24"/>
      <c r="DD221">
        <v>565</v>
      </c>
      <c r="DE221">
        <v>570</v>
      </c>
      <c r="DF221">
        <v>570</v>
      </c>
      <c r="DG221">
        <v>24547578</v>
      </c>
      <c r="DH221">
        <v>154</v>
      </c>
      <c r="DJ221" s="24"/>
      <c r="DK221">
        <v>32212235</v>
      </c>
      <c r="DL221">
        <v>34029999</v>
      </c>
      <c r="DM221">
        <v>32212236</v>
      </c>
      <c r="DN221">
        <v>246</v>
      </c>
      <c r="DO221">
        <v>74</v>
      </c>
      <c r="DQ221" s="24"/>
      <c r="DR221">
        <v>1700005</v>
      </c>
      <c r="DS221">
        <v>1799994</v>
      </c>
      <c r="DT221">
        <v>1789999</v>
      </c>
      <c r="DU221">
        <v>6987</v>
      </c>
      <c r="DV221">
        <v>264</v>
      </c>
      <c r="DX221" s="24"/>
      <c r="DY221">
        <v>19758010</v>
      </c>
      <c r="DZ221">
        <v>21350000</v>
      </c>
      <c r="EA221">
        <v>19971109</v>
      </c>
      <c r="EB221">
        <v>525</v>
      </c>
      <c r="EC221">
        <v>99</v>
      </c>
      <c r="EE221" s="24"/>
      <c r="EF221">
        <v>174</v>
      </c>
      <c r="EG221">
        <v>179</v>
      </c>
      <c r="EH221">
        <v>174</v>
      </c>
      <c r="EI221">
        <v>88921945</v>
      </c>
      <c r="EJ221">
        <v>150</v>
      </c>
      <c r="EL221" s="24"/>
      <c r="EM221">
        <v>59102</v>
      </c>
      <c r="EN221">
        <v>59106</v>
      </c>
      <c r="EO221">
        <v>59106</v>
      </c>
      <c r="EP221">
        <v>59379</v>
      </c>
      <c r="EQ221">
        <v>660</v>
      </c>
      <c r="ES221" s="24"/>
      <c r="ET221">
        <v>288</v>
      </c>
      <c r="EU221">
        <v>309</v>
      </c>
      <c r="EV221">
        <v>305</v>
      </c>
      <c r="EW221">
        <v>39276592</v>
      </c>
      <c r="EX221">
        <v>542</v>
      </c>
      <c r="EZ221" s="24"/>
      <c r="FA221">
        <v>3234999</v>
      </c>
      <c r="FB221">
        <v>3234999</v>
      </c>
      <c r="FC221">
        <v>3234999</v>
      </c>
      <c r="FD221">
        <v>360</v>
      </c>
      <c r="FE221">
        <v>9</v>
      </c>
      <c r="FG221" s="24"/>
      <c r="FH221">
        <v>5743</v>
      </c>
      <c r="FI221">
        <v>5743</v>
      </c>
      <c r="FJ221">
        <v>5743</v>
      </c>
      <c r="FK221">
        <v>2842949</v>
      </c>
      <c r="FL221">
        <v>402</v>
      </c>
      <c r="FN221" s="24"/>
      <c r="FO221">
        <v>17956</v>
      </c>
      <c r="FP221">
        <v>18189</v>
      </c>
      <c r="FQ221">
        <v>18189</v>
      </c>
      <c r="FR221">
        <v>163040</v>
      </c>
      <c r="FS221">
        <v>60</v>
      </c>
      <c r="FU221" s="24"/>
      <c r="FV221">
        <v>18408</v>
      </c>
      <c r="FW221">
        <v>18408</v>
      </c>
      <c r="FX221">
        <v>18408</v>
      </c>
      <c r="FY221">
        <v>351468</v>
      </c>
      <c r="FZ221">
        <v>1317</v>
      </c>
      <c r="GB221" s="24"/>
      <c r="GC221">
        <v>81411002</v>
      </c>
      <c r="GD221">
        <v>87099993</v>
      </c>
      <c r="GE221">
        <v>86341576</v>
      </c>
      <c r="GF221">
        <v>84</v>
      </c>
      <c r="GG221">
        <v>60</v>
      </c>
      <c r="GI221" s="24"/>
      <c r="GJ221">
        <v>22222225</v>
      </c>
      <c r="GK221">
        <v>24389698</v>
      </c>
      <c r="GL221">
        <v>22280003</v>
      </c>
      <c r="GM221">
        <v>324</v>
      </c>
      <c r="GN221">
        <v>70</v>
      </c>
      <c r="GP221" s="24"/>
      <c r="GQ221">
        <v>90</v>
      </c>
      <c r="GR221">
        <v>94</v>
      </c>
      <c r="GS221">
        <v>91</v>
      </c>
      <c r="GT221">
        <v>202783399</v>
      </c>
      <c r="GU221">
        <v>131</v>
      </c>
      <c r="GW221" s="24"/>
      <c r="GX221">
        <v>537</v>
      </c>
      <c r="GY221">
        <v>554</v>
      </c>
      <c r="GZ221">
        <v>553</v>
      </c>
      <c r="HA221">
        <v>56378219</v>
      </c>
      <c r="HB221">
        <v>235</v>
      </c>
      <c r="HD221" s="24"/>
      <c r="HE221">
        <v>5795</v>
      </c>
      <c r="HF221">
        <v>5976</v>
      </c>
      <c r="HG221">
        <v>5976</v>
      </c>
      <c r="HH221">
        <v>19167376</v>
      </c>
      <c r="HI221">
        <v>232</v>
      </c>
      <c r="HK221" s="24"/>
      <c r="HL221">
        <v>88108048</v>
      </c>
      <c r="HM221">
        <v>92730004</v>
      </c>
      <c r="HN221">
        <v>89621048</v>
      </c>
      <c r="HO221">
        <v>91</v>
      </c>
      <c r="HP221">
        <v>64</v>
      </c>
      <c r="HR221" s="24"/>
      <c r="HS221">
        <v>5555</v>
      </c>
      <c r="HT221">
        <v>6440</v>
      </c>
      <c r="HU221">
        <v>6399</v>
      </c>
      <c r="HV221">
        <v>385222</v>
      </c>
      <c r="HW221">
        <v>104</v>
      </c>
      <c r="HY221" s="24"/>
      <c r="HZ221">
        <v>4888</v>
      </c>
      <c r="IA221">
        <v>4888</v>
      </c>
      <c r="IB221">
        <v>4888</v>
      </c>
      <c r="IC221">
        <v>3066719</v>
      </c>
      <c r="ID221">
        <v>415</v>
      </c>
      <c r="IF221" s="24"/>
      <c r="IG221">
        <v>2561</v>
      </c>
      <c r="IH221">
        <v>2690</v>
      </c>
      <c r="II221">
        <v>2622</v>
      </c>
      <c r="IJ221">
        <v>2714800</v>
      </c>
      <c r="IK221">
        <v>128</v>
      </c>
      <c r="IM221" s="24"/>
      <c r="IN221">
        <v>86508022</v>
      </c>
      <c r="IO221">
        <v>92103986</v>
      </c>
      <c r="IP221">
        <v>91362821</v>
      </c>
      <c r="IQ221">
        <v>57</v>
      </c>
      <c r="IR221">
        <v>47</v>
      </c>
      <c r="IT221" s="24"/>
      <c r="IU221">
        <v>7498</v>
      </c>
      <c r="IV221">
        <v>7498</v>
      </c>
      <c r="IW221">
        <v>7498</v>
      </c>
      <c r="IX221">
        <v>1368210</v>
      </c>
      <c r="IY221">
        <v>128</v>
      </c>
      <c r="JA221" s="24"/>
      <c r="JB221">
        <v>85009033</v>
      </c>
      <c r="JC221">
        <v>90882997</v>
      </c>
      <c r="JD221">
        <v>88784560</v>
      </c>
      <c r="JE221">
        <v>81</v>
      </c>
      <c r="JF221">
        <v>59</v>
      </c>
      <c r="JH221" s="24"/>
      <c r="JI221">
        <v>76261500</v>
      </c>
      <c r="JJ221">
        <v>89540000</v>
      </c>
      <c r="JK221">
        <v>87502392</v>
      </c>
      <c r="JL221">
        <v>39</v>
      </c>
      <c r="JM221">
        <v>39</v>
      </c>
      <c r="JO221" s="24"/>
      <c r="JP221">
        <v>100</v>
      </c>
      <c r="JQ221">
        <v>102</v>
      </c>
      <c r="JR221">
        <v>100</v>
      </c>
      <c r="JS221">
        <v>83426883</v>
      </c>
      <c r="JT221">
        <v>74</v>
      </c>
      <c r="JV221" s="24"/>
      <c r="JW221">
        <v>77</v>
      </c>
      <c r="JX221">
        <v>77</v>
      </c>
      <c r="JY221">
        <v>77</v>
      </c>
      <c r="JZ221">
        <v>76386539</v>
      </c>
      <c r="KA221">
        <v>82</v>
      </c>
      <c r="KC221" s="24"/>
      <c r="KD221">
        <v>20</v>
      </c>
      <c r="KE221">
        <v>21</v>
      </c>
      <c r="KF221">
        <v>21</v>
      </c>
      <c r="KG221">
        <v>41675328</v>
      </c>
      <c r="KH221">
        <v>308</v>
      </c>
      <c r="KJ221" s="24"/>
      <c r="KK221">
        <v>87</v>
      </c>
      <c r="KL221">
        <v>87</v>
      </c>
      <c r="KM221">
        <v>87</v>
      </c>
      <c r="KN221">
        <v>67226036</v>
      </c>
      <c r="KO221">
        <v>88</v>
      </c>
      <c r="KQ221" s="24"/>
      <c r="KR221">
        <v>121514</v>
      </c>
      <c r="KS221">
        <v>121514</v>
      </c>
      <c r="KT221">
        <v>121514</v>
      </c>
      <c r="KU221">
        <v>68758</v>
      </c>
      <c r="KV221">
        <v>640</v>
      </c>
      <c r="KX221" s="24"/>
      <c r="KY221">
        <v>499</v>
      </c>
      <c r="KZ221">
        <v>569</v>
      </c>
      <c r="LA221">
        <v>516</v>
      </c>
      <c r="LB221">
        <v>11803777</v>
      </c>
      <c r="LC221">
        <v>149</v>
      </c>
      <c r="LE221" s="24"/>
      <c r="LF221">
        <v>190000</v>
      </c>
      <c r="LG221">
        <v>194002</v>
      </c>
      <c r="LH221">
        <v>194000</v>
      </c>
      <c r="LI221">
        <v>208658</v>
      </c>
      <c r="LJ221">
        <v>907</v>
      </c>
      <c r="LL221" s="24"/>
      <c r="LM221">
        <v>79011</v>
      </c>
      <c r="LN221">
        <v>79015</v>
      </c>
      <c r="LO221">
        <v>79011</v>
      </c>
      <c r="LP221">
        <v>348801</v>
      </c>
      <c r="LQ221">
        <v>1397</v>
      </c>
      <c r="LS221" s="24"/>
      <c r="LT221">
        <v>489</v>
      </c>
      <c r="LU221">
        <v>505</v>
      </c>
      <c r="LV221">
        <v>500</v>
      </c>
      <c r="LW221">
        <v>82781054</v>
      </c>
      <c r="LX221">
        <v>382</v>
      </c>
      <c r="LZ221" s="24"/>
      <c r="MA221">
        <v>103000</v>
      </c>
      <c r="MB221">
        <v>105288</v>
      </c>
      <c r="MC221">
        <v>104998</v>
      </c>
      <c r="MD221">
        <v>453100</v>
      </c>
      <c r="ME221">
        <v>72</v>
      </c>
    </row>
    <row r="222" spans="2:343" x14ac:dyDescent="0.25">
      <c r="B222" s="24"/>
      <c r="C222">
        <v>3</v>
      </c>
      <c r="D222">
        <v>3</v>
      </c>
      <c r="E222">
        <v>3</v>
      </c>
      <c r="F222">
        <v>32429997635</v>
      </c>
      <c r="G222">
        <v>2961</v>
      </c>
      <c r="I222" s="24"/>
      <c r="J222">
        <v>4</v>
      </c>
      <c r="K222">
        <v>4</v>
      </c>
      <c r="L222">
        <v>4</v>
      </c>
      <c r="M222">
        <v>4747253743</v>
      </c>
      <c r="N222">
        <v>2124</v>
      </c>
      <c r="P222" s="24"/>
      <c r="Q222">
        <v>26</v>
      </c>
      <c r="R222">
        <v>27</v>
      </c>
      <c r="S222">
        <v>27</v>
      </c>
      <c r="T222">
        <v>1236038243</v>
      </c>
      <c r="U222">
        <v>1896</v>
      </c>
      <c r="W222" s="24"/>
      <c r="X222">
        <v>59</v>
      </c>
      <c r="Y222">
        <v>62</v>
      </c>
      <c r="Z222">
        <v>60</v>
      </c>
      <c r="AA222">
        <v>275191115</v>
      </c>
      <c r="AB222">
        <v>1514</v>
      </c>
      <c r="AD222" s="24"/>
      <c r="AE222">
        <v>390</v>
      </c>
      <c r="AF222">
        <v>398</v>
      </c>
      <c r="AG222">
        <v>393</v>
      </c>
      <c r="AH222">
        <v>96940004</v>
      </c>
      <c r="AI222">
        <v>1642</v>
      </c>
      <c r="AK222" s="24"/>
      <c r="AL222">
        <v>768</v>
      </c>
      <c r="AM222">
        <v>778</v>
      </c>
      <c r="AN222">
        <v>777</v>
      </c>
      <c r="AO222">
        <v>48099827</v>
      </c>
      <c r="AP222">
        <v>1341</v>
      </c>
      <c r="AR222" s="24"/>
      <c r="AS222">
        <v>2685</v>
      </c>
      <c r="AT222">
        <v>2748</v>
      </c>
      <c r="AU222">
        <v>2713</v>
      </c>
      <c r="AV222">
        <v>11327262</v>
      </c>
      <c r="AW222">
        <v>1274</v>
      </c>
      <c r="AY222" s="24"/>
      <c r="AZ222">
        <v>359001088</v>
      </c>
      <c r="BA222">
        <v>365725000</v>
      </c>
      <c r="BB222">
        <v>362000000</v>
      </c>
      <c r="BC222">
        <v>2603</v>
      </c>
      <c r="BD222">
        <v>1688</v>
      </c>
      <c r="BF222" s="24"/>
      <c r="BG222">
        <v>23695</v>
      </c>
      <c r="BH222">
        <v>23700</v>
      </c>
      <c r="BI222">
        <v>23695</v>
      </c>
      <c r="BJ222">
        <v>2254220</v>
      </c>
      <c r="BK222">
        <v>237</v>
      </c>
      <c r="BM222" s="24"/>
      <c r="BN222">
        <v>6003078</v>
      </c>
      <c r="BO222">
        <v>6198974</v>
      </c>
      <c r="BP222">
        <v>6104098</v>
      </c>
      <c r="BQ222">
        <v>14820</v>
      </c>
      <c r="BR222">
        <v>388</v>
      </c>
      <c r="BT222" s="24"/>
      <c r="BU222">
        <v>2462</v>
      </c>
      <c r="BV222">
        <v>2660</v>
      </c>
      <c r="BW222">
        <v>2540</v>
      </c>
      <c r="BX222">
        <v>17853227</v>
      </c>
      <c r="BY222">
        <v>260</v>
      </c>
      <c r="CA222" s="24"/>
      <c r="CB222">
        <v>543</v>
      </c>
      <c r="CC222">
        <v>543</v>
      </c>
      <c r="CD222">
        <v>543</v>
      </c>
      <c r="CE222">
        <v>42698085</v>
      </c>
      <c r="CF222">
        <v>210</v>
      </c>
      <c r="CH222" s="24"/>
      <c r="CI222">
        <v>21700</v>
      </c>
      <c r="CJ222">
        <v>21700</v>
      </c>
      <c r="CK222">
        <v>21700</v>
      </c>
      <c r="CL222">
        <v>1459273</v>
      </c>
      <c r="CM222">
        <v>182</v>
      </c>
      <c r="CO222" s="24"/>
      <c r="CP222">
        <v>5570</v>
      </c>
      <c r="CQ222">
        <v>5919</v>
      </c>
      <c r="CR222">
        <v>5918</v>
      </c>
      <c r="CS222">
        <v>1128392</v>
      </c>
      <c r="CT222">
        <v>355</v>
      </c>
      <c r="CV222" s="24"/>
      <c r="CW222">
        <v>1321999</v>
      </c>
      <c r="CX222">
        <v>1324998</v>
      </c>
      <c r="CY222">
        <v>1324998</v>
      </c>
      <c r="CZ222">
        <v>9416</v>
      </c>
      <c r="DA222">
        <v>31</v>
      </c>
      <c r="DC222" s="24"/>
      <c r="DD222">
        <v>544</v>
      </c>
      <c r="DE222">
        <v>563</v>
      </c>
      <c r="DF222">
        <v>557</v>
      </c>
      <c r="DG222">
        <v>39748908</v>
      </c>
      <c r="DH222">
        <v>203</v>
      </c>
      <c r="DJ222" s="24"/>
      <c r="DK222">
        <v>32300001</v>
      </c>
      <c r="DL222">
        <v>32300005</v>
      </c>
      <c r="DM222">
        <v>32300004</v>
      </c>
      <c r="DN222">
        <v>309</v>
      </c>
      <c r="DO222">
        <v>68</v>
      </c>
      <c r="DQ222" s="24"/>
      <c r="DR222">
        <v>1680006</v>
      </c>
      <c r="DS222">
        <v>1799994</v>
      </c>
      <c r="DT222">
        <v>1700007</v>
      </c>
      <c r="DU222">
        <v>6865</v>
      </c>
      <c r="DV222">
        <v>234</v>
      </c>
      <c r="DX222" s="24"/>
      <c r="DY222">
        <v>19290028</v>
      </c>
      <c r="DZ222">
        <v>19758026</v>
      </c>
      <c r="EA222">
        <v>19728002</v>
      </c>
      <c r="EB222">
        <v>443</v>
      </c>
      <c r="EC222">
        <v>106</v>
      </c>
      <c r="EE222" s="24"/>
      <c r="EF222">
        <v>160</v>
      </c>
      <c r="EG222">
        <v>176</v>
      </c>
      <c r="EH222">
        <v>173</v>
      </c>
      <c r="EI222">
        <v>140475114</v>
      </c>
      <c r="EJ222">
        <v>253</v>
      </c>
      <c r="EL222" s="24"/>
      <c r="EM222">
        <v>59100</v>
      </c>
      <c r="EN222">
        <v>59500</v>
      </c>
      <c r="EO222">
        <v>59250</v>
      </c>
      <c r="EP222">
        <v>82489</v>
      </c>
      <c r="EQ222">
        <v>730</v>
      </c>
      <c r="ES222" s="24"/>
      <c r="ET222">
        <v>297</v>
      </c>
      <c r="EU222">
        <v>314</v>
      </c>
      <c r="EV222">
        <v>314</v>
      </c>
      <c r="EW222">
        <v>30250394</v>
      </c>
      <c r="EX222">
        <v>565</v>
      </c>
      <c r="EZ222" s="24"/>
      <c r="FA222">
        <v>3006008</v>
      </c>
      <c r="FB222">
        <v>3205999</v>
      </c>
      <c r="FC222">
        <v>3200000</v>
      </c>
      <c r="FD222">
        <v>1915</v>
      </c>
      <c r="FE222">
        <v>29</v>
      </c>
      <c r="FG222" s="24"/>
      <c r="FH222">
        <v>5656</v>
      </c>
      <c r="FI222">
        <v>5872</v>
      </c>
      <c r="FJ222">
        <v>5870</v>
      </c>
      <c r="FK222">
        <v>1566018</v>
      </c>
      <c r="FL222">
        <v>425</v>
      </c>
      <c r="FN222" s="24"/>
      <c r="FO222">
        <v>18189</v>
      </c>
      <c r="FP222">
        <v>18189</v>
      </c>
      <c r="FQ222">
        <v>18189</v>
      </c>
      <c r="FR222">
        <v>152744</v>
      </c>
      <c r="FS222">
        <v>95</v>
      </c>
      <c r="FU222" s="24"/>
      <c r="FV222">
        <v>17959</v>
      </c>
      <c r="FW222">
        <v>18361</v>
      </c>
      <c r="FX222">
        <v>17962</v>
      </c>
      <c r="FY222">
        <v>423035</v>
      </c>
      <c r="FZ222">
        <v>1362</v>
      </c>
      <c r="GB222" s="24"/>
      <c r="GC222">
        <v>90499999</v>
      </c>
      <c r="GD222">
        <v>93000000</v>
      </c>
      <c r="GE222">
        <v>90857015</v>
      </c>
      <c r="GF222">
        <v>56</v>
      </c>
      <c r="GG222">
        <v>54</v>
      </c>
      <c r="GI222" s="24"/>
      <c r="GJ222">
        <v>22222337</v>
      </c>
      <c r="GK222">
        <v>23499999</v>
      </c>
      <c r="GL222">
        <v>22399865</v>
      </c>
      <c r="GM222">
        <v>521</v>
      </c>
      <c r="GN222">
        <v>79</v>
      </c>
      <c r="GP222" s="24"/>
      <c r="GQ222">
        <v>87</v>
      </c>
      <c r="GR222">
        <v>91</v>
      </c>
      <c r="GS222">
        <v>88</v>
      </c>
      <c r="GT222">
        <v>133286082</v>
      </c>
      <c r="GU222">
        <v>137</v>
      </c>
      <c r="GW222" s="24"/>
      <c r="GX222">
        <v>530</v>
      </c>
      <c r="GY222">
        <v>549</v>
      </c>
      <c r="GZ222">
        <v>548</v>
      </c>
      <c r="HA222">
        <v>48272963</v>
      </c>
      <c r="HB222">
        <v>227</v>
      </c>
      <c r="HD222" s="24"/>
      <c r="HE222">
        <v>5802</v>
      </c>
      <c r="HF222">
        <v>5975</v>
      </c>
      <c r="HG222">
        <v>5973</v>
      </c>
      <c r="HH222">
        <v>18493749</v>
      </c>
      <c r="HI222">
        <v>284</v>
      </c>
      <c r="HK222" s="24"/>
      <c r="HL222">
        <v>86637041</v>
      </c>
      <c r="HM222">
        <v>92715997</v>
      </c>
      <c r="HN222">
        <v>91272494</v>
      </c>
      <c r="HO222">
        <v>66</v>
      </c>
      <c r="HP222">
        <v>58</v>
      </c>
      <c r="HR222" s="24"/>
      <c r="HS222">
        <v>6201</v>
      </c>
      <c r="HT222">
        <v>6439</v>
      </c>
      <c r="HU222">
        <v>6275</v>
      </c>
      <c r="HV222">
        <v>492184</v>
      </c>
      <c r="HW222">
        <v>134</v>
      </c>
      <c r="HY222" s="24"/>
      <c r="HZ222">
        <v>5116</v>
      </c>
      <c r="IA222">
        <v>5297</v>
      </c>
      <c r="IB222">
        <v>5171</v>
      </c>
      <c r="IC222">
        <v>1684612</v>
      </c>
      <c r="ID222">
        <v>502</v>
      </c>
      <c r="IF222" s="24"/>
      <c r="IG222">
        <v>2688</v>
      </c>
      <c r="IH222">
        <v>2688</v>
      </c>
      <c r="II222">
        <v>2688</v>
      </c>
      <c r="IJ222">
        <v>1447886</v>
      </c>
      <c r="IK222">
        <v>145</v>
      </c>
      <c r="IM222" s="24"/>
      <c r="IN222">
        <v>89000009</v>
      </c>
      <c r="IO222">
        <v>92097000</v>
      </c>
      <c r="IP222">
        <v>91266510</v>
      </c>
      <c r="IQ222">
        <v>71</v>
      </c>
      <c r="IR222">
        <v>62</v>
      </c>
      <c r="IT222" s="24"/>
      <c r="IU222">
        <v>7498</v>
      </c>
      <c r="IV222">
        <v>7498</v>
      </c>
      <c r="IW222">
        <v>7498</v>
      </c>
      <c r="IX222">
        <v>1171121</v>
      </c>
      <c r="IY222">
        <v>158</v>
      </c>
      <c r="JA222" s="24"/>
      <c r="JB222">
        <v>85009067</v>
      </c>
      <c r="JC222">
        <v>90882981</v>
      </c>
      <c r="JD222">
        <v>89519251</v>
      </c>
      <c r="JE222">
        <v>66</v>
      </c>
      <c r="JF222">
        <v>61</v>
      </c>
      <c r="JH222" s="24"/>
      <c r="JI222">
        <v>89548997</v>
      </c>
      <c r="JJ222">
        <v>91099997</v>
      </c>
      <c r="JK222">
        <v>89863402</v>
      </c>
      <c r="JL222">
        <v>54</v>
      </c>
      <c r="JM222">
        <v>49</v>
      </c>
      <c r="JO222" s="24"/>
      <c r="JP222">
        <v>100</v>
      </c>
      <c r="JQ222">
        <v>105</v>
      </c>
      <c r="JR222">
        <v>103</v>
      </c>
      <c r="JS222">
        <v>191350050</v>
      </c>
      <c r="JT222">
        <v>126</v>
      </c>
      <c r="JV222" s="24"/>
      <c r="JW222">
        <v>75</v>
      </c>
      <c r="JX222">
        <v>79</v>
      </c>
      <c r="JY222">
        <v>75</v>
      </c>
      <c r="JZ222">
        <v>190907345</v>
      </c>
      <c r="KA222">
        <v>141</v>
      </c>
      <c r="KC222" s="24"/>
      <c r="KD222">
        <v>20</v>
      </c>
      <c r="KE222">
        <v>21</v>
      </c>
      <c r="KF222">
        <v>21</v>
      </c>
      <c r="KG222">
        <v>44824832</v>
      </c>
      <c r="KH222">
        <v>329</v>
      </c>
      <c r="KJ222" s="24"/>
      <c r="KK222">
        <v>85</v>
      </c>
      <c r="KL222">
        <v>88</v>
      </c>
      <c r="KM222">
        <v>87</v>
      </c>
      <c r="KN222">
        <v>91398925</v>
      </c>
      <c r="KO222">
        <v>103</v>
      </c>
      <c r="KQ222" s="24"/>
      <c r="KR222">
        <v>121514</v>
      </c>
      <c r="KS222">
        <v>124999</v>
      </c>
      <c r="KT222">
        <v>121514</v>
      </c>
      <c r="KU222">
        <v>62281</v>
      </c>
      <c r="KV222">
        <v>697</v>
      </c>
      <c r="KX222" s="24"/>
      <c r="KY222">
        <v>530</v>
      </c>
      <c r="KZ222">
        <v>567</v>
      </c>
      <c r="LA222">
        <v>563</v>
      </c>
      <c r="LB222">
        <v>5648404</v>
      </c>
      <c r="LC222">
        <v>179</v>
      </c>
      <c r="LE222" s="24"/>
      <c r="LF222">
        <v>184000</v>
      </c>
      <c r="LG222">
        <v>190400</v>
      </c>
      <c r="LH222">
        <v>189000</v>
      </c>
      <c r="LI222">
        <v>101564</v>
      </c>
      <c r="LJ222">
        <v>989</v>
      </c>
      <c r="LL222" s="24"/>
      <c r="LM222">
        <v>79011</v>
      </c>
      <c r="LN222">
        <v>80997</v>
      </c>
      <c r="LO222">
        <v>79011</v>
      </c>
      <c r="LP222">
        <v>557688</v>
      </c>
      <c r="LQ222">
        <v>1457</v>
      </c>
      <c r="LS222" s="24"/>
      <c r="LT222">
        <v>491</v>
      </c>
      <c r="LU222">
        <v>505</v>
      </c>
      <c r="LV222">
        <v>500</v>
      </c>
      <c r="LW222">
        <v>108977290</v>
      </c>
      <c r="LX222">
        <v>404</v>
      </c>
      <c r="LZ222" s="24"/>
      <c r="MA222">
        <v>100004</v>
      </c>
      <c r="MB222">
        <v>103989</v>
      </c>
      <c r="MC222">
        <v>101000</v>
      </c>
      <c r="MD222">
        <v>1261442</v>
      </c>
      <c r="ME222">
        <v>104</v>
      </c>
    </row>
    <row r="223" spans="2:343" x14ac:dyDescent="0.25">
      <c r="B223" s="24"/>
      <c r="C223">
        <v>3</v>
      </c>
      <c r="D223">
        <v>3</v>
      </c>
      <c r="E223">
        <v>3</v>
      </c>
      <c r="F223">
        <v>33150529837</v>
      </c>
      <c r="G223">
        <v>3262</v>
      </c>
      <c r="I223" s="24"/>
      <c r="J223">
        <v>4</v>
      </c>
      <c r="K223">
        <v>4</v>
      </c>
      <c r="L223">
        <v>4</v>
      </c>
      <c r="M223">
        <v>5596613547</v>
      </c>
      <c r="N223">
        <v>2353</v>
      </c>
      <c r="P223" s="24"/>
      <c r="Q223">
        <v>27</v>
      </c>
      <c r="R223">
        <v>27</v>
      </c>
      <c r="S223">
        <v>27</v>
      </c>
      <c r="T223">
        <v>1431344244</v>
      </c>
      <c r="U223">
        <v>2164</v>
      </c>
      <c r="W223" s="24"/>
      <c r="X223">
        <v>60</v>
      </c>
      <c r="Y223">
        <v>61</v>
      </c>
      <c r="Z223">
        <v>60</v>
      </c>
      <c r="AA223">
        <v>291707226</v>
      </c>
      <c r="AB223">
        <v>1729</v>
      </c>
      <c r="AD223" s="24"/>
      <c r="AE223">
        <v>385</v>
      </c>
      <c r="AF223">
        <v>396</v>
      </c>
      <c r="AG223">
        <v>395</v>
      </c>
      <c r="AH223">
        <v>97331877</v>
      </c>
      <c r="AI223">
        <v>1888</v>
      </c>
      <c r="AK223" s="24"/>
      <c r="AL223">
        <v>762</v>
      </c>
      <c r="AM223">
        <v>776</v>
      </c>
      <c r="AN223">
        <v>774</v>
      </c>
      <c r="AO223">
        <v>41448776</v>
      </c>
      <c r="AP223">
        <v>1491</v>
      </c>
      <c r="AR223" s="24"/>
      <c r="AS223">
        <v>2696</v>
      </c>
      <c r="AT223">
        <v>2797</v>
      </c>
      <c r="AU223">
        <v>2750</v>
      </c>
      <c r="AV223">
        <v>14123605</v>
      </c>
      <c r="AW223">
        <v>1460</v>
      </c>
      <c r="AY223" s="24"/>
      <c r="AZ223">
        <v>360000111</v>
      </c>
      <c r="BA223">
        <v>367498050</v>
      </c>
      <c r="BB223">
        <v>364250000</v>
      </c>
      <c r="BC223">
        <v>2456</v>
      </c>
      <c r="BD223">
        <v>1639</v>
      </c>
      <c r="BF223" s="24"/>
      <c r="BG223">
        <v>23700</v>
      </c>
      <c r="BH223">
        <v>23704</v>
      </c>
      <c r="BI223">
        <v>23704</v>
      </c>
      <c r="BJ223">
        <v>1749462</v>
      </c>
      <c r="BK223">
        <v>229</v>
      </c>
      <c r="BM223" s="24"/>
      <c r="BN223">
        <v>6004096</v>
      </c>
      <c r="BO223">
        <v>6050000</v>
      </c>
      <c r="BP223">
        <v>6004100</v>
      </c>
      <c r="BQ223">
        <v>10503</v>
      </c>
      <c r="BR223">
        <v>345</v>
      </c>
      <c r="BT223" s="24"/>
      <c r="BU223">
        <v>2551</v>
      </c>
      <c r="BV223">
        <v>2657</v>
      </c>
      <c r="BW223">
        <v>2657</v>
      </c>
      <c r="BX223">
        <v>13154304</v>
      </c>
      <c r="BY223">
        <v>208</v>
      </c>
      <c r="CA223" s="24"/>
      <c r="CB223">
        <v>542</v>
      </c>
      <c r="CC223">
        <v>542</v>
      </c>
      <c r="CD223">
        <v>542</v>
      </c>
      <c r="CE223">
        <v>46394636</v>
      </c>
      <c r="CF223">
        <v>235</v>
      </c>
      <c r="CH223" s="24"/>
      <c r="CI223">
        <v>21706</v>
      </c>
      <c r="CJ223">
        <v>22001</v>
      </c>
      <c r="CK223">
        <v>22001</v>
      </c>
      <c r="CL223">
        <v>1205165</v>
      </c>
      <c r="CM223">
        <v>198</v>
      </c>
      <c r="CO223" s="24"/>
      <c r="CP223">
        <v>5661</v>
      </c>
      <c r="CQ223">
        <v>5919</v>
      </c>
      <c r="CR223">
        <v>5909</v>
      </c>
      <c r="CS223">
        <v>1357205</v>
      </c>
      <c r="CT223">
        <v>382</v>
      </c>
      <c r="CV223" s="24"/>
      <c r="CW223">
        <v>1309999</v>
      </c>
      <c r="CX223">
        <v>1330000</v>
      </c>
      <c r="CY223">
        <v>1310000</v>
      </c>
      <c r="CZ223">
        <v>9508</v>
      </c>
      <c r="DA223">
        <v>31</v>
      </c>
      <c r="DC223" s="24"/>
      <c r="DD223">
        <v>544</v>
      </c>
      <c r="DE223">
        <v>563</v>
      </c>
      <c r="DF223">
        <v>545</v>
      </c>
      <c r="DG223">
        <v>30207374</v>
      </c>
      <c r="DH223">
        <v>181</v>
      </c>
      <c r="DJ223" s="24"/>
      <c r="DK223">
        <v>32212237</v>
      </c>
      <c r="DL223">
        <v>32212242</v>
      </c>
      <c r="DM223">
        <v>32212239</v>
      </c>
      <c r="DN223">
        <v>465</v>
      </c>
      <c r="DO223">
        <v>83</v>
      </c>
      <c r="DQ223" s="24"/>
      <c r="DR223">
        <v>1600051</v>
      </c>
      <c r="DS223">
        <v>1799995</v>
      </c>
      <c r="DT223">
        <v>1700000</v>
      </c>
      <c r="DU223">
        <v>5809</v>
      </c>
      <c r="DV223">
        <v>245</v>
      </c>
      <c r="DX223" s="24"/>
      <c r="DY223">
        <v>19999999</v>
      </c>
      <c r="DZ223">
        <v>21358002</v>
      </c>
      <c r="EA223">
        <v>20900002</v>
      </c>
      <c r="EB223">
        <v>343</v>
      </c>
      <c r="EC223">
        <v>77</v>
      </c>
      <c r="EE223" s="24"/>
      <c r="EF223">
        <v>156</v>
      </c>
      <c r="EG223">
        <v>166</v>
      </c>
      <c r="EH223">
        <v>160</v>
      </c>
      <c r="EI223">
        <v>100421440</v>
      </c>
      <c r="EJ223">
        <v>192</v>
      </c>
      <c r="EL223" s="24"/>
      <c r="EM223">
        <v>59250</v>
      </c>
      <c r="EN223">
        <v>59500</v>
      </c>
      <c r="EO223">
        <v>59250</v>
      </c>
      <c r="EP223">
        <v>80175</v>
      </c>
      <c r="EQ223">
        <v>776</v>
      </c>
      <c r="ES223" s="24"/>
      <c r="ET223">
        <v>314</v>
      </c>
      <c r="EU223">
        <v>319</v>
      </c>
      <c r="EV223">
        <v>319</v>
      </c>
      <c r="EW223">
        <v>36801353</v>
      </c>
      <c r="EX223">
        <v>615</v>
      </c>
      <c r="EZ223" s="24"/>
      <c r="FA223">
        <v>3206005</v>
      </c>
      <c r="FB223">
        <v>3206006</v>
      </c>
      <c r="FC223">
        <v>3206006</v>
      </c>
      <c r="FD223">
        <v>734</v>
      </c>
      <c r="FE223">
        <v>15</v>
      </c>
      <c r="FG223" s="24"/>
      <c r="FH223">
        <v>5655</v>
      </c>
      <c r="FI223">
        <v>5885</v>
      </c>
      <c r="FJ223">
        <v>5799</v>
      </c>
      <c r="FK223">
        <v>1370383</v>
      </c>
      <c r="FL223">
        <v>453</v>
      </c>
      <c r="FN223" s="24"/>
      <c r="FO223">
        <v>17061</v>
      </c>
      <c r="FP223">
        <v>18189</v>
      </c>
      <c r="FQ223">
        <v>18099</v>
      </c>
      <c r="FR223">
        <v>186392</v>
      </c>
      <c r="FS223">
        <v>81</v>
      </c>
      <c r="FU223" s="24"/>
      <c r="FV223">
        <v>16702</v>
      </c>
      <c r="FW223">
        <v>17000</v>
      </c>
      <c r="FX223">
        <v>16750</v>
      </c>
      <c r="FY223">
        <v>372054</v>
      </c>
      <c r="FZ223">
        <v>1539</v>
      </c>
      <c r="GB223" s="24"/>
      <c r="GC223">
        <v>91200003</v>
      </c>
      <c r="GD223">
        <v>94139000</v>
      </c>
      <c r="GE223">
        <v>92444929</v>
      </c>
      <c r="GF223">
        <v>55</v>
      </c>
      <c r="GG223">
        <v>48</v>
      </c>
      <c r="GI223" s="24"/>
      <c r="GJ223">
        <v>22222340</v>
      </c>
      <c r="GK223">
        <v>22400000</v>
      </c>
      <c r="GL223">
        <v>22222340</v>
      </c>
      <c r="GM223">
        <v>540</v>
      </c>
      <c r="GN223">
        <v>88</v>
      </c>
      <c r="GP223" s="24"/>
      <c r="GQ223">
        <v>87</v>
      </c>
      <c r="GR223">
        <v>90</v>
      </c>
      <c r="GS223">
        <v>87</v>
      </c>
      <c r="GT223">
        <v>209221540</v>
      </c>
      <c r="GU223">
        <v>158</v>
      </c>
      <c r="GW223" s="24"/>
      <c r="GX223">
        <v>521</v>
      </c>
      <c r="GY223">
        <v>543</v>
      </c>
      <c r="GZ223">
        <v>540</v>
      </c>
      <c r="HA223">
        <v>50803536</v>
      </c>
      <c r="HB223">
        <v>250</v>
      </c>
      <c r="HD223" s="24"/>
      <c r="HE223">
        <v>5803</v>
      </c>
      <c r="HF223">
        <v>5968</v>
      </c>
      <c r="HG223">
        <v>5851</v>
      </c>
      <c r="HH223">
        <v>18832443</v>
      </c>
      <c r="HI223">
        <v>303</v>
      </c>
      <c r="HK223" s="24"/>
      <c r="HL223">
        <v>87500004</v>
      </c>
      <c r="HM223">
        <v>92760984</v>
      </c>
      <c r="HN223">
        <v>91567682</v>
      </c>
      <c r="HO223">
        <v>51</v>
      </c>
      <c r="HP223">
        <v>49</v>
      </c>
      <c r="HR223" s="24"/>
      <c r="HS223">
        <v>6280</v>
      </c>
      <c r="HT223">
        <v>6439</v>
      </c>
      <c r="HU223">
        <v>6400</v>
      </c>
      <c r="HV223">
        <v>809927</v>
      </c>
      <c r="HW223">
        <v>150</v>
      </c>
      <c r="HY223" s="24"/>
      <c r="HZ223">
        <v>5120</v>
      </c>
      <c r="IA223">
        <v>5400</v>
      </c>
      <c r="IB223">
        <v>5384</v>
      </c>
      <c r="IC223">
        <v>1762132</v>
      </c>
      <c r="ID223">
        <v>498</v>
      </c>
      <c r="IF223" s="24"/>
      <c r="IG223">
        <v>2492</v>
      </c>
      <c r="IH223">
        <v>2685</v>
      </c>
      <c r="II223">
        <v>2684</v>
      </c>
      <c r="IJ223">
        <v>1925068</v>
      </c>
      <c r="IK223">
        <v>151</v>
      </c>
      <c r="IM223" s="24"/>
      <c r="IN223">
        <v>89000022</v>
      </c>
      <c r="IO223">
        <v>92102938</v>
      </c>
      <c r="IP223">
        <v>91321421</v>
      </c>
      <c r="IQ223">
        <v>58</v>
      </c>
      <c r="IR223">
        <v>54</v>
      </c>
      <c r="IT223" s="24"/>
      <c r="IU223">
        <v>7400</v>
      </c>
      <c r="IV223">
        <v>7410</v>
      </c>
      <c r="IW223">
        <v>7409</v>
      </c>
      <c r="IX223">
        <v>1554000</v>
      </c>
      <c r="IY223">
        <v>155</v>
      </c>
      <c r="JA223" s="24"/>
      <c r="JB223">
        <v>87135001</v>
      </c>
      <c r="JC223">
        <v>90875998</v>
      </c>
      <c r="JD223">
        <v>89725075</v>
      </c>
      <c r="JE223">
        <v>65</v>
      </c>
      <c r="JF223">
        <v>62</v>
      </c>
      <c r="JH223" s="24"/>
      <c r="JI223">
        <v>92795996</v>
      </c>
      <c r="JJ223">
        <v>97994000</v>
      </c>
      <c r="JK223">
        <v>94865017</v>
      </c>
      <c r="JL223">
        <v>34</v>
      </c>
      <c r="JM223">
        <v>34</v>
      </c>
      <c r="JO223" s="24"/>
      <c r="JP223">
        <v>98</v>
      </c>
      <c r="JQ223">
        <v>108</v>
      </c>
      <c r="JR223">
        <v>108</v>
      </c>
      <c r="JS223">
        <v>86407019</v>
      </c>
      <c r="JT223">
        <v>108</v>
      </c>
      <c r="JV223" s="24"/>
      <c r="JW223">
        <v>77</v>
      </c>
      <c r="JX223">
        <v>79</v>
      </c>
      <c r="JY223">
        <v>79</v>
      </c>
      <c r="JZ223">
        <v>128484926</v>
      </c>
      <c r="KA223">
        <v>112</v>
      </c>
      <c r="KC223" s="24"/>
      <c r="KD223">
        <v>20</v>
      </c>
      <c r="KE223">
        <v>21</v>
      </c>
      <c r="KF223">
        <v>21</v>
      </c>
      <c r="KG223">
        <v>54731744</v>
      </c>
      <c r="KH223">
        <v>331</v>
      </c>
      <c r="KJ223" s="24"/>
      <c r="KK223">
        <v>88</v>
      </c>
      <c r="KL223">
        <v>93</v>
      </c>
      <c r="KM223">
        <v>90</v>
      </c>
      <c r="KN223">
        <v>80424115</v>
      </c>
      <c r="KO223">
        <v>105</v>
      </c>
      <c r="KQ223" s="24"/>
      <c r="KR223">
        <v>121515</v>
      </c>
      <c r="KS223">
        <v>122000</v>
      </c>
      <c r="KT223">
        <v>121515</v>
      </c>
      <c r="KU223">
        <v>78578</v>
      </c>
      <c r="KV223">
        <v>766</v>
      </c>
      <c r="KX223" s="24"/>
      <c r="KY223">
        <v>540</v>
      </c>
      <c r="KZ223">
        <v>558</v>
      </c>
      <c r="LA223">
        <v>558</v>
      </c>
      <c r="LB223">
        <v>7884740</v>
      </c>
      <c r="LC223">
        <v>212</v>
      </c>
      <c r="LE223" s="24"/>
      <c r="LF223">
        <v>181600</v>
      </c>
      <c r="LG223">
        <v>183002</v>
      </c>
      <c r="LH223">
        <v>183000</v>
      </c>
      <c r="LI223">
        <v>125055</v>
      </c>
      <c r="LJ223">
        <v>1100</v>
      </c>
      <c r="LL223" s="24"/>
      <c r="LM223">
        <v>74050</v>
      </c>
      <c r="LN223">
        <v>75901</v>
      </c>
      <c r="LO223">
        <v>75001</v>
      </c>
      <c r="LP223">
        <v>373004</v>
      </c>
      <c r="LQ223">
        <v>1562</v>
      </c>
      <c r="LS223" s="24"/>
      <c r="LT223">
        <v>502</v>
      </c>
      <c r="LU223">
        <v>505</v>
      </c>
      <c r="LV223">
        <v>505</v>
      </c>
      <c r="LW223">
        <v>83456192</v>
      </c>
      <c r="LX223">
        <v>407</v>
      </c>
      <c r="LZ223" s="24"/>
      <c r="MA223">
        <v>96000</v>
      </c>
      <c r="MB223">
        <v>96000</v>
      </c>
      <c r="MC223">
        <v>96000</v>
      </c>
      <c r="MD223">
        <v>1907687</v>
      </c>
      <c r="ME223">
        <v>134</v>
      </c>
    </row>
    <row r="224" spans="2:343" x14ac:dyDescent="0.25">
      <c r="B224" s="24"/>
      <c r="C224">
        <v>3</v>
      </c>
      <c r="D224">
        <v>3</v>
      </c>
      <c r="E224">
        <v>3</v>
      </c>
      <c r="F224">
        <v>24664796092</v>
      </c>
      <c r="G224">
        <v>2770</v>
      </c>
      <c r="I224" s="24"/>
      <c r="J224">
        <v>4</v>
      </c>
      <c r="K224">
        <v>4</v>
      </c>
      <c r="L224">
        <v>4</v>
      </c>
      <c r="M224">
        <v>4353537281</v>
      </c>
      <c r="N224">
        <v>1941</v>
      </c>
      <c r="P224" s="24"/>
      <c r="Q224">
        <v>26</v>
      </c>
      <c r="R224">
        <v>27</v>
      </c>
      <c r="S224">
        <v>27</v>
      </c>
      <c r="T224">
        <v>1006874476</v>
      </c>
      <c r="U224">
        <v>1725</v>
      </c>
      <c r="W224" s="24"/>
      <c r="X224">
        <v>59</v>
      </c>
      <c r="Y224">
        <v>60</v>
      </c>
      <c r="Z224">
        <v>60</v>
      </c>
      <c r="AA224">
        <v>410440633</v>
      </c>
      <c r="AB224">
        <v>1502</v>
      </c>
      <c r="AD224" s="24"/>
      <c r="AE224">
        <v>380</v>
      </c>
      <c r="AF224">
        <v>385</v>
      </c>
      <c r="AG224">
        <v>384</v>
      </c>
      <c r="AH224">
        <v>97619377</v>
      </c>
      <c r="AI224">
        <v>1525</v>
      </c>
      <c r="AK224" s="24"/>
      <c r="AL224">
        <v>755</v>
      </c>
      <c r="AM224">
        <v>769</v>
      </c>
      <c r="AN224">
        <v>758</v>
      </c>
      <c r="AO224">
        <v>37959807</v>
      </c>
      <c r="AP224">
        <v>1216</v>
      </c>
      <c r="AR224" s="24"/>
      <c r="AS224">
        <v>2650</v>
      </c>
      <c r="AT224">
        <v>2672</v>
      </c>
      <c r="AU224">
        <v>2650</v>
      </c>
      <c r="AV224">
        <v>13429332</v>
      </c>
      <c r="AW224">
        <v>1178</v>
      </c>
      <c r="AY224" s="24"/>
      <c r="AZ224">
        <v>361155001</v>
      </c>
      <c r="BA224">
        <v>368350000</v>
      </c>
      <c r="BB224">
        <v>365999999</v>
      </c>
      <c r="BC224">
        <v>2308</v>
      </c>
      <c r="BD224">
        <v>1600</v>
      </c>
      <c r="BF224" s="24"/>
      <c r="BG224">
        <v>23728</v>
      </c>
      <c r="BH224">
        <v>23731</v>
      </c>
      <c r="BI224">
        <v>23731</v>
      </c>
      <c r="BJ224">
        <v>3161984</v>
      </c>
      <c r="BK224">
        <v>323</v>
      </c>
      <c r="BM224" s="24"/>
      <c r="BN224">
        <v>6004110</v>
      </c>
      <c r="BO224">
        <v>6200000</v>
      </c>
      <c r="BP224">
        <v>6004281</v>
      </c>
      <c r="BQ224">
        <v>11829</v>
      </c>
      <c r="BR224">
        <v>296</v>
      </c>
      <c r="BT224" s="24"/>
      <c r="BU224">
        <v>2553</v>
      </c>
      <c r="BV224">
        <v>2647</v>
      </c>
      <c r="BW224">
        <v>2589</v>
      </c>
      <c r="BX224">
        <v>19917838</v>
      </c>
      <c r="BY224">
        <v>207</v>
      </c>
      <c r="CA224" s="24"/>
      <c r="CB224">
        <v>541</v>
      </c>
      <c r="CC224">
        <v>542</v>
      </c>
      <c r="CD224">
        <v>541</v>
      </c>
      <c r="CE224">
        <v>55438243</v>
      </c>
      <c r="CF224">
        <v>225</v>
      </c>
      <c r="CH224" s="24"/>
      <c r="CI224">
        <v>21704</v>
      </c>
      <c r="CJ224">
        <v>21704</v>
      </c>
      <c r="CK224">
        <v>21704</v>
      </c>
      <c r="CL224">
        <v>2055111</v>
      </c>
      <c r="CM224">
        <v>229</v>
      </c>
      <c r="CO224" s="24"/>
      <c r="CP224">
        <v>5896</v>
      </c>
      <c r="CQ224">
        <v>5907</v>
      </c>
      <c r="CR224">
        <v>5900</v>
      </c>
      <c r="CS224">
        <v>894915</v>
      </c>
      <c r="CT224">
        <v>302</v>
      </c>
      <c r="CV224" s="24"/>
      <c r="CW224">
        <v>1310000</v>
      </c>
      <c r="CX224">
        <v>1329998</v>
      </c>
      <c r="CY224">
        <v>1328996</v>
      </c>
      <c r="CZ224">
        <v>10150</v>
      </c>
      <c r="DA224">
        <v>36</v>
      </c>
      <c r="DC224" s="24"/>
      <c r="DD224">
        <v>558</v>
      </c>
      <c r="DE224">
        <v>558</v>
      </c>
      <c r="DF224">
        <v>558</v>
      </c>
      <c r="DG224">
        <v>29317934</v>
      </c>
      <c r="DH224">
        <v>147</v>
      </c>
      <c r="DJ224" s="24"/>
      <c r="DK224">
        <v>32212246</v>
      </c>
      <c r="DL224">
        <v>32212266</v>
      </c>
      <c r="DM224">
        <v>32212247</v>
      </c>
      <c r="DN224">
        <v>411</v>
      </c>
      <c r="DO224">
        <v>71</v>
      </c>
      <c r="DQ224" s="24"/>
      <c r="DR224">
        <v>1600100</v>
      </c>
      <c r="DS224">
        <v>1795000</v>
      </c>
      <c r="DT224">
        <v>1650001</v>
      </c>
      <c r="DU224">
        <v>6996</v>
      </c>
      <c r="DV224">
        <v>236</v>
      </c>
      <c r="DX224" s="24"/>
      <c r="DY224">
        <v>19001658</v>
      </c>
      <c r="DZ224">
        <v>20496999</v>
      </c>
      <c r="EA224">
        <v>19002200</v>
      </c>
      <c r="EB224">
        <v>347</v>
      </c>
      <c r="EC224">
        <v>107</v>
      </c>
      <c r="EE224" s="24"/>
      <c r="EF224">
        <v>156</v>
      </c>
      <c r="EG224">
        <v>164</v>
      </c>
      <c r="EH224">
        <v>158</v>
      </c>
      <c r="EI224">
        <v>97827956</v>
      </c>
      <c r="EJ224">
        <v>160</v>
      </c>
      <c r="EL224" s="24"/>
      <c r="EM224">
        <v>58100</v>
      </c>
      <c r="EN224">
        <v>59500</v>
      </c>
      <c r="EO224">
        <v>58101</v>
      </c>
      <c r="EP224">
        <v>58199</v>
      </c>
      <c r="EQ224">
        <v>644</v>
      </c>
      <c r="ES224" s="24"/>
      <c r="ET224">
        <v>294</v>
      </c>
      <c r="EU224">
        <v>313</v>
      </c>
      <c r="EV224">
        <v>296</v>
      </c>
      <c r="EW224">
        <v>63283766</v>
      </c>
      <c r="EX224">
        <v>594</v>
      </c>
      <c r="EZ224" s="24"/>
      <c r="FA224">
        <v>3189000</v>
      </c>
      <c r="FB224">
        <v>3189000</v>
      </c>
      <c r="FC224">
        <v>3189000</v>
      </c>
      <c r="FD224">
        <v>1962</v>
      </c>
      <c r="FE224">
        <v>23</v>
      </c>
      <c r="FG224" s="24"/>
      <c r="FH224">
        <v>5799</v>
      </c>
      <c r="FI224">
        <v>5888</v>
      </c>
      <c r="FJ224">
        <v>5799</v>
      </c>
      <c r="FK224">
        <v>1543216</v>
      </c>
      <c r="FL224">
        <v>392</v>
      </c>
      <c r="FN224" s="24"/>
      <c r="FO224">
        <v>18056</v>
      </c>
      <c r="FP224">
        <v>18057</v>
      </c>
      <c r="FQ224">
        <v>18057</v>
      </c>
      <c r="FR224">
        <v>156938</v>
      </c>
      <c r="FS224">
        <v>72</v>
      </c>
      <c r="FU224" s="24"/>
      <c r="FV224">
        <v>17000</v>
      </c>
      <c r="FW224">
        <v>17900</v>
      </c>
      <c r="FX224">
        <v>17301</v>
      </c>
      <c r="FY224">
        <v>293022</v>
      </c>
      <c r="FZ224">
        <v>1269</v>
      </c>
      <c r="GB224" s="24"/>
      <c r="GC224">
        <v>91200002</v>
      </c>
      <c r="GD224">
        <v>93799999</v>
      </c>
      <c r="GE224">
        <v>91200030</v>
      </c>
      <c r="GF224">
        <v>130</v>
      </c>
      <c r="GG224">
        <v>88</v>
      </c>
      <c r="GI224" s="24"/>
      <c r="GJ224">
        <v>22222340</v>
      </c>
      <c r="GK224">
        <v>22223341</v>
      </c>
      <c r="GL224">
        <v>22223340</v>
      </c>
      <c r="GM224">
        <v>602</v>
      </c>
      <c r="GN224">
        <v>99</v>
      </c>
      <c r="GP224" s="24"/>
      <c r="GQ224">
        <v>86</v>
      </c>
      <c r="GR224">
        <v>90</v>
      </c>
      <c r="GS224">
        <v>90</v>
      </c>
      <c r="GT224">
        <v>112434781</v>
      </c>
      <c r="GU224">
        <v>99</v>
      </c>
      <c r="GW224" s="24"/>
      <c r="GX224">
        <v>532</v>
      </c>
      <c r="GY224">
        <v>538</v>
      </c>
      <c r="GZ224">
        <v>538</v>
      </c>
      <c r="HA224">
        <v>41303132</v>
      </c>
      <c r="HB224">
        <v>202</v>
      </c>
      <c r="HD224" s="24"/>
      <c r="HE224">
        <v>5855</v>
      </c>
      <c r="HF224">
        <v>5960</v>
      </c>
      <c r="HG224">
        <v>5960</v>
      </c>
      <c r="HH224">
        <v>14161717</v>
      </c>
      <c r="HI224">
        <v>240</v>
      </c>
      <c r="HK224" s="24"/>
      <c r="HL224">
        <v>81015001</v>
      </c>
      <c r="HM224">
        <v>90002002</v>
      </c>
      <c r="HN224">
        <v>87500000</v>
      </c>
      <c r="HO224">
        <v>193</v>
      </c>
      <c r="HP224">
        <v>108</v>
      </c>
      <c r="HR224" s="24"/>
      <c r="HS224">
        <v>5754</v>
      </c>
      <c r="HT224">
        <v>6095</v>
      </c>
      <c r="HU224">
        <v>5754</v>
      </c>
      <c r="HV224">
        <v>188578</v>
      </c>
      <c r="HW224">
        <v>72</v>
      </c>
      <c r="HY224" s="24"/>
      <c r="HZ224">
        <v>5400</v>
      </c>
      <c r="IA224">
        <v>5439</v>
      </c>
      <c r="IB224">
        <v>5439</v>
      </c>
      <c r="IC224">
        <v>1400960</v>
      </c>
      <c r="ID224">
        <v>399</v>
      </c>
      <c r="IF224" s="24"/>
      <c r="IG224">
        <v>2497</v>
      </c>
      <c r="IH224">
        <v>2684</v>
      </c>
      <c r="II224">
        <v>2684</v>
      </c>
      <c r="IJ224">
        <v>2187544</v>
      </c>
      <c r="IK224">
        <v>128</v>
      </c>
      <c r="IM224" s="24"/>
      <c r="IN224">
        <v>90000005</v>
      </c>
      <c r="IO224">
        <v>92103989</v>
      </c>
      <c r="IP224">
        <v>91225305</v>
      </c>
      <c r="IQ224">
        <v>74</v>
      </c>
      <c r="IR224">
        <v>64</v>
      </c>
      <c r="IT224" s="24"/>
      <c r="IU224">
        <v>7360</v>
      </c>
      <c r="IV224">
        <v>7408</v>
      </c>
      <c r="IW224">
        <v>7408</v>
      </c>
      <c r="IX224">
        <v>1426583</v>
      </c>
      <c r="IY224">
        <v>141</v>
      </c>
      <c r="JA224" s="24"/>
      <c r="JB224">
        <v>88000459</v>
      </c>
      <c r="JC224">
        <v>90883997</v>
      </c>
      <c r="JD224">
        <v>90370340</v>
      </c>
      <c r="JE224">
        <v>81</v>
      </c>
      <c r="JF224">
        <v>62</v>
      </c>
      <c r="JH224" s="24"/>
      <c r="JI224">
        <v>86542111</v>
      </c>
      <c r="JJ224">
        <v>90000895</v>
      </c>
      <c r="JK224">
        <v>90000000</v>
      </c>
      <c r="JL224">
        <v>152</v>
      </c>
      <c r="JM224">
        <v>95</v>
      </c>
      <c r="JO224" s="24"/>
      <c r="JP224">
        <v>103</v>
      </c>
      <c r="JQ224">
        <v>110</v>
      </c>
      <c r="JR224">
        <v>108</v>
      </c>
      <c r="JS224">
        <v>217914403</v>
      </c>
      <c r="JT224">
        <v>103</v>
      </c>
      <c r="JV224" s="24"/>
      <c r="JW224">
        <v>76</v>
      </c>
      <c r="JX224">
        <v>79</v>
      </c>
      <c r="JY224">
        <v>77</v>
      </c>
      <c r="JZ224">
        <v>257100590</v>
      </c>
      <c r="KA224">
        <v>130</v>
      </c>
      <c r="KC224" s="24"/>
      <c r="KD224">
        <v>20</v>
      </c>
      <c r="KE224">
        <v>21</v>
      </c>
      <c r="KF224">
        <v>20</v>
      </c>
      <c r="KG224">
        <v>42222863</v>
      </c>
      <c r="KH224">
        <v>287</v>
      </c>
      <c r="KJ224" s="24"/>
      <c r="KK224">
        <v>88</v>
      </c>
      <c r="KL224">
        <v>89</v>
      </c>
      <c r="KM224">
        <v>88</v>
      </c>
      <c r="KN224">
        <v>159173530</v>
      </c>
      <c r="KO224">
        <v>119</v>
      </c>
      <c r="KQ224" s="24"/>
      <c r="KR224">
        <v>121515</v>
      </c>
      <c r="KS224">
        <v>123004</v>
      </c>
      <c r="KT224">
        <v>121602</v>
      </c>
      <c r="KU224">
        <v>65775</v>
      </c>
      <c r="KV224">
        <v>696</v>
      </c>
      <c r="KX224" s="24"/>
      <c r="KY224">
        <v>515</v>
      </c>
      <c r="KZ224">
        <v>553</v>
      </c>
      <c r="LA224">
        <v>553</v>
      </c>
      <c r="LB224">
        <v>6614536</v>
      </c>
      <c r="LC224">
        <v>151</v>
      </c>
      <c r="LE224" s="24"/>
      <c r="LF224">
        <v>184250</v>
      </c>
      <c r="LG224">
        <v>185000</v>
      </c>
      <c r="LH224">
        <v>184251</v>
      </c>
      <c r="LI224">
        <v>92502</v>
      </c>
      <c r="LJ224">
        <v>895</v>
      </c>
      <c r="LL224" s="24"/>
      <c r="LM224">
        <v>75303</v>
      </c>
      <c r="LN224">
        <v>76850</v>
      </c>
      <c r="LO224">
        <v>75506</v>
      </c>
      <c r="LP224">
        <v>286190</v>
      </c>
      <c r="LQ224">
        <v>1309</v>
      </c>
      <c r="LS224" s="24"/>
      <c r="LT224">
        <v>500</v>
      </c>
      <c r="LU224">
        <v>509</v>
      </c>
      <c r="LV224">
        <v>506</v>
      </c>
      <c r="LW224">
        <v>63519772</v>
      </c>
      <c r="LX224">
        <v>374</v>
      </c>
      <c r="LZ224" s="24"/>
      <c r="MA224">
        <v>97009</v>
      </c>
      <c r="MB224">
        <v>103965</v>
      </c>
      <c r="MC224">
        <v>99000</v>
      </c>
      <c r="MD224">
        <v>838597</v>
      </c>
      <c r="ME224">
        <v>91</v>
      </c>
    </row>
    <row r="225" spans="2:343" x14ac:dyDescent="0.25">
      <c r="B225" s="24"/>
      <c r="C225">
        <v>3</v>
      </c>
      <c r="D225">
        <v>3</v>
      </c>
      <c r="E225">
        <v>3</v>
      </c>
      <c r="F225">
        <v>31367614857</v>
      </c>
      <c r="G225">
        <v>2702</v>
      </c>
      <c r="I225" s="24"/>
      <c r="J225">
        <v>4</v>
      </c>
      <c r="K225">
        <v>4</v>
      </c>
      <c r="L225">
        <v>4</v>
      </c>
      <c r="M225">
        <v>5171843717</v>
      </c>
      <c r="N225">
        <v>1949</v>
      </c>
      <c r="P225" s="24"/>
      <c r="Q225">
        <v>26</v>
      </c>
      <c r="R225">
        <v>27</v>
      </c>
      <c r="S225">
        <v>27</v>
      </c>
      <c r="T225">
        <v>1795285084</v>
      </c>
      <c r="U225">
        <v>1742</v>
      </c>
      <c r="W225" s="24"/>
      <c r="X225">
        <v>58</v>
      </c>
      <c r="Y225">
        <v>58</v>
      </c>
      <c r="Z225">
        <v>58</v>
      </c>
      <c r="AA225">
        <v>328776088</v>
      </c>
      <c r="AB225">
        <v>1410</v>
      </c>
      <c r="AD225" s="24"/>
      <c r="AE225">
        <v>380</v>
      </c>
      <c r="AF225">
        <v>382</v>
      </c>
      <c r="AG225">
        <v>382</v>
      </c>
      <c r="AH225">
        <v>69498533</v>
      </c>
      <c r="AI225">
        <v>1420</v>
      </c>
      <c r="AK225" s="24"/>
      <c r="AL225">
        <v>742</v>
      </c>
      <c r="AM225">
        <v>766</v>
      </c>
      <c r="AN225">
        <v>750</v>
      </c>
      <c r="AO225">
        <v>46160680</v>
      </c>
      <c r="AP225">
        <v>1300</v>
      </c>
      <c r="AR225" s="24"/>
      <c r="AS225">
        <v>2612</v>
      </c>
      <c r="AT225">
        <v>2733</v>
      </c>
      <c r="AU225">
        <v>2646</v>
      </c>
      <c r="AV225">
        <v>11544308</v>
      </c>
      <c r="AW225">
        <v>1197</v>
      </c>
      <c r="AY225" s="24"/>
      <c r="AZ225">
        <v>363100002</v>
      </c>
      <c r="BA225">
        <v>371001000</v>
      </c>
      <c r="BB225">
        <v>366888888</v>
      </c>
      <c r="BC225">
        <v>2124</v>
      </c>
      <c r="BD225">
        <v>1458</v>
      </c>
      <c r="BF225" s="24"/>
      <c r="BG225">
        <v>23302</v>
      </c>
      <c r="BH225">
        <v>23731</v>
      </c>
      <c r="BI225">
        <v>23303</v>
      </c>
      <c r="BJ225">
        <v>3134077</v>
      </c>
      <c r="BK225">
        <v>278</v>
      </c>
      <c r="BM225" s="24"/>
      <c r="BN225">
        <v>6007033</v>
      </c>
      <c r="BO225">
        <v>6239999</v>
      </c>
      <c r="BP225">
        <v>6007040</v>
      </c>
      <c r="BQ225">
        <v>9815</v>
      </c>
      <c r="BR225">
        <v>275</v>
      </c>
      <c r="BT225" s="24"/>
      <c r="BU225">
        <v>2645</v>
      </c>
      <c r="BV225">
        <v>2647</v>
      </c>
      <c r="BW225">
        <v>2645</v>
      </c>
      <c r="BX225">
        <v>12583943</v>
      </c>
      <c r="BY225">
        <v>193</v>
      </c>
      <c r="CA225" s="24"/>
      <c r="CB225">
        <v>531</v>
      </c>
      <c r="CC225">
        <v>541</v>
      </c>
      <c r="CD225">
        <v>541</v>
      </c>
      <c r="CE225">
        <v>69792992</v>
      </c>
      <c r="CF225">
        <v>251</v>
      </c>
      <c r="CH225" s="24"/>
      <c r="CI225">
        <v>21355</v>
      </c>
      <c r="CJ225">
        <v>21525</v>
      </c>
      <c r="CK225">
        <v>21525</v>
      </c>
      <c r="CL225">
        <v>904076</v>
      </c>
      <c r="CM225">
        <v>186</v>
      </c>
      <c r="CO225" s="24"/>
      <c r="CP225">
        <v>5576</v>
      </c>
      <c r="CQ225">
        <v>5907</v>
      </c>
      <c r="CR225">
        <v>5800</v>
      </c>
      <c r="CS225">
        <v>761557</v>
      </c>
      <c r="CT225">
        <v>304</v>
      </c>
      <c r="CV225" s="24"/>
      <c r="CW225">
        <v>1309999</v>
      </c>
      <c r="CX225">
        <v>1332998</v>
      </c>
      <c r="CY225">
        <v>1320000</v>
      </c>
      <c r="CZ225">
        <v>7776</v>
      </c>
      <c r="DA225">
        <v>30</v>
      </c>
      <c r="DC225" s="24"/>
      <c r="DD225">
        <v>557</v>
      </c>
      <c r="DE225">
        <v>558</v>
      </c>
      <c r="DF225">
        <v>557</v>
      </c>
      <c r="DG225">
        <v>21653079</v>
      </c>
      <c r="DH225">
        <v>140</v>
      </c>
      <c r="DJ225" s="24"/>
      <c r="DK225">
        <v>32300000</v>
      </c>
      <c r="DL225">
        <v>33499999</v>
      </c>
      <c r="DM225">
        <v>32600000</v>
      </c>
      <c r="DN225">
        <v>180</v>
      </c>
      <c r="DO225">
        <v>50</v>
      </c>
      <c r="DQ225" s="24"/>
      <c r="DR225">
        <v>1601080</v>
      </c>
      <c r="DS225">
        <v>1710999</v>
      </c>
      <c r="DT225">
        <v>1630000</v>
      </c>
      <c r="DU225">
        <v>4412</v>
      </c>
      <c r="DV225">
        <v>193</v>
      </c>
      <c r="DX225" s="24"/>
      <c r="DY225">
        <v>19103002</v>
      </c>
      <c r="DZ225">
        <v>19750000</v>
      </c>
      <c r="EA225">
        <v>19450000</v>
      </c>
      <c r="EB225">
        <v>185</v>
      </c>
      <c r="EC225">
        <v>63</v>
      </c>
      <c r="EE225" s="24"/>
      <c r="EF225">
        <v>158</v>
      </c>
      <c r="EG225">
        <v>164</v>
      </c>
      <c r="EH225">
        <v>164</v>
      </c>
      <c r="EI225">
        <v>72112138</v>
      </c>
      <c r="EJ225">
        <v>159</v>
      </c>
      <c r="EL225" s="24"/>
      <c r="EM225">
        <v>58126</v>
      </c>
      <c r="EN225">
        <v>58250</v>
      </c>
      <c r="EO225">
        <v>58127</v>
      </c>
      <c r="EP225">
        <v>54784</v>
      </c>
      <c r="EQ225">
        <v>626</v>
      </c>
      <c r="ES225" s="24"/>
      <c r="ET225">
        <v>292</v>
      </c>
      <c r="EU225">
        <v>300</v>
      </c>
      <c r="EV225">
        <v>292</v>
      </c>
      <c r="EW225">
        <v>46110419</v>
      </c>
      <c r="EX225">
        <v>505</v>
      </c>
      <c r="EZ225" s="24"/>
      <c r="FA225">
        <v>3060001</v>
      </c>
      <c r="FB225">
        <v>3225000</v>
      </c>
      <c r="FC225">
        <v>3061006</v>
      </c>
      <c r="FD225">
        <v>1738</v>
      </c>
      <c r="FE225">
        <v>25</v>
      </c>
      <c r="FG225" s="24"/>
      <c r="FH225">
        <v>5720</v>
      </c>
      <c r="FI225">
        <v>5916</v>
      </c>
      <c r="FJ225">
        <v>5799</v>
      </c>
      <c r="FK225">
        <v>1545912</v>
      </c>
      <c r="FL225">
        <v>401</v>
      </c>
      <c r="FN225" s="24"/>
      <c r="FO225">
        <v>17066</v>
      </c>
      <c r="FP225">
        <v>18057</v>
      </c>
      <c r="FQ225">
        <v>17501</v>
      </c>
      <c r="FR225">
        <v>318499</v>
      </c>
      <c r="FS225">
        <v>99</v>
      </c>
      <c r="FU225" s="24"/>
      <c r="FV225">
        <v>17101</v>
      </c>
      <c r="FW225">
        <v>17332</v>
      </c>
      <c r="FX225">
        <v>17201</v>
      </c>
      <c r="FY225">
        <v>256463</v>
      </c>
      <c r="FZ225">
        <v>1261</v>
      </c>
      <c r="GB225" s="24"/>
      <c r="GC225">
        <v>87102056</v>
      </c>
      <c r="GD225">
        <v>91799983</v>
      </c>
      <c r="GE225">
        <v>88361846</v>
      </c>
      <c r="GF225">
        <v>72</v>
      </c>
      <c r="GG225">
        <v>62</v>
      </c>
      <c r="GI225" s="24"/>
      <c r="GJ225">
        <v>22122340</v>
      </c>
      <c r="GK225">
        <v>23999997</v>
      </c>
      <c r="GL225">
        <v>22290000</v>
      </c>
      <c r="GM225">
        <v>335</v>
      </c>
      <c r="GN225">
        <v>79</v>
      </c>
      <c r="GP225" s="24"/>
      <c r="GQ225">
        <v>90</v>
      </c>
      <c r="GR225">
        <v>90</v>
      </c>
      <c r="GS225">
        <v>90</v>
      </c>
      <c r="GT225">
        <v>71495436</v>
      </c>
      <c r="GU225">
        <v>123</v>
      </c>
      <c r="GW225" s="24"/>
      <c r="GX225">
        <v>503</v>
      </c>
      <c r="GY225">
        <v>537</v>
      </c>
      <c r="GZ225">
        <v>529</v>
      </c>
      <c r="HA225">
        <v>60295884</v>
      </c>
      <c r="HB225">
        <v>226</v>
      </c>
      <c r="HD225" s="24"/>
      <c r="HE225">
        <v>5859</v>
      </c>
      <c r="HF225">
        <v>5947</v>
      </c>
      <c r="HG225">
        <v>5900</v>
      </c>
      <c r="HH225">
        <v>13792236</v>
      </c>
      <c r="HI225">
        <v>281</v>
      </c>
      <c r="HK225" s="24"/>
      <c r="HL225">
        <v>81001001</v>
      </c>
      <c r="HM225">
        <v>90507995</v>
      </c>
      <c r="HN225">
        <v>89670666</v>
      </c>
      <c r="HO225">
        <v>93</v>
      </c>
      <c r="HP225">
        <v>64</v>
      </c>
      <c r="HR225" s="24"/>
      <c r="HS225">
        <v>6000</v>
      </c>
      <c r="HT225">
        <v>6420</v>
      </c>
      <c r="HU225">
        <v>6090</v>
      </c>
      <c r="HV225">
        <v>525045</v>
      </c>
      <c r="HW225">
        <v>124</v>
      </c>
      <c r="HY225" s="24"/>
      <c r="HZ225">
        <v>5250</v>
      </c>
      <c r="IA225">
        <v>5425</v>
      </c>
      <c r="IB225">
        <v>5409</v>
      </c>
      <c r="IC225">
        <v>1386709</v>
      </c>
      <c r="ID225">
        <v>343</v>
      </c>
      <c r="IF225" s="24"/>
      <c r="IG225">
        <v>2498</v>
      </c>
      <c r="IH225">
        <v>2684</v>
      </c>
      <c r="II225">
        <v>2684</v>
      </c>
      <c r="IJ225">
        <v>1067850</v>
      </c>
      <c r="IK225">
        <v>131</v>
      </c>
      <c r="IM225" s="24"/>
      <c r="IN225">
        <v>88020000</v>
      </c>
      <c r="IO225">
        <v>91999999</v>
      </c>
      <c r="IP225">
        <v>89699939</v>
      </c>
      <c r="IQ225">
        <v>87</v>
      </c>
      <c r="IR225">
        <v>61</v>
      </c>
      <c r="IT225" s="24"/>
      <c r="IU225">
        <v>7399</v>
      </c>
      <c r="IV225">
        <v>7498</v>
      </c>
      <c r="IW225">
        <v>7494</v>
      </c>
      <c r="IX225">
        <v>1157268</v>
      </c>
      <c r="IY225">
        <v>136</v>
      </c>
      <c r="JA225" s="24"/>
      <c r="JB225">
        <v>89010001</v>
      </c>
      <c r="JC225">
        <v>95097998</v>
      </c>
      <c r="JD225">
        <v>91464325</v>
      </c>
      <c r="JE225">
        <v>91</v>
      </c>
      <c r="JF225">
        <v>73</v>
      </c>
      <c r="JH225" s="24"/>
      <c r="JI225">
        <v>75050000</v>
      </c>
      <c r="JJ225">
        <v>96496975</v>
      </c>
      <c r="JK225">
        <v>94981316</v>
      </c>
      <c r="JL225">
        <v>26</v>
      </c>
      <c r="JM225">
        <v>25</v>
      </c>
      <c r="JO225" s="24"/>
      <c r="JP225">
        <v>103</v>
      </c>
      <c r="JQ225">
        <v>109</v>
      </c>
      <c r="JR225">
        <v>107</v>
      </c>
      <c r="JS225">
        <v>181100048</v>
      </c>
      <c r="JT225">
        <v>108</v>
      </c>
      <c r="JV225" s="24"/>
      <c r="JW225">
        <v>79</v>
      </c>
      <c r="JX225">
        <v>79</v>
      </c>
      <c r="JY225">
        <v>79</v>
      </c>
      <c r="JZ225">
        <v>60078086</v>
      </c>
      <c r="KA225">
        <v>80</v>
      </c>
      <c r="KC225" s="24"/>
      <c r="KD225">
        <v>20</v>
      </c>
      <c r="KE225">
        <v>20</v>
      </c>
      <c r="KF225">
        <v>20</v>
      </c>
      <c r="KG225">
        <v>59029904</v>
      </c>
      <c r="KH225">
        <v>278</v>
      </c>
      <c r="KJ225" s="24"/>
      <c r="KK225">
        <v>85</v>
      </c>
      <c r="KL225">
        <v>90</v>
      </c>
      <c r="KM225">
        <v>90</v>
      </c>
      <c r="KN225">
        <v>54363689</v>
      </c>
      <c r="KO225">
        <v>80</v>
      </c>
      <c r="KQ225" s="24"/>
      <c r="KR225">
        <v>122000</v>
      </c>
      <c r="KS225">
        <v>123002</v>
      </c>
      <c r="KT225">
        <v>123000</v>
      </c>
      <c r="KU225">
        <v>63197</v>
      </c>
      <c r="KV225">
        <v>634</v>
      </c>
      <c r="KX225" s="24"/>
      <c r="KY225">
        <v>500</v>
      </c>
      <c r="KZ225">
        <v>539</v>
      </c>
      <c r="LA225">
        <v>514</v>
      </c>
      <c r="LB225">
        <v>7238680</v>
      </c>
      <c r="LC225">
        <v>180</v>
      </c>
      <c r="LE225" s="24"/>
      <c r="LF225">
        <v>182503</v>
      </c>
      <c r="LG225">
        <v>186100</v>
      </c>
      <c r="LH225">
        <v>183500</v>
      </c>
      <c r="LI225">
        <v>85057</v>
      </c>
      <c r="LJ225">
        <v>895</v>
      </c>
      <c r="LL225" s="24"/>
      <c r="LM225">
        <v>75510</v>
      </c>
      <c r="LN225">
        <v>75700</v>
      </c>
      <c r="LO225">
        <v>75513</v>
      </c>
      <c r="LP225">
        <v>259374</v>
      </c>
      <c r="LQ225">
        <v>1276</v>
      </c>
      <c r="LS225" s="24"/>
      <c r="LT225">
        <v>512</v>
      </c>
      <c r="LU225">
        <v>514</v>
      </c>
      <c r="LV225">
        <v>514</v>
      </c>
      <c r="LW225">
        <v>73868154</v>
      </c>
      <c r="LX225">
        <v>333</v>
      </c>
      <c r="LZ225" s="24"/>
      <c r="MA225">
        <v>100000</v>
      </c>
      <c r="MB225">
        <v>103893</v>
      </c>
      <c r="MC225">
        <v>103881</v>
      </c>
      <c r="MD225">
        <v>478444</v>
      </c>
      <c r="ME225">
        <v>69</v>
      </c>
    </row>
    <row r="226" spans="2:343" x14ac:dyDescent="0.25">
      <c r="B226" s="24"/>
      <c r="C226">
        <v>3</v>
      </c>
      <c r="D226">
        <v>3</v>
      </c>
      <c r="E226">
        <v>3</v>
      </c>
      <c r="F226">
        <v>26510128555</v>
      </c>
      <c r="G226">
        <v>2555</v>
      </c>
      <c r="I226" s="24"/>
      <c r="J226">
        <v>4</v>
      </c>
      <c r="K226">
        <v>4</v>
      </c>
      <c r="L226">
        <v>4</v>
      </c>
      <c r="M226">
        <v>7753857935</v>
      </c>
      <c r="N226">
        <v>1747</v>
      </c>
      <c r="P226" s="24"/>
      <c r="Q226">
        <v>26</v>
      </c>
      <c r="R226">
        <v>26</v>
      </c>
      <c r="S226">
        <v>26</v>
      </c>
      <c r="T226">
        <v>1776369103</v>
      </c>
      <c r="U226">
        <v>1539</v>
      </c>
      <c r="W226" s="24"/>
      <c r="X226">
        <v>55</v>
      </c>
      <c r="Y226">
        <v>56</v>
      </c>
      <c r="Z226">
        <v>55</v>
      </c>
      <c r="AA226">
        <v>552639261</v>
      </c>
      <c r="AB226">
        <v>1280</v>
      </c>
      <c r="AD226" s="24"/>
      <c r="AE226">
        <v>378</v>
      </c>
      <c r="AF226">
        <v>382</v>
      </c>
      <c r="AG226">
        <v>382</v>
      </c>
      <c r="AH226">
        <v>95861860</v>
      </c>
      <c r="AI226">
        <v>1391</v>
      </c>
      <c r="AK226" s="24"/>
      <c r="AL226">
        <v>740</v>
      </c>
      <c r="AM226">
        <v>760</v>
      </c>
      <c r="AN226">
        <v>759</v>
      </c>
      <c r="AO226">
        <v>34028378</v>
      </c>
      <c r="AP226">
        <v>1085</v>
      </c>
      <c r="AR226" s="24"/>
      <c r="AS226">
        <v>2627</v>
      </c>
      <c r="AT226">
        <v>2718</v>
      </c>
      <c r="AU226">
        <v>2717</v>
      </c>
      <c r="AV226">
        <v>8818032</v>
      </c>
      <c r="AW226">
        <v>1074</v>
      </c>
      <c r="AY226" s="24"/>
      <c r="AZ226">
        <v>367996001</v>
      </c>
      <c r="BA226">
        <v>375429999</v>
      </c>
      <c r="BB226">
        <v>370009999</v>
      </c>
      <c r="BC226">
        <v>1933</v>
      </c>
      <c r="BD226">
        <v>1445</v>
      </c>
      <c r="BF226" s="24"/>
      <c r="BG226">
        <v>23317</v>
      </c>
      <c r="BH226">
        <v>24998</v>
      </c>
      <c r="BI226">
        <v>23318</v>
      </c>
      <c r="BJ226">
        <v>1717982</v>
      </c>
      <c r="BK226">
        <v>231</v>
      </c>
      <c r="BM226" s="24"/>
      <c r="BN226">
        <v>6009009</v>
      </c>
      <c r="BO226">
        <v>6254978</v>
      </c>
      <c r="BP226">
        <v>6200000</v>
      </c>
      <c r="BQ226">
        <v>11337</v>
      </c>
      <c r="BR226">
        <v>305</v>
      </c>
      <c r="BT226" s="24"/>
      <c r="BU226">
        <v>2589</v>
      </c>
      <c r="BV226">
        <v>2645</v>
      </c>
      <c r="BW226">
        <v>2644</v>
      </c>
      <c r="BX226">
        <v>22052268</v>
      </c>
      <c r="BY226">
        <v>210</v>
      </c>
      <c r="CA226" s="24"/>
      <c r="CB226">
        <v>538</v>
      </c>
      <c r="CC226">
        <v>538</v>
      </c>
      <c r="CD226">
        <v>538</v>
      </c>
      <c r="CE226">
        <v>46191345</v>
      </c>
      <c r="CF226">
        <v>209</v>
      </c>
      <c r="CH226" s="24"/>
      <c r="CI226">
        <v>21002</v>
      </c>
      <c r="CJ226">
        <v>21004</v>
      </c>
      <c r="CK226">
        <v>21004</v>
      </c>
      <c r="CL226">
        <v>2798626</v>
      </c>
      <c r="CM226">
        <v>174</v>
      </c>
      <c r="CO226" s="24"/>
      <c r="CP226">
        <v>5620</v>
      </c>
      <c r="CQ226">
        <v>5917</v>
      </c>
      <c r="CR226">
        <v>5899</v>
      </c>
      <c r="CS226">
        <v>893269</v>
      </c>
      <c r="CT226">
        <v>301</v>
      </c>
      <c r="CV226" s="24"/>
      <c r="CW226">
        <v>1376999</v>
      </c>
      <c r="CX226">
        <v>1376999</v>
      </c>
      <c r="CY226">
        <v>1376999</v>
      </c>
      <c r="CZ226">
        <v>7924</v>
      </c>
      <c r="DA226">
        <v>24</v>
      </c>
      <c r="DC226" s="24"/>
      <c r="DD226">
        <v>541</v>
      </c>
      <c r="DE226">
        <v>558</v>
      </c>
      <c r="DF226">
        <v>557</v>
      </c>
      <c r="DG226">
        <v>46375266</v>
      </c>
      <c r="DH226">
        <v>173</v>
      </c>
      <c r="DJ226" s="24"/>
      <c r="DK226">
        <v>32255555</v>
      </c>
      <c r="DL226">
        <v>33500000</v>
      </c>
      <c r="DM226">
        <v>33499998</v>
      </c>
      <c r="DN226">
        <v>200</v>
      </c>
      <c r="DO226">
        <v>63</v>
      </c>
      <c r="DQ226" s="24"/>
      <c r="DR226">
        <v>1601080</v>
      </c>
      <c r="DS226">
        <v>1681129</v>
      </c>
      <c r="DT226">
        <v>1630000</v>
      </c>
      <c r="DU226">
        <v>9077</v>
      </c>
      <c r="DV226">
        <v>229</v>
      </c>
      <c r="DX226" s="24"/>
      <c r="DY226">
        <v>19901000</v>
      </c>
      <c r="DZ226">
        <v>21358004</v>
      </c>
      <c r="EA226">
        <v>20499999</v>
      </c>
      <c r="EB226">
        <v>462</v>
      </c>
      <c r="EC226">
        <v>98</v>
      </c>
      <c r="EE226" s="24"/>
      <c r="EF226">
        <v>158</v>
      </c>
      <c r="EG226">
        <v>164</v>
      </c>
      <c r="EH226">
        <v>158</v>
      </c>
      <c r="EI226">
        <v>103024754</v>
      </c>
      <c r="EJ226">
        <v>160</v>
      </c>
      <c r="EL226" s="24"/>
      <c r="EM226">
        <v>59256</v>
      </c>
      <c r="EN226">
        <v>59257</v>
      </c>
      <c r="EO226">
        <v>59256</v>
      </c>
      <c r="EP226">
        <v>87530</v>
      </c>
      <c r="EQ226">
        <v>583</v>
      </c>
      <c r="ES226" s="24"/>
      <c r="ET226">
        <v>286</v>
      </c>
      <c r="EU226">
        <v>301</v>
      </c>
      <c r="EV226">
        <v>287</v>
      </c>
      <c r="EW226">
        <v>53026811</v>
      </c>
      <c r="EX226">
        <v>532</v>
      </c>
      <c r="EZ226" s="24"/>
      <c r="FA226">
        <v>3431898</v>
      </c>
      <c r="FB226">
        <v>3431898</v>
      </c>
      <c r="FC226">
        <v>3431898</v>
      </c>
      <c r="FD226">
        <v>835</v>
      </c>
      <c r="FE226">
        <v>9</v>
      </c>
      <c r="FG226" s="24"/>
      <c r="FH226">
        <v>5900</v>
      </c>
      <c r="FI226">
        <v>6100</v>
      </c>
      <c r="FJ226">
        <v>6049</v>
      </c>
      <c r="FK226">
        <v>1216932</v>
      </c>
      <c r="FL226">
        <v>383</v>
      </c>
      <c r="FN226" s="24"/>
      <c r="FO226">
        <v>18056</v>
      </c>
      <c r="FP226">
        <v>18057</v>
      </c>
      <c r="FQ226">
        <v>18056</v>
      </c>
      <c r="FR226">
        <v>60706</v>
      </c>
      <c r="FS226">
        <v>55</v>
      </c>
      <c r="FU226" s="24"/>
      <c r="FV226">
        <v>17401</v>
      </c>
      <c r="FW226">
        <v>17604</v>
      </c>
      <c r="FX226">
        <v>17405</v>
      </c>
      <c r="FY226">
        <v>390313</v>
      </c>
      <c r="FZ226">
        <v>1119</v>
      </c>
      <c r="GB226" s="24"/>
      <c r="GC226">
        <v>85102060</v>
      </c>
      <c r="GD226">
        <v>91799982</v>
      </c>
      <c r="GE226">
        <v>88993604</v>
      </c>
      <c r="GF226">
        <v>59</v>
      </c>
      <c r="GG226">
        <v>48</v>
      </c>
      <c r="GI226" s="24"/>
      <c r="GJ226">
        <v>22491026</v>
      </c>
      <c r="GK226">
        <v>23890000</v>
      </c>
      <c r="GL226">
        <v>22491030</v>
      </c>
      <c r="GM226">
        <v>379</v>
      </c>
      <c r="GN226">
        <v>72</v>
      </c>
      <c r="GP226" s="24"/>
      <c r="GQ226">
        <v>90</v>
      </c>
      <c r="GR226">
        <v>90</v>
      </c>
      <c r="GS226">
        <v>90</v>
      </c>
      <c r="GT226">
        <v>87671575</v>
      </c>
      <c r="GU226">
        <v>106</v>
      </c>
      <c r="GW226" s="24"/>
      <c r="GX226">
        <v>504</v>
      </c>
      <c r="GY226">
        <v>533</v>
      </c>
      <c r="GZ226">
        <v>527</v>
      </c>
      <c r="HA226">
        <v>47625290</v>
      </c>
      <c r="HB226">
        <v>208</v>
      </c>
      <c r="HD226" s="24"/>
      <c r="HE226">
        <v>5804</v>
      </c>
      <c r="HF226">
        <v>5943</v>
      </c>
      <c r="HG226">
        <v>5897</v>
      </c>
      <c r="HH226">
        <v>10668017</v>
      </c>
      <c r="HI226">
        <v>169</v>
      </c>
      <c r="HK226" s="24"/>
      <c r="HL226">
        <v>89999899</v>
      </c>
      <c r="HM226">
        <v>97240000</v>
      </c>
      <c r="HN226">
        <v>91915444</v>
      </c>
      <c r="HO226">
        <v>56</v>
      </c>
      <c r="HP226">
        <v>49</v>
      </c>
      <c r="HR226" s="24"/>
      <c r="HS226">
        <v>6400</v>
      </c>
      <c r="HT226">
        <v>6428</v>
      </c>
      <c r="HU226">
        <v>6428</v>
      </c>
      <c r="HV226">
        <v>442959</v>
      </c>
      <c r="HW226">
        <v>110</v>
      </c>
      <c r="HY226" s="24"/>
      <c r="HZ226">
        <v>5397</v>
      </c>
      <c r="IA226">
        <v>5419</v>
      </c>
      <c r="IB226">
        <v>5399</v>
      </c>
      <c r="IC226">
        <v>1284736</v>
      </c>
      <c r="ID226">
        <v>358</v>
      </c>
      <c r="IF226" s="24"/>
      <c r="IG226">
        <v>2683</v>
      </c>
      <c r="IH226">
        <v>2683</v>
      </c>
      <c r="II226">
        <v>2683</v>
      </c>
      <c r="IJ226">
        <v>1037444</v>
      </c>
      <c r="IK226">
        <v>95</v>
      </c>
      <c r="IM226" s="24"/>
      <c r="IN226">
        <v>86704005</v>
      </c>
      <c r="IO226">
        <v>95586496</v>
      </c>
      <c r="IP226">
        <v>90149581</v>
      </c>
      <c r="IQ226">
        <v>92</v>
      </c>
      <c r="IR226">
        <v>60</v>
      </c>
      <c r="IT226" s="24"/>
      <c r="IU226">
        <v>7382</v>
      </c>
      <c r="IV226">
        <v>7498</v>
      </c>
      <c r="IW226">
        <v>7498</v>
      </c>
      <c r="IX226">
        <v>1205501</v>
      </c>
      <c r="IY226">
        <v>121</v>
      </c>
      <c r="JA226" s="24"/>
      <c r="JB226">
        <v>89020000</v>
      </c>
      <c r="JC226">
        <v>95096999</v>
      </c>
      <c r="JD226">
        <v>91422186</v>
      </c>
      <c r="JE226">
        <v>93</v>
      </c>
      <c r="JF226">
        <v>63</v>
      </c>
      <c r="JH226" s="24"/>
      <c r="JI226">
        <v>86100003</v>
      </c>
      <c r="JJ226">
        <v>96483996</v>
      </c>
      <c r="JK226">
        <v>93161117</v>
      </c>
      <c r="JL226">
        <v>40</v>
      </c>
      <c r="JM226">
        <v>34</v>
      </c>
      <c r="JO226" s="24"/>
      <c r="JP226">
        <v>101</v>
      </c>
      <c r="JQ226">
        <v>116</v>
      </c>
      <c r="JR226">
        <v>103</v>
      </c>
      <c r="JS226">
        <v>81756191</v>
      </c>
      <c r="JT226">
        <v>98</v>
      </c>
      <c r="JV226" s="24"/>
      <c r="JW226">
        <v>76</v>
      </c>
      <c r="JX226">
        <v>79</v>
      </c>
      <c r="JY226">
        <v>76</v>
      </c>
      <c r="JZ226">
        <v>114494176</v>
      </c>
      <c r="KA226">
        <v>93</v>
      </c>
      <c r="KC226" s="24"/>
      <c r="KD226">
        <v>20</v>
      </c>
      <c r="KE226">
        <v>21</v>
      </c>
      <c r="KF226">
        <v>21</v>
      </c>
      <c r="KG226">
        <v>48626153</v>
      </c>
      <c r="KH226">
        <v>280</v>
      </c>
      <c r="KJ226" s="24"/>
      <c r="KK226">
        <v>88</v>
      </c>
      <c r="KL226">
        <v>89</v>
      </c>
      <c r="KM226">
        <v>89</v>
      </c>
      <c r="KN226">
        <v>117953862</v>
      </c>
      <c r="KO226">
        <v>104</v>
      </c>
      <c r="KQ226" s="24"/>
      <c r="KR226">
        <v>123003</v>
      </c>
      <c r="KS226">
        <v>125000</v>
      </c>
      <c r="KT226">
        <v>125000</v>
      </c>
      <c r="KU226">
        <v>58359</v>
      </c>
      <c r="KV226">
        <v>560</v>
      </c>
      <c r="KX226" s="24"/>
      <c r="KY226">
        <v>515</v>
      </c>
      <c r="KZ226">
        <v>539</v>
      </c>
      <c r="LA226">
        <v>539</v>
      </c>
      <c r="LB226">
        <v>7454415</v>
      </c>
      <c r="LC226">
        <v>147</v>
      </c>
      <c r="LE226" s="24"/>
      <c r="LF226">
        <v>186602</v>
      </c>
      <c r="LG226">
        <v>187239</v>
      </c>
      <c r="LH226">
        <v>186604</v>
      </c>
      <c r="LI226">
        <v>129156</v>
      </c>
      <c r="LJ226">
        <v>832</v>
      </c>
      <c r="LL226" s="24"/>
      <c r="LM226">
        <v>75516</v>
      </c>
      <c r="LN226">
        <v>75617</v>
      </c>
      <c r="LO226">
        <v>75557</v>
      </c>
      <c r="LP226">
        <v>378920</v>
      </c>
      <c r="LQ226">
        <v>1201</v>
      </c>
      <c r="LS226" s="24"/>
      <c r="LT226">
        <v>497</v>
      </c>
      <c r="LU226">
        <v>504</v>
      </c>
      <c r="LV226">
        <v>502</v>
      </c>
      <c r="LW226">
        <v>61864612</v>
      </c>
      <c r="LX226">
        <v>297</v>
      </c>
      <c r="LZ226" s="24"/>
      <c r="MA226">
        <v>99101</v>
      </c>
      <c r="MB226">
        <v>103769</v>
      </c>
      <c r="MC226">
        <v>100500</v>
      </c>
      <c r="MD226">
        <v>833261</v>
      </c>
      <c r="ME226">
        <v>104</v>
      </c>
    </row>
    <row r="227" spans="2:343" x14ac:dyDescent="0.25">
      <c r="B227" s="24"/>
      <c r="C227">
        <v>3</v>
      </c>
      <c r="D227">
        <v>3</v>
      </c>
      <c r="E227">
        <v>3</v>
      </c>
      <c r="F227">
        <v>31299705031</v>
      </c>
      <c r="G227">
        <v>2875</v>
      </c>
      <c r="I227" s="24"/>
      <c r="J227">
        <v>4</v>
      </c>
      <c r="K227">
        <v>4</v>
      </c>
      <c r="L227">
        <v>4</v>
      </c>
      <c r="M227">
        <v>4811468967</v>
      </c>
      <c r="N227">
        <v>1939</v>
      </c>
      <c r="P227" s="24"/>
      <c r="Q227">
        <v>26</v>
      </c>
      <c r="R227">
        <v>26</v>
      </c>
      <c r="S227">
        <v>26</v>
      </c>
      <c r="T227">
        <v>1847942533</v>
      </c>
      <c r="U227">
        <v>1718</v>
      </c>
      <c r="W227" s="24"/>
      <c r="X227">
        <v>55</v>
      </c>
      <c r="Y227">
        <v>57</v>
      </c>
      <c r="Z227">
        <v>57</v>
      </c>
      <c r="AA227">
        <v>473476236</v>
      </c>
      <c r="AB227">
        <v>1400</v>
      </c>
      <c r="AD227" s="24"/>
      <c r="AE227">
        <v>369</v>
      </c>
      <c r="AF227">
        <v>371</v>
      </c>
      <c r="AG227">
        <v>370</v>
      </c>
      <c r="AH227">
        <v>107768561</v>
      </c>
      <c r="AI227">
        <v>1398</v>
      </c>
      <c r="AK227" s="24"/>
      <c r="AL227">
        <v>743</v>
      </c>
      <c r="AM227">
        <v>755</v>
      </c>
      <c r="AN227">
        <v>750</v>
      </c>
      <c r="AO227">
        <v>42023006</v>
      </c>
      <c r="AP227">
        <v>1186</v>
      </c>
      <c r="AR227" s="24"/>
      <c r="AS227">
        <v>2655</v>
      </c>
      <c r="AT227">
        <v>2718</v>
      </c>
      <c r="AU227">
        <v>2713</v>
      </c>
      <c r="AV227">
        <v>13735951</v>
      </c>
      <c r="AW227">
        <v>1171</v>
      </c>
      <c r="AY227" s="24"/>
      <c r="AZ227">
        <v>367000010</v>
      </c>
      <c r="BA227">
        <v>374249999</v>
      </c>
      <c r="BB227">
        <v>371194999</v>
      </c>
      <c r="BC227">
        <v>2174</v>
      </c>
      <c r="BD227">
        <v>1495</v>
      </c>
      <c r="BF227" s="24"/>
      <c r="BG227">
        <v>23318</v>
      </c>
      <c r="BH227">
        <v>23319</v>
      </c>
      <c r="BI227">
        <v>23319</v>
      </c>
      <c r="BJ227">
        <v>3758766</v>
      </c>
      <c r="BK227">
        <v>296</v>
      </c>
      <c r="BM227" s="24"/>
      <c r="BN227">
        <v>6111286</v>
      </c>
      <c r="BO227">
        <v>6253998</v>
      </c>
      <c r="BP227">
        <v>6111288</v>
      </c>
      <c r="BQ227">
        <v>12782</v>
      </c>
      <c r="BR227">
        <v>376</v>
      </c>
      <c r="BT227" s="24"/>
      <c r="BU227">
        <v>2488</v>
      </c>
      <c r="BV227">
        <v>2642</v>
      </c>
      <c r="BW227">
        <v>2503</v>
      </c>
      <c r="BX227">
        <v>21452723</v>
      </c>
      <c r="BY227">
        <v>202</v>
      </c>
      <c r="CA227" s="24"/>
      <c r="CB227">
        <v>538</v>
      </c>
      <c r="CC227">
        <v>538</v>
      </c>
      <c r="CD227">
        <v>538</v>
      </c>
      <c r="CE227">
        <v>52087693</v>
      </c>
      <c r="CF227">
        <v>226</v>
      </c>
      <c r="CH227" s="24"/>
      <c r="CI227">
        <v>21002</v>
      </c>
      <c r="CJ227">
        <v>21050</v>
      </c>
      <c r="CK227">
        <v>21004</v>
      </c>
      <c r="CL227">
        <v>1360546</v>
      </c>
      <c r="CM227">
        <v>196</v>
      </c>
      <c r="CO227" s="24"/>
      <c r="CP227">
        <v>5917</v>
      </c>
      <c r="CQ227">
        <v>5919</v>
      </c>
      <c r="CR227">
        <v>5919</v>
      </c>
      <c r="CS227">
        <v>1060653</v>
      </c>
      <c r="CT227">
        <v>293</v>
      </c>
      <c r="CV227" s="24"/>
      <c r="CW227">
        <v>1376999</v>
      </c>
      <c r="CX227">
        <v>1377000</v>
      </c>
      <c r="CY227">
        <v>1376999</v>
      </c>
      <c r="CZ227">
        <v>9386</v>
      </c>
      <c r="DA227">
        <v>42</v>
      </c>
      <c r="DC227" s="24"/>
      <c r="DD227">
        <v>540</v>
      </c>
      <c r="DE227">
        <v>558</v>
      </c>
      <c r="DF227">
        <v>554</v>
      </c>
      <c r="DG227">
        <v>28751530</v>
      </c>
      <c r="DH227">
        <v>143</v>
      </c>
      <c r="DJ227" s="24"/>
      <c r="DK227">
        <v>32357004</v>
      </c>
      <c r="DL227">
        <v>33499999</v>
      </c>
      <c r="DM227">
        <v>32455555</v>
      </c>
      <c r="DN227">
        <v>183</v>
      </c>
      <c r="DO227">
        <v>49</v>
      </c>
      <c r="DQ227" s="24"/>
      <c r="DR227">
        <v>1600111</v>
      </c>
      <c r="DS227">
        <v>1680000</v>
      </c>
      <c r="DT227">
        <v>1600112</v>
      </c>
      <c r="DU227">
        <v>5721</v>
      </c>
      <c r="DV227">
        <v>204</v>
      </c>
      <c r="DX227" s="24"/>
      <c r="DY227">
        <v>20062001</v>
      </c>
      <c r="DZ227">
        <v>20100002</v>
      </c>
      <c r="EA227">
        <v>20064003</v>
      </c>
      <c r="EB227">
        <v>241</v>
      </c>
      <c r="EC227">
        <v>71</v>
      </c>
      <c r="EE227" s="24"/>
      <c r="EF227">
        <v>158</v>
      </c>
      <c r="EG227">
        <v>164</v>
      </c>
      <c r="EH227">
        <v>161</v>
      </c>
      <c r="EI227">
        <v>74127676</v>
      </c>
      <c r="EJ227">
        <v>148</v>
      </c>
      <c r="EL227" s="24"/>
      <c r="EM227">
        <v>59260</v>
      </c>
      <c r="EN227">
        <v>59402</v>
      </c>
      <c r="EO227">
        <v>59308</v>
      </c>
      <c r="EP227">
        <v>58893</v>
      </c>
      <c r="EQ227">
        <v>645</v>
      </c>
      <c r="ES227" s="24"/>
      <c r="ET227">
        <v>278</v>
      </c>
      <c r="EU227">
        <v>299</v>
      </c>
      <c r="EV227">
        <v>294</v>
      </c>
      <c r="EW227">
        <v>31858872</v>
      </c>
      <c r="EX227">
        <v>574</v>
      </c>
      <c r="EZ227" s="24"/>
      <c r="FA227">
        <v>3064014</v>
      </c>
      <c r="FB227">
        <v>3429999</v>
      </c>
      <c r="FC227">
        <v>3427999</v>
      </c>
      <c r="FD227">
        <v>1363</v>
      </c>
      <c r="FE227">
        <v>19</v>
      </c>
      <c r="FG227" s="24"/>
      <c r="FH227">
        <v>6046</v>
      </c>
      <c r="FI227">
        <v>6149</v>
      </c>
      <c r="FJ227">
        <v>6144</v>
      </c>
      <c r="FK227">
        <v>2080827</v>
      </c>
      <c r="FL227">
        <v>389</v>
      </c>
      <c r="FN227" s="24"/>
      <c r="FO227">
        <v>17066</v>
      </c>
      <c r="FP227">
        <v>18052</v>
      </c>
      <c r="FQ227">
        <v>17601</v>
      </c>
      <c r="FR227">
        <v>176740</v>
      </c>
      <c r="FS227">
        <v>82</v>
      </c>
      <c r="FU227" s="24"/>
      <c r="FV227">
        <v>17505</v>
      </c>
      <c r="FW227">
        <v>17700</v>
      </c>
      <c r="FX227">
        <v>17600</v>
      </c>
      <c r="FY227">
        <v>406752</v>
      </c>
      <c r="FZ227">
        <v>1214</v>
      </c>
      <c r="GB227" s="24"/>
      <c r="GC227">
        <v>85102076</v>
      </c>
      <c r="GD227">
        <v>91796987</v>
      </c>
      <c r="GE227">
        <v>86285432</v>
      </c>
      <c r="GF227">
        <v>93</v>
      </c>
      <c r="GG227">
        <v>60</v>
      </c>
      <c r="GI227" s="24"/>
      <c r="GJ227">
        <v>22609001</v>
      </c>
      <c r="GK227">
        <v>23000000</v>
      </c>
      <c r="GL227">
        <v>22609001</v>
      </c>
      <c r="GM227">
        <v>439</v>
      </c>
      <c r="GN227">
        <v>88</v>
      </c>
      <c r="GP227" s="24"/>
      <c r="GQ227">
        <v>90</v>
      </c>
      <c r="GR227">
        <v>93</v>
      </c>
      <c r="GS227">
        <v>91</v>
      </c>
      <c r="GT227">
        <v>120327947</v>
      </c>
      <c r="GU227">
        <v>111</v>
      </c>
      <c r="GW227" s="24"/>
      <c r="GX227">
        <v>506</v>
      </c>
      <c r="GY227">
        <v>534</v>
      </c>
      <c r="GZ227">
        <v>533</v>
      </c>
      <c r="HA227">
        <v>49493424</v>
      </c>
      <c r="HB227">
        <v>197</v>
      </c>
      <c r="HD227" s="24"/>
      <c r="HE227">
        <v>5722</v>
      </c>
      <c r="HF227">
        <v>5894</v>
      </c>
      <c r="HG227">
        <v>5884</v>
      </c>
      <c r="HH227">
        <v>9564365</v>
      </c>
      <c r="HI227">
        <v>225</v>
      </c>
      <c r="HK227" s="24"/>
      <c r="HL227">
        <v>90999999</v>
      </c>
      <c r="HM227">
        <v>91999999</v>
      </c>
      <c r="HN227">
        <v>91000002</v>
      </c>
      <c r="HO227">
        <v>120</v>
      </c>
      <c r="HP227">
        <v>72</v>
      </c>
      <c r="HR227" s="24"/>
      <c r="HS227">
        <v>5907</v>
      </c>
      <c r="HT227">
        <v>6389</v>
      </c>
      <c r="HU227">
        <v>6349</v>
      </c>
      <c r="HV227">
        <v>470650</v>
      </c>
      <c r="HW227">
        <v>125</v>
      </c>
      <c r="HY227" s="24"/>
      <c r="HZ227">
        <v>5399</v>
      </c>
      <c r="IA227">
        <v>5998</v>
      </c>
      <c r="IB227">
        <v>5738</v>
      </c>
      <c r="IC227">
        <v>1369891</v>
      </c>
      <c r="ID227">
        <v>385</v>
      </c>
      <c r="IF227" s="24"/>
      <c r="IG227">
        <v>2629</v>
      </c>
      <c r="IH227">
        <v>2684</v>
      </c>
      <c r="II227">
        <v>2684</v>
      </c>
      <c r="IJ227">
        <v>1861267</v>
      </c>
      <c r="IK227">
        <v>137</v>
      </c>
      <c r="IM227" s="24"/>
      <c r="IN227">
        <v>90000010</v>
      </c>
      <c r="IO227">
        <v>94999992</v>
      </c>
      <c r="IP227">
        <v>92448215</v>
      </c>
      <c r="IQ227">
        <v>56</v>
      </c>
      <c r="IR227">
        <v>42</v>
      </c>
      <c r="IT227" s="24"/>
      <c r="IU227">
        <v>7495</v>
      </c>
      <c r="IV227">
        <v>7497</v>
      </c>
      <c r="IW227">
        <v>7497</v>
      </c>
      <c r="IX227">
        <v>685022</v>
      </c>
      <c r="IY227">
        <v>107</v>
      </c>
      <c r="JA227" s="24"/>
      <c r="JB227">
        <v>89020004</v>
      </c>
      <c r="JC227">
        <v>94999000</v>
      </c>
      <c r="JD227">
        <v>92311223</v>
      </c>
      <c r="JE227">
        <v>72</v>
      </c>
      <c r="JF227">
        <v>60</v>
      </c>
      <c r="JH227" s="24"/>
      <c r="JI227">
        <v>86101014</v>
      </c>
      <c r="JJ227">
        <v>94997999</v>
      </c>
      <c r="JK227">
        <v>90283076</v>
      </c>
      <c r="JL227">
        <v>58</v>
      </c>
      <c r="JM227">
        <v>40</v>
      </c>
      <c r="JO227" s="24"/>
      <c r="JP227">
        <v>92</v>
      </c>
      <c r="JQ227">
        <v>93</v>
      </c>
      <c r="JR227">
        <v>92</v>
      </c>
      <c r="JS227">
        <v>66721072</v>
      </c>
      <c r="JT227">
        <v>80</v>
      </c>
      <c r="JV227" s="24"/>
      <c r="JW227">
        <v>75</v>
      </c>
      <c r="JX227">
        <v>79</v>
      </c>
      <c r="JY227">
        <v>79</v>
      </c>
      <c r="JZ227">
        <v>54584873</v>
      </c>
      <c r="KA227">
        <v>75</v>
      </c>
      <c r="KC227" s="24"/>
      <c r="KD227">
        <v>20</v>
      </c>
      <c r="KE227">
        <v>21</v>
      </c>
      <c r="KF227">
        <v>21</v>
      </c>
      <c r="KG227">
        <v>34807484</v>
      </c>
      <c r="KH227">
        <v>275</v>
      </c>
      <c r="KJ227" s="24"/>
      <c r="KK227">
        <v>87</v>
      </c>
      <c r="KL227">
        <v>89</v>
      </c>
      <c r="KM227">
        <v>89</v>
      </c>
      <c r="KN227">
        <v>68601137</v>
      </c>
      <c r="KO227">
        <v>102</v>
      </c>
      <c r="KQ227" s="24"/>
      <c r="KR227">
        <v>123600</v>
      </c>
      <c r="KS227">
        <v>123600</v>
      </c>
      <c r="KT227">
        <v>123600</v>
      </c>
      <c r="KU227">
        <v>76497</v>
      </c>
      <c r="KV227">
        <v>656</v>
      </c>
      <c r="KX227" s="24"/>
      <c r="KY227">
        <v>513</v>
      </c>
      <c r="KZ227">
        <v>549</v>
      </c>
      <c r="LA227">
        <v>513</v>
      </c>
      <c r="LB227">
        <v>6391844</v>
      </c>
      <c r="LC227">
        <v>145</v>
      </c>
      <c r="LE227" s="24"/>
      <c r="LF227">
        <v>188000</v>
      </c>
      <c r="LG227">
        <v>190500</v>
      </c>
      <c r="LH227">
        <v>188600</v>
      </c>
      <c r="LI227">
        <v>107342</v>
      </c>
      <c r="LJ227">
        <v>868</v>
      </c>
      <c r="LL227" s="24"/>
      <c r="LM227">
        <v>75521</v>
      </c>
      <c r="LN227">
        <v>78000</v>
      </c>
      <c r="LO227">
        <v>75901</v>
      </c>
      <c r="LP227">
        <v>384433</v>
      </c>
      <c r="LQ227">
        <v>1273</v>
      </c>
      <c r="LS227" s="24"/>
      <c r="LT227">
        <v>496</v>
      </c>
      <c r="LU227">
        <v>500</v>
      </c>
      <c r="LV227">
        <v>497</v>
      </c>
      <c r="LW227">
        <v>71666296</v>
      </c>
      <c r="LX227">
        <v>340</v>
      </c>
      <c r="LZ227" s="24"/>
      <c r="MA227">
        <v>95033</v>
      </c>
      <c r="MB227">
        <v>99100</v>
      </c>
      <c r="MC227">
        <v>98005</v>
      </c>
      <c r="MD227">
        <v>1970819</v>
      </c>
      <c r="ME227">
        <v>120</v>
      </c>
    </row>
    <row r="228" spans="2:343" x14ac:dyDescent="0.25">
      <c r="B228" s="24"/>
      <c r="C228">
        <v>3</v>
      </c>
      <c r="D228">
        <v>3</v>
      </c>
      <c r="E228">
        <v>3</v>
      </c>
      <c r="F228">
        <v>25614269945</v>
      </c>
      <c r="G228">
        <v>2650</v>
      </c>
      <c r="I228" s="24"/>
      <c r="J228">
        <v>4</v>
      </c>
      <c r="K228">
        <v>4</v>
      </c>
      <c r="L228">
        <v>4</v>
      </c>
      <c r="M228">
        <v>4604685225</v>
      </c>
      <c r="N228">
        <v>1849</v>
      </c>
      <c r="P228" s="24"/>
      <c r="Q228">
        <v>26</v>
      </c>
      <c r="R228">
        <v>27</v>
      </c>
      <c r="S228">
        <v>26</v>
      </c>
      <c r="T228">
        <v>1327315927</v>
      </c>
      <c r="U228">
        <v>1647</v>
      </c>
      <c r="W228" s="24"/>
      <c r="X228">
        <v>57</v>
      </c>
      <c r="Y228">
        <v>60</v>
      </c>
      <c r="Z228">
        <v>60</v>
      </c>
      <c r="AA228">
        <v>266086235</v>
      </c>
      <c r="AB228">
        <v>1296</v>
      </c>
      <c r="AD228" s="24"/>
      <c r="AE228">
        <v>360</v>
      </c>
      <c r="AF228">
        <v>382</v>
      </c>
      <c r="AG228">
        <v>378</v>
      </c>
      <c r="AH228">
        <v>120778371</v>
      </c>
      <c r="AI228">
        <v>1444</v>
      </c>
      <c r="AK228" s="24"/>
      <c r="AL228">
        <v>744</v>
      </c>
      <c r="AM228">
        <v>759</v>
      </c>
      <c r="AN228">
        <v>754</v>
      </c>
      <c r="AO228">
        <v>40254350</v>
      </c>
      <c r="AP228">
        <v>1190</v>
      </c>
      <c r="AR228" s="24"/>
      <c r="AS228">
        <v>2678</v>
      </c>
      <c r="AT228">
        <v>2737</v>
      </c>
      <c r="AU228">
        <v>2734</v>
      </c>
      <c r="AV228">
        <v>11045502</v>
      </c>
      <c r="AW228">
        <v>1073</v>
      </c>
      <c r="AY228" s="24"/>
      <c r="AZ228">
        <v>364070000</v>
      </c>
      <c r="BA228">
        <v>369737889</v>
      </c>
      <c r="BB228">
        <v>365090984</v>
      </c>
      <c r="BC228">
        <v>2170</v>
      </c>
      <c r="BD228">
        <v>1479</v>
      </c>
      <c r="BF228" s="24"/>
      <c r="BG228">
        <v>24415</v>
      </c>
      <c r="BH228">
        <v>24705</v>
      </c>
      <c r="BI228">
        <v>24618</v>
      </c>
      <c r="BJ228">
        <v>3349691</v>
      </c>
      <c r="BK228">
        <v>290</v>
      </c>
      <c r="BM228" s="24"/>
      <c r="BN228">
        <v>6012296</v>
      </c>
      <c r="BO228">
        <v>6329599</v>
      </c>
      <c r="BP228">
        <v>6020004</v>
      </c>
      <c r="BQ228">
        <v>12809</v>
      </c>
      <c r="BR228">
        <v>283</v>
      </c>
      <c r="BT228" s="24"/>
      <c r="BU228">
        <v>2203</v>
      </c>
      <c r="BV228">
        <v>2442</v>
      </c>
      <c r="BW228">
        <v>2399</v>
      </c>
      <c r="BX228">
        <v>29373122</v>
      </c>
      <c r="BY228">
        <v>255</v>
      </c>
      <c r="CA228" s="24"/>
      <c r="CB228">
        <v>521</v>
      </c>
      <c r="CC228">
        <v>532</v>
      </c>
      <c r="CD228">
        <v>522</v>
      </c>
      <c r="CE228">
        <v>90271367</v>
      </c>
      <c r="CF228">
        <v>246</v>
      </c>
      <c r="CH228" s="24"/>
      <c r="CI228">
        <v>21105</v>
      </c>
      <c r="CJ228">
        <v>21127</v>
      </c>
      <c r="CK228">
        <v>21126</v>
      </c>
      <c r="CL228">
        <v>402397</v>
      </c>
      <c r="CM228">
        <v>151</v>
      </c>
      <c r="CO228" s="24"/>
      <c r="CP228">
        <v>5650</v>
      </c>
      <c r="CQ228">
        <v>5949</v>
      </c>
      <c r="CR228">
        <v>5948</v>
      </c>
      <c r="CS228">
        <v>919316</v>
      </c>
      <c r="CT228">
        <v>338</v>
      </c>
      <c r="CV228" s="24"/>
      <c r="CW228">
        <v>1379068</v>
      </c>
      <c r="CX228">
        <v>1399999</v>
      </c>
      <c r="CY228">
        <v>1383988</v>
      </c>
      <c r="CZ228">
        <v>10088</v>
      </c>
      <c r="DA228">
        <v>38</v>
      </c>
      <c r="DC228" s="24"/>
      <c r="DD228">
        <v>536</v>
      </c>
      <c r="DE228">
        <v>549</v>
      </c>
      <c r="DF228">
        <v>549</v>
      </c>
      <c r="DG228">
        <v>27176769</v>
      </c>
      <c r="DH228">
        <v>177</v>
      </c>
      <c r="DJ228" s="24"/>
      <c r="DK228">
        <v>32660004</v>
      </c>
      <c r="DL228">
        <v>33499998</v>
      </c>
      <c r="DM228">
        <v>32661000</v>
      </c>
      <c r="DN228">
        <v>308</v>
      </c>
      <c r="DO228">
        <v>91</v>
      </c>
      <c r="DQ228" s="24"/>
      <c r="DR228">
        <v>1570101</v>
      </c>
      <c r="DS228">
        <v>1679998</v>
      </c>
      <c r="DT228">
        <v>1575000</v>
      </c>
      <c r="DU228">
        <v>5734</v>
      </c>
      <c r="DV228">
        <v>219</v>
      </c>
      <c r="DX228" s="24"/>
      <c r="DY228">
        <v>20385017</v>
      </c>
      <c r="DZ228">
        <v>21198999</v>
      </c>
      <c r="EA228">
        <v>20390005</v>
      </c>
      <c r="EB228">
        <v>393</v>
      </c>
      <c r="EC228">
        <v>86</v>
      </c>
      <c r="EE228" s="24"/>
      <c r="EF228">
        <v>160</v>
      </c>
      <c r="EG228">
        <v>164</v>
      </c>
      <c r="EH228">
        <v>164</v>
      </c>
      <c r="EI228">
        <v>84178341</v>
      </c>
      <c r="EJ228">
        <v>174</v>
      </c>
      <c r="EL228" s="24"/>
      <c r="EM228">
        <v>60010</v>
      </c>
      <c r="EN228">
        <v>61989</v>
      </c>
      <c r="EO228">
        <v>60017</v>
      </c>
      <c r="EP228">
        <v>89601</v>
      </c>
      <c r="EQ228">
        <v>623</v>
      </c>
      <c r="ES228" s="24"/>
      <c r="ET228">
        <v>278</v>
      </c>
      <c r="EU228">
        <v>288</v>
      </c>
      <c r="EV228">
        <v>283</v>
      </c>
      <c r="EW228">
        <v>43481039</v>
      </c>
      <c r="EX228">
        <v>555</v>
      </c>
      <c r="EZ228" s="24"/>
      <c r="FA228">
        <v>3072000</v>
      </c>
      <c r="FB228">
        <v>3414016</v>
      </c>
      <c r="FC228">
        <v>3399999</v>
      </c>
      <c r="FD228">
        <v>771</v>
      </c>
      <c r="FE228">
        <v>13</v>
      </c>
      <c r="FG228" s="24"/>
      <c r="FH228">
        <v>6195</v>
      </c>
      <c r="FI228">
        <v>6362</v>
      </c>
      <c r="FJ228">
        <v>6355</v>
      </c>
      <c r="FK228">
        <v>1593023</v>
      </c>
      <c r="FL228">
        <v>388</v>
      </c>
      <c r="FN228" s="24"/>
      <c r="FO228">
        <v>18000</v>
      </c>
      <c r="FP228">
        <v>18041</v>
      </c>
      <c r="FQ228">
        <v>18040</v>
      </c>
      <c r="FR228">
        <v>94618</v>
      </c>
      <c r="FS228">
        <v>69</v>
      </c>
      <c r="FU228" s="24"/>
      <c r="FV228">
        <v>17702</v>
      </c>
      <c r="FW228">
        <v>17725</v>
      </c>
      <c r="FX228">
        <v>17705</v>
      </c>
      <c r="FY228">
        <v>377889</v>
      </c>
      <c r="FZ228">
        <v>1162</v>
      </c>
      <c r="GB228" s="24"/>
      <c r="GC228">
        <v>87999981</v>
      </c>
      <c r="GD228">
        <v>91791989</v>
      </c>
      <c r="GE228">
        <v>89744798</v>
      </c>
      <c r="GF228">
        <v>36</v>
      </c>
      <c r="GG228">
        <v>29</v>
      </c>
      <c r="GI228" s="24"/>
      <c r="GJ228">
        <v>22609999</v>
      </c>
      <c r="GK228">
        <v>22910005</v>
      </c>
      <c r="GL228">
        <v>22910004</v>
      </c>
      <c r="GM228">
        <v>251</v>
      </c>
      <c r="GN228">
        <v>48</v>
      </c>
      <c r="GP228" s="24"/>
      <c r="GQ228">
        <v>90</v>
      </c>
      <c r="GR228">
        <v>94</v>
      </c>
      <c r="GS228">
        <v>94</v>
      </c>
      <c r="GT228">
        <v>99502141</v>
      </c>
      <c r="GU228">
        <v>130</v>
      </c>
      <c r="GW228" s="24"/>
      <c r="GX228">
        <v>507</v>
      </c>
      <c r="GY228">
        <v>523</v>
      </c>
      <c r="GZ228">
        <v>507</v>
      </c>
      <c r="HA228">
        <v>58864561</v>
      </c>
      <c r="HB228">
        <v>224</v>
      </c>
      <c r="HD228" s="24"/>
      <c r="HE228">
        <v>5721</v>
      </c>
      <c r="HF228">
        <v>5828</v>
      </c>
      <c r="HG228">
        <v>5783</v>
      </c>
      <c r="HH228">
        <v>14842591</v>
      </c>
      <c r="HI228">
        <v>220</v>
      </c>
      <c r="HK228" s="24"/>
      <c r="HL228">
        <v>81011107</v>
      </c>
      <c r="HM228">
        <v>90999999</v>
      </c>
      <c r="HN228">
        <v>90815732</v>
      </c>
      <c r="HO228">
        <v>40</v>
      </c>
      <c r="HP228">
        <v>35</v>
      </c>
      <c r="HR228" s="24"/>
      <c r="HS228">
        <v>6379</v>
      </c>
      <c r="HT228">
        <v>6389</v>
      </c>
      <c r="HU228">
        <v>6385</v>
      </c>
      <c r="HV228">
        <v>440312</v>
      </c>
      <c r="HW228">
        <v>114</v>
      </c>
      <c r="HY228" s="24"/>
      <c r="HZ228">
        <v>5700</v>
      </c>
      <c r="IA228">
        <v>6099</v>
      </c>
      <c r="IB228">
        <v>5999</v>
      </c>
      <c r="IC228">
        <v>1863242</v>
      </c>
      <c r="ID228">
        <v>487</v>
      </c>
      <c r="IF228" s="24"/>
      <c r="IG228">
        <v>2520</v>
      </c>
      <c r="IH228">
        <v>2669</v>
      </c>
      <c r="II228">
        <v>2668</v>
      </c>
      <c r="IJ228">
        <v>1193901</v>
      </c>
      <c r="IK228">
        <v>123</v>
      </c>
      <c r="IM228" s="24"/>
      <c r="IN228">
        <v>90000035</v>
      </c>
      <c r="IO228">
        <v>94499999</v>
      </c>
      <c r="IP228">
        <v>91655264</v>
      </c>
      <c r="IQ228">
        <v>90</v>
      </c>
      <c r="IR228">
        <v>65</v>
      </c>
      <c r="IT228" s="24"/>
      <c r="IU228">
        <v>7490</v>
      </c>
      <c r="IV228">
        <v>7494</v>
      </c>
      <c r="IW228">
        <v>7490</v>
      </c>
      <c r="IX228">
        <v>663923</v>
      </c>
      <c r="IY228">
        <v>122</v>
      </c>
      <c r="JA228" s="24"/>
      <c r="JB228">
        <v>89022008</v>
      </c>
      <c r="JC228">
        <v>94819000</v>
      </c>
      <c r="JD228">
        <v>94389418</v>
      </c>
      <c r="JE228">
        <v>36</v>
      </c>
      <c r="JF228">
        <v>31</v>
      </c>
      <c r="JH228" s="24"/>
      <c r="JI228">
        <v>92999993</v>
      </c>
      <c r="JJ228">
        <v>94978499</v>
      </c>
      <c r="JK228">
        <v>93150767</v>
      </c>
      <c r="JL228">
        <v>27</v>
      </c>
      <c r="JM228">
        <v>27</v>
      </c>
      <c r="JO228" s="24"/>
      <c r="JP228">
        <v>91</v>
      </c>
      <c r="JQ228">
        <v>93</v>
      </c>
      <c r="JR228">
        <v>93</v>
      </c>
      <c r="JS228">
        <v>91153379</v>
      </c>
      <c r="JT228">
        <v>98</v>
      </c>
      <c r="JV228" s="24"/>
      <c r="JW228">
        <v>77</v>
      </c>
      <c r="JX228">
        <v>79</v>
      </c>
      <c r="JY228">
        <v>78</v>
      </c>
      <c r="JZ228">
        <v>131072548</v>
      </c>
      <c r="KA228">
        <v>98</v>
      </c>
      <c r="KC228" s="24"/>
      <c r="KD228">
        <v>21</v>
      </c>
      <c r="KE228">
        <v>21</v>
      </c>
      <c r="KF228">
        <v>21</v>
      </c>
      <c r="KG228">
        <v>71582188</v>
      </c>
      <c r="KH228">
        <v>304</v>
      </c>
      <c r="KJ228" s="24"/>
      <c r="KK228">
        <v>87</v>
      </c>
      <c r="KL228">
        <v>89</v>
      </c>
      <c r="KM228">
        <v>89</v>
      </c>
      <c r="KN228">
        <v>106730429</v>
      </c>
      <c r="KO228">
        <v>113</v>
      </c>
      <c r="KQ228" s="24"/>
      <c r="KR228">
        <v>125015</v>
      </c>
      <c r="KS228">
        <v>129899</v>
      </c>
      <c r="KT228">
        <v>128999</v>
      </c>
      <c r="KU228">
        <v>96525</v>
      </c>
      <c r="KV228">
        <v>615</v>
      </c>
      <c r="KX228" s="24"/>
      <c r="KY228">
        <v>513</v>
      </c>
      <c r="KZ228">
        <v>548</v>
      </c>
      <c r="LA228">
        <v>514</v>
      </c>
      <c r="LB228">
        <v>6268356</v>
      </c>
      <c r="LC228">
        <v>174</v>
      </c>
      <c r="LE228" s="24"/>
      <c r="LF228">
        <v>187000</v>
      </c>
      <c r="LG228">
        <v>190600</v>
      </c>
      <c r="LH228">
        <v>188601</v>
      </c>
      <c r="LI228">
        <v>117626</v>
      </c>
      <c r="LJ228">
        <v>856</v>
      </c>
      <c r="LL228" s="24"/>
      <c r="LM228">
        <v>76011</v>
      </c>
      <c r="LN228">
        <v>77603</v>
      </c>
      <c r="LO228">
        <v>76712</v>
      </c>
      <c r="LP228">
        <v>335297</v>
      </c>
      <c r="LQ228">
        <v>1201</v>
      </c>
      <c r="LS228" s="24"/>
      <c r="LT228">
        <v>495</v>
      </c>
      <c r="LU228">
        <v>496</v>
      </c>
      <c r="LV228">
        <v>496</v>
      </c>
      <c r="LW228">
        <v>66773976</v>
      </c>
      <c r="LX228">
        <v>341</v>
      </c>
      <c r="LZ228" s="24"/>
      <c r="MA228">
        <v>92000</v>
      </c>
      <c r="MB228">
        <v>98191</v>
      </c>
      <c r="MC228">
        <v>93000</v>
      </c>
      <c r="MD228">
        <v>1228621</v>
      </c>
      <c r="ME228">
        <v>132</v>
      </c>
    </row>
    <row r="229" spans="2:343" x14ac:dyDescent="0.25">
      <c r="B229" s="24"/>
      <c r="C229">
        <v>3</v>
      </c>
      <c r="D229">
        <v>3</v>
      </c>
      <c r="E229">
        <v>3</v>
      </c>
      <c r="F229">
        <v>21839325042</v>
      </c>
      <c r="G229">
        <v>3010</v>
      </c>
      <c r="I229" s="24"/>
      <c r="J229">
        <v>4</v>
      </c>
      <c r="K229">
        <v>4</v>
      </c>
      <c r="L229">
        <v>4</v>
      </c>
      <c r="M229">
        <v>3555760175</v>
      </c>
      <c r="N229">
        <v>2002</v>
      </c>
      <c r="P229" s="24"/>
      <c r="Q229">
        <v>26</v>
      </c>
      <c r="R229">
        <v>26</v>
      </c>
      <c r="S229">
        <v>26</v>
      </c>
      <c r="T229">
        <v>1840875761</v>
      </c>
      <c r="U229">
        <v>1805</v>
      </c>
      <c r="W229" s="24"/>
      <c r="X229">
        <v>59</v>
      </c>
      <c r="Y229">
        <v>60</v>
      </c>
      <c r="Z229">
        <v>59</v>
      </c>
      <c r="AA229">
        <v>286477998</v>
      </c>
      <c r="AB229">
        <v>1521</v>
      </c>
      <c r="AD229" s="24"/>
      <c r="AE229">
        <v>385</v>
      </c>
      <c r="AF229">
        <v>395</v>
      </c>
      <c r="AG229">
        <v>394</v>
      </c>
      <c r="AH229">
        <v>81657700</v>
      </c>
      <c r="AI229">
        <v>1560</v>
      </c>
      <c r="AK229" s="24"/>
      <c r="AL229">
        <v>753</v>
      </c>
      <c r="AM229">
        <v>764</v>
      </c>
      <c r="AN229">
        <v>761</v>
      </c>
      <c r="AO229">
        <v>30798910</v>
      </c>
      <c r="AP229">
        <v>1291</v>
      </c>
      <c r="AR229" s="24"/>
      <c r="AS229">
        <v>2660</v>
      </c>
      <c r="AT229">
        <v>2736</v>
      </c>
      <c r="AU229">
        <v>2700</v>
      </c>
      <c r="AV229">
        <v>7543449</v>
      </c>
      <c r="AW229">
        <v>1188</v>
      </c>
      <c r="AY229" s="24"/>
      <c r="AZ229">
        <v>360000000</v>
      </c>
      <c r="BA229">
        <v>366499000</v>
      </c>
      <c r="BB229">
        <v>362566332</v>
      </c>
      <c r="BC229">
        <v>2287</v>
      </c>
      <c r="BD229">
        <v>1658</v>
      </c>
      <c r="BF229" s="24"/>
      <c r="BG229">
        <v>24818</v>
      </c>
      <c r="BH229">
        <v>24818</v>
      </c>
      <c r="BI229">
        <v>24818</v>
      </c>
      <c r="BJ229">
        <v>2159972</v>
      </c>
      <c r="BK229">
        <v>197</v>
      </c>
      <c r="BM229" s="24"/>
      <c r="BN229">
        <v>6030258</v>
      </c>
      <c r="BO229">
        <v>6331782</v>
      </c>
      <c r="BP229">
        <v>6030269</v>
      </c>
      <c r="BQ229">
        <v>9518</v>
      </c>
      <c r="BR229">
        <v>307</v>
      </c>
      <c r="BT229" s="24"/>
      <c r="BU229">
        <v>2419</v>
      </c>
      <c r="BV229">
        <v>2421</v>
      </c>
      <c r="BW229">
        <v>2420</v>
      </c>
      <c r="BX229">
        <v>18668476</v>
      </c>
      <c r="BY229">
        <v>199</v>
      </c>
      <c r="CA229" s="24"/>
      <c r="CB229">
        <v>524</v>
      </c>
      <c r="CC229">
        <v>532</v>
      </c>
      <c r="CD229">
        <v>530</v>
      </c>
      <c r="CE229">
        <v>57017522</v>
      </c>
      <c r="CF229">
        <v>233</v>
      </c>
      <c r="CH229" s="24"/>
      <c r="CI229">
        <v>21128</v>
      </c>
      <c r="CJ229">
        <v>21128</v>
      </c>
      <c r="CK229">
        <v>21128</v>
      </c>
      <c r="CL229">
        <v>1124981</v>
      </c>
      <c r="CM229">
        <v>175</v>
      </c>
      <c r="CO229" s="24"/>
      <c r="CP229">
        <v>6170</v>
      </c>
      <c r="CQ229">
        <v>6544</v>
      </c>
      <c r="CR229">
        <v>6399</v>
      </c>
      <c r="CS229">
        <v>817711</v>
      </c>
      <c r="CT229">
        <v>306</v>
      </c>
      <c r="CV229" s="24"/>
      <c r="CW229">
        <v>1360897</v>
      </c>
      <c r="CX229">
        <v>1399999</v>
      </c>
      <c r="CY229">
        <v>1399897</v>
      </c>
      <c r="CZ229">
        <v>5213</v>
      </c>
      <c r="DA229">
        <v>28</v>
      </c>
      <c r="DC229" s="24"/>
      <c r="DD229">
        <v>520</v>
      </c>
      <c r="DE229">
        <v>534</v>
      </c>
      <c r="DF229">
        <v>529</v>
      </c>
      <c r="DG229">
        <v>41483434</v>
      </c>
      <c r="DH229">
        <v>191</v>
      </c>
      <c r="DJ229" s="24"/>
      <c r="DK229">
        <v>32859004</v>
      </c>
      <c r="DL229">
        <v>34233964</v>
      </c>
      <c r="DM229">
        <v>32900001</v>
      </c>
      <c r="DN229">
        <v>279</v>
      </c>
      <c r="DO229">
        <v>67</v>
      </c>
      <c r="DQ229" s="24"/>
      <c r="DR229">
        <v>1572003</v>
      </c>
      <c r="DS229">
        <v>1674997</v>
      </c>
      <c r="DT229">
        <v>1590000</v>
      </c>
      <c r="DU229">
        <v>5786</v>
      </c>
      <c r="DV229">
        <v>204</v>
      </c>
      <c r="DX229" s="24"/>
      <c r="DY229">
        <v>20661101</v>
      </c>
      <c r="DZ229">
        <v>20710002</v>
      </c>
      <c r="EA229">
        <v>20700001</v>
      </c>
      <c r="EB229">
        <v>232</v>
      </c>
      <c r="EC229">
        <v>65</v>
      </c>
      <c r="EE229" s="24"/>
      <c r="EF229">
        <v>162</v>
      </c>
      <c r="EG229">
        <v>175</v>
      </c>
      <c r="EH229">
        <v>175</v>
      </c>
      <c r="EI229">
        <v>80125739</v>
      </c>
      <c r="EJ229">
        <v>140</v>
      </c>
      <c r="EL229" s="24"/>
      <c r="EM229">
        <v>60116</v>
      </c>
      <c r="EN229">
        <v>62016</v>
      </c>
      <c r="EO229">
        <v>60424</v>
      </c>
      <c r="EP229">
        <v>82516</v>
      </c>
      <c r="EQ229">
        <v>667</v>
      </c>
      <c r="ES229" s="24"/>
      <c r="ET229">
        <v>283</v>
      </c>
      <c r="EU229">
        <v>283</v>
      </c>
      <c r="EV229">
        <v>283</v>
      </c>
      <c r="EW229">
        <v>45600620</v>
      </c>
      <c r="EX229">
        <v>575</v>
      </c>
      <c r="EZ229" s="24"/>
      <c r="FA229">
        <v>3399995</v>
      </c>
      <c r="FB229">
        <v>3399999</v>
      </c>
      <c r="FC229">
        <v>3399996</v>
      </c>
      <c r="FD229">
        <v>1153</v>
      </c>
      <c r="FE229">
        <v>18</v>
      </c>
      <c r="FG229" s="24"/>
      <c r="FH229">
        <v>6056</v>
      </c>
      <c r="FI229">
        <v>6248</v>
      </c>
      <c r="FJ229">
        <v>6236</v>
      </c>
      <c r="FK229">
        <v>1696736</v>
      </c>
      <c r="FL229">
        <v>410</v>
      </c>
      <c r="FN229" s="24"/>
      <c r="FO229">
        <v>17503</v>
      </c>
      <c r="FP229">
        <v>18037</v>
      </c>
      <c r="FQ229">
        <v>18037</v>
      </c>
      <c r="FR229">
        <v>230940</v>
      </c>
      <c r="FS229">
        <v>76</v>
      </c>
      <c r="FU229" s="24"/>
      <c r="FV229">
        <v>17706</v>
      </c>
      <c r="FW229">
        <v>18000</v>
      </c>
      <c r="FX229">
        <v>17707</v>
      </c>
      <c r="FY229">
        <v>360004</v>
      </c>
      <c r="FZ229">
        <v>1258</v>
      </c>
      <c r="GB229" s="24"/>
      <c r="GC229">
        <v>86000136</v>
      </c>
      <c r="GD229">
        <v>91791989</v>
      </c>
      <c r="GE229">
        <v>91535041</v>
      </c>
      <c r="GF229">
        <v>45</v>
      </c>
      <c r="GG229">
        <v>42</v>
      </c>
      <c r="GI229" s="24"/>
      <c r="GJ229">
        <v>22910005</v>
      </c>
      <c r="GK229">
        <v>22999999</v>
      </c>
      <c r="GL229">
        <v>22999999</v>
      </c>
      <c r="GM229">
        <v>359</v>
      </c>
      <c r="GN229">
        <v>79</v>
      </c>
      <c r="GP229" s="24"/>
      <c r="GQ229">
        <v>90</v>
      </c>
      <c r="GR229">
        <v>95</v>
      </c>
      <c r="GS229">
        <v>90</v>
      </c>
      <c r="GT229">
        <v>97621102</v>
      </c>
      <c r="GU229">
        <v>102</v>
      </c>
      <c r="GW229" s="24"/>
      <c r="GX229">
        <v>506</v>
      </c>
      <c r="GY229">
        <v>508</v>
      </c>
      <c r="GZ229">
        <v>508</v>
      </c>
      <c r="HA229">
        <v>37413484</v>
      </c>
      <c r="HB229">
        <v>242</v>
      </c>
      <c r="HD229" s="24"/>
      <c r="HE229">
        <v>5650</v>
      </c>
      <c r="HF229">
        <v>5783</v>
      </c>
      <c r="HG229">
        <v>5698</v>
      </c>
      <c r="HH229">
        <v>14124160</v>
      </c>
      <c r="HI229">
        <v>249</v>
      </c>
      <c r="HK229" s="24"/>
      <c r="HL229">
        <v>82673001</v>
      </c>
      <c r="HM229">
        <v>95299998</v>
      </c>
      <c r="HN229">
        <v>92162937</v>
      </c>
      <c r="HO229">
        <v>48</v>
      </c>
      <c r="HP229">
        <v>45</v>
      </c>
      <c r="HR229" s="24"/>
      <c r="HS229">
        <v>6100</v>
      </c>
      <c r="HT229">
        <v>6399</v>
      </c>
      <c r="HU229">
        <v>6399</v>
      </c>
      <c r="HV229">
        <v>624172</v>
      </c>
      <c r="HW229">
        <v>135</v>
      </c>
      <c r="HY229" s="24"/>
      <c r="HZ229">
        <v>5914</v>
      </c>
      <c r="IA229">
        <v>6450</v>
      </c>
      <c r="IB229">
        <v>6397</v>
      </c>
      <c r="IC229">
        <v>1773369</v>
      </c>
      <c r="ID229">
        <v>455</v>
      </c>
      <c r="IF229" s="24"/>
      <c r="IG229">
        <v>2668</v>
      </c>
      <c r="IH229">
        <v>2668</v>
      </c>
      <c r="II229">
        <v>2668</v>
      </c>
      <c r="IJ229">
        <v>1242158</v>
      </c>
      <c r="IK229">
        <v>99</v>
      </c>
      <c r="IM229" s="24"/>
      <c r="IN229">
        <v>88001012</v>
      </c>
      <c r="IO229">
        <v>92499999</v>
      </c>
      <c r="IP229">
        <v>91729940</v>
      </c>
      <c r="IQ229">
        <v>45</v>
      </c>
      <c r="IR229">
        <v>42</v>
      </c>
      <c r="IT229" s="24"/>
      <c r="IU229">
        <v>7494</v>
      </c>
      <c r="IV229">
        <v>7494</v>
      </c>
      <c r="IW229">
        <v>7494</v>
      </c>
      <c r="IX229">
        <v>1695065</v>
      </c>
      <c r="IY229">
        <v>145</v>
      </c>
      <c r="JA229" s="24"/>
      <c r="JB229">
        <v>89020003</v>
      </c>
      <c r="JC229">
        <v>94979997</v>
      </c>
      <c r="JD229">
        <v>89050002</v>
      </c>
      <c r="JE229">
        <v>127</v>
      </c>
      <c r="JF229">
        <v>85</v>
      </c>
      <c r="JH229" s="24"/>
      <c r="JI229">
        <v>87301708</v>
      </c>
      <c r="JJ229">
        <v>94960999</v>
      </c>
      <c r="JK229">
        <v>92106124</v>
      </c>
      <c r="JL229">
        <v>39</v>
      </c>
      <c r="JM229">
        <v>30</v>
      </c>
      <c r="JO229" s="24"/>
      <c r="JP229">
        <v>90</v>
      </c>
      <c r="JQ229">
        <v>93</v>
      </c>
      <c r="JR229">
        <v>93</v>
      </c>
      <c r="JS229">
        <v>85463765</v>
      </c>
      <c r="JT229">
        <v>93</v>
      </c>
      <c r="JV229" s="24"/>
      <c r="JW229">
        <v>75</v>
      </c>
      <c r="JX229">
        <v>79</v>
      </c>
      <c r="JY229">
        <v>79</v>
      </c>
      <c r="JZ229">
        <v>120619671</v>
      </c>
      <c r="KA229">
        <v>104</v>
      </c>
      <c r="KC229" s="24"/>
      <c r="KD229">
        <v>20</v>
      </c>
      <c r="KE229">
        <v>21</v>
      </c>
      <c r="KF229">
        <v>21</v>
      </c>
      <c r="KG229">
        <v>30185954</v>
      </c>
      <c r="KH229">
        <v>323</v>
      </c>
      <c r="KJ229" s="24"/>
      <c r="KK229">
        <v>85</v>
      </c>
      <c r="KL229">
        <v>90</v>
      </c>
      <c r="KM229">
        <v>89</v>
      </c>
      <c r="KN229">
        <v>79911570</v>
      </c>
      <c r="KO229">
        <v>112</v>
      </c>
      <c r="KQ229" s="24"/>
      <c r="KR229">
        <v>125017</v>
      </c>
      <c r="KS229">
        <v>129999</v>
      </c>
      <c r="KT229">
        <v>125025</v>
      </c>
      <c r="KU229">
        <v>69980</v>
      </c>
      <c r="KV229">
        <v>659</v>
      </c>
      <c r="KX229" s="24"/>
      <c r="KY229">
        <v>548</v>
      </c>
      <c r="KZ229">
        <v>548</v>
      </c>
      <c r="LA229">
        <v>548</v>
      </c>
      <c r="LB229">
        <v>4757028</v>
      </c>
      <c r="LC229">
        <v>155</v>
      </c>
      <c r="LE229" s="24"/>
      <c r="LF229">
        <v>185001</v>
      </c>
      <c r="LG229">
        <v>191999</v>
      </c>
      <c r="LH229">
        <v>185009</v>
      </c>
      <c r="LI229">
        <v>131519</v>
      </c>
      <c r="LJ229">
        <v>900</v>
      </c>
      <c r="LL229" s="24"/>
      <c r="LM229">
        <v>76016</v>
      </c>
      <c r="LN229">
        <v>77999</v>
      </c>
      <c r="LO229">
        <v>76021</v>
      </c>
      <c r="LP229">
        <v>453418</v>
      </c>
      <c r="LQ229">
        <v>1290</v>
      </c>
      <c r="LS229" s="24"/>
      <c r="LT229">
        <v>495</v>
      </c>
      <c r="LU229">
        <v>500</v>
      </c>
      <c r="LV229">
        <v>496</v>
      </c>
      <c r="LW229">
        <v>69072968</v>
      </c>
      <c r="LX229">
        <v>355</v>
      </c>
      <c r="LZ229" s="24"/>
      <c r="MA229">
        <v>96000</v>
      </c>
      <c r="MB229">
        <v>97897</v>
      </c>
      <c r="MC229">
        <v>97797</v>
      </c>
      <c r="MD229">
        <v>664650</v>
      </c>
      <c r="ME229">
        <v>74</v>
      </c>
    </row>
    <row r="230" spans="2:343" x14ac:dyDescent="0.25">
      <c r="B230" s="24"/>
      <c r="C230">
        <v>3</v>
      </c>
      <c r="D230">
        <v>3</v>
      </c>
      <c r="E230">
        <v>3</v>
      </c>
      <c r="F230">
        <v>43554378768</v>
      </c>
      <c r="G230">
        <v>3729</v>
      </c>
      <c r="I230" s="24"/>
      <c r="J230">
        <v>4</v>
      </c>
      <c r="K230">
        <v>4</v>
      </c>
      <c r="L230">
        <v>4</v>
      </c>
      <c r="M230">
        <v>10463076717</v>
      </c>
      <c r="N230">
        <v>2536</v>
      </c>
      <c r="P230" s="24"/>
      <c r="Q230">
        <v>26</v>
      </c>
      <c r="R230">
        <v>27</v>
      </c>
      <c r="S230">
        <v>26</v>
      </c>
      <c r="T230">
        <v>2275445217</v>
      </c>
      <c r="U230">
        <v>2374</v>
      </c>
      <c r="W230" s="24"/>
      <c r="X230">
        <v>59</v>
      </c>
      <c r="Y230">
        <v>59</v>
      </c>
      <c r="Z230">
        <v>59</v>
      </c>
      <c r="AA230">
        <v>581430695</v>
      </c>
      <c r="AB230">
        <v>1851</v>
      </c>
      <c r="AD230" s="24"/>
      <c r="AE230">
        <v>380</v>
      </c>
      <c r="AF230">
        <v>392</v>
      </c>
      <c r="AG230">
        <v>385</v>
      </c>
      <c r="AH230">
        <v>154346453</v>
      </c>
      <c r="AI230">
        <v>2015</v>
      </c>
      <c r="AK230" s="24"/>
      <c r="AL230">
        <v>731</v>
      </c>
      <c r="AM230">
        <v>759</v>
      </c>
      <c r="AN230">
        <v>753</v>
      </c>
      <c r="AO230">
        <v>79869855</v>
      </c>
      <c r="AP230">
        <v>1637</v>
      </c>
      <c r="AR230" s="24"/>
      <c r="AS230">
        <v>2561</v>
      </c>
      <c r="AT230">
        <v>2689</v>
      </c>
      <c r="AU230">
        <v>2623</v>
      </c>
      <c r="AV230">
        <v>19546364</v>
      </c>
      <c r="AW230">
        <v>1560</v>
      </c>
      <c r="AY230" s="24"/>
      <c r="AZ230">
        <v>357619405</v>
      </c>
      <c r="BA230">
        <v>365999980</v>
      </c>
      <c r="BB230">
        <v>363000000</v>
      </c>
      <c r="BC230">
        <v>2294</v>
      </c>
      <c r="BD230">
        <v>1632</v>
      </c>
      <c r="BF230" s="24"/>
      <c r="BG230">
        <v>24818</v>
      </c>
      <c r="BH230">
        <v>24822</v>
      </c>
      <c r="BI230">
        <v>24819</v>
      </c>
      <c r="BJ230">
        <v>4361134</v>
      </c>
      <c r="BK230">
        <v>311</v>
      </c>
      <c r="BM230" s="24"/>
      <c r="BN230">
        <v>6053058</v>
      </c>
      <c r="BO230">
        <v>6200991</v>
      </c>
      <c r="BP230">
        <v>6056370</v>
      </c>
      <c r="BQ230">
        <v>11910</v>
      </c>
      <c r="BR230">
        <v>388</v>
      </c>
      <c r="BT230" s="24"/>
      <c r="BU230">
        <v>2370</v>
      </c>
      <c r="BV230">
        <v>2378</v>
      </c>
      <c r="BW230">
        <v>2372</v>
      </c>
      <c r="BX230">
        <v>19121205</v>
      </c>
      <c r="BY230">
        <v>255</v>
      </c>
      <c r="CA230" s="24"/>
      <c r="CB230">
        <v>528</v>
      </c>
      <c r="CC230">
        <v>530</v>
      </c>
      <c r="CD230">
        <v>528</v>
      </c>
      <c r="CE230">
        <v>62958567</v>
      </c>
      <c r="CF230">
        <v>310</v>
      </c>
      <c r="CH230" s="24"/>
      <c r="CI230">
        <v>21131</v>
      </c>
      <c r="CJ230">
        <v>21144</v>
      </c>
      <c r="CK230">
        <v>21140</v>
      </c>
      <c r="CL230">
        <v>868028</v>
      </c>
      <c r="CM230">
        <v>212</v>
      </c>
      <c r="CO230" s="24"/>
      <c r="CP230">
        <v>6151</v>
      </c>
      <c r="CQ230">
        <v>6529</v>
      </c>
      <c r="CR230">
        <v>6484</v>
      </c>
      <c r="CS230">
        <v>789795</v>
      </c>
      <c r="CT230">
        <v>360</v>
      </c>
      <c r="CV230" s="24"/>
      <c r="CW230">
        <v>1325156</v>
      </c>
      <c r="CX230">
        <v>1399897</v>
      </c>
      <c r="CY230">
        <v>1373999</v>
      </c>
      <c r="CZ230">
        <v>7328</v>
      </c>
      <c r="DA230">
        <v>36</v>
      </c>
      <c r="DC230" s="24"/>
      <c r="DD230">
        <v>529</v>
      </c>
      <c r="DE230">
        <v>548</v>
      </c>
      <c r="DF230">
        <v>544</v>
      </c>
      <c r="DG230">
        <v>49757838</v>
      </c>
      <c r="DH230">
        <v>198</v>
      </c>
      <c r="DJ230" s="24"/>
      <c r="DK230">
        <v>33500000</v>
      </c>
      <c r="DL230">
        <v>33500015</v>
      </c>
      <c r="DM230">
        <v>33500014</v>
      </c>
      <c r="DN230">
        <v>623</v>
      </c>
      <c r="DO230">
        <v>112</v>
      </c>
      <c r="DQ230" s="24"/>
      <c r="DR230">
        <v>1590000</v>
      </c>
      <c r="DS230">
        <v>1674887</v>
      </c>
      <c r="DT230">
        <v>1590006</v>
      </c>
      <c r="DU230">
        <v>14633</v>
      </c>
      <c r="DV230">
        <v>304</v>
      </c>
      <c r="DX230" s="24"/>
      <c r="DY230">
        <v>21503001</v>
      </c>
      <c r="DZ230">
        <v>23358998</v>
      </c>
      <c r="EA230">
        <v>21902000</v>
      </c>
      <c r="EB230">
        <v>950</v>
      </c>
      <c r="EC230">
        <v>147</v>
      </c>
      <c r="EE230" s="24"/>
      <c r="EF230">
        <v>166</v>
      </c>
      <c r="EG230">
        <v>173</v>
      </c>
      <c r="EH230">
        <v>172</v>
      </c>
      <c r="EI230">
        <v>73860999</v>
      </c>
      <c r="EJ230">
        <v>175</v>
      </c>
      <c r="EL230" s="24"/>
      <c r="EM230">
        <v>61503</v>
      </c>
      <c r="EN230">
        <v>63556</v>
      </c>
      <c r="EO230">
        <v>63506</v>
      </c>
      <c r="EP230">
        <v>60627</v>
      </c>
      <c r="EQ230">
        <v>817</v>
      </c>
      <c r="ES230" s="24"/>
      <c r="ET230">
        <v>278</v>
      </c>
      <c r="EU230">
        <v>291</v>
      </c>
      <c r="EV230">
        <v>278</v>
      </c>
      <c r="EW230">
        <v>43533652</v>
      </c>
      <c r="EX230">
        <v>644</v>
      </c>
      <c r="EZ230" s="24"/>
      <c r="FA230">
        <v>3200000</v>
      </c>
      <c r="FB230">
        <v>3399994</v>
      </c>
      <c r="FC230">
        <v>3300000</v>
      </c>
      <c r="FD230">
        <v>1380</v>
      </c>
      <c r="FE230">
        <v>23</v>
      </c>
      <c r="FG230" s="24"/>
      <c r="FH230">
        <v>6058</v>
      </c>
      <c r="FI230">
        <v>6243</v>
      </c>
      <c r="FJ230">
        <v>6237</v>
      </c>
      <c r="FK230">
        <v>1541027</v>
      </c>
      <c r="FL230">
        <v>473</v>
      </c>
      <c r="FN230" s="24"/>
      <c r="FO230">
        <v>18031</v>
      </c>
      <c r="FP230">
        <v>18031</v>
      </c>
      <c r="FQ230">
        <v>18031</v>
      </c>
      <c r="FR230">
        <v>87807</v>
      </c>
      <c r="FS230">
        <v>71</v>
      </c>
      <c r="FU230" s="24"/>
      <c r="FV230">
        <v>17635</v>
      </c>
      <c r="FW230">
        <v>17900</v>
      </c>
      <c r="FX230">
        <v>17800</v>
      </c>
      <c r="FY230">
        <v>415865</v>
      </c>
      <c r="FZ230">
        <v>1583</v>
      </c>
      <c r="GB230" s="24"/>
      <c r="GC230">
        <v>91792998</v>
      </c>
      <c r="GD230">
        <v>93999999</v>
      </c>
      <c r="GE230">
        <v>91803270</v>
      </c>
      <c r="GF230">
        <v>71</v>
      </c>
      <c r="GG230">
        <v>58</v>
      </c>
      <c r="GI230" s="24"/>
      <c r="GJ230">
        <v>22611112</v>
      </c>
      <c r="GK230">
        <v>22999112</v>
      </c>
      <c r="GL230">
        <v>22999112</v>
      </c>
      <c r="GM230">
        <v>575</v>
      </c>
      <c r="GN230">
        <v>93</v>
      </c>
      <c r="GP230" s="24"/>
      <c r="GQ230">
        <v>93</v>
      </c>
      <c r="GR230">
        <v>93</v>
      </c>
      <c r="GS230">
        <v>93</v>
      </c>
      <c r="GT230">
        <v>77187632</v>
      </c>
      <c r="GU230">
        <v>139</v>
      </c>
      <c r="GW230" s="24"/>
      <c r="GX230">
        <v>503</v>
      </c>
      <c r="GY230">
        <v>508</v>
      </c>
      <c r="GZ230">
        <v>504</v>
      </c>
      <c r="HA230">
        <v>80354763</v>
      </c>
      <c r="HB230">
        <v>262</v>
      </c>
      <c r="HD230" s="24"/>
      <c r="HE230">
        <v>5399</v>
      </c>
      <c r="HF230">
        <v>5499</v>
      </c>
      <c r="HG230">
        <v>5400</v>
      </c>
      <c r="HH230">
        <v>16659389</v>
      </c>
      <c r="HI230">
        <v>340</v>
      </c>
      <c r="HK230" s="24"/>
      <c r="HL230">
        <v>84380057</v>
      </c>
      <c r="HM230">
        <v>95299899</v>
      </c>
      <c r="HN230">
        <v>93045217</v>
      </c>
      <c r="HO230">
        <v>63</v>
      </c>
      <c r="HP230">
        <v>61</v>
      </c>
      <c r="HR230" s="24"/>
      <c r="HS230">
        <v>6100</v>
      </c>
      <c r="HT230">
        <v>6430</v>
      </c>
      <c r="HU230">
        <v>6399</v>
      </c>
      <c r="HV230">
        <v>1378851</v>
      </c>
      <c r="HW230">
        <v>187</v>
      </c>
      <c r="HY230" s="24"/>
      <c r="HZ230">
        <v>5900</v>
      </c>
      <c r="IA230">
        <v>6185</v>
      </c>
      <c r="IB230">
        <v>6098</v>
      </c>
      <c r="IC230">
        <v>1974831</v>
      </c>
      <c r="ID230">
        <v>550</v>
      </c>
      <c r="IF230" s="24"/>
      <c r="IG230">
        <v>2558</v>
      </c>
      <c r="IH230">
        <v>2668</v>
      </c>
      <c r="II230">
        <v>2668</v>
      </c>
      <c r="IJ230">
        <v>2398090</v>
      </c>
      <c r="IK230">
        <v>166</v>
      </c>
      <c r="IM230" s="24"/>
      <c r="IN230">
        <v>88001033</v>
      </c>
      <c r="IO230">
        <v>94399987</v>
      </c>
      <c r="IP230">
        <v>92092406</v>
      </c>
      <c r="IQ230">
        <v>85</v>
      </c>
      <c r="IR230">
        <v>58</v>
      </c>
      <c r="IT230" s="24"/>
      <c r="IU230">
        <v>7498</v>
      </c>
      <c r="IV230">
        <v>7644</v>
      </c>
      <c r="IW230">
        <v>7644</v>
      </c>
      <c r="IX230">
        <v>1309897</v>
      </c>
      <c r="IY230">
        <v>144</v>
      </c>
      <c r="JA230" s="24"/>
      <c r="JB230">
        <v>94979998</v>
      </c>
      <c r="JC230">
        <v>94980999</v>
      </c>
      <c r="JD230">
        <v>94980999</v>
      </c>
      <c r="JE230">
        <v>108</v>
      </c>
      <c r="JF230">
        <v>85</v>
      </c>
      <c r="JH230" s="24"/>
      <c r="JI230">
        <v>87598007</v>
      </c>
      <c r="JJ230">
        <v>94960999</v>
      </c>
      <c r="JK230">
        <v>93425999</v>
      </c>
      <c r="JL230">
        <v>57</v>
      </c>
      <c r="JM230">
        <v>50</v>
      </c>
      <c r="JO230" s="24"/>
      <c r="JP230">
        <v>103</v>
      </c>
      <c r="JQ230">
        <v>103</v>
      </c>
      <c r="JR230">
        <v>103</v>
      </c>
      <c r="JS230">
        <v>96324250</v>
      </c>
      <c r="JT230">
        <v>117</v>
      </c>
      <c r="JV230" s="24"/>
      <c r="JW230">
        <v>79</v>
      </c>
      <c r="JX230">
        <v>79</v>
      </c>
      <c r="JY230">
        <v>79</v>
      </c>
      <c r="JZ230">
        <v>197722752</v>
      </c>
      <c r="KA230">
        <v>112</v>
      </c>
      <c r="KC230" s="24"/>
      <c r="KD230">
        <v>20</v>
      </c>
      <c r="KE230">
        <v>21</v>
      </c>
      <c r="KF230">
        <v>20</v>
      </c>
      <c r="KG230">
        <v>40684994</v>
      </c>
      <c r="KH230">
        <v>377</v>
      </c>
      <c r="KJ230" s="24"/>
      <c r="KK230">
        <v>89</v>
      </c>
      <c r="KL230">
        <v>90</v>
      </c>
      <c r="KM230">
        <v>89</v>
      </c>
      <c r="KN230">
        <v>125230895</v>
      </c>
      <c r="KO230">
        <v>133</v>
      </c>
      <c r="KQ230" s="24"/>
      <c r="KR230">
        <v>126046</v>
      </c>
      <c r="KS230">
        <v>127000</v>
      </c>
      <c r="KT230">
        <v>126093</v>
      </c>
      <c r="KU230">
        <v>53172</v>
      </c>
      <c r="KV230">
        <v>818</v>
      </c>
      <c r="KX230" s="24"/>
      <c r="KY230">
        <v>524</v>
      </c>
      <c r="KZ230">
        <v>547</v>
      </c>
      <c r="LA230">
        <v>547</v>
      </c>
      <c r="LB230">
        <v>6675210</v>
      </c>
      <c r="LC230">
        <v>208</v>
      </c>
      <c r="LE230" s="24"/>
      <c r="LF230">
        <v>186505</v>
      </c>
      <c r="LG230">
        <v>192899</v>
      </c>
      <c r="LH230">
        <v>189000</v>
      </c>
      <c r="LI230">
        <v>173749</v>
      </c>
      <c r="LJ230">
        <v>1202</v>
      </c>
      <c r="LL230" s="24"/>
      <c r="LM230">
        <v>77000</v>
      </c>
      <c r="LN230">
        <v>77501</v>
      </c>
      <c r="LO230">
        <v>77001</v>
      </c>
      <c r="LP230">
        <v>350730</v>
      </c>
      <c r="LQ230">
        <v>1617</v>
      </c>
      <c r="LS230" s="24"/>
      <c r="LT230">
        <v>501</v>
      </c>
      <c r="LU230">
        <v>503</v>
      </c>
      <c r="LV230">
        <v>503</v>
      </c>
      <c r="LW230">
        <v>68118119</v>
      </c>
      <c r="LX230">
        <v>397</v>
      </c>
      <c r="LZ230" s="24"/>
      <c r="MA230">
        <v>88000</v>
      </c>
      <c r="MB230">
        <v>94500</v>
      </c>
      <c r="MC230">
        <v>92501</v>
      </c>
      <c r="MD230">
        <v>1830583</v>
      </c>
      <c r="ME230">
        <v>191</v>
      </c>
    </row>
    <row r="231" spans="2:343" x14ac:dyDescent="0.25">
      <c r="B231" s="24"/>
      <c r="C231">
        <v>3</v>
      </c>
      <c r="D231">
        <v>3</v>
      </c>
      <c r="E231">
        <v>3</v>
      </c>
      <c r="F231">
        <v>25645660142</v>
      </c>
      <c r="G231">
        <v>2855</v>
      </c>
      <c r="I231" s="24"/>
      <c r="J231">
        <v>4</v>
      </c>
      <c r="K231">
        <v>4</v>
      </c>
      <c r="L231">
        <v>4</v>
      </c>
      <c r="M231">
        <v>4495858971</v>
      </c>
      <c r="N231">
        <v>1999</v>
      </c>
      <c r="P231" s="24"/>
      <c r="Q231">
        <v>26</v>
      </c>
      <c r="R231">
        <v>27</v>
      </c>
      <c r="S231">
        <v>27</v>
      </c>
      <c r="T231">
        <v>1508941664</v>
      </c>
      <c r="U231">
        <v>1857</v>
      </c>
      <c r="W231" s="24"/>
      <c r="X231">
        <v>57</v>
      </c>
      <c r="Y231">
        <v>58</v>
      </c>
      <c r="Z231">
        <v>58</v>
      </c>
      <c r="AA231">
        <v>315370494</v>
      </c>
      <c r="AB231">
        <v>1429</v>
      </c>
      <c r="AD231" s="24"/>
      <c r="AE231">
        <v>385</v>
      </c>
      <c r="AF231">
        <v>399</v>
      </c>
      <c r="AG231">
        <v>389</v>
      </c>
      <c r="AH231">
        <v>125071141</v>
      </c>
      <c r="AI231">
        <v>1646</v>
      </c>
      <c r="AK231" s="24"/>
      <c r="AL231">
        <v>747</v>
      </c>
      <c r="AM231">
        <v>756</v>
      </c>
      <c r="AN231">
        <v>749</v>
      </c>
      <c r="AO231">
        <v>42180584</v>
      </c>
      <c r="AP231">
        <v>1264</v>
      </c>
      <c r="AR231" s="24"/>
      <c r="AS231">
        <v>2599</v>
      </c>
      <c r="AT231">
        <v>2663</v>
      </c>
      <c r="AU231">
        <v>2640</v>
      </c>
      <c r="AV231">
        <v>12603522</v>
      </c>
      <c r="AW231">
        <v>1210</v>
      </c>
      <c r="AY231" s="24"/>
      <c r="AZ231">
        <v>357745001</v>
      </c>
      <c r="BA231">
        <v>366232999</v>
      </c>
      <c r="BB231">
        <v>365000000</v>
      </c>
      <c r="BC231">
        <v>2312</v>
      </c>
      <c r="BD231">
        <v>1586</v>
      </c>
      <c r="BF231" s="24"/>
      <c r="BG231">
        <v>24821</v>
      </c>
      <c r="BH231">
        <v>24822</v>
      </c>
      <c r="BI231">
        <v>24822</v>
      </c>
      <c r="BJ231">
        <v>2957426</v>
      </c>
      <c r="BK231">
        <v>238</v>
      </c>
      <c r="BM231" s="24"/>
      <c r="BN231">
        <v>6075284</v>
      </c>
      <c r="BO231">
        <v>6319997</v>
      </c>
      <c r="BP231">
        <v>6079002</v>
      </c>
      <c r="BQ231">
        <v>10768</v>
      </c>
      <c r="BR231">
        <v>295</v>
      </c>
      <c r="BT231" s="24"/>
      <c r="BU231">
        <v>2299</v>
      </c>
      <c r="BV231">
        <v>2368</v>
      </c>
      <c r="BW231">
        <v>2364</v>
      </c>
      <c r="BX231">
        <v>20633593</v>
      </c>
      <c r="BY231">
        <v>256</v>
      </c>
      <c r="CA231" s="24"/>
      <c r="CB231">
        <v>503</v>
      </c>
      <c r="CC231">
        <v>521</v>
      </c>
      <c r="CD231">
        <v>508</v>
      </c>
      <c r="CE231">
        <v>54850358</v>
      </c>
      <c r="CF231">
        <v>242</v>
      </c>
      <c r="CH231" s="24"/>
      <c r="CI231">
        <v>21622</v>
      </c>
      <c r="CJ231">
        <v>21630</v>
      </c>
      <c r="CK231">
        <v>21625</v>
      </c>
      <c r="CL231">
        <v>2053310</v>
      </c>
      <c r="CM231">
        <v>225</v>
      </c>
      <c r="CO231" s="24"/>
      <c r="CP231">
        <v>6151</v>
      </c>
      <c r="CQ231">
        <v>6499</v>
      </c>
      <c r="CR231">
        <v>6250</v>
      </c>
      <c r="CS231">
        <v>962369</v>
      </c>
      <c r="CT231">
        <v>311</v>
      </c>
      <c r="CV231" s="24"/>
      <c r="CW231">
        <v>1350000</v>
      </c>
      <c r="CX231">
        <v>1355060</v>
      </c>
      <c r="CY231">
        <v>1350000</v>
      </c>
      <c r="CZ231">
        <v>14327</v>
      </c>
      <c r="DA231">
        <v>42</v>
      </c>
      <c r="DC231" s="24"/>
      <c r="DD231">
        <v>519</v>
      </c>
      <c r="DE231">
        <v>543</v>
      </c>
      <c r="DF231">
        <v>542</v>
      </c>
      <c r="DG231">
        <v>25551929</v>
      </c>
      <c r="DH231">
        <v>126</v>
      </c>
      <c r="DJ231" s="24"/>
      <c r="DK231">
        <v>33362000</v>
      </c>
      <c r="DL231">
        <v>33500111</v>
      </c>
      <c r="DM231">
        <v>33363000</v>
      </c>
      <c r="DN231">
        <v>338</v>
      </c>
      <c r="DO231">
        <v>77</v>
      </c>
      <c r="DQ231" s="24"/>
      <c r="DR231">
        <v>1555555</v>
      </c>
      <c r="DS231">
        <v>1674999</v>
      </c>
      <c r="DT231">
        <v>1588001</v>
      </c>
      <c r="DU231">
        <v>7162</v>
      </c>
      <c r="DV231">
        <v>247</v>
      </c>
      <c r="DX231" s="24"/>
      <c r="DY231">
        <v>21607003</v>
      </c>
      <c r="DZ231">
        <v>21610591</v>
      </c>
      <c r="EA231">
        <v>21610556</v>
      </c>
      <c r="EB231">
        <v>288</v>
      </c>
      <c r="EC231">
        <v>92</v>
      </c>
      <c r="EE231" s="24"/>
      <c r="EF231">
        <v>172</v>
      </c>
      <c r="EG231">
        <v>176</v>
      </c>
      <c r="EH231">
        <v>173</v>
      </c>
      <c r="EI231">
        <v>82023267</v>
      </c>
      <c r="EJ231">
        <v>189</v>
      </c>
      <c r="EL231" s="24"/>
      <c r="EM231">
        <v>64002</v>
      </c>
      <c r="EN231">
        <v>67018</v>
      </c>
      <c r="EO231">
        <v>65001</v>
      </c>
      <c r="EP231">
        <v>84906</v>
      </c>
      <c r="EQ231">
        <v>721</v>
      </c>
      <c r="ES231" s="24"/>
      <c r="ET231">
        <v>265</v>
      </c>
      <c r="EU231">
        <v>278</v>
      </c>
      <c r="EV231">
        <v>275</v>
      </c>
      <c r="EW231">
        <v>53961690</v>
      </c>
      <c r="EX231">
        <v>571</v>
      </c>
      <c r="EZ231" s="24"/>
      <c r="FA231">
        <v>3140000</v>
      </c>
      <c r="FB231">
        <v>3239999</v>
      </c>
      <c r="FC231">
        <v>3200000</v>
      </c>
      <c r="FD231">
        <v>679</v>
      </c>
      <c r="FE231">
        <v>21</v>
      </c>
      <c r="FG231" s="24"/>
      <c r="FH231">
        <v>5800</v>
      </c>
      <c r="FI231">
        <v>6000</v>
      </c>
      <c r="FJ231">
        <v>5887</v>
      </c>
      <c r="FK231">
        <v>1490345</v>
      </c>
      <c r="FL231">
        <v>389</v>
      </c>
      <c r="FN231" s="24"/>
      <c r="FO231">
        <v>18000</v>
      </c>
      <c r="FP231">
        <v>18098</v>
      </c>
      <c r="FQ231">
        <v>18031</v>
      </c>
      <c r="FR231">
        <v>138246</v>
      </c>
      <c r="FS231">
        <v>76</v>
      </c>
      <c r="FU231" s="24"/>
      <c r="FV231">
        <v>17022</v>
      </c>
      <c r="FW231">
        <v>17633</v>
      </c>
      <c r="FX231">
        <v>17050</v>
      </c>
      <c r="FY231">
        <v>305986</v>
      </c>
      <c r="FZ231">
        <v>1272</v>
      </c>
      <c r="GB231" s="24"/>
      <c r="GC231">
        <v>90000103</v>
      </c>
      <c r="GD231">
        <v>94495980</v>
      </c>
      <c r="GE231">
        <v>92035297</v>
      </c>
      <c r="GF231">
        <v>90</v>
      </c>
      <c r="GG231">
        <v>66</v>
      </c>
      <c r="GI231" s="24"/>
      <c r="GJ231">
        <v>22614003</v>
      </c>
      <c r="GK231">
        <v>22711007</v>
      </c>
      <c r="GL231">
        <v>22655555</v>
      </c>
      <c r="GM231">
        <v>373</v>
      </c>
      <c r="GN231">
        <v>69</v>
      </c>
      <c r="GP231" s="24"/>
      <c r="GQ231">
        <v>90</v>
      </c>
      <c r="GR231">
        <v>93</v>
      </c>
      <c r="GS231">
        <v>93</v>
      </c>
      <c r="GT231">
        <v>123668365</v>
      </c>
      <c r="GU231">
        <v>139</v>
      </c>
      <c r="GW231" s="24"/>
      <c r="GX231">
        <v>516</v>
      </c>
      <c r="GY231">
        <v>524</v>
      </c>
      <c r="GZ231">
        <v>524</v>
      </c>
      <c r="HA231">
        <v>50789119</v>
      </c>
      <c r="HB231">
        <v>192</v>
      </c>
      <c r="HD231" s="24"/>
      <c r="HE231">
        <v>5107</v>
      </c>
      <c r="HF231">
        <v>5397</v>
      </c>
      <c r="HG231">
        <v>5393</v>
      </c>
      <c r="HH231">
        <v>21029418</v>
      </c>
      <c r="HI231">
        <v>263</v>
      </c>
      <c r="HK231" s="24"/>
      <c r="HL231">
        <v>87772500</v>
      </c>
      <c r="HM231">
        <v>94899819</v>
      </c>
      <c r="HN231">
        <v>91862309</v>
      </c>
      <c r="HO231">
        <v>75</v>
      </c>
      <c r="HP231">
        <v>62</v>
      </c>
      <c r="HR231" s="24"/>
      <c r="HS231">
        <v>6157</v>
      </c>
      <c r="HT231">
        <v>6438</v>
      </c>
      <c r="HU231">
        <v>6436</v>
      </c>
      <c r="HV231">
        <v>573962</v>
      </c>
      <c r="HW231">
        <v>126</v>
      </c>
      <c r="HY231" s="24"/>
      <c r="HZ231">
        <v>5800</v>
      </c>
      <c r="IA231">
        <v>6028</v>
      </c>
      <c r="IB231">
        <v>6008</v>
      </c>
      <c r="IC231">
        <v>1295315</v>
      </c>
      <c r="ID231">
        <v>402</v>
      </c>
      <c r="IF231" s="24"/>
      <c r="IG231">
        <v>2551</v>
      </c>
      <c r="IH231">
        <v>2668</v>
      </c>
      <c r="II231">
        <v>2668</v>
      </c>
      <c r="IJ231">
        <v>2103203</v>
      </c>
      <c r="IK231">
        <v>149</v>
      </c>
      <c r="IM231" s="24"/>
      <c r="IN231">
        <v>90000026</v>
      </c>
      <c r="IO231">
        <v>95584992</v>
      </c>
      <c r="IP231">
        <v>90999999</v>
      </c>
      <c r="IQ231">
        <v>105</v>
      </c>
      <c r="IR231">
        <v>75</v>
      </c>
      <c r="IT231" s="24"/>
      <c r="IU231">
        <v>7203</v>
      </c>
      <c r="IV231">
        <v>7644</v>
      </c>
      <c r="IW231">
        <v>7638</v>
      </c>
      <c r="IX231">
        <v>1325638</v>
      </c>
      <c r="IY231">
        <v>112</v>
      </c>
      <c r="JA231" s="24"/>
      <c r="JB231">
        <v>91800019</v>
      </c>
      <c r="JC231">
        <v>95095000</v>
      </c>
      <c r="JD231">
        <v>93000002</v>
      </c>
      <c r="JE231">
        <v>115</v>
      </c>
      <c r="JF231">
        <v>84</v>
      </c>
      <c r="JH231" s="24"/>
      <c r="JI231">
        <v>92000012</v>
      </c>
      <c r="JJ231">
        <v>96473892</v>
      </c>
      <c r="JK231">
        <v>93599165</v>
      </c>
      <c r="JL231">
        <v>58</v>
      </c>
      <c r="JM231">
        <v>53</v>
      </c>
      <c r="JO231" s="24"/>
      <c r="JP231">
        <v>116</v>
      </c>
      <c r="JQ231">
        <v>116</v>
      </c>
      <c r="JR231">
        <v>116</v>
      </c>
      <c r="JS231">
        <v>58870661</v>
      </c>
      <c r="JT231">
        <v>86</v>
      </c>
      <c r="JV231" s="24"/>
      <c r="JW231">
        <v>80</v>
      </c>
      <c r="JX231">
        <v>84</v>
      </c>
      <c r="JY231">
        <v>80</v>
      </c>
      <c r="JZ231">
        <v>130195169</v>
      </c>
      <c r="KA231">
        <v>130</v>
      </c>
      <c r="KC231" s="24"/>
      <c r="KD231">
        <v>20</v>
      </c>
      <c r="KE231">
        <v>21</v>
      </c>
      <c r="KF231">
        <v>20</v>
      </c>
      <c r="KG231">
        <v>49009908</v>
      </c>
      <c r="KH231">
        <v>323</v>
      </c>
      <c r="KJ231" s="24"/>
      <c r="KK231">
        <v>87</v>
      </c>
      <c r="KL231">
        <v>90</v>
      </c>
      <c r="KM231">
        <v>90</v>
      </c>
      <c r="KN231">
        <v>73031055</v>
      </c>
      <c r="KO231">
        <v>74</v>
      </c>
      <c r="KQ231" s="24"/>
      <c r="KR231">
        <v>129501</v>
      </c>
      <c r="KS231">
        <v>129506</v>
      </c>
      <c r="KT231">
        <v>129504</v>
      </c>
      <c r="KU231">
        <v>70530</v>
      </c>
      <c r="KV231">
        <v>712</v>
      </c>
      <c r="KX231" s="24"/>
      <c r="KY231">
        <v>547</v>
      </c>
      <c r="KZ231">
        <v>547</v>
      </c>
      <c r="LA231">
        <v>547</v>
      </c>
      <c r="LB231">
        <v>15471309</v>
      </c>
      <c r="LC231">
        <v>146</v>
      </c>
      <c r="LE231" s="24"/>
      <c r="LF231">
        <v>190000</v>
      </c>
      <c r="LG231">
        <v>190002</v>
      </c>
      <c r="LH231">
        <v>190002</v>
      </c>
      <c r="LI231">
        <v>162089</v>
      </c>
      <c r="LJ231">
        <v>983</v>
      </c>
      <c r="LL231" s="24"/>
      <c r="LM231">
        <v>77003</v>
      </c>
      <c r="LN231">
        <v>77029</v>
      </c>
      <c r="LO231">
        <v>77007</v>
      </c>
      <c r="LP231">
        <v>348419</v>
      </c>
      <c r="LQ231">
        <v>1351</v>
      </c>
      <c r="LS231" s="24"/>
      <c r="LT231">
        <v>498</v>
      </c>
      <c r="LU231">
        <v>500</v>
      </c>
      <c r="LV231">
        <v>500</v>
      </c>
      <c r="LW231">
        <v>59304053</v>
      </c>
      <c r="LX231">
        <v>345</v>
      </c>
      <c r="LZ231" s="24"/>
      <c r="MA231">
        <v>79003</v>
      </c>
      <c r="MB231">
        <v>87999</v>
      </c>
      <c r="MC231">
        <v>84000</v>
      </c>
      <c r="MD231">
        <v>1273544</v>
      </c>
      <c r="ME231">
        <v>139</v>
      </c>
    </row>
    <row r="232" spans="2:343" x14ac:dyDescent="0.25">
      <c r="B232" s="24"/>
      <c r="C232">
        <v>3</v>
      </c>
      <c r="D232">
        <v>3</v>
      </c>
      <c r="E232">
        <v>3</v>
      </c>
      <c r="F232">
        <v>36777772124</v>
      </c>
      <c r="G232">
        <v>2744</v>
      </c>
      <c r="I232" s="24"/>
      <c r="J232">
        <v>4</v>
      </c>
      <c r="K232">
        <v>4</v>
      </c>
      <c r="L232">
        <v>4</v>
      </c>
      <c r="M232">
        <v>6355217655</v>
      </c>
      <c r="N232">
        <v>1949</v>
      </c>
      <c r="P232" s="24"/>
      <c r="Q232">
        <v>26</v>
      </c>
      <c r="R232">
        <v>27</v>
      </c>
      <c r="S232">
        <v>27</v>
      </c>
      <c r="T232">
        <v>2134119633</v>
      </c>
      <c r="U232">
        <v>1771</v>
      </c>
      <c r="W232" s="24"/>
      <c r="X232">
        <v>57</v>
      </c>
      <c r="Y232">
        <v>58</v>
      </c>
      <c r="Z232">
        <v>58</v>
      </c>
      <c r="AA232">
        <v>465356246</v>
      </c>
      <c r="AB232">
        <v>1361</v>
      </c>
      <c r="AD232" s="24"/>
      <c r="AE232">
        <v>387</v>
      </c>
      <c r="AF232">
        <v>393</v>
      </c>
      <c r="AG232">
        <v>393</v>
      </c>
      <c r="AH232">
        <v>96453598</v>
      </c>
      <c r="AI232">
        <v>1474</v>
      </c>
      <c r="AK232" s="24"/>
      <c r="AL232">
        <v>742</v>
      </c>
      <c r="AM232">
        <v>754</v>
      </c>
      <c r="AN232">
        <v>754</v>
      </c>
      <c r="AO232">
        <v>30628630</v>
      </c>
      <c r="AP232">
        <v>1200</v>
      </c>
      <c r="AR232" s="24"/>
      <c r="AS232">
        <v>2600</v>
      </c>
      <c r="AT232">
        <v>2639</v>
      </c>
      <c r="AU232">
        <v>2600</v>
      </c>
      <c r="AV232">
        <v>12529580</v>
      </c>
      <c r="AW232">
        <v>1169</v>
      </c>
      <c r="AY232" s="24"/>
      <c r="AZ232">
        <v>358008012</v>
      </c>
      <c r="BA232">
        <v>365747999</v>
      </c>
      <c r="BB232">
        <v>364350000</v>
      </c>
      <c r="BC232">
        <v>2325</v>
      </c>
      <c r="BD232">
        <v>1582</v>
      </c>
      <c r="BF232" s="24"/>
      <c r="BG232">
        <v>23324</v>
      </c>
      <c r="BH232">
        <v>23500</v>
      </c>
      <c r="BI232">
        <v>23326</v>
      </c>
      <c r="BJ232">
        <v>3348523</v>
      </c>
      <c r="BK232">
        <v>261</v>
      </c>
      <c r="BM232" s="24"/>
      <c r="BN232">
        <v>6080094</v>
      </c>
      <c r="BO232">
        <v>6083004</v>
      </c>
      <c r="BP232">
        <v>6080483</v>
      </c>
      <c r="BQ232">
        <v>8983</v>
      </c>
      <c r="BR232">
        <v>297</v>
      </c>
      <c r="BT232" s="24"/>
      <c r="BU232">
        <v>2299</v>
      </c>
      <c r="BV232">
        <v>2299</v>
      </c>
      <c r="BW232">
        <v>2299</v>
      </c>
      <c r="BX232">
        <v>20532336</v>
      </c>
      <c r="BY232">
        <v>255</v>
      </c>
      <c r="CA232" s="24"/>
      <c r="CB232">
        <v>507</v>
      </c>
      <c r="CC232">
        <v>508</v>
      </c>
      <c r="CD232">
        <v>508</v>
      </c>
      <c r="CE232">
        <v>53321305</v>
      </c>
      <c r="CF232">
        <v>241</v>
      </c>
      <c r="CH232" s="24"/>
      <c r="CI232">
        <v>21623</v>
      </c>
      <c r="CJ232">
        <v>21628</v>
      </c>
      <c r="CK232">
        <v>21625</v>
      </c>
      <c r="CL232">
        <v>507105</v>
      </c>
      <c r="CM232">
        <v>172</v>
      </c>
      <c r="CO232" s="24"/>
      <c r="CP232">
        <v>6151</v>
      </c>
      <c r="CQ232">
        <v>6350</v>
      </c>
      <c r="CR232">
        <v>6349</v>
      </c>
      <c r="CS232">
        <v>982675</v>
      </c>
      <c r="CT232">
        <v>329</v>
      </c>
      <c r="CV232" s="24"/>
      <c r="CW232">
        <v>1330003</v>
      </c>
      <c r="CX232">
        <v>1399742</v>
      </c>
      <c r="CY232">
        <v>1399739</v>
      </c>
      <c r="CZ232">
        <v>5559</v>
      </c>
      <c r="DA232">
        <v>30</v>
      </c>
      <c r="DC232" s="24"/>
      <c r="DD232">
        <v>520</v>
      </c>
      <c r="DE232">
        <v>536</v>
      </c>
      <c r="DF232">
        <v>525</v>
      </c>
      <c r="DG232">
        <v>32773788</v>
      </c>
      <c r="DH232">
        <v>177</v>
      </c>
      <c r="DJ232" s="24"/>
      <c r="DK232">
        <v>31951000</v>
      </c>
      <c r="DL232">
        <v>32000018</v>
      </c>
      <c r="DM232">
        <v>31951010</v>
      </c>
      <c r="DN232">
        <v>301</v>
      </c>
      <c r="DO232">
        <v>64</v>
      </c>
      <c r="DQ232" s="24"/>
      <c r="DR232">
        <v>1575561</v>
      </c>
      <c r="DS232">
        <v>1632999</v>
      </c>
      <c r="DT232">
        <v>1575562</v>
      </c>
      <c r="DU232">
        <v>9271</v>
      </c>
      <c r="DV232">
        <v>265</v>
      </c>
      <c r="DX232" s="24"/>
      <c r="DY232">
        <v>21610581</v>
      </c>
      <c r="DZ232">
        <v>22478899</v>
      </c>
      <c r="EA232">
        <v>21610589</v>
      </c>
      <c r="EB232">
        <v>478</v>
      </c>
      <c r="EC232">
        <v>129</v>
      </c>
      <c r="EE232" s="24"/>
      <c r="EF232">
        <v>173</v>
      </c>
      <c r="EG232">
        <v>180</v>
      </c>
      <c r="EH232">
        <v>180</v>
      </c>
      <c r="EI232">
        <v>60912898</v>
      </c>
      <c r="EJ232">
        <v>154</v>
      </c>
      <c r="EL232" s="24"/>
      <c r="EM232">
        <v>60605</v>
      </c>
      <c r="EN232">
        <v>65006</v>
      </c>
      <c r="EO232">
        <v>64007</v>
      </c>
      <c r="EP232">
        <v>100271</v>
      </c>
      <c r="EQ232">
        <v>660</v>
      </c>
      <c r="ES232" s="24"/>
      <c r="ET232">
        <v>264</v>
      </c>
      <c r="EU232">
        <v>274</v>
      </c>
      <c r="EV232">
        <v>274</v>
      </c>
      <c r="EW232">
        <v>43753639</v>
      </c>
      <c r="EX232">
        <v>564</v>
      </c>
      <c r="EZ232" s="24"/>
      <c r="FA232">
        <v>3152010</v>
      </c>
      <c r="FB232">
        <v>3391004</v>
      </c>
      <c r="FC232">
        <v>3391004</v>
      </c>
      <c r="FD232">
        <v>1015</v>
      </c>
      <c r="FE232">
        <v>18</v>
      </c>
      <c r="FG232" s="24"/>
      <c r="FH232">
        <v>5915</v>
      </c>
      <c r="FI232">
        <v>6209</v>
      </c>
      <c r="FJ232">
        <v>6186</v>
      </c>
      <c r="FK232">
        <v>1151312</v>
      </c>
      <c r="FL232">
        <v>362</v>
      </c>
      <c r="FN232" s="24"/>
      <c r="FO232">
        <v>17257</v>
      </c>
      <c r="FP232">
        <v>17899</v>
      </c>
      <c r="FQ232">
        <v>17850</v>
      </c>
      <c r="FR232">
        <v>218116</v>
      </c>
      <c r="FS232">
        <v>87</v>
      </c>
      <c r="FU232" s="24"/>
      <c r="FV232">
        <v>17063</v>
      </c>
      <c r="FW232">
        <v>17301</v>
      </c>
      <c r="FX232">
        <v>17252</v>
      </c>
      <c r="FY232">
        <v>294040</v>
      </c>
      <c r="FZ232">
        <v>1333</v>
      </c>
      <c r="GB232" s="24"/>
      <c r="GC232">
        <v>90505007</v>
      </c>
      <c r="GD232">
        <v>97489996</v>
      </c>
      <c r="GE232">
        <v>93688478</v>
      </c>
      <c r="GF232">
        <v>84</v>
      </c>
      <c r="GG232">
        <v>64</v>
      </c>
      <c r="GI232" s="24"/>
      <c r="GJ232">
        <v>22665600</v>
      </c>
      <c r="GK232">
        <v>23465600</v>
      </c>
      <c r="GL232">
        <v>22665602</v>
      </c>
      <c r="GM232">
        <v>420</v>
      </c>
      <c r="GN232">
        <v>78</v>
      </c>
      <c r="GP232" s="24"/>
      <c r="GQ232">
        <v>89</v>
      </c>
      <c r="GR232">
        <v>93</v>
      </c>
      <c r="GS232">
        <v>89</v>
      </c>
      <c r="GT232">
        <v>97425832</v>
      </c>
      <c r="GU232">
        <v>111</v>
      </c>
      <c r="GW232" s="24"/>
      <c r="GX232">
        <v>501</v>
      </c>
      <c r="GY232">
        <v>524</v>
      </c>
      <c r="GZ232">
        <v>518</v>
      </c>
      <c r="HA232">
        <v>36517407</v>
      </c>
      <c r="HB232">
        <v>198</v>
      </c>
      <c r="HD232" s="24"/>
      <c r="HE232">
        <v>5195</v>
      </c>
      <c r="HF232">
        <v>5393</v>
      </c>
      <c r="HG232">
        <v>5389</v>
      </c>
      <c r="HH232">
        <v>19402244</v>
      </c>
      <c r="HI232">
        <v>261</v>
      </c>
      <c r="HK232" s="24"/>
      <c r="HL232">
        <v>90575228</v>
      </c>
      <c r="HM232">
        <v>94897810</v>
      </c>
      <c r="HN232">
        <v>93040139</v>
      </c>
      <c r="HO232">
        <v>84</v>
      </c>
      <c r="HP232">
        <v>54</v>
      </c>
      <c r="HR232" s="24"/>
      <c r="HS232">
        <v>6499</v>
      </c>
      <c r="HT232">
        <v>6770</v>
      </c>
      <c r="HU232">
        <v>6539</v>
      </c>
      <c r="HV232">
        <v>961785</v>
      </c>
      <c r="HW232">
        <v>160</v>
      </c>
      <c r="HY232" s="24"/>
      <c r="HZ232">
        <v>5890</v>
      </c>
      <c r="IA232">
        <v>5985</v>
      </c>
      <c r="IB232">
        <v>5981</v>
      </c>
      <c r="IC232">
        <v>1397181</v>
      </c>
      <c r="ID232">
        <v>403</v>
      </c>
      <c r="IF232" s="24"/>
      <c r="IG232">
        <v>2616</v>
      </c>
      <c r="IH232">
        <v>2645</v>
      </c>
      <c r="II232">
        <v>2616</v>
      </c>
      <c r="IJ232">
        <v>2459345</v>
      </c>
      <c r="IK232">
        <v>146</v>
      </c>
      <c r="IM232" s="24"/>
      <c r="IN232">
        <v>90000004</v>
      </c>
      <c r="IO232">
        <v>95583955</v>
      </c>
      <c r="IP232">
        <v>92675511</v>
      </c>
      <c r="IQ232">
        <v>81</v>
      </c>
      <c r="IR232">
        <v>62</v>
      </c>
      <c r="IT232" s="24"/>
      <c r="IU232">
        <v>7343</v>
      </c>
      <c r="IV232">
        <v>7450</v>
      </c>
      <c r="IW232">
        <v>7449</v>
      </c>
      <c r="IX232">
        <v>1316895</v>
      </c>
      <c r="IY232">
        <v>145</v>
      </c>
      <c r="JA232" s="24"/>
      <c r="JB232">
        <v>89003037</v>
      </c>
      <c r="JC232">
        <v>96999903</v>
      </c>
      <c r="JD232">
        <v>93305852</v>
      </c>
      <c r="JE232">
        <v>95</v>
      </c>
      <c r="JF232">
        <v>70</v>
      </c>
      <c r="JH232" s="24"/>
      <c r="JI232">
        <v>88002001</v>
      </c>
      <c r="JJ232">
        <v>96472873</v>
      </c>
      <c r="JK232">
        <v>92190373</v>
      </c>
      <c r="JL232">
        <v>47</v>
      </c>
      <c r="JM232">
        <v>32</v>
      </c>
      <c r="JO232" s="24"/>
      <c r="JP232">
        <v>110</v>
      </c>
      <c r="JQ232">
        <v>119</v>
      </c>
      <c r="JR232">
        <v>116</v>
      </c>
      <c r="JS232">
        <v>79368761</v>
      </c>
      <c r="JT232">
        <v>103</v>
      </c>
      <c r="JV232" s="24"/>
      <c r="JW232">
        <v>79</v>
      </c>
      <c r="JX232">
        <v>83</v>
      </c>
      <c r="JY232">
        <v>83</v>
      </c>
      <c r="JZ232">
        <v>98567811</v>
      </c>
      <c r="KA232">
        <v>92</v>
      </c>
      <c r="KC232" s="24"/>
      <c r="KD232">
        <v>19</v>
      </c>
      <c r="KE232">
        <v>21</v>
      </c>
      <c r="KF232">
        <v>21</v>
      </c>
      <c r="KG232">
        <v>37510029</v>
      </c>
      <c r="KH232">
        <v>308</v>
      </c>
      <c r="KJ232" s="24"/>
      <c r="KK232">
        <v>87</v>
      </c>
      <c r="KL232">
        <v>90</v>
      </c>
      <c r="KM232">
        <v>90</v>
      </c>
      <c r="KN232">
        <v>68840858</v>
      </c>
      <c r="KO232">
        <v>106</v>
      </c>
      <c r="KQ232" s="24"/>
      <c r="KR232">
        <v>126232</v>
      </c>
      <c r="KS232">
        <v>129499</v>
      </c>
      <c r="KT232">
        <v>127000</v>
      </c>
      <c r="KU232">
        <v>76761</v>
      </c>
      <c r="KV232">
        <v>661</v>
      </c>
      <c r="KX232" s="24"/>
      <c r="KY232">
        <v>543</v>
      </c>
      <c r="KZ232">
        <v>547</v>
      </c>
      <c r="LA232">
        <v>547</v>
      </c>
      <c r="LB232">
        <v>5543306</v>
      </c>
      <c r="LC232">
        <v>170</v>
      </c>
      <c r="LE232" s="24"/>
      <c r="LF232">
        <v>186545</v>
      </c>
      <c r="LG232">
        <v>196459</v>
      </c>
      <c r="LH232">
        <v>186664</v>
      </c>
      <c r="LI232">
        <v>100076</v>
      </c>
      <c r="LJ232">
        <v>888</v>
      </c>
      <c r="LL232" s="24"/>
      <c r="LM232">
        <v>77029</v>
      </c>
      <c r="LN232">
        <v>77600</v>
      </c>
      <c r="LO232">
        <v>77104</v>
      </c>
      <c r="LP232">
        <v>318263</v>
      </c>
      <c r="LQ232">
        <v>1316</v>
      </c>
      <c r="LS232" s="24"/>
      <c r="LT232">
        <v>490</v>
      </c>
      <c r="LU232">
        <v>500</v>
      </c>
      <c r="LV232">
        <v>499</v>
      </c>
      <c r="LW232">
        <v>72416955</v>
      </c>
      <c r="LX232">
        <v>333</v>
      </c>
      <c r="LZ232" s="24"/>
      <c r="MA232">
        <v>79011</v>
      </c>
      <c r="MB232">
        <v>83988</v>
      </c>
      <c r="MC232">
        <v>81900</v>
      </c>
      <c r="MD232">
        <v>886210</v>
      </c>
      <c r="ME232">
        <v>125</v>
      </c>
    </row>
    <row r="233" spans="2:343" x14ac:dyDescent="0.25">
      <c r="B233" s="24"/>
      <c r="C233">
        <v>3</v>
      </c>
      <c r="D233">
        <v>3</v>
      </c>
      <c r="E233">
        <v>3</v>
      </c>
      <c r="F233">
        <v>22284735324</v>
      </c>
      <c r="G233">
        <v>2768</v>
      </c>
      <c r="I233" s="24"/>
      <c r="J233">
        <v>4</v>
      </c>
      <c r="K233">
        <v>4</v>
      </c>
      <c r="L233">
        <v>4</v>
      </c>
      <c r="M233">
        <v>6477339231</v>
      </c>
      <c r="N233">
        <v>1930</v>
      </c>
      <c r="P233" s="24"/>
      <c r="Q233">
        <v>26</v>
      </c>
      <c r="R233">
        <v>27</v>
      </c>
      <c r="S233">
        <v>27</v>
      </c>
      <c r="T233">
        <v>1221549787</v>
      </c>
      <c r="U233">
        <v>1807</v>
      </c>
      <c r="W233" s="24"/>
      <c r="X233">
        <v>57</v>
      </c>
      <c r="Y233">
        <v>58</v>
      </c>
      <c r="Z233">
        <v>57</v>
      </c>
      <c r="AA233">
        <v>251660846</v>
      </c>
      <c r="AB233">
        <v>1398</v>
      </c>
      <c r="AD233" s="24"/>
      <c r="AE233">
        <v>395</v>
      </c>
      <c r="AF233">
        <v>398</v>
      </c>
      <c r="AG233">
        <v>396</v>
      </c>
      <c r="AH233">
        <v>94606393</v>
      </c>
      <c r="AI233">
        <v>1536</v>
      </c>
      <c r="AK233" s="24"/>
      <c r="AL233">
        <v>738</v>
      </c>
      <c r="AM233">
        <v>750</v>
      </c>
      <c r="AN233">
        <v>747</v>
      </c>
      <c r="AO233">
        <v>26852995</v>
      </c>
      <c r="AP233">
        <v>1225</v>
      </c>
      <c r="AR233" s="24"/>
      <c r="AS233">
        <v>2572</v>
      </c>
      <c r="AT233">
        <v>2647</v>
      </c>
      <c r="AU233">
        <v>2605</v>
      </c>
      <c r="AV233">
        <v>10572120</v>
      </c>
      <c r="AW233">
        <v>1225</v>
      </c>
      <c r="AY233" s="24"/>
      <c r="AZ233">
        <v>359000001</v>
      </c>
      <c r="BA233">
        <v>365800999</v>
      </c>
      <c r="BB233">
        <v>364499999</v>
      </c>
      <c r="BC233">
        <v>2302</v>
      </c>
      <c r="BD233">
        <v>1528</v>
      </c>
      <c r="BF233" s="24"/>
      <c r="BG233">
        <v>23551</v>
      </c>
      <c r="BH233">
        <v>23700</v>
      </c>
      <c r="BI233">
        <v>23553</v>
      </c>
      <c r="BJ233">
        <v>2371911</v>
      </c>
      <c r="BK233">
        <v>260</v>
      </c>
      <c r="BM233" s="24"/>
      <c r="BN233">
        <v>6084053</v>
      </c>
      <c r="BO233">
        <v>6200000</v>
      </c>
      <c r="BP233">
        <v>6084083</v>
      </c>
      <c r="BQ233">
        <v>11290</v>
      </c>
      <c r="BR233">
        <v>323</v>
      </c>
      <c r="BT233" s="24"/>
      <c r="BU233">
        <v>2319</v>
      </c>
      <c r="BV233">
        <v>2419</v>
      </c>
      <c r="BW233">
        <v>2418</v>
      </c>
      <c r="BX233">
        <v>16250991</v>
      </c>
      <c r="BY233">
        <v>197</v>
      </c>
      <c r="CA233" s="24"/>
      <c r="CB233">
        <v>505</v>
      </c>
      <c r="CC233">
        <v>506</v>
      </c>
      <c r="CD233">
        <v>505</v>
      </c>
      <c r="CE233">
        <v>64252830</v>
      </c>
      <c r="CF233">
        <v>284</v>
      </c>
      <c r="CH233" s="24"/>
      <c r="CI233">
        <v>21632</v>
      </c>
      <c r="CJ233">
        <v>21633</v>
      </c>
      <c r="CK233">
        <v>21632</v>
      </c>
      <c r="CL233">
        <v>1109115</v>
      </c>
      <c r="CM233">
        <v>180</v>
      </c>
      <c r="CO233" s="24"/>
      <c r="CP233">
        <v>6390</v>
      </c>
      <c r="CQ233">
        <v>6795</v>
      </c>
      <c r="CR233">
        <v>6544</v>
      </c>
      <c r="CS233">
        <v>1068113</v>
      </c>
      <c r="CT233">
        <v>380</v>
      </c>
      <c r="CV233" s="24"/>
      <c r="CW233">
        <v>1340731</v>
      </c>
      <c r="CX233">
        <v>1399731</v>
      </c>
      <c r="CY233">
        <v>1399599</v>
      </c>
      <c r="CZ233">
        <v>8263</v>
      </c>
      <c r="DA233">
        <v>44</v>
      </c>
      <c r="DC233" s="24"/>
      <c r="DD233">
        <v>509</v>
      </c>
      <c r="DE233">
        <v>524</v>
      </c>
      <c r="DF233">
        <v>521</v>
      </c>
      <c r="DG233">
        <v>49175530</v>
      </c>
      <c r="DH233">
        <v>213</v>
      </c>
      <c r="DJ233" s="24"/>
      <c r="DK233">
        <v>32306250</v>
      </c>
      <c r="DL233">
        <v>33000000</v>
      </c>
      <c r="DM233">
        <v>32315111</v>
      </c>
      <c r="DN233">
        <v>457</v>
      </c>
      <c r="DO233">
        <v>83</v>
      </c>
      <c r="DQ233" s="24"/>
      <c r="DR233">
        <v>1560015</v>
      </c>
      <c r="DS233">
        <v>1642495</v>
      </c>
      <c r="DT233">
        <v>1560015</v>
      </c>
      <c r="DU233">
        <v>9796</v>
      </c>
      <c r="DV233">
        <v>273</v>
      </c>
      <c r="DX233" s="24"/>
      <c r="DY233">
        <v>21610583</v>
      </c>
      <c r="DZ233">
        <v>21800000</v>
      </c>
      <c r="EA233">
        <v>21610586</v>
      </c>
      <c r="EB233">
        <v>421</v>
      </c>
      <c r="EC233">
        <v>104</v>
      </c>
      <c r="EE233" s="24"/>
      <c r="EF233">
        <v>169</v>
      </c>
      <c r="EG233">
        <v>177</v>
      </c>
      <c r="EH233">
        <v>173</v>
      </c>
      <c r="EI233">
        <v>96151951</v>
      </c>
      <c r="EJ233">
        <v>161</v>
      </c>
      <c r="EL233" s="24"/>
      <c r="EM233">
        <v>60611</v>
      </c>
      <c r="EN233">
        <v>62980</v>
      </c>
      <c r="EO233">
        <v>60616</v>
      </c>
      <c r="EP233">
        <v>91093</v>
      </c>
      <c r="EQ233">
        <v>688</v>
      </c>
      <c r="ES233" s="24"/>
      <c r="ET233">
        <v>271</v>
      </c>
      <c r="EU233">
        <v>278</v>
      </c>
      <c r="EV233">
        <v>278</v>
      </c>
      <c r="EW233">
        <v>29813126</v>
      </c>
      <c r="EX233">
        <v>520</v>
      </c>
      <c r="EZ233" s="24"/>
      <c r="FA233">
        <v>3218000</v>
      </c>
      <c r="FB233">
        <v>3315003</v>
      </c>
      <c r="FC233">
        <v>3315000</v>
      </c>
      <c r="FD233">
        <v>1417</v>
      </c>
      <c r="FE233">
        <v>25</v>
      </c>
      <c r="FG233" s="24"/>
      <c r="FH233">
        <v>6210</v>
      </c>
      <c r="FI233">
        <v>6239</v>
      </c>
      <c r="FJ233">
        <v>6238</v>
      </c>
      <c r="FK233">
        <v>1404770</v>
      </c>
      <c r="FL233">
        <v>391</v>
      </c>
      <c r="FN233" s="24"/>
      <c r="FO233">
        <v>17900</v>
      </c>
      <c r="FP233">
        <v>19489</v>
      </c>
      <c r="FQ233">
        <v>18098</v>
      </c>
      <c r="FR233">
        <v>781011</v>
      </c>
      <c r="FS233">
        <v>86</v>
      </c>
      <c r="FU233" s="24"/>
      <c r="FV233">
        <v>17509</v>
      </c>
      <c r="FW233">
        <v>17999</v>
      </c>
      <c r="FX233">
        <v>17517</v>
      </c>
      <c r="FY233">
        <v>370942</v>
      </c>
      <c r="FZ233">
        <v>1221</v>
      </c>
      <c r="GB233" s="24"/>
      <c r="GC233">
        <v>90500006</v>
      </c>
      <c r="GD233">
        <v>92000000</v>
      </c>
      <c r="GE233">
        <v>90505035</v>
      </c>
      <c r="GF233">
        <v>146</v>
      </c>
      <c r="GG233">
        <v>90</v>
      </c>
      <c r="GI233" s="24"/>
      <c r="GJ233">
        <v>22610006</v>
      </c>
      <c r="GK233">
        <v>22866555</v>
      </c>
      <c r="GL233">
        <v>22665601</v>
      </c>
      <c r="GM233">
        <v>449</v>
      </c>
      <c r="GN233">
        <v>78</v>
      </c>
      <c r="GP233" s="24"/>
      <c r="GQ233">
        <v>89</v>
      </c>
      <c r="GR233">
        <v>92</v>
      </c>
      <c r="GS233">
        <v>92</v>
      </c>
      <c r="GT233">
        <v>107804964</v>
      </c>
      <c r="GU233">
        <v>118</v>
      </c>
      <c r="GW233" s="24"/>
      <c r="GX233">
        <v>493</v>
      </c>
      <c r="GY233">
        <v>501</v>
      </c>
      <c r="GZ233">
        <v>499</v>
      </c>
      <c r="HA233">
        <v>78069718</v>
      </c>
      <c r="HB233">
        <v>270</v>
      </c>
      <c r="HD233" s="24"/>
      <c r="HE233">
        <v>5221</v>
      </c>
      <c r="HF233">
        <v>5397</v>
      </c>
      <c r="HG233">
        <v>5225</v>
      </c>
      <c r="HH233">
        <v>16188350</v>
      </c>
      <c r="HI233">
        <v>278</v>
      </c>
      <c r="HK233" s="24"/>
      <c r="HL233">
        <v>90575226</v>
      </c>
      <c r="HM233">
        <v>90575229</v>
      </c>
      <c r="HN233">
        <v>90575228</v>
      </c>
      <c r="HO233">
        <v>148</v>
      </c>
      <c r="HP233">
        <v>95</v>
      </c>
      <c r="HR233" s="24"/>
      <c r="HS233">
        <v>6800</v>
      </c>
      <c r="HT233">
        <v>7144</v>
      </c>
      <c r="HU233">
        <v>6800</v>
      </c>
      <c r="HV233">
        <v>902123</v>
      </c>
      <c r="HW233">
        <v>154</v>
      </c>
      <c r="HY233" s="24"/>
      <c r="HZ233">
        <v>5799</v>
      </c>
      <c r="IA233">
        <v>5899</v>
      </c>
      <c r="IB233">
        <v>5897</v>
      </c>
      <c r="IC233">
        <v>1998145</v>
      </c>
      <c r="ID233">
        <v>472</v>
      </c>
      <c r="IF233" s="24"/>
      <c r="IG233">
        <v>2684</v>
      </c>
      <c r="IH233">
        <v>2684</v>
      </c>
      <c r="II233">
        <v>2684</v>
      </c>
      <c r="IJ233">
        <v>1310392</v>
      </c>
      <c r="IK233">
        <v>109</v>
      </c>
      <c r="IM233" s="24"/>
      <c r="IN233">
        <v>90044000</v>
      </c>
      <c r="IO233">
        <v>95583957</v>
      </c>
      <c r="IP233">
        <v>91935137</v>
      </c>
      <c r="IQ233">
        <v>100</v>
      </c>
      <c r="IR233">
        <v>56</v>
      </c>
      <c r="IT233" s="24"/>
      <c r="IU233">
        <v>7446</v>
      </c>
      <c r="IV233">
        <v>7448</v>
      </c>
      <c r="IW233">
        <v>7446</v>
      </c>
      <c r="IX233">
        <v>664099</v>
      </c>
      <c r="IY233">
        <v>110</v>
      </c>
      <c r="JA233" s="24"/>
      <c r="JB233">
        <v>89004000</v>
      </c>
      <c r="JC233">
        <v>96999895</v>
      </c>
      <c r="JD233">
        <v>93537321</v>
      </c>
      <c r="JE233">
        <v>82</v>
      </c>
      <c r="JF233">
        <v>63</v>
      </c>
      <c r="JH233" s="24"/>
      <c r="JI233">
        <v>90600103</v>
      </c>
      <c r="JJ233">
        <v>96471998</v>
      </c>
      <c r="JK233">
        <v>92011158</v>
      </c>
      <c r="JL233">
        <v>69</v>
      </c>
      <c r="JM233">
        <v>43</v>
      </c>
      <c r="JO233" s="24"/>
      <c r="JP233">
        <v>123</v>
      </c>
      <c r="JQ233">
        <v>154</v>
      </c>
      <c r="JR233">
        <v>150</v>
      </c>
      <c r="JS233">
        <v>59479877</v>
      </c>
      <c r="JT233">
        <v>92</v>
      </c>
      <c r="JV233" s="24"/>
      <c r="JW233">
        <v>79</v>
      </c>
      <c r="JX233">
        <v>80</v>
      </c>
      <c r="JY233">
        <v>79</v>
      </c>
      <c r="JZ233">
        <v>95940742</v>
      </c>
      <c r="KA233">
        <v>70</v>
      </c>
      <c r="KC233" s="24"/>
      <c r="KD233">
        <v>19</v>
      </c>
      <c r="KE233">
        <v>21</v>
      </c>
      <c r="KF233">
        <v>21</v>
      </c>
      <c r="KG233">
        <v>36811379</v>
      </c>
      <c r="KH233">
        <v>300</v>
      </c>
      <c r="KJ233" s="24"/>
      <c r="KK233">
        <v>87</v>
      </c>
      <c r="KL233">
        <v>89</v>
      </c>
      <c r="KM233">
        <v>88</v>
      </c>
      <c r="KN233">
        <v>70496307</v>
      </c>
      <c r="KO233">
        <v>106</v>
      </c>
      <c r="KQ233" s="24"/>
      <c r="KR233">
        <v>130104</v>
      </c>
      <c r="KS233">
        <v>134499</v>
      </c>
      <c r="KT233">
        <v>130224</v>
      </c>
      <c r="KU233">
        <v>109720</v>
      </c>
      <c r="KV233">
        <v>708</v>
      </c>
      <c r="KX233" s="24"/>
      <c r="KY233">
        <v>522</v>
      </c>
      <c r="KZ233">
        <v>547</v>
      </c>
      <c r="LA233">
        <v>523</v>
      </c>
      <c r="LB233">
        <v>6692782</v>
      </c>
      <c r="LC233">
        <v>175</v>
      </c>
      <c r="LE233" s="24"/>
      <c r="LF233">
        <v>187602</v>
      </c>
      <c r="LG233">
        <v>197089</v>
      </c>
      <c r="LH233">
        <v>190000</v>
      </c>
      <c r="LI233">
        <v>150143</v>
      </c>
      <c r="LJ233">
        <v>937</v>
      </c>
      <c r="LL233" s="24"/>
      <c r="LM233">
        <v>77302</v>
      </c>
      <c r="LN233">
        <v>77601</v>
      </c>
      <c r="LO233">
        <v>77308</v>
      </c>
      <c r="LP233">
        <v>350399</v>
      </c>
      <c r="LQ233">
        <v>1283</v>
      </c>
      <c r="LS233" s="24"/>
      <c r="LT233">
        <v>499</v>
      </c>
      <c r="LU233">
        <v>499</v>
      </c>
      <c r="LV233">
        <v>499</v>
      </c>
      <c r="LW233">
        <v>63207031</v>
      </c>
      <c r="LX233">
        <v>345</v>
      </c>
      <c r="LZ233" s="24"/>
      <c r="MA233">
        <v>82000</v>
      </c>
      <c r="MB233">
        <v>87996</v>
      </c>
      <c r="MC233">
        <v>83969</v>
      </c>
      <c r="MD233">
        <v>1154670</v>
      </c>
      <c r="ME233">
        <v>132</v>
      </c>
    </row>
    <row r="234" spans="2:343" x14ac:dyDescent="0.25">
      <c r="B234" s="24"/>
      <c r="C234">
        <v>3</v>
      </c>
      <c r="D234">
        <v>3</v>
      </c>
      <c r="E234">
        <v>3</v>
      </c>
      <c r="F234">
        <v>31589854746</v>
      </c>
      <c r="G234">
        <v>2882</v>
      </c>
      <c r="I234" s="24"/>
      <c r="J234">
        <v>4</v>
      </c>
      <c r="K234">
        <v>4</v>
      </c>
      <c r="L234">
        <v>4</v>
      </c>
      <c r="M234">
        <v>6711378825</v>
      </c>
      <c r="N234">
        <v>1981</v>
      </c>
      <c r="P234" s="24"/>
      <c r="Q234">
        <v>27</v>
      </c>
      <c r="R234">
        <v>28</v>
      </c>
      <c r="S234">
        <v>27</v>
      </c>
      <c r="T234">
        <v>2290136587</v>
      </c>
      <c r="U234">
        <v>1971</v>
      </c>
      <c r="W234" s="24"/>
      <c r="X234">
        <v>58</v>
      </c>
      <c r="Y234">
        <v>59</v>
      </c>
      <c r="Z234">
        <v>58</v>
      </c>
      <c r="AA234">
        <v>479571905</v>
      </c>
      <c r="AB234">
        <v>1480</v>
      </c>
      <c r="AD234" s="24"/>
      <c r="AE234">
        <v>397</v>
      </c>
      <c r="AF234">
        <v>399</v>
      </c>
      <c r="AG234">
        <v>398</v>
      </c>
      <c r="AH234">
        <v>125819432</v>
      </c>
      <c r="AI234">
        <v>1510</v>
      </c>
      <c r="AK234" s="24"/>
      <c r="AL234">
        <v>741</v>
      </c>
      <c r="AM234">
        <v>747</v>
      </c>
      <c r="AN234">
        <v>747</v>
      </c>
      <c r="AO234">
        <v>38984011</v>
      </c>
      <c r="AP234">
        <v>1268</v>
      </c>
      <c r="AR234" s="24"/>
      <c r="AS234">
        <v>2645</v>
      </c>
      <c r="AT234">
        <v>2728</v>
      </c>
      <c r="AU234">
        <v>2647</v>
      </c>
      <c r="AV234">
        <v>12379887</v>
      </c>
      <c r="AW234">
        <v>1209</v>
      </c>
      <c r="AY234" s="24"/>
      <c r="AZ234">
        <v>359500055</v>
      </c>
      <c r="BA234">
        <v>366198000</v>
      </c>
      <c r="BB234">
        <v>364285985</v>
      </c>
      <c r="BC234">
        <v>2315</v>
      </c>
      <c r="BD234">
        <v>1580</v>
      </c>
      <c r="BF234" s="24"/>
      <c r="BG234">
        <v>23556</v>
      </c>
      <c r="BH234">
        <v>23676</v>
      </c>
      <c r="BI234">
        <v>23676</v>
      </c>
      <c r="BJ234">
        <v>1998062</v>
      </c>
      <c r="BK234">
        <v>231</v>
      </c>
      <c r="BM234" s="24"/>
      <c r="BN234">
        <v>6084082</v>
      </c>
      <c r="BO234">
        <v>6290060</v>
      </c>
      <c r="BP234">
        <v>6200000</v>
      </c>
      <c r="BQ234">
        <v>13978</v>
      </c>
      <c r="BR234">
        <v>344</v>
      </c>
      <c r="BT234" s="24"/>
      <c r="BU234">
        <v>2274</v>
      </c>
      <c r="BV234">
        <v>2390</v>
      </c>
      <c r="BW234">
        <v>2386</v>
      </c>
      <c r="BX234">
        <v>22755040</v>
      </c>
      <c r="BY234">
        <v>272</v>
      </c>
      <c r="CA234" s="24"/>
      <c r="CB234">
        <v>503</v>
      </c>
      <c r="CC234">
        <v>507</v>
      </c>
      <c r="CD234">
        <v>505</v>
      </c>
      <c r="CE234">
        <v>55858872</v>
      </c>
      <c r="CF234">
        <v>208</v>
      </c>
      <c r="CH234" s="24"/>
      <c r="CI234">
        <v>21639</v>
      </c>
      <c r="CJ234">
        <v>21701</v>
      </c>
      <c r="CK234">
        <v>21641</v>
      </c>
      <c r="CL234">
        <v>990077</v>
      </c>
      <c r="CM234">
        <v>179</v>
      </c>
      <c r="CO234" s="24"/>
      <c r="CP234">
        <v>6308</v>
      </c>
      <c r="CQ234">
        <v>6996</v>
      </c>
      <c r="CR234">
        <v>6489</v>
      </c>
      <c r="CS234">
        <v>955254</v>
      </c>
      <c r="CT234">
        <v>313</v>
      </c>
      <c r="CV234" s="24"/>
      <c r="CW234">
        <v>1340597</v>
      </c>
      <c r="CX234">
        <v>1399597</v>
      </c>
      <c r="CY234">
        <v>1399596</v>
      </c>
      <c r="CZ234">
        <v>13020</v>
      </c>
      <c r="DA234">
        <v>49</v>
      </c>
      <c r="DC234" s="24"/>
      <c r="DD234">
        <v>505</v>
      </c>
      <c r="DE234">
        <v>521</v>
      </c>
      <c r="DF234">
        <v>521</v>
      </c>
      <c r="DG234">
        <v>33590715</v>
      </c>
      <c r="DH234">
        <v>180</v>
      </c>
      <c r="DJ234" s="24"/>
      <c r="DK234">
        <v>32515129</v>
      </c>
      <c r="DL234">
        <v>33000002</v>
      </c>
      <c r="DM234">
        <v>33000002</v>
      </c>
      <c r="DN234">
        <v>254</v>
      </c>
      <c r="DO234">
        <v>56</v>
      </c>
      <c r="DQ234" s="24"/>
      <c r="DR234">
        <v>1575563</v>
      </c>
      <c r="DS234">
        <v>1646009</v>
      </c>
      <c r="DT234">
        <v>1646008</v>
      </c>
      <c r="DU234">
        <v>9181</v>
      </c>
      <c r="DV234">
        <v>203</v>
      </c>
      <c r="DX234" s="24"/>
      <c r="DY234">
        <v>22250001</v>
      </c>
      <c r="DZ234">
        <v>23000007</v>
      </c>
      <c r="EA234">
        <v>22250008</v>
      </c>
      <c r="EB234">
        <v>425</v>
      </c>
      <c r="EC234">
        <v>91</v>
      </c>
      <c r="EE234" s="24"/>
      <c r="EF234">
        <v>162</v>
      </c>
      <c r="EG234">
        <v>169</v>
      </c>
      <c r="EH234">
        <v>165</v>
      </c>
      <c r="EI234">
        <v>104924986</v>
      </c>
      <c r="EJ234">
        <v>211</v>
      </c>
      <c r="EL234" s="24"/>
      <c r="EM234">
        <v>60655</v>
      </c>
      <c r="EN234">
        <v>60682</v>
      </c>
      <c r="EO234">
        <v>60670</v>
      </c>
      <c r="EP234">
        <v>68209</v>
      </c>
      <c r="EQ234">
        <v>641</v>
      </c>
      <c r="ES234" s="24"/>
      <c r="ET234">
        <v>267</v>
      </c>
      <c r="EU234">
        <v>276</v>
      </c>
      <c r="EV234">
        <v>267</v>
      </c>
      <c r="EW234">
        <v>48786699</v>
      </c>
      <c r="EX234">
        <v>576</v>
      </c>
      <c r="EZ234" s="24"/>
      <c r="FA234">
        <v>3180002</v>
      </c>
      <c r="FB234">
        <v>3305000</v>
      </c>
      <c r="FC234">
        <v>3303000</v>
      </c>
      <c r="FD234">
        <v>1255</v>
      </c>
      <c r="FE234">
        <v>29</v>
      </c>
      <c r="FG234" s="24"/>
      <c r="FH234">
        <v>6051</v>
      </c>
      <c r="FI234">
        <v>6228</v>
      </c>
      <c r="FJ234">
        <v>6199</v>
      </c>
      <c r="FK234">
        <v>1612558</v>
      </c>
      <c r="FL234">
        <v>345</v>
      </c>
      <c r="FN234" s="24"/>
      <c r="FO234">
        <v>21999</v>
      </c>
      <c r="FP234">
        <v>21999</v>
      </c>
      <c r="FQ234">
        <v>21999</v>
      </c>
      <c r="FR234">
        <v>225713</v>
      </c>
      <c r="FS234">
        <v>82</v>
      </c>
      <c r="FU234" s="24"/>
      <c r="FV234">
        <v>17533</v>
      </c>
      <c r="FW234">
        <v>17561</v>
      </c>
      <c r="FX234">
        <v>17561</v>
      </c>
      <c r="FY234">
        <v>333953</v>
      </c>
      <c r="FZ234">
        <v>1212</v>
      </c>
      <c r="GB234" s="24"/>
      <c r="GC234">
        <v>92500007</v>
      </c>
      <c r="GD234">
        <v>95997983</v>
      </c>
      <c r="GE234">
        <v>93213700</v>
      </c>
      <c r="GF234">
        <v>71</v>
      </c>
      <c r="GG234">
        <v>49</v>
      </c>
      <c r="GI234" s="24"/>
      <c r="GJ234">
        <v>21705111</v>
      </c>
      <c r="GK234">
        <v>23255555</v>
      </c>
      <c r="GL234">
        <v>22065555</v>
      </c>
      <c r="GM234">
        <v>469</v>
      </c>
      <c r="GN234">
        <v>76</v>
      </c>
      <c r="GP234" s="24"/>
      <c r="GQ234">
        <v>90</v>
      </c>
      <c r="GR234">
        <v>92</v>
      </c>
      <c r="GS234">
        <v>92</v>
      </c>
      <c r="GT234">
        <v>115314009</v>
      </c>
      <c r="GU234">
        <v>160</v>
      </c>
      <c r="GW234" s="24"/>
      <c r="GX234">
        <v>470</v>
      </c>
      <c r="GY234">
        <v>513</v>
      </c>
      <c r="GZ234">
        <v>509</v>
      </c>
      <c r="HA234">
        <v>40131483</v>
      </c>
      <c r="HB234">
        <v>213</v>
      </c>
      <c r="HD234" s="24"/>
      <c r="HE234">
        <v>5184</v>
      </c>
      <c r="HF234">
        <v>5330</v>
      </c>
      <c r="HG234">
        <v>5304</v>
      </c>
      <c r="HH234">
        <v>14656871</v>
      </c>
      <c r="HI234">
        <v>296</v>
      </c>
      <c r="HK234" s="24"/>
      <c r="HL234">
        <v>91999999</v>
      </c>
      <c r="HM234">
        <v>93497809</v>
      </c>
      <c r="HN234">
        <v>92086360</v>
      </c>
      <c r="HO234">
        <v>47</v>
      </c>
      <c r="HP234">
        <v>43</v>
      </c>
      <c r="HR234" s="24"/>
      <c r="HS234">
        <v>6450</v>
      </c>
      <c r="HT234">
        <v>6884</v>
      </c>
      <c r="HU234">
        <v>6849</v>
      </c>
      <c r="HV234">
        <v>630334</v>
      </c>
      <c r="HW234">
        <v>155</v>
      </c>
      <c r="HY234" s="24"/>
      <c r="HZ234">
        <v>5800</v>
      </c>
      <c r="IA234">
        <v>6148</v>
      </c>
      <c r="IB234">
        <v>6138</v>
      </c>
      <c r="IC234">
        <v>1435304</v>
      </c>
      <c r="ID234">
        <v>358</v>
      </c>
      <c r="IF234" s="24"/>
      <c r="IG234">
        <v>2747</v>
      </c>
      <c r="IH234">
        <v>2749</v>
      </c>
      <c r="II234">
        <v>2749</v>
      </c>
      <c r="IJ234">
        <v>1547828</v>
      </c>
      <c r="IK234">
        <v>145</v>
      </c>
      <c r="IM234" s="24"/>
      <c r="IN234">
        <v>92900004</v>
      </c>
      <c r="IO234">
        <v>95578997</v>
      </c>
      <c r="IP234">
        <v>94104864</v>
      </c>
      <c r="IQ234">
        <v>61</v>
      </c>
      <c r="IR234">
        <v>46</v>
      </c>
      <c r="IT234" s="24"/>
      <c r="IU234">
        <v>7353</v>
      </c>
      <c r="IV234">
        <v>7445</v>
      </c>
      <c r="IW234">
        <v>7445</v>
      </c>
      <c r="IX234">
        <v>1255413</v>
      </c>
      <c r="IY234">
        <v>168</v>
      </c>
      <c r="JA234" s="24"/>
      <c r="JB234">
        <v>91500003</v>
      </c>
      <c r="JC234">
        <v>96799925</v>
      </c>
      <c r="JD234">
        <v>93530993</v>
      </c>
      <c r="JE234">
        <v>79</v>
      </c>
      <c r="JF234">
        <v>52</v>
      </c>
      <c r="JH234" s="24"/>
      <c r="JI234">
        <v>88702013</v>
      </c>
      <c r="JJ234">
        <v>96468989</v>
      </c>
      <c r="JK234">
        <v>92725201</v>
      </c>
      <c r="JL234">
        <v>54</v>
      </c>
      <c r="JM234">
        <v>39</v>
      </c>
      <c r="JO234" s="24"/>
      <c r="JP234">
        <v>122</v>
      </c>
      <c r="JQ234">
        <v>131</v>
      </c>
      <c r="JR234">
        <v>123</v>
      </c>
      <c r="JS234">
        <v>101860389</v>
      </c>
      <c r="JT234">
        <v>156</v>
      </c>
      <c r="JV234" s="24"/>
      <c r="JW234">
        <v>79</v>
      </c>
      <c r="JX234">
        <v>82</v>
      </c>
      <c r="JY234">
        <v>80</v>
      </c>
      <c r="JZ234">
        <v>123013138</v>
      </c>
      <c r="KA234">
        <v>145</v>
      </c>
      <c r="KC234" s="24"/>
      <c r="KD234">
        <v>19</v>
      </c>
      <c r="KE234">
        <v>21</v>
      </c>
      <c r="KF234">
        <v>20</v>
      </c>
      <c r="KG234">
        <v>50542901</v>
      </c>
      <c r="KH234">
        <v>341</v>
      </c>
      <c r="KJ234" s="24"/>
      <c r="KK234">
        <v>80</v>
      </c>
      <c r="KL234">
        <v>88</v>
      </c>
      <c r="KM234">
        <v>86</v>
      </c>
      <c r="KN234">
        <v>156326014</v>
      </c>
      <c r="KO234">
        <v>155</v>
      </c>
      <c r="KQ234" s="24"/>
      <c r="KR234">
        <v>135000</v>
      </c>
      <c r="KS234">
        <v>137498</v>
      </c>
      <c r="KT234">
        <v>135005</v>
      </c>
      <c r="KU234">
        <v>85748</v>
      </c>
      <c r="KV234">
        <v>616</v>
      </c>
      <c r="KX234" s="24"/>
      <c r="KY234">
        <v>499</v>
      </c>
      <c r="KZ234">
        <v>512</v>
      </c>
      <c r="LA234">
        <v>512</v>
      </c>
      <c r="LB234">
        <v>6342262</v>
      </c>
      <c r="LC234">
        <v>194</v>
      </c>
      <c r="LE234" s="24"/>
      <c r="LF234">
        <v>189500</v>
      </c>
      <c r="LG234">
        <v>189503</v>
      </c>
      <c r="LH234">
        <v>189503</v>
      </c>
      <c r="LI234">
        <v>107405</v>
      </c>
      <c r="LJ234">
        <v>894</v>
      </c>
      <c r="LL234" s="24"/>
      <c r="LM234">
        <v>77317</v>
      </c>
      <c r="LN234">
        <v>77369</v>
      </c>
      <c r="LO234">
        <v>77335</v>
      </c>
      <c r="LP234">
        <v>333301</v>
      </c>
      <c r="LQ234">
        <v>1230</v>
      </c>
      <c r="LS234" s="24"/>
      <c r="LT234">
        <v>500</v>
      </c>
      <c r="LU234">
        <v>503</v>
      </c>
      <c r="LV234">
        <v>503</v>
      </c>
      <c r="LW234">
        <v>69680941</v>
      </c>
      <c r="LX234">
        <v>321</v>
      </c>
      <c r="LZ234" s="24"/>
      <c r="MA234">
        <v>83001</v>
      </c>
      <c r="MB234">
        <v>87251</v>
      </c>
      <c r="MC234">
        <v>83100</v>
      </c>
      <c r="MD234">
        <v>1157268</v>
      </c>
      <c r="ME234">
        <v>97</v>
      </c>
    </row>
    <row r="235" spans="2:343" x14ac:dyDescent="0.25">
      <c r="B235" s="24"/>
      <c r="C235">
        <v>3</v>
      </c>
      <c r="D235">
        <v>3</v>
      </c>
      <c r="E235">
        <v>3</v>
      </c>
      <c r="F235">
        <v>28093359131</v>
      </c>
      <c r="G235">
        <v>2753</v>
      </c>
      <c r="I235" s="24"/>
      <c r="J235">
        <v>4</v>
      </c>
      <c r="K235">
        <v>4</v>
      </c>
      <c r="L235">
        <v>4</v>
      </c>
      <c r="M235">
        <v>6784876195</v>
      </c>
      <c r="N235">
        <v>2087</v>
      </c>
      <c r="P235" s="24"/>
      <c r="Q235">
        <v>27</v>
      </c>
      <c r="R235">
        <v>28</v>
      </c>
      <c r="S235">
        <v>28</v>
      </c>
      <c r="T235">
        <v>1967492811</v>
      </c>
      <c r="U235">
        <v>1885</v>
      </c>
      <c r="W235" s="24"/>
      <c r="X235">
        <v>58</v>
      </c>
      <c r="Y235">
        <v>60</v>
      </c>
      <c r="Z235">
        <v>59</v>
      </c>
      <c r="AA235">
        <v>521454047</v>
      </c>
      <c r="AB235">
        <v>1477</v>
      </c>
      <c r="AD235" s="24"/>
      <c r="AE235">
        <v>392</v>
      </c>
      <c r="AF235">
        <v>400</v>
      </c>
      <c r="AG235">
        <v>399</v>
      </c>
      <c r="AH235">
        <v>99250162</v>
      </c>
      <c r="AI235">
        <v>1488</v>
      </c>
      <c r="AK235" s="24"/>
      <c r="AL235">
        <v>739</v>
      </c>
      <c r="AM235">
        <v>748</v>
      </c>
      <c r="AN235">
        <v>741</v>
      </c>
      <c r="AO235">
        <v>40544043</v>
      </c>
      <c r="AP235">
        <v>1230</v>
      </c>
      <c r="AR235" s="24"/>
      <c r="AS235">
        <v>2656</v>
      </c>
      <c r="AT235">
        <v>2734</v>
      </c>
      <c r="AU235">
        <v>2721</v>
      </c>
      <c r="AV235">
        <v>12214754</v>
      </c>
      <c r="AW235">
        <v>1197</v>
      </c>
      <c r="AY235" s="24"/>
      <c r="AZ235">
        <v>358514062</v>
      </c>
      <c r="BA235">
        <v>364949998</v>
      </c>
      <c r="BB235">
        <v>362500000</v>
      </c>
      <c r="BC235">
        <v>2447</v>
      </c>
      <c r="BD235">
        <v>1638</v>
      </c>
      <c r="BF235" s="24"/>
      <c r="BG235">
        <v>24111</v>
      </c>
      <c r="BH235">
        <v>25991</v>
      </c>
      <c r="BI235">
        <v>25001</v>
      </c>
      <c r="BJ235">
        <v>1536063</v>
      </c>
      <c r="BK235">
        <v>224</v>
      </c>
      <c r="BM235" s="24"/>
      <c r="BN235">
        <v>6200000</v>
      </c>
      <c r="BO235">
        <v>6398998</v>
      </c>
      <c r="BP235">
        <v>6201001</v>
      </c>
      <c r="BQ235">
        <v>15238</v>
      </c>
      <c r="BR235">
        <v>329</v>
      </c>
      <c r="BT235" s="24"/>
      <c r="BU235">
        <v>2243</v>
      </c>
      <c r="BV235">
        <v>2348</v>
      </c>
      <c r="BW235">
        <v>2299</v>
      </c>
      <c r="BX235">
        <v>26257764</v>
      </c>
      <c r="BY235">
        <v>245</v>
      </c>
      <c r="CA235" s="24"/>
      <c r="CB235">
        <v>502</v>
      </c>
      <c r="CC235">
        <v>505</v>
      </c>
      <c r="CD235">
        <v>505</v>
      </c>
      <c r="CE235">
        <v>47037225</v>
      </c>
      <c r="CF235">
        <v>218</v>
      </c>
      <c r="CH235" s="24"/>
      <c r="CI235">
        <v>22002</v>
      </c>
      <c r="CJ235">
        <v>22868</v>
      </c>
      <c r="CK235">
        <v>22102</v>
      </c>
      <c r="CL235">
        <v>497416</v>
      </c>
      <c r="CM235">
        <v>180</v>
      </c>
      <c r="CO235" s="24"/>
      <c r="CP235">
        <v>6314</v>
      </c>
      <c r="CQ235">
        <v>6722</v>
      </c>
      <c r="CR235">
        <v>6600</v>
      </c>
      <c r="CS235">
        <v>1253720</v>
      </c>
      <c r="CT235">
        <v>368</v>
      </c>
      <c r="CV235" s="24"/>
      <c r="CW235">
        <v>1331000</v>
      </c>
      <c r="CX235">
        <v>1399543</v>
      </c>
      <c r="CY235">
        <v>1349020</v>
      </c>
      <c r="CZ235">
        <v>13584</v>
      </c>
      <c r="DA235">
        <v>48</v>
      </c>
      <c r="DC235" s="24"/>
      <c r="DD235">
        <v>525</v>
      </c>
      <c r="DE235">
        <v>532</v>
      </c>
      <c r="DF235">
        <v>530</v>
      </c>
      <c r="DG235">
        <v>23948389</v>
      </c>
      <c r="DH235">
        <v>162</v>
      </c>
      <c r="DJ235" s="24"/>
      <c r="DK235">
        <v>32655555</v>
      </c>
      <c r="DL235">
        <v>33000009</v>
      </c>
      <c r="DM235">
        <v>33000000</v>
      </c>
      <c r="DN235">
        <v>324</v>
      </c>
      <c r="DO235">
        <v>85</v>
      </c>
      <c r="DQ235" s="24"/>
      <c r="DR235">
        <v>1601555</v>
      </c>
      <c r="DS235">
        <v>1673999</v>
      </c>
      <c r="DT235">
        <v>1647997</v>
      </c>
      <c r="DU235">
        <v>4518</v>
      </c>
      <c r="DV235">
        <v>171</v>
      </c>
      <c r="DX235" s="24"/>
      <c r="DY235">
        <v>22250014</v>
      </c>
      <c r="DZ235">
        <v>22980000</v>
      </c>
      <c r="EA235">
        <v>22250029</v>
      </c>
      <c r="EB235">
        <v>241</v>
      </c>
      <c r="EC235">
        <v>84</v>
      </c>
      <c r="EE235" s="24"/>
      <c r="EF235">
        <v>165</v>
      </c>
      <c r="EG235">
        <v>167</v>
      </c>
      <c r="EH235">
        <v>167</v>
      </c>
      <c r="EI235">
        <v>85869252</v>
      </c>
      <c r="EJ235">
        <v>164</v>
      </c>
      <c r="EL235" s="24"/>
      <c r="EM235">
        <v>62505</v>
      </c>
      <c r="EN235">
        <v>63000</v>
      </c>
      <c r="EO235">
        <v>62530</v>
      </c>
      <c r="EP235">
        <v>64272</v>
      </c>
      <c r="EQ235">
        <v>690</v>
      </c>
      <c r="ES235" s="24"/>
      <c r="ET235">
        <v>272</v>
      </c>
      <c r="EU235">
        <v>274</v>
      </c>
      <c r="EV235">
        <v>273</v>
      </c>
      <c r="EW235">
        <v>34287741</v>
      </c>
      <c r="EX235">
        <v>546</v>
      </c>
      <c r="EZ235" s="24"/>
      <c r="FA235">
        <v>3211001</v>
      </c>
      <c r="FB235">
        <v>3313000</v>
      </c>
      <c r="FC235">
        <v>3311999</v>
      </c>
      <c r="FD235">
        <v>1286</v>
      </c>
      <c r="FE235">
        <v>23</v>
      </c>
      <c r="FG235" s="24"/>
      <c r="FH235">
        <v>5711</v>
      </c>
      <c r="FI235">
        <v>6133</v>
      </c>
      <c r="FJ235">
        <v>6100</v>
      </c>
      <c r="FK235">
        <v>1144069</v>
      </c>
      <c r="FL235">
        <v>383</v>
      </c>
      <c r="FN235" s="24"/>
      <c r="FO235">
        <v>28998</v>
      </c>
      <c r="FP235">
        <v>28998</v>
      </c>
      <c r="FQ235">
        <v>28998</v>
      </c>
      <c r="FR235">
        <v>71800</v>
      </c>
      <c r="FS235">
        <v>66</v>
      </c>
      <c r="FU235" s="24"/>
      <c r="FV235">
        <v>17704</v>
      </c>
      <c r="FW235">
        <v>18049</v>
      </c>
      <c r="FX235">
        <v>17998</v>
      </c>
      <c r="FY235">
        <v>347420</v>
      </c>
      <c r="FZ235">
        <v>1253</v>
      </c>
      <c r="GB235" s="24"/>
      <c r="GC235">
        <v>88607002</v>
      </c>
      <c r="GD235">
        <v>95798992</v>
      </c>
      <c r="GE235">
        <v>93761502</v>
      </c>
      <c r="GF235">
        <v>72</v>
      </c>
      <c r="GG235">
        <v>65</v>
      </c>
      <c r="GI235" s="24"/>
      <c r="GJ235">
        <v>20600056</v>
      </c>
      <c r="GK235">
        <v>22879996</v>
      </c>
      <c r="GL235">
        <v>22600056</v>
      </c>
      <c r="GM235">
        <v>293</v>
      </c>
      <c r="GN235">
        <v>65</v>
      </c>
      <c r="GP235" s="24"/>
      <c r="GQ235">
        <v>92</v>
      </c>
      <c r="GR235">
        <v>95</v>
      </c>
      <c r="GS235">
        <v>93</v>
      </c>
      <c r="GT235">
        <v>118661636</v>
      </c>
      <c r="GU235">
        <v>150</v>
      </c>
      <c r="GW235" s="24"/>
      <c r="GX235">
        <v>509</v>
      </c>
      <c r="GY235">
        <v>512</v>
      </c>
      <c r="GZ235">
        <v>512</v>
      </c>
      <c r="HA235">
        <v>34790435</v>
      </c>
      <c r="HB235">
        <v>215</v>
      </c>
      <c r="HD235" s="24"/>
      <c r="HE235">
        <v>5397</v>
      </c>
      <c r="HF235">
        <v>5497</v>
      </c>
      <c r="HG235">
        <v>5399</v>
      </c>
      <c r="HH235">
        <v>15573137</v>
      </c>
      <c r="HI235">
        <v>227</v>
      </c>
      <c r="HK235" s="24"/>
      <c r="HL235">
        <v>89005000</v>
      </c>
      <c r="HM235">
        <v>93299999</v>
      </c>
      <c r="HN235">
        <v>92577313</v>
      </c>
      <c r="HO235">
        <v>71</v>
      </c>
      <c r="HP235">
        <v>69</v>
      </c>
      <c r="HR235" s="24"/>
      <c r="HS235">
        <v>6551</v>
      </c>
      <c r="HT235">
        <v>7142</v>
      </c>
      <c r="HU235">
        <v>7138</v>
      </c>
      <c r="HV235">
        <v>548265</v>
      </c>
      <c r="HW235">
        <v>145</v>
      </c>
      <c r="HY235" s="24"/>
      <c r="HZ235">
        <v>5655</v>
      </c>
      <c r="IA235">
        <v>5987</v>
      </c>
      <c r="IB235">
        <v>5788</v>
      </c>
      <c r="IC235">
        <v>2012597</v>
      </c>
      <c r="ID235">
        <v>356</v>
      </c>
      <c r="IF235" s="24"/>
      <c r="IG235">
        <v>2749</v>
      </c>
      <c r="IH235">
        <v>2799</v>
      </c>
      <c r="II235">
        <v>2799</v>
      </c>
      <c r="IJ235">
        <v>1491348</v>
      </c>
      <c r="IK235">
        <v>130</v>
      </c>
      <c r="IM235" s="24"/>
      <c r="IN235">
        <v>90044001</v>
      </c>
      <c r="IO235">
        <v>95578003</v>
      </c>
      <c r="IP235">
        <v>91948425</v>
      </c>
      <c r="IQ235">
        <v>111</v>
      </c>
      <c r="IR235">
        <v>87</v>
      </c>
      <c r="IT235" s="24"/>
      <c r="IU235">
        <v>7307</v>
      </c>
      <c r="IV235">
        <v>7350</v>
      </c>
      <c r="IW235">
        <v>7343</v>
      </c>
      <c r="IX235">
        <v>1347029</v>
      </c>
      <c r="IY235">
        <v>126</v>
      </c>
      <c r="JA235" s="24"/>
      <c r="JB235">
        <v>89613021</v>
      </c>
      <c r="JC235">
        <v>95999992</v>
      </c>
      <c r="JD235">
        <v>93500000</v>
      </c>
      <c r="JE235">
        <v>122</v>
      </c>
      <c r="JF235">
        <v>82</v>
      </c>
      <c r="JH235" s="24"/>
      <c r="JI235">
        <v>90000003</v>
      </c>
      <c r="JJ235">
        <v>96399975</v>
      </c>
      <c r="JK235">
        <v>93374536</v>
      </c>
      <c r="JL235">
        <v>55</v>
      </c>
      <c r="JM235">
        <v>44</v>
      </c>
      <c r="JO235" s="24"/>
      <c r="JP235">
        <v>115</v>
      </c>
      <c r="JQ235">
        <v>125</v>
      </c>
      <c r="JR235">
        <v>125</v>
      </c>
      <c r="JS235">
        <v>298402228</v>
      </c>
      <c r="JT235">
        <v>166</v>
      </c>
      <c r="JV235" s="24"/>
      <c r="JW235">
        <v>77</v>
      </c>
      <c r="JX235">
        <v>82</v>
      </c>
      <c r="JY235">
        <v>82</v>
      </c>
      <c r="JZ235">
        <v>158844038</v>
      </c>
      <c r="KA235">
        <v>153</v>
      </c>
      <c r="KC235" s="24"/>
      <c r="KD235">
        <v>18</v>
      </c>
      <c r="KE235">
        <v>20</v>
      </c>
      <c r="KF235">
        <v>20</v>
      </c>
      <c r="KG235">
        <v>37483419</v>
      </c>
      <c r="KH235">
        <v>306</v>
      </c>
      <c r="KJ235" s="24"/>
      <c r="KK235">
        <v>81</v>
      </c>
      <c r="KL235">
        <v>84</v>
      </c>
      <c r="KM235">
        <v>82</v>
      </c>
      <c r="KN235">
        <v>140821563</v>
      </c>
      <c r="KO235">
        <v>115</v>
      </c>
      <c r="KQ235" s="24"/>
      <c r="KR235">
        <v>136222</v>
      </c>
      <c r="KS235">
        <v>138000</v>
      </c>
      <c r="KT235">
        <v>136224</v>
      </c>
      <c r="KU235">
        <v>47615</v>
      </c>
      <c r="KV235">
        <v>643</v>
      </c>
      <c r="KX235" s="24"/>
      <c r="KY235">
        <v>547</v>
      </c>
      <c r="KZ235">
        <v>547</v>
      </c>
      <c r="LA235">
        <v>547</v>
      </c>
      <c r="LB235">
        <v>8001618</v>
      </c>
      <c r="LC235">
        <v>167</v>
      </c>
      <c r="LE235" s="24"/>
      <c r="LF235">
        <v>192113</v>
      </c>
      <c r="LG235">
        <v>193979</v>
      </c>
      <c r="LH235">
        <v>192116</v>
      </c>
      <c r="LI235">
        <v>121376</v>
      </c>
      <c r="LJ235">
        <v>932</v>
      </c>
      <c r="LL235" s="24"/>
      <c r="LM235">
        <v>77801</v>
      </c>
      <c r="LN235">
        <v>78304</v>
      </c>
      <c r="LO235">
        <v>77822</v>
      </c>
      <c r="LP235">
        <v>236677</v>
      </c>
      <c r="LQ235">
        <v>1285</v>
      </c>
      <c r="LS235" s="24"/>
      <c r="LT235">
        <v>499</v>
      </c>
      <c r="LU235">
        <v>500</v>
      </c>
      <c r="LV235">
        <v>500</v>
      </c>
      <c r="LW235">
        <v>77283957</v>
      </c>
      <c r="LX235">
        <v>369</v>
      </c>
      <c r="LZ235" s="24"/>
      <c r="MA235">
        <v>88000</v>
      </c>
      <c r="MB235">
        <v>98998</v>
      </c>
      <c r="MC235">
        <v>94523</v>
      </c>
      <c r="MD235">
        <v>1493533</v>
      </c>
      <c r="ME235">
        <v>114</v>
      </c>
    </row>
    <row r="236" spans="2:343" x14ac:dyDescent="0.25">
      <c r="B236" s="24"/>
      <c r="C236">
        <v>3</v>
      </c>
      <c r="D236">
        <v>3</v>
      </c>
      <c r="E236">
        <v>3</v>
      </c>
      <c r="F236">
        <v>31604236680</v>
      </c>
      <c r="G236">
        <v>3251</v>
      </c>
      <c r="I236" s="24"/>
      <c r="J236">
        <v>4</v>
      </c>
      <c r="K236">
        <v>4</v>
      </c>
      <c r="L236">
        <v>4</v>
      </c>
      <c r="M236">
        <v>5858884860</v>
      </c>
      <c r="N236">
        <v>2277</v>
      </c>
      <c r="P236" s="24"/>
      <c r="Q236">
        <v>27</v>
      </c>
      <c r="R236">
        <v>28</v>
      </c>
      <c r="S236">
        <v>28</v>
      </c>
      <c r="T236">
        <v>2421724100</v>
      </c>
      <c r="U236">
        <v>2158</v>
      </c>
      <c r="W236" s="24"/>
      <c r="X236">
        <v>58</v>
      </c>
      <c r="Y236">
        <v>61</v>
      </c>
      <c r="Z236">
        <v>60</v>
      </c>
      <c r="AA236">
        <v>458106359</v>
      </c>
      <c r="AB236">
        <v>1600</v>
      </c>
      <c r="AD236" s="24"/>
      <c r="AE236">
        <v>393</v>
      </c>
      <c r="AF236">
        <v>399</v>
      </c>
      <c r="AG236">
        <v>395</v>
      </c>
      <c r="AH236">
        <v>130714393</v>
      </c>
      <c r="AI236">
        <v>1663</v>
      </c>
      <c r="AK236" s="24"/>
      <c r="AL236">
        <v>736</v>
      </c>
      <c r="AM236">
        <v>756</v>
      </c>
      <c r="AN236">
        <v>755</v>
      </c>
      <c r="AO236">
        <v>47828122</v>
      </c>
      <c r="AP236">
        <v>1342</v>
      </c>
      <c r="AR236" s="24"/>
      <c r="AS236">
        <v>2663</v>
      </c>
      <c r="AT236">
        <v>2698</v>
      </c>
      <c r="AU236">
        <v>2695</v>
      </c>
      <c r="AV236">
        <v>14166224</v>
      </c>
      <c r="AW236">
        <v>1260</v>
      </c>
      <c r="AY236" s="24"/>
      <c r="AZ236">
        <v>355600003</v>
      </c>
      <c r="BA236">
        <v>362946880</v>
      </c>
      <c r="BB236">
        <v>361435000</v>
      </c>
      <c r="BC236">
        <v>2995</v>
      </c>
      <c r="BD236">
        <v>1942</v>
      </c>
      <c r="BF236" s="24"/>
      <c r="BG236">
        <v>25002</v>
      </c>
      <c r="BH236">
        <v>25002</v>
      </c>
      <c r="BI236">
        <v>25002</v>
      </c>
      <c r="BJ236">
        <v>1382600</v>
      </c>
      <c r="BK236">
        <v>215</v>
      </c>
      <c r="BM236" s="24"/>
      <c r="BN236">
        <v>6112290</v>
      </c>
      <c r="BO236">
        <v>6200000</v>
      </c>
      <c r="BP236">
        <v>6120000</v>
      </c>
      <c r="BQ236">
        <v>10022</v>
      </c>
      <c r="BR236">
        <v>331</v>
      </c>
      <c r="BT236" s="24"/>
      <c r="BU236">
        <v>2312</v>
      </c>
      <c r="BV236">
        <v>2348</v>
      </c>
      <c r="BW236">
        <v>2343</v>
      </c>
      <c r="BX236">
        <v>23706638</v>
      </c>
      <c r="BY236">
        <v>264</v>
      </c>
      <c r="CA236" s="24"/>
      <c r="CB236">
        <v>504</v>
      </c>
      <c r="CC236">
        <v>504</v>
      </c>
      <c r="CD236">
        <v>504</v>
      </c>
      <c r="CE236">
        <v>57837320</v>
      </c>
      <c r="CF236">
        <v>254</v>
      </c>
      <c r="CH236" s="24"/>
      <c r="CI236">
        <v>22137</v>
      </c>
      <c r="CJ236">
        <v>22320</v>
      </c>
      <c r="CK236">
        <v>22203</v>
      </c>
      <c r="CL236">
        <v>1605635</v>
      </c>
      <c r="CM236">
        <v>195</v>
      </c>
      <c r="CO236" s="24"/>
      <c r="CP236">
        <v>6299</v>
      </c>
      <c r="CQ236">
        <v>6500</v>
      </c>
      <c r="CR236">
        <v>6314</v>
      </c>
      <c r="CS236">
        <v>1132132</v>
      </c>
      <c r="CT236">
        <v>345</v>
      </c>
      <c r="CV236" s="24"/>
      <c r="CW236">
        <v>1331001</v>
      </c>
      <c r="CX236">
        <v>1350000</v>
      </c>
      <c r="CY236">
        <v>1340000</v>
      </c>
      <c r="CZ236">
        <v>7041</v>
      </c>
      <c r="DA236">
        <v>33</v>
      </c>
      <c r="DC236" s="24"/>
      <c r="DD236">
        <v>506</v>
      </c>
      <c r="DE236">
        <v>527</v>
      </c>
      <c r="DF236">
        <v>523</v>
      </c>
      <c r="DG236">
        <v>42847916</v>
      </c>
      <c r="DH236">
        <v>191</v>
      </c>
      <c r="DJ236" s="24"/>
      <c r="DK236">
        <v>33000000</v>
      </c>
      <c r="DL236">
        <v>33000010</v>
      </c>
      <c r="DM236">
        <v>33000009</v>
      </c>
      <c r="DN236">
        <v>228</v>
      </c>
      <c r="DO236">
        <v>71</v>
      </c>
      <c r="DQ236" s="24"/>
      <c r="DR236">
        <v>1575679</v>
      </c>
      <c r="DS236">
        <v>1749994</v>
      </c>
      <c r="DT236">
        <v>1673999</v>
      </c>
      <c r="DU236">
        <v>6697</v>
      </c>
      <c r="DV236">
        <v>217</v>
      </c>
      <c r="DX236" s="24"/>
      <c r="DY236">
        <v>20701054</v>
      </c>
      <c r="DZ236">
        <v>21898997</v>
      </c>
      <c r="EA236">
        <v>21610582</v>
      </c>
      <c r="EB236">
        <v>556</v>
      </c>
      <c r="EC236">
        <v>112</v>
      </c>
      <c r="EE236" s="24"/>
      <c r="EF236">
        <v>169</v>
      </c>
      <c r="EG236">
        <v>173</v>
      </c>
      <c r="EH236">
        <v>171</v>
      </c>
      <c r="EI236">
        <v>69848197</v>
      </c>
      <c r="EJ236">
        <v>182</v>
      </c>
      <c r="EL236" s="24"/>
      <c r="EM236">
        <v>63002</v>
      </c>
      <c r="EN236">
        <v>63003</v>
      </c>
      <c r="EO236">
        <v>63002</v>
      </c>
      <c r="EP236">
        <v>73495</v>
      </c>
      <c r="EQ236">
        <v>777</v>
      </c>
      <c r="ES236" s="24"/>
      <c r="ET236">
        <v>273</v>
      </c>
      <c r="EU236">
        <v>274</v>
      </c>
      <c r="EV236">
        <v>273</v>
      </c>
      <c r="EW236">
        <v>39870368</v>
      </c>
      <c r="EX236">
        <v>586</v>
      </c>
      <c r="EZ236" s="24"/>
      <c r="FA236">
        <v>3220000</v>
      </c>
      <c r="FB236">
        <v>3310000</v>
      </c>
      <c r="FC236">
        <v>3250000</v>
      </c>
      <c r="FD236">
        <v>1013</v>
      </c>
      <c r="FE236">
        <v>10</v>
      </c>
      <c r="FG236" s="24"/>
      <c r="FH236">
        <v>5713</v>
      </c>
      <c r="FI236">
        <v>5978</v>
      </c>
      <c r="FJ236">
        <v>5897</v>
      </c>
      <c r="FK236">
        <v>1507387</v>
      </c>
      <c r="FL236">
        <v>384</v>
      </c>
      <c r="FN236" s="24"/>
      <c r="FO236">
        <v>21102</v>
      </c>
      <c r="FP236">
        <v>28998</v>
      </c>
      <c r="FQ236">
        <v>28898</v>
      </c>
      <c r="FR236">
        <v>143362</v>
      </c>
      <c r="FS236">
        <v>88</v>
      </c>
      <c r="FU236" s="24"/>
      <c r="FV236">
        <v>18000</v>
      </c>
      <c r="FW236">
        <v>18004</v>
      </c>
      <c r="FX236">
        <v>18004</v>
      </c>
      <c r="FY236">
        <v>351437</v>
      </c>
      <c r="FZ236">
        <v>1443</v>
      </c>
      <c r="GB236" s="24"/>
      <c r="GC236">
        <v>89500016</v>
      </c>
      <c r="GD236">
        <v>95778991</v>
      </c>
      <c r="GE236">
        <v>92000010</v>
      </c>
      <c r="GF236">
        <v>116</v>
      </c>
      <c r="GG236">
        <v>72</v>
      </c>
      <c r="GI236" s="24"/>
      <c r="GJ236">
        <v>20800106</v>
      </c>
      <c r="GK236">
        <v>23130659</v>
      </c>
      <c r="GL236">
        <v>22600057</v>
      </c>
      <c r="GM236">
        <v>522</v>
      </c>
      <c r="GN236">
        <v>87</v>
      </c>
      <c r="GP236" s="24"/>
      <c r="GQ236">
        <v>97</v>
      </c>
      <c r="GR236">
        <v>99</v>
      </c>
      <c r="GS236">
        <v>99</v>
      </c>
      <c r="GT236">
        <v>127042764</v>
      </c>
      <c r="GU236">
        <v>131</v>
      </c>
      <c r="GW236" s="24"/>
      <c r="GX236">
        <v>497</v>
      </c>
      <c r="GY236">
        <v>514</v>
      </c>
      <c r="GZ236">
        <v>512</v>
      </c>
      <c r="HA236">
        <v>62852866</v>
      </c>
      <c r="HB236">
        <v>231</v>
      </c>
      <c r="HD236" s="24"/>
      <c r="HE236">
        <v>5398</v>
      </c>
      <c r="HF236">
        <v>5692</v>
      </c>
      <c r="HG236">
        <v>5688</v>
      </c>
      <c r="HH236">
        <v>13584708</v>
      </c>
      <c r="HI236">
        <v>270</v>
      </c>
      <c r="HK236" s="24"/>
      <c r="HL236">
        <v>89501002</v>
      </c>
      <c r="HM236">
        <v>95299998</v>
      </c>
      <c r="HN236">
        <v>91000000</v>
      </c>
      <c r="HO236">
        <v>126</v>
      </c>
      <c r="HP236">
        <v>77</v>
      </c>
      <c r="HR236" s="24"/>
      <c r="HS236">
        <v>6701</v>
      </c>
      <c r="HT236">
        <v>7100</v>
      </c>
      <c r="HU236">
        <v>6996</v>
      </c>
      <c r="HV236">
        <v>732691</v>
      </c>
      <c r="HW236">
        <v>181</v>
      </c>
      <c r="HY236" s="24"/>
      <c r="HZ236">
        <v>5186</v>
      </c>
      <c r="IA236">
        <v>5737</v>
      </c>
      <c r="IB236">
        <v>5697</v>
      </c>
      <c r="IC236">
        <v>1494615</v>
      </c>
      <c r="ID236">
        <v>369</v>
      </c>
      <c r="IF236" s="24"/>
      <c r="IG236">
        <v>2713</v>
      </c>
      <c r="IH236">
        <v>2999</v>
      </c>
      <c r="II236">
        <v>2999</v>
      </c>
      <c r="IJ236">
        <v>1427908</v>
      </c>
      <c r="IK236">
        <v>144</v>
      </c>
      <c r="IM236" s="24"/>
      <c r="IN236">
        <v>88556410</v>
      </c>
      <c r="IO236">
        <v>95576008</v>
      </c>
      <c r="IP236">
        <v>92491833</v>
      </c>
      <c r="IQ236">
        <v>87</v>
      </c>
      <c r="IR236">
        <v>61</v>
      </c>
      <c r="IT236" s="24"/>
      <c r="IU236">
        <v>7220</v>
      </c>
      <c r="IV236">
        <v>7350</v>
      </c>
      <c r="IW236">
        <v>7349</v>
      </c>
      <c r="IX236">
        <v>1030330</v>
      </c>
      <c r="IY236">
        <v>153</v>
      </c>
      <c r="JA236" s="24"/>
      <c r="JB236">
        <v>89701001</v>
      </c>
      <c r="JC236">
        <v>93999986</v>
      </c>
      <c r="JD236">
        <v>90001001</v>
      </c>
      <c r="JE236">
        <v>181</v>
      </c>
      <c r="JF236">
        <v>111</v>
      </c>
      <c r="JH236" s="24"/>
      <c r="JI236">
        <v>92000300</v>
      </c>
      <c r="JJ236">
        <v>96397999</v>
      </c>
      <c r="JK236">
        <v>93889056</v>
      </c>
      <c r="JL236">
        <v>77</v>
      </c>
      <c r="JM236">
        <v>53</v>
      </c>
      <c r="JO236" s="24"/>
      <c r="JP236">
        <v>107</v>
      </c>
      <c r="JQ236">
        <v>117</v>
      </c>
      <c r="JR236">
        <v>109</v>
      </c>
      <c r="JS236">
        <v>126956404</v>
      </c>
      <c r="JT236">
        <v>129</v>
      </c>
      <c r="JV236" s="24"/>
      <c r="JW236">
        <v>78</v>
      </c>
      <c r="JX236">
        <v>83</v>
      </c>
      <c r="JY236">
        <v>81</v>
      </c>
      <c r="JZ236">
        <v>107681571</v>
      </c>
      <c r="KA236">
        <v>120</v>
      </c>
      <c r="KC236" s="24"/>
      <c r="KD236">
        <v>19</v>
      </c>
      <c r="KE236">
        <v>20</v>
      </c>
      <c r="KF236">
        <v>20</v>
      </c>
      <c r="KG236">
        <v>37451484</v>
      </c>
      <c r="KH236">
        <v>322</v>
      </c>
      <c r="KJ236" s="24"/>
      <c r="KK236">
        <v>82</v>
      </c>
      <c r="KL236">
        <v>84</v>
      </c>
      <c r="KM236">
        <v>82</v>
      </c>
      <c r="KN236">
        <v>95772924</v>
      </c>
      <c r="KO236">
        <v>128</v>
      </c>
      <c r="KQ236" s="24"/>
      <c r="KR236">
        <v>137001</v>
      </c>
      <c r="KS236">
        <v>143999</v>
      </c>
      <c r="KT236">
        <v>140999</v>
      </c>
      <c r="KU236">
        <v>109275</v>
      </c>
      <c r="KV236">
        <v>742</v>
      </c>
      <c r="KX236" s="24"/>
      <c r="KY236">
        <v>537</v>
      </c>
      <c r="KZ236">
        <v>547</v>
      </c>
      <c r="LA236">
        <v>547</v>
      </c>
      <c r="LB236">
        <v>3879998</v>
      </c>
      <c r="LC236">
        <v>173</v>
      </c>
      <c r="LE236" s="24"/>
      <c r="LF236">
        <v>192113</v>
      </c>
      <c r="LG236">
        <v>197249</v>
      </c>
      <c r="LH236">
        <v>192113</v>
      </c>
      <c r="LI236">
        <v>226657</v>
      </c>
      <c r="LJ236">
        <v>1099</v>
      </c>
      <c r="LL236" s="24"/>
      <c r="LM236">
        <v>79017</v>
      </c>
      <c r="LN236">
        <v>81016</v>
      </c>
      <c r="LO236">
        <v>79057</v>
      </c>
      <c r="LP236">
        <v>521000</v>
      </c>
      <c r="LQ236">
        <v>1539</v>
      </c>
      <c r="LS236" s="24"/>
      <c r="LT236">
        <v>497</v>
      </c>
      <c r="LU236">
        <v>499</v>
      </c>
      <c r="LV236">
        <v>497</v>
      </c>
      <c r="LW236">
        <v>80415534</v>
      </c>
      <c r="LX236">
        <v>391</v>
      </c>
      <c r="LZ236" s="24"/>
      <c r="MA236">
        <v>98020</v>
      </c>
      <c r="MB236">
        <v>103036</v>
      </c>
      <c r="MC236">
        <v>100000</v>
      </c>
      <c r="MD236">
        <v>1406776</v>
      </c>
      <c r="ME236">
        <v>107</v>
      </c>
    </row>
    <row r="237" spans="2:343" x14ac:dyDescent="0.25">
      <c r="B237" s="24"/>
      <c r="C237">
        <v>3</v>
      </c>
      <c r="D237">
        <v>3</v>
      </c>
      <c r="E237">
        <v>3</v>
      </c>
      <c r="F237">
        <v>38539160994</v>
      </c>
      <c r="G237">
        <v>3541</v>
      </c>
      <c r="I237" s="24"/>
      <c r="J237">
        <v>4</v>
      </c>
      <c r="K237">
        <v>4</v>
      </c>
      <c r="L237">
        <v>4</v>
      </c>
      <c r="M237">
        <v>8700267064</v>
      </c>
      <c r="N237">
        <v>2621</v>
      </c>
      <c r="P237" s="24"/>
      <c r="Q237">
        <v>27</v>
      </c>
      <c r="R237">
        <v>28</v>
      </c>
      <c r="S237">
        <v>27</v>
      </c>
      <c r="T237">
        <v>1821988101</v>
      </c>
      <c r="U237">
        <v>2249</v>
      </c>
      <c r="W237" s="24"/>
      <c r="X237">
        <v>59</v>
      </c>
      <c r="Y237">
        <v>61</v>
      </c>
      <c r="Z237">
        <v>61</v>
      </c>
      <c r="AA237">
        <v>410330045</v>
      </c>
      <c r="AB237">
        <v>1837</v>
      </c>
      <c r="AD237" s="24"/>
      <c r="AE237">
        <v>375</v>
      </c>
      <c r="AF237">
        <v>399</v>
      </c>
      <c r="AG237">
        <v>388</v>
      </c>
      <c r="AH237">
        <v>138661041</v>
      </c>
      <c r="AI237">
        <v>1898</v>
      </c>
      <c r="AK237" s="24"/>
      <c r="AL237">
        <v>736</v>
      </c>
      <c r="AM237">
        <v>769</v>
      </c>
      <c r="AN237">
        <v>745</v>
      </c>
      <c r="AO237">
        <v>37617442</v>
      </c>
      <c r="AP237">
        <v>1487</v>
      </c>
      <c r="AR237" s="24"/>
      <c r="AS237">
        <v>2555</v>
      </c>
      <c r="AT237">
        <v>2692</v>
      </c>
      <c r="AU237">
        <v>2644</v>
      </c>
      <c r="AV237">
        <v>15916993</v>
      </c>
      <c r="AW237">
        <v>1570</v>
      </c>
      <c r="AY237" s="24"/>
      <c r="AZ237">
        <v>357500002</v>
      </c>
      <c r="BA237">
        <v>363149448</v>
      </c>
      <c r="BB237">
        <v>362000000</v>
      </c>
      <c r="BC237">
        <v>2482</v>
      </c>
      <c r="BD237">
        <v>1676</v>
      </c>
      <c r="BF237" s="24"/>
      <c r="BG237">
        <v>24801</v>
      </c>
      <c r="BH237">
        <v>25002</v>
      </c>
      <c r="BI237">
        <v>25001</v>
      </c>
      <c r="BJ237">
        <v>2451611</v>
      </c>
      <c r="BK237">
        <v>274</v>
      </c>
      <c r="BM237" s="24"/>
      <c r="BN237">
        <v>6125000</v>
      </c>
      <c r="BO237">
        <v>6338998</v>
      </c>
      <c r="BP237">
        <v>6126002</v>
      </c>
      <c r="BQ237">
        <v>12033</v>
      </c>
      <c r="BR237">
        <v>382</v>
      </c>
      <c r="BT237" s="24"/>
      <c r="BU237">
        <v>2347</v>
      </c>
      <c r="BV237">
        <v>2347</v>
      </c>
      <c r="BW237">
        <v>2347</v>
      </c>
      <c r="BX237">
        <v>18624062</v>
      </c>
      <c r="BY237">
        <v>251</v>
      </c>
      <c r="CA237" s="24"/>
      <c r="CB237">
        <v>502</v>
      </c>
      <c r="CC237">
        <v>504</v>
      </c>
      <c r="CD237">
        <v>504</v>
      </c>
      <c r="CE237">
        <v>62966585</v>
      </c>
      <c r="CF237">
        <v>265</v>
      </c>
      <c r="CH237" s="24"/>
      <c r="CI237">
        <v>22137</v>
      </c>
      <c r="CJ237">
        <v>22138</v>
      </c>
      <c r="CK237">
        <v>22137</v>
      </c>
      <c r="CL237">
        <v>1985810</v>
      </c>
      <c r="CM237">
        <v>227</v>
      </c>
      <c r="CO237" s="24"/>
      <c r="CP237">
        <v>6200</v>
      </c>
      <c r="CQ237">
        <v>6495</v>
      </c>
      <c r="CR237">
        <v>6493</v>
      </c>
      <c r="CS237">
        <v>1273497</v>
      </c>
      <c r="CT237">
        <v>383</v>
      </c>
      <c r="CV237" s="24"/>
      <c r="CW237">
        <v>1331001</v>
      </c>
      <c r="CX237">
        <v>1371539</v>
      </c>
      <c r="CY237">
        <v>1371539</v>
      </c>
      <c r="CZ237">
        <v>10069</v>
      </c>
      <c r="DA237">
        <v>38</v>
      </c>
      <c r="DC237" s="24"/>
      <c r="DD237">
        <v>531</v>
      </c>
      <c r="DE237">
        <v>531</v>
      </c>
      <c r="DF237">
        <v>531</v>
      </c>
      <c r="DG237">
        <v>27618655</v>
      </c>
      <c r="DH237">
        <v>177</v>
      </c>
      <c r="DJ237" s="24"/>
      <c r="DK237">
        <v>32780005</v>
      </c>
      <c r="DL237">
        <v>32780006</v>
      </c>
      <c r="DM237">
        <v>32780006</v>
      </c>
      <c r="DN237">
        <v>301</v>
      </c>
      <c r="DO237">
        <v>84</v>
      </c>
      <c r="DQ237" s="24"/>
      <c r="DR237">
        <v>1600130</v>
      </c>
      <c r="DS237">
        <v>1701001</v>
      </c>
      <c r="DT237">
        <v>1699004</v>
      </c>
      <c r="DU237">
        <v>10391</v>
      </c>
      <c r="DV237">
        <v>234</v>
      </c>
      <c r="DX237" s="24"/>
      <c r="DY237">
        <v>20853123</v>
      </c>
      <c r="DZ237">
        <v>20853149</v>
      </c>
      <c r="EA237">
        <v>20853148</v>
      </c>
      <c r="EB237">
        <v>575</v>
      </c>
      <c r="EC237">
        <v>110</v>
      </c>
      <c r="EE237" s="24"/>
      <c r="EF237">
        <v>165</v>
      </c>
      <c r="EG237">
        <v>173</v>
      </c>
      <c r="EH237">
        <v>170</v>
      </c>
      <c r="EI237">
        <v>100305525</v>
      </c>
      <c r="EJ237">
        <v>181</v>
      </c>
      <c r="EL237" s="24"/>
      <c r="EM237">
        <v>60679</v>
      </c>
      <c r="EN237">
        <v>62512</v>
      </c>
      <c r="EO237">
        <v>62505</v>
      </c>
      <c r="EP237">
        <v>92413</v>
      </c>
      <c r="EQ237">
        <v>858</v>
      </c>
      <c r="ES237" s="24"/>
      <c r="ET237">
        <v>275</v>
      </c>
      <c r="EU237">
        <v>295</v>
      </c>
      <c r="EV237">
        <v>277</v>
      </c>
      <c r="EW237">
        <v>28284566</v>
      </c>
      <c r="EX237">
        <v>612</v>
      </c>
      <c r="EZ237" s="24"/>
      <c r="FA237">
        <v>3250000</v>
      </c>
      <c r="FB237">
        <v>3290000</v>
      </c>
      <c r="FC237">
        <v>3280000</v>
      </c>
      <c r="FD237">
        <v>1268</v>
      </c>
      <c r="FE237">
        <v>23</v>
      </c>
      <c r="FG237" s="24"/>
      <c r="FH237">
        <v>5713</v>
      </c>
      <c r="FI237">
        <v>5978</v>
      </c>
      <c r="FJ237">
        <v>5897</v>
      </c>
      <c r="FK237">
        <v>1862728</v>
      </c>
      <c r="FL237">
        <v>500</v>
      </c>
      <c r="FN237" s="24"/>
      <c r="FO237">
        <v>21480</v>
      </c>
      <c r="FP237">
        <v>28800</v>
      </c>
      <c r="FQ237">
        <v>24469</v>
      </c>
      <c r="FR237">
        <v>131330</v>
      </c>
      <c r="FS237">
        <v>94</v>
      </c>
      <c r="FU237" s="24"/>
      <c r="FV237">
        <v>18000</v>
      </c>
      <c r="FW237">
        <v>18006</v>
      </c>
      <c r="FX237">
        <v>18003</v>
      </c>
      <c r="FY237">
        <v>626757</v>
      </c>
      <c r="FZ237">
        <v>1641</v>
      </c>
      <c r="GB237" s="24"/>
      <c r="GC237">
        <v>89600004</v>
      </c>
      <c r="GD237">
        <v>95767989</v>
      </c>
      <c r="GE237">
        <v>92599391</v>
      </c>
      <c r="GF237">
        <v>84</v>
      </c>
      <c r="GG237">
        <v>62</v>
      </c>
      <c r="GI237" s="24"/>
      <c r="GJ237">
        <v>21400003</v>
      </c>
      <c r="GK237">
        <v>22599999</v>
      </c>
      <c r="GL237">
        <v>21400014</v>
      </c>
      <c r="GM237">
        <v>490</v>
      </c>
      <c r="GN237">
        <v>83</v>
      </c>
      <c r="GP237" s="24"/>
      <c r="GQ237">
        <v>93</v>
      </c>
      <c r="GR237">
        <v>99</v>
      </c>
      <c r="GS237">
        <v>97</v>
      </c>
      <c r="GT237">
        <v>177089597</v>
      </c>
      <c r="GU237">
        <v>156</v>
      </c>
      <c r="GW237" s="24"/>
      <c r="GX237">
        <v>490</v>
      </c>
      <c r="GY237">
        <v>512</v>
      </c>
      <c r="GZ237">
        <v>508</v>
      </c>
      <c r="HA237">
        <v>56518118</v>
      </c>
      <c r="HB237">
        <v>244</v>
      </c>
      <c r="HD237" s="24"/>
      <c r="HE237">
        <v>5619</v>
      </c>
      <c r="HF237">
        <v>5683</v>
      </c>
      <c r="HG237">
        <v>5679</v>
      </c>
      <c r="HH237">
        <v>19284868</v>
      </c>
      <c r="HI237">
        <v>324</v>
      </c>
      <c r="HK237" s="24"/>
      <c r="HL237">
        <v>91000000</v>
      </c>
      <c r="HM237">
        <v>98357994</v>
      </c>
      <c r="HN237">
        <v>91000000</v>
      </c>
      <c r="HO237">
        <v>129</v>
      </c>
      <c r="HP237">
        <v>79</v>
      </c>
      <c r="HR237" s="24"/>
      <c r="HS237">
        <v>7349</v>
      </c>
      <c r="HT237">
        <v>7763</v>
      </c>
      <c r="HU237">
        <v>7350</v>
      </c>
      <c r="HV237">
        <v>868143</v>
      </c>
      <c r="HW237">
        <v>140</v>
      </c>
      <c r="HY237" s="24"/>
      <c r="HZ237">
        <v>5710</v>
      </c>
      <c r="IA237">
        <v>5998</v>
      </c>
      <c r="IB237">
        <v>5801</v>
      </c>
      <c r="IC237">
        <v>2080816</v>
      </c>
      <c r="ID237">
        <v>443</v>
      </c>
      <c r="IF237" s="24"/>
      <c r="IG237">
        <v>2739</v>
      </c>
      <c r="IH237">
        <v>2995</v>
      </c>
      <c r="II237">
        <v>2989</v>
      </c>
      <c r="IJ237">
        <v>1577373</v>
      </c>
      <c r="IK237">
        <v>152</v>
      </c>
      <c r="IM237" s="24"/>
      <c r="IN237">
        <v>88600002</v>
      </c>
      <c r="IO237">
        <v>95575003</v>
      </c>
      <c r="IP237">
        <v>91770702</v>
      </c>
      <c r="IQ237">
        <v>92</v>
      </c>
      <c r="IR237">
        <v>64</v>
      </c>
      <c r="IT237" s="24"/>
      <c r="IU237">
        <v>7300</v>
      </c>
      <c r="IV237">
        <v>7346</v>
      </c>
      <c r="IW237">
        <v>7345</v>
      </c>
      <c r="IX237">
        <v>1229848</v>
      </c>
      <c r="IY237">
        <v>137</v>
      </c>
      <c r="JA237" s="24"/>
      <c r="JB237">
        <v>85007001</v>
      </c>
      <c r="JC237">
        <v>93002999</v>
      </c>
      <c r="JD237">
        <v>90034521</v>
      </c>
      <c r="JE237">
        <v>92</v>
      </c>
      <c r="JF237">
        <v>71</v>
      </c>
      <c r="JH237" s="24"/>
      <c r="JI237">
        <v>90500005</v>
      </c>
      <c r="JJ237">
        <v>90500012</v>
      </c>
      <c r="JK237">
        <v>90500010</v>
      </c>
      <c r="JL237">
        <v>117</v>
      </c>
      <c r="JM237">
        <v>68</v>
      </c>
      <c r="JO237" s="24"/>
      <c r="JP237">
        <v>99</v>
      </c>
      <c r="JQ237">
        <v>104</v>
      </c>
      <c r="JR237">
        <v>102</v>
      </c>
      <c r="JS237">
        <v>108310500</v>
      </c>
      <c r="JT237">
        <v>111</v>
      </c>
      <c r="JV237" s="24"/>
      <c r="JW237">
        <v>79</v>
      </c>
      <c r="JX237">
        <v>82</v>
      </c>
      <c r="JY237">
        <v>80</v>
      </c>
      <c r="JZ237">
        <v>121318808</v>
      </c>
      <c r="KA237">
        <v>131</v>
      </c>
      <c r="KC237" s="24"/>
      <c r="KD237">
        <v>19</v>
      </c>
      <c r="KE237">
        <v>20</v>
      </c>
      <c r="KF237">
        <v>20</v>
      </c>
      <c r="KG237">
        <v>48395834</v>
      </c>
      <c r="KH237">
        <v>365</v>
      </c>
      <c r="KJ237" s="24"/>
      <c r="KK237">
        <v>82</v>
      </c>
      <c r="KL237">
        <v>83</v>
      </c>
      <c r="KM237">
        <v>82</v>
      </c>
      <c r="KN237">
        <v>103433554</v>
      </c>
      <c r="KO237">
        <v>126</v>
      </c>
      <c r="KQ237" s="24"/>
      <c r="KR237">
        <v>138505</v>
      </c>
      <c r="KS237">
        <v>139000</v>
      </c>
      <c r="KT237">
        <v>138507</v>
      </c>
      <c r="KU237">
        <v>92713</v>
      </c>
      <c r="KV237">
        <v>841</v>
      </c>
      <c r="KX237" s="24"/>
      <c r="KY237">
        <v>538</v>
      </c>
      <c r="KZ237">
        <v>547</v>
      </c>
      <c r="LA237">
        <v>541</v>
      </c>
      <c r="LB237">
        <v>11084371</v>
      </c>
      <c r="LC237">
        <v>247</v>
      </c>
      <c r="LE237" s="24"/>
      <c r="LF237">
        <v>189505</v>
      </c>
      <c r="LG237">
        <v>192113</v>
      </c>
      <c r="LH237">
        <v>190000</v>
      </c>
      <c r="LI237">
        <v>174054</v>
      </c>
      <c r="LJ237">
        <v>1190</v>
      </c>
      <c r="LL237" s="24"/>
      <c r="LM237">
        <v>79814</v>
      </c>
      <c r="LN237">
        <v>80043</v>
      </c>
      <c r="LO237">
        <v>80042</v>
      </c>
      <c r="LP237">
        <v>505490</v>
      </c>
      <c r="LQ237">
        <v>1720</v>
      </c>
      <c r="LS237" s="24"/>
      <c r="LT237">
        <v>496</v>
      </c>
      <c r="LU237">
        <v>498</v>
      </c>
      <c r="LV237">
        <v>497</v>
      </c>
      <c r="LW237">
        <v>82089324</v>
      </c>
      <c r="LX237">
        <v>393</v>
      </c>
      <c r="LZ237" s="24"/>
      <c r="MA237">
        <v>95102</v>
      </c>
      <c r="MB237">
        <v>102991</v>
      </c>
      <c r="MC237">
        <v>100999</v>
      </c>
      <c r="MD237">
        <v>773905</v>
      </c>
      <c r="ME237">
        <v>99</v>
      </c>
    </row>
    <row r="238" spans="2:343" x14ac:dyDescent="0.25">
      <c r="B238" s="24"/>
      <c r="C238">
        <v>3</v>
      </c>
      <c r="D238">
        <v>3</v>
      </c>
      <c r="E238">
        <v>3</v>
      </c>
      <c r="F238">
        <v>29700632145</v>
      </c>
      <c r="G238">
        <v>2974</v>
      </c>
      <c r="I238" s="24"/>
      <c r="J238">
        <v>4</v>
      </c>
      <c r="K238">
        <v>4</v>
      </c>
      <c r="L238">
        <v>4</v>
      </c>
      <c r="M238">
        <v>5565428424</v>
      </c>
      <c r="N238">
        <v>2054</v>
      </c>
      <c r="P238" s="24"/>
      <c r="Q238">
        <v>27</v>
      </c>
      <c r="R238">
        <v>27</v>
      </c>
      <c r="S238">
        <v>27</v>
      </c>
      <c r="T238">
        <v>2076789806</v>
      </c>
      <c r="U238">
        <v>1893</v>
      </c>
      <c r="W238" s="24"/>
      <c r="X238">
        <v>60</v>
      </c>
      <c r="Y238">
        <v>61</v>
      </c>
      <c r="Z238">
        <v>60</v>
      </c>
      <c r="AA238">
        <v>436019361</v>
      </c>
      <c r="AB238">
        <v>1546</v>
      </c>
      <c r="AD238" s="24"/>
      <c r="AE238">
        <v>385</v>
      </c>
      <c r="AF238">
        <v>399</v>
      </c>
      <c r="AG238">
        <v>395</v>
      </c>
      <c r="AH238">
        <v>106349555</v>
      </c>
      <c r="AI238">
        <v>1649</v>
      </c>
      <c r="AK238" s="24"/>
      <c r="AL238">
        <v>737</v>
      </c>
      <c r="AM238">
        <v>766</v>
      </c>
      <c r="AN238">
        <v>745</v>
      </c>
      <c r="AO238">
        <v>30703408</v>
      </c>
      <c r="AP238">
        <v>1292</v>
      </c>
      <c r="AR238" s="24"/>
      <c r="AS238">
        <v>2566</v>
      </c>
      <c r="AT238">
        <v>2721</v>
      </c>
      <c r="AU238">
        <v>2680</v>
      </c>
      <c r="AV238">
        <v>11898756</v>
      </c>
      <c r="AW238">
        <v>1285</v>
      </c>
      <c r="AY238" s="24"/>
      <c r="AZ238">
        <v>361000000</v>
      </c>
      <c r="BA238">
        <v>367998789</v>
      </c>
      <c r="BB238">
        <v>366000000</v>
      </c>
      <c r="BC238">
        <v>2830</v>
      </c>
      <c r="BD238">
        <v>1704</v>
      </c>
      <c r="BF238" s="24"/>
      <c r="BG238">
        <v>25004</v>
      </c>
      <c r="BH238">
        <v>25504</v>
      </c>
      <c r="BI238">
        <v>25075</v>
      </c>
      <c r="BJ238">
        <v>3328357</v>
      </c>
      <c r="BK238">
        <v>219</v>
      </c>
      <c r="BM238" s="24"/>
      <c r="BN238">
        <v>6201001</v>
      </c>
      <c r="BO238">
        <v>6420000</v>
      </c>
      <c r="BP238">
        <v>6202300</v>
      </c>
      <c r="BQ238">
        <v>10769</v>
      </c>
      <c r="BR238">
        <v>301</v>
      </c>
      <c r="BT238" s="24"/>
      <c r="BU238">
        <v>2334</v>
      </c>
      <c r="BV238">
        <v>2418</v>
      </c>
      <c r="BW238">
        <v>2417</v>
      </c>
      <c r="BX238">
        <v>26878637</v>
      </c>
      <c r="BY238">
        <v>249</v>
      </c>
      <c r="CA238" s="24"/>
      <c r="CB238">
        <v>503</v>
      </c>
      <c r="CC238">
        <v>504</v>
      </c>
      <c r="CD238">
        <v>503</v>
      </c>
      <c r="CE238">
        <v>87423197</v>
      </c>
      <c r="CF238">
        <v>288</v>
      </c>
      <c r="CH238" s="24"/>
      <c r="CI238">
        <v>22143</v>
      </c>
      <c r="CJ238">
        <v>22160</v>
      </c>
      <c r="CK238">
        <v>22146</v>
      </c>
      <c r="CL238">
        <v>2222050</v>
      </c>
      <c r="CM238">
        <v>216</v>
      </c>
      <c r="CO238" s="24"/>
      <c r="CP238">
        <v>6099</v>
      </c>
      <c r="CQ238">
        <v>6150</v>
      </c>
      <c r="CR238">
        <v>6149</v>
      </c>
      <c r="CS238">
        <v>1103990</v>
      </c>
      <c r="CT238">
        <v>336</v>
      </c>
      <c r="CV238" s="24"/>
      <c r="CW238">
        <v>1355000</v>
      </c>
      <c r="CX238">
        <v>1371528</v>
      </c>
      <c r="CY238">
        <v>1371328</v>
      </c>
      <c r="CZ238">
        <v>9973</v>
      </c>
      <c r="DA238">
        <v>38</v>
      </c>
      <c r="DC238" s="24"/>
      <c r="DD238">
        <v>529</v>
      </c>
      <c r="DE238">
        <v>530</v>
      </c>
      <c r="DF238">
        <v>529</v>
      </c>
      <c r="DG238">
        <v>37044319</v>
      </c>
      <c r="DH238">
        <v>190</v>
      </c>
      <c r="DJ238" s="24"/>
      <c r="DK238">
        <v>32780011</v>
      </c>
      <c r="DL238">
        <v>34197000</v>
      </c>
      <c r="DM238">
        <v>32781001</v>
      </c>
      <c r="DN238">
        <v>302</v>
      </c>
      <c r="DO238">
        <v>70</v>
      </c>
      <c r="DQ238" s="24"/>
      <c r="DR238">
        <v>1600129</v>
      </c>
      <c r="DS238">
        <v>1694000</v>
      </c>
      <c r="DT238">
        <v>1610000</v>
      </c>
      <c r="DU238">
        <v>10482</v>
      </c>
      <c r="DV238">
        <v>233</v>
      </c>
      <c r="DX238" s="24"/>
      <c r="DY238">
        <v>19000000</v>
      </c>
      <c r="DZ238">
        <v>21290002</v>
      </c>
      <c r="EA238">
        <v>20000000</v>
      </c>
      <c r="EB238">
        <v>464</v>
      </c>
      <c r="EC238">
        <v>100</v>
      </c>
      <c r="EE238" s="24"/>
      <c r="EF238">
        <v>165</v>
      </c>
      <c r="EG238">
        <v>170</v>
      </c>
      <c r="EH238">
        <v>166</v>
      </c>
      <c r="EI238">
        <v>100014685</v>
      </c>
      <c r="EJ238">
        <v>185</v>
      </c>
      <c r="EL238" s="24"/>
      <c r="EM238">
        <v>55000</v>
      </c>
      <c r="EN238">
        <v>58999</v>
      </c>
      <c r="EO238">
        <v>55003</v>
      </c>
      <c r="EP238">
        <v>75821</v>
      </c>
      <c r="EQ238">
        <v>671</v>
      </c>
      <c r="ES238" s="24"/>
      <c r="ET238">
        <v>280</v>
      </c>
      <c r="EU238">
        <v>297</v>
      </c>
      <c r="EV238">
        <v>297</v>
      </c>
      <c r="EW238">
        <v>65784972</v>
      </c>
      <c r="EX238">
        <v>642</v>
      </c>
      <c r="EZ238" s="24"/>
      <c r="FA238">
        <v>3296978</v>
      </c>
      <c r="FB238">
        <v>3297899</v>
      </c>
      <c r="FC238">
        <v>3296998</v>
      </c>
      <c r="FD238">
        <v>2203</v>
      </c>
      <c r="FE238">
        <v>23</v>
      </c>
      <c r="FG238" s="24"/>
      <c r="FH238">
        <v>5850</v>
      </c>
      <c r="FI238">
        <v>6126</v>
      </c>
      <c r="FJ238">
        <v>6125</v>
      </c>
      <c r="FK238">
        <v>1506373</v>
      </c>
      <c r="FL238">
        <v>402</v>
      </c>
      <c r="FN238" s="24"/>
      <c r="FO238">
        <v>20200</v>
      </c>
      <c r="FP238">
        <v>24448</v>
      </c>
      <c r="FQ238">
        <v>20200</v>
      </c>
      <c r="FR238">
        <v>166109</v>
      </c>
      <c r="FS238">
        <v>78</v>
      </c>
      <c r="FU238" s="24"/>
      <c r="FV238">
        <v>17600</v>
      </c>
      <c r="FW238">
        <v>17930</v>
      </c>
      <c r="FX238">
        <v>17928</v>
      </c>
      <c r="FY238">
        <v>381507</v>
      </c>
      <c r="FZ238">
        <v>1308</v>
      </c>
      <c r="GB238" s="24"/>
      <c r="GC238">
        <v>88500011</v>
      </c>
      <c r="GD238">
        <v>91989993</v>
      </c>
      <c r="GE238">
        <v>89500012</v>
      </c>
      <c r="GF238">
        <v>138</v>
      </c>
      <c r="GG238">
        <v>78</v>
      </c>
      <c r="GI238" s="24"/>
      <c r="GJ238">
        <v>21405008</v>
      </c>
      <c r="GK238">
        <v>22939998</v>
      </c>
      <c r="GL238">
        <v>21677571</v>
      </c>
      <c r="GM238">
        <v>480</v>
      </c>
      <c r="GN238">
        <v>96</v>
      </c>
      <c r="GP238" s="24"/>
      <c r="GQ238">
        <v>93</v>
      </c>
      <c r="GR238">
        <v>95</v>
      </c>
      <c r="GS238">
        <v>95</v>
      </c>
      <c r="GT238">
        <v>111252376</v>
      </c>
      <c r="GU238">
        <v>149</v>
      </c>
      <c r="GW238" s="24"/>
      <c r="GX238">
        <v>482</v>
      </c>
      <c r="GY238">
        <v>505</v>
      </c>
      <c r="GZ238">
        <v>499</v>
      </c>
      <c r="HA238">
        <v>72988600</v>
      </c>
      <c r="HB238">
        <v>243</v>
      </c>
      <c r="HD238" s="24"/>
      <c r="HE238">
        <v>5601</v>
      </c>
      <c r="HF238">
        <v>5683</v>
      </c>
      <c r="HG238">
        <v>5683</v>
      </c>
      <c r="HH238">
        <v>18127437</v>
      </c>
      <c r="HI238">
        <v>246</v>
      </c>
      <c r="HK238" s="24"/>
      <c r="HL238">
        <v>87772202</v>
      </c>
      <c r="HM238">
        <v>96749999</v>
      </c>
      <c r="HN238">
        <v>91247121</v>
      </c>
      <c r="HO238">
        <v>73</v>
      </c>
      <c r="HP238">
        <v>51</v>
      </c>
      <c r="HR238" s="24"/>
      <c r="HS238">
        <v>6705</v>
      </c>
      <c r="HT238">
        <v>7305</v>
      </c>
      <c r="HU238">
        <v>7149</v>
      </c>
      <c r="HV238">
        <v>896258</v>
      </c>
      <c r="HW238">
        <v>160</v>
      </c>
      <c r="HY238" s="24"/>
      <c r="HZ238">
        <v>5900</v>
      </c>
      <c r="IA238">
        <v>6137</v>
      </c>
      <c r="IB238">
        <v>6126</v>
      </c>
      <c r="IC238">
        <v>1686023</v>
      </c>
      <c r="ID238">
        <v>406</v>
      </c>
      <c r="IF238" s="24"/>
      <c r="IG238">
        <v>2760</v>
      </c>
      <c r="IH238">
        <v>2928</v>
      </c>
      <c r="II238">
        <v>2914</v>
      </c>
      <c r="IJ238">
        <v>1637761</v>
      </c>
      <c r="IK238">
        <v>161</v>
      </c>
      <c r="IM238" s="24"/>
      <c r="IN238">
        <v>88600006</v>
      </c>
      <c r="IO238">
        <v>91986993</v>
      </c>
      <c r="IP238">
        <v>90488757</v>
      </c>
      <c r="IQ238">
        <v>78</v>
      </c>
      <c r="IR238">
        <v>62</v>
      </c>
      <c r="IT238" s="24"/>
      <c r="IU238">
        <v>7229</v>
      </c>
      <c r="IV238">
        <v>7344</v>
      </c>
      <c r="IW238">
        <v>7320</v>
      </c>
      <c r="IX238">
        <v>926694</v>
      </c>
      <c r="IY238">
        <v>136</v>
      </c>
      <c r="JA238" s="24"/>
      <c r="JB238">
        <v>85300600</v>
      </c>
      <c r="JC238">
        <v>93002998</v>
      </c>
      <c r="JD238">
        <v>88442484</v>
      </c>
      <c r="JE238">
        <v>92</v>
      </c>
      <c r="JF238">
        <v>50</v>
      </c>
      <c r="JH238" s="24"/>
      <c r="JI238">
        <v>86100003</v>
      </c>
      <c r="JJ238">
        <v>93392955</v>
      </c>
      <c r="JK238">
        <v>88568912</v>
      </c>
      <c r="JL238">
        <v>64</v>
      </c>
      <c r="JM238">
        <v>34</v>
      </c>
      <c r="JO238" s="24"/>
      <c r="JP238">
        <v>97</v>
      </c>
      <c r="JQ238">
        <v>100</v>
      </c>
      <c r="JR238">
        <v>99</v>
      </c>
      <c r="JS238">
        <v>58428296</v>
      </c>
      <c r="JT238">
        <v>97</v>
      </c>
      <c r="JV238" s="24"/>
      <c r="JW238">
        <v>78</v>
      </c>
      <c r="JX238">
        <v>82</v>
      </c>
      <c r="JY238">
        <v>80</v>
      </c>
      <c r="JZ238">
        <v>90651450</v>
      </c>
      <c r="KA238">
        <v>109</v>
      </c>
      <c r="KC238" s="24"/>
      <c r="KD238">
        <v>19</v>
      </c>
      <c r="KE238">
        <v>20</v>
      </c>
      <c r="KF238">
        <v>20</v>
      </c>
      <c r="KG238">
        <v>64496629</v>
      </c>
      <c r="KH238">
        <v>382</v>
      </c>
      <c r="KJ238" s="24"/>
      <c r="KK238">
        <v>80</v>
      </c>
      <c r="KL238">
        <v>83</v>
      </c>
      <c r="KM238">
        <v>82</v>
      </c>
      <c r="KN238">
        <v>87558343</v>
      </c>
      <c r="KO238">
        <v>123</v>
      </c>
      <c r="KQ238" s="24"/>
      <c r="KR238">
        <v>128604</v>
      </c>
      <c r="KS238">
        <v>138504</v>
      </c>
      <c r="KT238">
        <v>129994</v>
      </c>
      <c r="KU238">
        <v>56920</v>
      </c>
      <c r="KV238">
        <v>617</v>
      </c>
      <c r="KX238" s="24"/>
      <c r="KY238">
        <v>544</v>
      </c>
      <c r="KZ238">
        <v>547</v>
      </c>
      <c r="LA238">
        <v>547</v>
      </c>
      <c r="LB238">
        <v>5196384</v>
      </c>
      <c r="LC238">
        <v>169</v>
      </c>
      <c r="LE238" s="24"/>
      <c r="LF238">
        <v>188050</v>
      </c>
      <c r="LG238">
        <v>189002</v>
      </c>
      <c r="LH238">
        <v>189000</v>
      </c>
      <c r="LI238">
        <v>100395</v>
      </c>
      <c r="LJ238">
        <v>933</v>
      </c>
      <c r="LL238" s="24"/>
      <c r="LM238">
        <v>80500</v>
      </c>
      <c r="LN238">
        <v>81509</v>
      </c>
      <c r="LO238">
        <v>81503</v>
      </c>
      <c r="LP238">
        <v>422751</v>
      </c>
      <c r="LQ238">
        <v>1366</v>
      </c>
      <c r="LS238" s="24"/>
      <c r="LT238">
        <v>495</v>
      </c>
      <c r="LU238">
        <v>495</v>
      </c>
      <c r="LV238">
        <v>495</v>
      </c>
      <c r="LW238">
        <v>76338563</v>
      </c>
      <c r="LX238">
        <v>306</v>
      </c>
      <c r="LZ238" s="24"/>
      <c r="MA238">
        <v>97000</v>
      </c>
      <c r="MB238">
        <v>102893</v>
      </c>
      <c r="MC238">
        <v>102887</v>
      </c>
      <c r="MD238">
        <v>832870</v>
      </c>
      <c r="ME238">
        <v>89</v>
      </c>
    </row>
    <row r="239" spans="2:343" x14ac:dyDescent="0.25">
      <c r="B239" s="24"/>
      <c r="C239">
        <v>3</v>
      </c>
      <c r="D239">
        <v>3</v>
      </c>
      <c r="E239">
        <v>3</v>
      </c>
      <c r="F239">
        <v>32201979122</v>
      </c>
      <c r="G239">
        <v>2768</v>
      </c>
      <c r="I239" s="24"/>
      <c r="J239">
        <v>4</v>
      </c>
      <c r="K239">
        <v>4</v>
      </c>
      <c r="L239">
        <v>4</v>
      </c>
      <c r="M239">
        <v>5151530631</v>
      </c>
      <c r="N239">
        <v>2028</v>
      </c>
      <c r="P239" s="24"/>
      <c r="Q239">
        <v>27</v>
      </c>
      <c r="R239">
        <v>27</v>
      </c>
      <c r="S239">
        <v>27</v>
      </c>
      <c r="T239">
        <v>1781430925</v>
      </c>
      <c r="U239">
        <v>1895</v>
      </c>
      <c r="W239" s="24"/>
      <c r="X239">
        <v>61</v>
      </c>
      <c r="Y239">
        <v>61</v>
      </c>
      <c r="Z239">
        <v>61</v>
      </c>
      <c r="AA239">
        <v>314521167</v>
      </c>
      <c r="AB239">
        <v>1457</v>
      </c>
      <c r="AD239" s="24"/>
      <c r="AE239">
        <v>386</v>
      </c>
      <c r="AF239">
        <v>394</v>
      </c>
      <c r="AG239">
        <v>391</v>
      </c>
      <c r="AH239">
        <v>95681315</v>
      </c>
      <c r="AI239">
        <v>1552</v>
      </c>
      <c r="AK239" s="24"/>
      <c r="AL239">
        <v>752</v>
      </c>
      <c r="AM239">
        <v>764</v>
      </c>
      <c r="AN239">
        <v>762</v>
      </c>
      <c r="AO239">
        <v>18436885</v>
      </c>
      <c r="AP239">
        <v>1248</v>
      </c>
      <c r="AR239" s="24"/>
      <c r="AS239">
        <v>2663</v>
      </c>
      <c r="AT239">
        <v>2711</v>
      </c>
      <c r="AU239">
        <v>2709</v>
      </c>
      <c r="AV239">
        <v>9624458</v>
      </c>
      <c r="AW239">
        <v>1231</v>
      </c>
      <c r="AY239" s="24"/>
      <c r="AZ239">
        <v>359471001</v>
      </c>
      <c r="BA239">
        <v>365899998</v>
      </c>
      <c r="BB239">
        <v>365099990</v>
      </c>
      <c r="BC239">
        <v>2654</v>
      </c>
      <c r="BD239">
        <v>1687</v>
      </c>
      <c r="BF239" s="24"/>
      <c r="BG239">
        <v>25076</v>
      </c>
      <c r="BH239">
        <v>25802</v>
      </c>
      <c r="BI239">
        <v>25076</v>
      </c>
      <c r="BJ239">
        <v>4395164</v>
      </c>
      <c r="BK239">
        <v>287</v>
      </c>
      <c r="BM239" s="24"/>
      <c r="BN239">
        <v>6202202</v>
      </c>
      <c r="BO239">
        <v>6400001</v>
      </c>
      <c r="BP239">
        <v>6217000</v>
      </c>
      <c r="BQ239">
        <v>10811</v>
      </c>
      <c r="BR239">
        <v>310</v>
      </c>
      <c r="BT239" s="24"/>
      <c r="BU239">
        <v>2313</v>
      </c>
      <c r="BV239">
        <v>2598</v>
      </c>
      <c r="BW239">
        <v>2549</v>
      </c>
      <c r="BX239">
        <v>18061117</v>
      </c>
      <c r="BY239">
        <v>234</v>
      </c>
      <c r="CA239" s="24"/>
      <c r="CB239">
        <v>500</v>
      </c>
      <c r="CC239">
        <v>503</v>
      </c>
      <c r="CD239">
        <v>502</v>
      </c>
      <c r="CE239">
        <v>42605087</v>
      </c>
      <c r="CF239">
        <v>203</v>
      </c>
      <c r="CH239" s="24"/>
      <c r="CI239">
        <v>22161</v>
      </c>
      <c r="CJ239">
        <v>22162</v>
      </c>
      <c r="CK239">
        <v>22161</v>
      </c>
      <c r="CL239">
        <v>1424717</v>
      </c>
      <c r="CM239">
        <v>194</v>
      </c>
      <c r="CO239" s="24"/>
      <c r="CP239">
        <v>5901</v>
      </c>
      <c r="CQ239">
        <v>6050</v>
      </c>
      <c r="CR239">
        <v>5950</v>
      </c>
      <c r="CS239">
        <v>1174751</v>
      </c>
      <c r="CT239">
        <v>310</v>
      </c>
      <c r="CV239" s="24"/>
      <c r="CW239">
        <v>1399400</v>
      </c>
      <c r="CX239">
        <v>1399401</v>
      </c>
      <c r="CY239">
        <v>1399401</v>
      </c>
      <c r="CZ239">
        <v>11673</v>
      </c>
      <c r="DA239">
        <v>43</v>
      </c>
      <c r="DC239" s="24"/>
      <c r="DD239">
        <v>518</v>
      </c>
      <c r="DE239">
        <v>530</v>
      </c>
      <c r="DF239">
        <v>526</v>
      </c>
      <c r="DG239">
        <v>34093376</v>
      </c>
      <c r="DH239">
        <v>163</v>
      </c>
      <c r="DJ239" s="24"/>
      <c r="DK239">
        <v>32799111</v>
      </c>
      <c r="DL239">
        <v>33598391</v>
      </c>
      <c r="DM239">
        <v>32810000</v>
      </c>
      <c r="DN239">
        <v>237</v>
      </c>
      <c r="DO239">
        <v>70</v>
      </c>
      <c r="DQ239" s="24"/>
      <c r="DR239">
        <v>1586013</v>
      </c>
      <c r="DS239">
        <v>1749999</v>
      </c>
      <c r="DT239">
        <v>1736011</v>
      </c>
      <c r="DU239">
        <v>5636</v>
      </c>
      <c r="DV239">
        <v>167</v>
      </c>
      <c r="DX239" s="24"/>
      <c r="DY239">
        <v>19253004</v>
      </c>
      <c r="DZ239">
        <v>20896997</v>
      </c>
      <c r="EA239">
        <v>19300015</v>
      </c>
      <c r="EB239">
        <v>257</v>
      </c>
      <c r="EC239">
        <v>90</v>
      </c>
      <c r="EE239" s="24"/>
      <c r="EF239">
        <v>161</v>
      </c>
      <c r="EG239">
        <v>170</v>
      </c>
      <c r="EH239">
        <v>166</v>
      </c>
      <c r="EI239">
        <v>88550130</v>
      </c>
      <c r="EJ239">
        <v>167</v>
      </c>
      <c r="EL239" s="24"/>
      <c r="EM239">
        <v>55111</v>
      </c>
      <c r="EN239">
        <v>56059</v>
      </c>
      <c r="EO239">
        <v>56000</v>
      </c>
      <c r="EP239">
        <v>63400</v>
      </c>
      <c r="EQ239">
        <v>702</v>
      </c>
      <c r="ES239" s="24"/>
      <c r="ET239">
        <v>283</v>
      </c>
      <c r="EU239">
        <v>303</v>
      </c>
      <c r="EV239">
        <v>300</v>
      </c>
      <c r="EW239">
        <v>68334356</v>
      </c>
      <c r="EX239">
        <v>561</v>
      </c>
      <c r="EZ239" s="24"/>
      <c r="FA239">
        <v>3232002</v>
      </c>
      <c r="FB239">
        <v>3385999</v>
      </c>
      <c r="FC239">
        <v>3385999</v>
      </c>
      <c r="FD239">
        <v>1934</v>
      </c>
      <c r="FE239">
        <v>14</v>
      </c>
      <c r="FG239" s="24"/>
      <c r="FH239">
        <v>5822</v>
      </c>
      <c r="FI239">
        <v>6125</v>
      </c>
      <c r="FJ239">
        <v>6120</v>
      </c>
      <c r="FK239">
        <v>1733746</v>
      </c>
      <c r="FL239">
        <v>406</v>
      </c>
      <c r="FN239" s="24"/>
      <c r="FO239">
        <v>19550</v>
      </c>
      <c r="FP239">
        <v>20549</v>
      </c>
      <c r="FQ239">
        <v>20200</v>
      </c>
      <c r="FR239">
        <v>109427</v>
      </c>
      <c r="FS239">
        <v>63</v>
      </c>
      <c r="FU239" s="24"/>
      <c r="FV239">
        <v>17563</v>
      </c>
      <c r="FW239">
        <v>17825</v>
      </c>
      <c r="FX239">
        <v>17700</v>
      </c>
      <c r="FY239">
        <v>378268</v>
      </c>
      <c r="FZ239">
        <v>1271</v>
      </c>
      <c r="GB239" s="24"/>
      <c r="GC239">
        <v>87000000</v>
      </c>
      <c r="GD239">
        <v>91892999</v>
      </c>
      <c r="GE239">
        <v>90880260</v>
      </c>
      <c r="GF239">
        <v>69</v>
      </c>
      <c r="GG239">
        <v>57</v>
      </c>
      <c r="GI239" s="24"/>
      <c r="GJ239">
        <v>21582011</v>
      </c>
      <c r="GK239">
        <v>22972001</v>
      </c>
      <c r="GL239">
        <v>21695113</v>
      </c>
      <c r="GM239">
        <v>469</v>
      </c>
      <c r="GN239">
        <v>67</v>
      </c>
      <c r="GP239" s="24"/>
      <c r="GQ239">
        <v>93</v>
      </c>
      <c r="GR239">
        <v>96</v>
      </c>
      <c r="GS239">
        <v>95</v>
      </c>
      <c r="GT239">
        <v>102614842</v>
      </c>
      <c r="GU239">
        <v>143</v>
      </c>
      <c r="GW239" s="24"/>
      <c r="GX239">
        <v>470</v>
      </c>
      <c r="GY239">
        <v>494</v>
      </c>
      <c r="GZ239">
        <v>489</v>
      </c>
      <c r="HA239">
        <v>60140108</v>
      </c>
      <c r="HB239">
        <v>222</v>
      </c>
      <c r="HD239" s="24"/>
      <c r="HE239">
        <v>5748</v>
      </c>
      <c r="HF239">
        <v>5749</v>
      </c>
      <c r="HG239">
        <v>5749</v>
      </c>
      <c r="HH239">
        <v>10175124</v>
      </c>
      <c r="HI239">
        <v>228</v>
      </c>
      <c r="HK239" s="24"/>
      <c r="HL239">
        <v>89000101</v>
      </c>
      <c r="HM239">
        <v>95002999</v>
      </c>
      <c r="HN239">
        <v>93149467</v>
      </c>
      <c r="HO239">
        <v>57</v>
      </c>
      <c r="HP239">
        <v>54</v>
      </c>
      <c r="HR239" s="24"/>
      <c r="HS239">
        <v>7000</v>
      </c>
      <c r="HT239">
        <v>7199</v>
      </c>
      <c r="HU239">
        <v>7174</v>
      </c>
      <c r="HV239">
        <v>1099995</v>
      </c>
      <c r="HW239">
        <v>134</v>
      </c>
      <c r="HY239" s="24"/>
      <c r="HZ239">
        <v>5851</v>
      </c>
      <c r="IA239">
        <v>6137</v>
      </c>
      <c r="IB239">
        <v>6136</v>
      </c>
      <c r="IC239">
        <v>1620498</v>
      </c>
      <c r="ID239">
        <v>358</v>
      </c>
      <c r="IF239" s="24"/>
      <c r="IG239">
        <v>2922</v>
      </c>
      <c r="IH239">
        <v>2923</v>
      </c>
      <c r="II239">
        <v>2923</v>
      </c>
      <c r="IJ239">
        <v>1140477</v>
      </c>
      <c r="IK239">
        <v>109</v>
      </c>
      <c r="IM239" s="24"/>
      <c r="IN239">
        <v>88600007</v>
      </c>
      <c r="IO239">
        <v>91980996</v>
      </c>
      <c r="IP239">
        <v>91024675</v>
      </c>
      <c r="IQ239">
        <v>83</v>
      </c>
      <c r="IR239">
        <v>70</v>
      </c>
      <c r="IT239" s="24"/>
      <c r="IU239">
        <v>7210</v>
      </c>
      <c r="IV239">
        <v>7344</v>
      </c>
      <c r="IW239">
        <v>7340</v>
      </c>
      <c r="IX239">
        <v>1457274</v>
      </c>
      <c r="IY239">
        <v>149</v>
      </c>
      <c r="JA239" s="24"/>
      <c r="JB239">
        <v>87500000</v>
      </c>
      <c r="JC239">
        <v>93600000</v>
      </c>
      <c r="JD239">
        <v>92415999</v>
      </c>
      <c r="JE239">
        <v>73</v>
      </c>
      <c r="JF239">
        <v>61</v>
      </c>
      <c r="JH239" s="24"/>
      <c r="JI239">
        <v>85002012</v>
      </c>
      <c r="JJ239">
        <v>91992946</v>
      </c>
      <c r="JK239">
        <v>89552023</v>
      </c>
      <c r="JL239">
        <v>48</v>
      </c>
      <c r="JM239">
        <v>41</v>
      </c>
      <c r="JO239" s="24"/>
      <c r="JP239">
        <v>97</v>
      </c>
      <c r="JQ239">
        <v>100</v>
      </c>
      <c r="JR239">
        <v>100</v>
      </c>
      <c r="JS239">
        <v>126895878</v>
      </c>
      <c r="JT239">
        <v>117</v>
      </c>
      <c r="JV239" s="24"/>
      <c r="JW239">
        <v>76</v>
      </c>
      <c r="JX239">
        <v>80</v>
      </c>
      <c r="JY239">
        <v>78</v>
      </c>
      <c r="JZ239">
        <v>100594883</v>
      </c>
      <c r="KA239">
        <v>114</v>
      </c>
      <c r="KC239" s="24"/>
      <c r="KD239">
        <v>19</v>
      </c>
      <c r="KE239">
        <v>20</v>
      </c>
      <c r="KF239">
        <v>20</v>
      </c>
      <c r="KG239">
        <v>50990473</v>
      </c>
      <c r="KH239">
        <v>306</v>
      </c>
      <c r="KJ239" s="24"/>
      <c r="KK239">
        <v>79</v>
      </c>
      <c r="KL239">
        <v>81</v>
      </c>
      <c r="KM239">
        <v>81</v>
      </c>
      <c r="KN239">
        <v>67578236</v>
      </c>
      <c r="KO239">
        <v>98</v>
      </c>
      <c r="KQ239" s="24"/>
      <c r="KR239">
        <v>130112</v>
      </c>
      <c r="KS239">
        <v>130522</v>
      </c>
      <c r="KT239">
        <v>130113</v>
      </c>
      <c r="KU239">
        <v>50627</v>
      </c>
      <c r="KV239">
        <v>668</v>
      </c>
      <c r="KX239" s="24"/>
      <c r="KY239">
        <v>547</v>
      </c>
      <c r="KZ239">
        <v>599</v>
      </c>
      <c r="LA239">
        <v>551</v>
      </c>
      <c r="LB239">
        <v>4394292</v>
      </c>
      <c r="LC239">
        <v>158</v>
      </c>
      <c r="LE239" s="24"/>
      <c r="LF239">
        <v>188050</v>
      </c>
      <c r="LG239">
        <v>190001</v>
      </c>
      <c r="LH239">
        <v>188299</v>
      </c>
      <c r="LI239">
        <v>127617</v>
      </c>
      <c r="LJ239">
        <v>926</v>
      </c>
      <c r="LL239" s="24"/>
      <c r="LM239">
        <v>81509</v>
      </c>
      <c r="LN239">
        <v>81525</v>
      </c>
      <c r="LO239">
        <v>81511</v>
      </c>
      <c r="LP239">
        <v>456429</v>
      </c>
      <c r="LQ239">
        <v>1368</v>
      </c>
      <c r="LS239" s="24"/>
      <c r="LT239">
        <v>490</v>
      </c>
      <c r="LU239">
        <v>495</v>
      </c>
      <c r="LV239">
        <v>493</v>
      </c>
      <c r="LW239">
        <v>71333577</v>
      </c>
      <c r="LX239">
        <v>333</v>
      </c>
      <c r="LZ239" s="24"/>
      <c r="MA239">
        <v>100999</v>
      </c>
      <c r="MB239">
        <v>102789</v>
      </c>
      <c r="MC239">
        <v>102787</v>
      </c>
      <c r="MD239">
        <v>827492</v>
      </c>
      <c r="ME239">
        <v>95</v>
      </c>
    </row>
    <row r="240" spans="2:343" x14ac:dyDescent="0.25">
      <c r="B240" s="24"/>
      <c r="C240">
        <v>3</v>
      </c>
      <c r="D240">
        <v>3</v>
      </c>
      <c r="E240">
        <v>3</v>
      </c>
      <c r="F240">
        <v>28112752357</v>
      </c>
      <c r="G240">
        <v>2581</v>
      </c>
      <c r="I240" s="24"/>
      <c r="J240">
        <v>4</v>
      </c>
      <c r="K240">
        <v>4</v>
      </c>
      <c r="L240">
        <v>4</v>
      </c>
      <c r="M240">
        <v>4333276001</v>
      </c>
      <c r="N240">
        <v>1838</v>
      </c>
      <c r="P240" s="24"/>
      <c r="Q240">
        <v>27</v>
      </c>
      <c r="R240">
        <v>28</v>
      </c>
      <c r="S240">
        <v>28</v>
      </c>
      <c r="T240">
        <v>1377027891</v>
      </c>
      <c r="U240">
        <v>1756</v>
      </c>
      <c r="W240" s="24"/>
      <c r="X240">
        <v>60</v>
      </c>
      <c r="Y240">
        <v>61</v>
      </c>
      <c r="Z240">
        <v>61</v>
      </c>
      <c r="AA240">
        <v>334849653</v>
      </c>
      <c r="AB240">
        <v>1300</v>
      </c>
      <c r="AD240" s="24"/>
      <c r="AE240">
        <v>385</v>
      </c>
      <c r="AF240">
        <v>390</v>
      </c>
      <c r="AG240">
        <v>390</v>
      </c>
      <c r="AH240">
        <v>60967634</v>
      </c>
      <c r="AI240">
        <v>1314</v>
      </c>
      <c r="AK240" s="24"/>
      <c r="AL240">
        <v>742</v>
      </c>
      <c r="AM240">
        <v>759</v>
      </c>
      <c r="AN240">
        <v>758</v>
      </c>
      <c r="AO240">
        <v>29097117</v>
      </c>
      <c r="AP240">
        <v>1125</v>
      </c>
      <c r="AR240" s="24"/>
      <c r="AS240">
        <v>2649</v>
      </c>
      <c r="AT240">
        <v>2700</v>
      </c>
      <c r="AU240">
        <v>2665</v>
      </c>
      <c r="AV240">
        <v>10629906</v>
      </c>
      <c r="AW240">
        <v>1056</v>
      </c>
      <c r="AY240" s="24"/>
      <c r="AZ240">
        <v>360010000</v>
      </c>
      <c r="BA240">
        <v>366923999</v>
      </c>
      <c r="BB240">
        <v>365000006</v>
      </c>
      <c r="BC240">
        <v>2127</v>
      </c>
      <c r="BD240">
        <v>1531</v>
      </c>
      <c r="BF240" s="24"/>
      <c r="BG240">
        <v>24100</v>
      </c>
      <c r="BH240">
        <v>24712</v>
      </c>
      <c r="BI240">
        <v>24100</v>
      </c>
      <c r="BJ240">
        <v>3489784</v>
      </c>
      <c r="BK240">
        <v>260</v>
      </c>
      <c r="BM240" s="24"/>
      <c r="BN240">
        <v>6220111</v>
      </c>
      <c r="BO240">
        <v>6310002</v>
      </c>
      <c r="BP240">
        <v>6300112</v>
      </c>
      <c r="BQ240">
        <v>8045</v>
      </c>
      <c r="BR240">
        <v>302</v>
      </c>
      <c r="BT240" s="24"/>
      <c r="BU240">
        <v>2400</v>
      </c>
      <c r="BV240">
        <v>2524</v>
      </c>
      <c r="BW240">
        <v>2449</v>
      </c>
      <c r="BX240">
        <v>19796309</v>
      </c>
      <c r="BY240">
        <v>200</v>
      </c>
      <c r="CA240" s="24"/>
      <c r="CB240">
        <v>490</v>
      </c>
      <c r="CC240">
        <v>502</v>
      </c>
      <c r="CD240">
        <v>500</v>
      </c>
      <c r="CE240">
        <v>61773103</v>
      </c>
      <c r="CF240">
        <v>280</v>
      </c>
      <c r="CH240" s="24"/>
      <c r="CI240">
        <v>22163</v>
      </c>
      <c r="CJ240">
        <v>22163</v>
      </c>
      <c r="CK240">
        <v>22163</v>
      </c>
      <c r="CL240">
        <v>1321221</v>
      </c>
      <c r="CM240">
        <v>176</v>
      </c>
      <c r="CO240" s="24"/>
      <c r="CP240">
        <v>5901</v>
      </c>
      <c r="CQ240">
        <v>6499</v>
      </c>
      <c r="CR240">
        <v>6050</v>
      </c>
      <c r="CS240">
        <v>1253858</v>
      </c>
      <c r="CT240">
        <v>329</v>
      </c>
      <c r="CV240" s="24"/>
      <c r="CW240">
        <v>1290998</v>
      </c>
      <c r="CX240">
        <v>1350000</v>
      </c>
      <c r="CY240">
        <v>1290998</v>
      </c>
      <c r="CZ240">
        <v>16452</v>
      </c>
      <c r="DA240">
        <v>37</v>
      </c>
      <c r="DC240" s="24"/>
      <c r="DD240">
        <v>523</v>
      </c>
      <c r="DE240">
        <v>524</v>
      </c>
      <c r="DF240">
        <v>523</v>
      </c>
      <c r="DG240">
        <v>34722761</v>
      </c>
      <c r="DH240">
        <v>181</v>
      </c>
      <c r="DJ240" s="24"/>
      <c r="DK240">
        <v>33000001</v>
      </c>
      <c r="DL240">
        <v>33999002</v>
      </c>
      <c r="DM240">
        <v>33001001</v>
      </c>
      <c r="DN240">
        <v>284</v>
      </c>
      <c r="DO240">
        <v>70</v>
      </c>
      <c r="DQ240" s="24"/>
      <c r="DR240">
        <v>1597000</v>
      </c>
      <c r="DS240">
        <v>1608909</v>
      </c>
      <c r="DT240">
        <v>1600900</v>
      </c>
      <c r="DU240">
        <v>8353</v>
      </c>
      <c r="DV240">
        <v>169</v>
      </c>
      <c r="DX240" s="24"/>
      <c r="DY240">
        <v>19413018</v>
      </c>
      <c r="DZ240">
        <v>19971001</v>
      </c>
      <c r="EA240">
        <v>19900011</v>
      </c>
      <c r="EB240">
        <v>430</v>
      </c>
      <c r="EC240">
        <v>96</v>
      </c>
      <c r="EE240" s="24"/>
      <c r="EF240">
        <v>179</v>
      </c>
      <c r="EG240">
        <v>180</v>
      </c>
      <c r="EH240">
        <v>180</v>
      </c>
      <c r="EI240">
        <v>55336420</v>
      </c>
      <c r="EJ240">
        <v>105</v>
      </c>
      <c r="EL240" s="24"/>
      <c r="EM240">
        <v>57112</v>
      </c>
      <c r="EN240">
        <v>59999</v>
      </c>
      <c r="EO240">
        <v>57500</v>
      </c>
      <c r="EP240">
        <v>55647</v>
      </c>
      <c r="EQ240">
        <v>603</v>
      </c>
      <c r="ES240" s="24"/>
      <c r="ET240">
        <v>300</v>
      </c>
      <c r="EU240">
        <v>300</v>
      </c>
      <c r="EV240">
        <v>300</v>
      </c>
      <c r="EW240">
        <v>38426751</v>
      </c>
      <c r="EX240">
        <v>468</v>
      </c>
      <c r="EZ240" s="24"/>
      <c r="FA240">
        <v>3132002</v>
      </c>
      <c r="FB240">
        <v>3132002</v>
      </c>
      <c r="FC240">
        <v>3132002</v>
      </c>
      <c r="FD240">
        <v>1194</v>
      </c>
      <c r="FE240">
        <v>24</v>
      </c>
      <c r="FG240" s="24"/>
      <c r="FH240">
        <v>5849</v>
      </c>
      <c r="FI240">
        <v>6239</v>
      </c>
      <c r="FJ240">
        <v>6127</v>
      </c>
      <c r="FK240">
        <v>1342763</v>
      </c>
      <c r="FL240">
        <v>389</v>
      </c>
      <c r="FN240" s="24"/>
      <c r="FO240">
        <v>18301</v>
      </c>
      <c r="FP240">
        <v>20388</v>
      </c>
      <c r="FQ240">
        <v>19850</v>
      </c>
      <c r="FR240">
        <v>380352</v>
      </c>
      <c r="FS240">
        <v>67</v>
      </c>
      <c r="FU240" s="24"/>
      <c r="FV240">
        <v>17104</v>
      </c>
      <c r="FW240">
        <v>17201</v>
      </c>
      <c r="FX240">
        <v>17196</v>
      </c>
      <c r="FY240">
        <v>252342</v>
      </c>
      <c r="FZ240">
        <v>1138</v>
      </c>
      <c r="GB240" s="24"/>
      <c r="GC240">
        <v>86705001</v>
      </c>
      <c r="GD240">
        <v>91891996</v>
      </c>
      <c r="GE240">
        <v>90626055</v>
      </c>
      <c r="GF240">
        <v>83</v>
      </c>
      <c r="GG240">
        <v>59</v>
      </c>
      <c r="GI240" s="24"/>
      <c r="GJ240">
        <v>21965001</v>
      </c>
      <c r="GK240">
        <v>22202001</v>
      </c>
      <c r="GL240">
        <v>22200003</v>
      </c>
      <c r="GM240">
        <v>475</v>
      </c>
      <c r="GN240">
        <v>74</v>
      </c>
      <c r="GP240" s="24"/>
      <c r="GQ240">
        <v>97</v>
      </c>
      <c r="GR240">
        <v>103</v>
      </c>
      <c r="GS240">
        <v>99</v>
      </c>
      <c r="GT240">
        <v>106414208</v>
      </c>
      <c r="GU240">
        <v>121</v>
      </c>
      <c r="GW240" s="24"/>
      <c r="GX240">
        <v>470</v>
      </c>
      <c r="GY240">
        <v>487</v>
      </c>
      <c r="GZ240">
        <v>486</v>
      </c>
      <c r="HA240">
        <v>34074091</v>
      </c>
      <c r="HB240">
        <v>187</v>
      </c>
      <c r="HD240" s="24"/>
      <c r="HE240">
        <v>5574</v>
      </c>
      <c r="HF240">
        <v>5782</v>
      </c>
      <c r="HG240">
        <v>5781</v>
      </c>
      <c r="HH240">
        <v>13889924</v>
      </c>
      <c r="HI240">
        <v>206</v>
      </c>
      <c r="HK240" s="24"/>
      <c r="HL240">
        <v>90000000</v>
      </c>
      <c r="HM240">
        <v>94998997</v>
      </c>
      <c r="HN240">
        <v>93142454</v>
      </c>
      <c r="HO240">
        <v>86</v>
      </c>
      <c r="HP240">
        <v>65</v>
      </c>
      <c r="HR240" s="24"/>
      <c r="HS240">
        <v>7485</v>
      </c>
      <c r="HT240">
        <v>7499</v>
      </c>
      <c r="HU240">
        <v>7499</v>
      </c>
      <c r="HV240">
        <v>768962</v>
      </c>
      <c r="HW240">
        <v>98</v>
      </c>
      <c r="HY240" s="24"/>
      <c r="HZ240">
        <v>5854</v>
      </c>
      <c r="IA240">
        <v>6137</v>
      </c>
      <c r="IB240">
        <v>6135</v>
      </c>
      <c r="IC240">
        <v>1844801</v>
      </c>
      <c r="ID240">
        <v>397</v>
      </c>
      <c r="IF240" s="24"/>
      <c r="IG240">
        <v>2870</v>
      </c>
      <c r="IH240">
        <v>2919</v>
      </c>
      <c r="II240">
        <v>2919</v>
      </c>
      <c r="IJ240">
        <v>1433691</v>
      </c>
      <c r="IK240">
        <v>119</v>
      </c>
      <c r="IM240" s="24"/>
      <c r="IN240">
        <v>92994998</v>
      </c>
      <c r="IO240">
        <v>95575010</v>
      </c>
      <c r="IP240">
        <v>93951150</v>
      </c>
      <c r="IQ240">
        <v>55</v>
      </c>
      <c r="IR240">
        <v>50</v>
      </c>
      <c r="IT240" s="24"/>
      <c r="IU240">
        <v>6934</v>
      </c>
      <c r="IV240">
        <v>7300</v>
      </c>
      <c r="IW240">
        <v>7297</v>
      </c>
      <c r="IX240">
        <v>1705203</v>
      </c>
      <c r="IY240">
        <v>117</v>
      </c>
      <c r="JA240" s="24"/>
      <c r="JB240">
        <v>93000000</v>
      </c>
      <c r="JC240">
        <v>95997997</v>
      </c>
      <c r="JD240">
        <v>94544805</v>
      </c>
      <c r="JE240">
        <v>87</v>
      </c>
      <c r="JF240">
        <v>74</v>
      </c>
      <c r="JH240" s="24"/>
      <c r="JI240">
        <v>85101003</v>
      </c>
      <c r="JJ240">
        <v>91992933</v>
      </c>
      <c r="JK240">
        <v>90935179</v>
      </c>
      <c r="JL240">
        <v>39</v>
      </c>
      <c r="JM240">
        <v>37</v>
      </c>
      <c r="JO240" s="24"/>
      <c r="JP240">
        <v>100</v>
      </c>
      <c r="JQ240">
        <v>100</v>
      </c>
      <c r="JR240">
        <v>100</v>
      </c>
      <c r="JS240">
        <v>91198107</v>
      </c>
      <c r="JT240">
        <v>79</v>
      </c>
      <c r="JV240" s="24"/>
      <c r="JW240">
        <v>80</v>
      </c>
      <c r="JX240">
        <v>80</v>
      </c>
      <c r="JY240">
        <v>80</v>
      </c>
      <c r="JZ240">
        <v>81602092</v>
      </c>
      <c r="KA240">
        <v>88</v>
      </c>
      <c r="KC240" s="24"/>
      <c r="KD240">
        <v>19</v>
      </c>
      <c r="KE240">
        <v>20</v>
      </c>
      <c r="KF240">
        <v>19</v>
      </c>
      <c r="KG240">
        <v>45145568</v>
      </c>
      <c r="KH240">
        <v>285</v>
      </c>
      <c r="KJ240" s="24"/>
      <c r="KK240">
        <v>78</v>
      </c>
      <c r="KL240">
        <v>83</v>
      </c>
      <c r="KM240">
        <v>79</v>
      </c>
      <c r="KN240">
        <v>138424575</v>
      </c>
      <c r="KO240">
        <v>108</v>
      </c>
      <c r="KQ240" s="24"/>
      <c r="KR240">
        <v>132004</v>
      </c>
      <c r="KS240">
        <v>132211</v>
      </c>
      <c r="KT240">
        <v>132004</v>
      </c>
      <c r="KU240">
        <v>64979</v>
      </c>
      <c r="KV240">
        <v>563</v>
      </c>
      <c r="KX240" s="24"/>
      <c r="KY240">
        <v>576</v>
      </c>
      <c r="KZ240">
        <v>599</v>
      </c>
      <c r="LA240">
        <v>599</v>
      </c>
      <c r="LB240">
        <v>4084909</v>
      </c>
      <c r="LC240">
        <v>136</v>
      </c>
      <c r="LE240" s="24"/>
      <c r="LF240">
        <v>186500</v>
      </c>
      <c r="LG240">
        <v>187005</v>
      </c>
      <c r="LH240">
        <v>186502</v>
      </c>
      <c r="LI240">
        <v>163718</v>
      </c>
      <c r="LJ240">
        <v>847</v>
      </c>
      <c r="LL240" s="24"/>
      <c r="LM240">
        <v>80104</v>
      </c>
      <c r="LN240">
        <v>82299</v>
      </c>
      <c r="LO240">
        <v>80207</v>
      </c>
      <c r="LP240">
        <v>310376</v>
      </c>
      <c r="LQ240">
        <v>1222</v>
      </c>
      <c r="LS240" s="24"/>
      <c r="LT240">
        <v>472</v>
      </c>
      <c r="LU240">
        <v>490</v>
      </c>
      <c r="LV240">
        <v>487</v>
      </c>
      <c r="LW240">
        <v>59634928</v>
      </c>
      <c r="LX240">
        <v>312</v>
      </c>
      <c r="LZ240" s="24"/>
      <c r="MA240">
        <v>101000</v>
      </c>
      <c r="MB240">
        <v>102747</v>
      </c>
      <c r="MC240">
        <v>102498</v>
      </c>
      <c r="MD240">
        <v>929143</v>
      </c>
      <c r="ME240">
        <v>93</v>
      </c>
    </row>
    <row r="241" spans="2:343" x14ac:dyDescent="0.25">
      <c r="B241" s="24"/>
      <c r="C241">
        <v>3</v>
      </c>
      <c r="D241">
        <v>3</v>
      </c>
      <c r="E241">
        <v>3</v>
      </c>
      <c r="F241">
        <v>31711761278</v>
      </c>
      <c r="G241">
        <v>2577</v>
      </c>
      <c r="I241" s="24"/>
      <c r="J241">
        <v>4</v>
      </c>
      <c r="K241">
        <v>4</v>
      </c>
      <c r="L241">
        <v>4</v>
      </c>
      <c r="M241">
        <v>6110191782</v>
      </c>
      <c r="N241">
        <v>1774</v>
      </c>
      <c r="P241" s="24"/>
      <c r="Q241">
        <v>28</v>
      </c>
      <c r="R241">
        <v>29</v>
      </c>
      <c r="S241">
        <v>28</v>
      </c>
      <c r="T241">
        <v>1794427809</v>
      </c>
      <c r="U241">
        <v>1693</v>
      </c>
      <c r="W241" s="24"/>
      <c r="X241">
        <v>61</v>
      </c>
      <c r="Y241">
        <v>61</v>
      </c>
      <c r="Z241">
        <v>61</v>
      </c>
      <c r="AA241">
        <v>393377245</v>
      </c>
      <c r="AB241">
        <v>1350</v>
      </c>
      <c r="AD241" s="24"/>
      <c r="AE241">
        <v>389</v>
      </c>
      <c r="AF241">
        <v>391</v>
      </c>
      <c r="AG241">
        <v>390</v>
      </c>
      <c r="AH241">
        <v>107426112</v>
      </c>
      <c r="AI241">
        <v>1380</v>
      </c>
      <c r="AK241" s="24"/>
      <c r="AL241">
        <v>741</v>
      </c>
      <c r="AM241">
        <v>758</v>
      </c>
      <c r="AN241">
        <v>755</v>
      </c>
      <c r="AO241">
        <v>33101098</v>
      </c>
      <c r="AP241">
        <v>1140</v>
      </c>
      <c r="AR241" s="24"/>
      <c r="AS241">
        <v>2643</v>
      </c>
      <c r="AT241">
        <v>2695</v>
      </c>
      <c r="AU241">
        <v>2649</v>
      </c>
      <c r="AV241">
        <v>11249614</v>
      </c>
      <c r="AW241">
        <v>1112</v>
      </c>
      <c r="AY241" s="24"/>
      <c r="AZ241">
        <v>361880999</v>
      </c>
      <c r="BA241">
        <v>368033999</v>
      </c>
      <c r="BB241">
        <v>366500004</v>
      </c>
      <c r="BC241">
        <v>2517</v>
      </c>
      <c r="BD241">
        <v>1574</v>
      </c>
      <c r="BF241" s="24"/>
      <c r="BG241">
        <v>24102</v>
      </c>
      <c r="BH241">
        <v>24103</v>
      </c>
      <c r="BI241">
        <v>24103</v>
      </c>
      <c r="BJ241">
        <v>2039759</v>
      </c>
      <c r="BK241">
        <v>211</v>
      </c>
      <c r="BM241" s="24"/>
      <c r="BN241">
        <v>6310002</v>
      </c>
      <c r="BO241">
        <v>6310119</v>
      </c>
      <c r="BP241">
        <v>6310118</v>
      </c>
      <c r="BQ241">
        <v>10199</v>
      </c>
      <c r="BR241">
        <v>332</v>
      </c>
      <c r="BT241" s="24"/>
      <c r="BU241">
        <v>2323</v>
      </c>
      <c r="BV241">
        <v>2438</v>
      </c>
      <c r="BW241">
        <v>2351</v>
      </c>
      <c r="BX241">
        <v>16828453</v>
      </c>
      <c r="BY241">
        <v>207</v>
      </c>
      <c r="CA241" s="24"/>
      <c r="CB241">
        <v>498</v>
      </c>
      <c r="CC241">
        <v>500</v>
      </c>
      <c r="CD241">
        <v>498</v>
      </c>
      <c r="CE241">
        <v>50162832</v>
      </c>
      <c r="CF241">
        <v>227</v>
      </c>
      <c r="CH241" s="24"/>
      <c r="CI241">
        <v>22166</v>
      </c>
      <c r="CJ241">
        <v>22166</v>
      </c>
      <c r="CK241">
        <v>22166</v>
      </c>
      <c r="CL241">
        <v>1194116</v>
      </c>
      <c r="CM241">
        <v>171</v>
      </c>
      <c r="CO241" s="24"/>
      <c r="CP241">
        <v>5916</v>
      </c>
      <c r="CQ241">
        <v>6495</v>
      </c>
      <c r="CR241">
        <v>6300</v>
      </c>
      <c r="CS241">
        <v>1142641</v>
      </c>
      <c r="CT241">
        <v>347</v>
      </c>
      <c r="CV241" s="24"/>
      <c r="CW241">
        <v>1300000</v>
      </c>
      <c r="CX241">
        <v>1368401</v>
      </c>
      <c r="CY241">
        <v>1359999</v>
      </c>
      <c r="CZ241">
        <v>10390</v>
      </c>
      <c r="DA241">
        <v>25</v>
      </c>
      <c r="DC241" s="24"/>
      <c r="DD241">
        <v>523</v>
      </c>
      <c r="DE241">
        <v>523</v>
      </c>
      <c r="DF241">
        <v>523</v>
      </c>
      <c r="DG241">
        <v>23446299</v>
      </c>
      <c r="DH241">
        <v>135</v>
      </c>
      <c r="DJ241" s="24"/>
      <c r="DK241">
        <v>32831612</v>
      </c>
      <c r="DL241">
        <v>32935111</v>
      </c>
      <c r="DM241">
        <v>32935111</v>
      </c>
      <c r="DN241">
        <v>198</v>
      </c>
      <c r="DO241">
        <v>56</v>
      </c>
      <c r="DQ241" s="24"/>
      <c r="DR241">
        <v>1600000</v>
      </c>
      <c r="DS241">
        <v>1745000</v>
      </c>
      <c r="DT241">
        <v>1600004</v>
      </c>
      <c r="DU241">
        <v>7062</v>
      </c>
      <c r="DV241">
        <v>211</v>
      </c>
      <c r="DX241" s="24"/>
      <c r="DY241">
        <v>20218019</v>
      </c>
      <c r="DZ241">
        <v>20897995</v>
      </c>
      <c r="EA241">
        <v>20897000</v>
      </c>
      <c r="EB241">
        <v>312</v>
      </c>
      <c r="EC241">
        <v>80</v>
      </c>
      <c r="EE241" s="24"/>
      <c r="EF241">
        <v>170</v>
      </c>
      <c r="EG241">
        <v>179</v>
      </c>
      <c r="EH241">
        <v>172</v>
      </c>
      <c r="EI241">
        <v>60866799</v>
      </c>
      <c r="EJ241">
        <v>123</v>
      </c>
      <c r="EL241" s="24"/>
      <c r="EM241">
        <v>60001</v>
      </c>
      <c r="EN241">
        <v>60999</v>
      </c>
      <c r="EO241">
        <v>60099</v>
      </c>
      <c r="EP241">
        <v>93825</v>
      </c>
      <c r="EQ241">
        <v>691</v>
      </c>
      <c r="ES241" s="24"/>
      <c r="ET241">
        <v>300</v>
      </c>
      <c r="EU241">
        <v>305</v>
      </c>
      <c r="EV241">
        <v>304</v>
      </c>
      <c r="EW241">
        <v>32384357</v>
      </c>
      <c r="EX241">
        <v>499</v>
      </c>
      <c r="EZ241" s="24"/>
      <c r="FA241">
        <v>3320000</v>
      </c>
      <c r="FB241">
        <v>3344999</v>
      </c>
      <c r="FC241">
        <v>3344999</v>
      </c>
      <c r="FD241">
        <v>824</v>
      </c>
      <c r="FE241">
        <v>12</v>
      </c>
      <c r="FG241" s="24"/>
      <c r="FH241">
        <v>5860</v>
      </c>
      <c r="FI241">
        <v>6239</v>
      </c>
      <c r="FJ241">
        <v>6238</v>
      </c>
      <c r="FK241">
        <v>1787143</v>
      </c>
      <c r="FL241">
        <v>401</v>
      </c>
      <c r="FN241" s="24"/>
      <c r="FO241">
        <v>22399</v>
      </c>
      <c r="FP241">
        <v>22399</v>
      </c>
      <c r="FQ241">
        <v>22399</v>
      </c>
      <c r="FR241">
        <v>143569</v>
      </c>
      <c r="FS241">
        <v>45</v>
      </c>
      <c r="FU241" s="24"/>
      <c r="FV241">
        <v>17203</v>
      </c>
      <c r="FW241">
        <v>17999</v>
      </c>
      <c r="FX241">
        <v>17209</v>
      </c>
      <c r="FY241">
        <v>375682</v>
      </c>
      <c r="FZ241">
        <v>1305</v>
      </c>
      <c r="GB241" s="24"/>
      <c r="GC241">
        <v>86721007</v>
      </c>
      <c r="GD241">
        <v>92994994</v>
      </c>
      <c r="GE241">
        <v>90887169</v>
      </c>
      <c r="GF241">
        <v>77</v>
      </c>
      <c r="GG241">
        <v>52</v>
      </c>
      <c r="GI241" s="24"/>
      <c r="GJ241">
        <v>21778000</v>
      </c>
      <c r="GK241">
        <v>22767000</v>
      </c>
      <c r="GL241">
        <v>21980000</v>
      </c>
      <c r="GM241">
        <v>555</v>
      </c>
      <c r="GN241">
        <v>78</v>
      </c>
      <c r="GP241" s="24"/>
      <c r="GQ241">
        <v>101</v>
      </c>
      <c r="GR241">
        <v>109</v>
      </c>
      <c r="GS241">
        <v>109</v>
      </c>
      <c r="GT241">
        <v>90072207</v>
      </c>
      <c r="GU241">
        <v>101</v>
      </c>
      <c r="GW241" s="24"/>
      <c r="GX241">
        <v>459</v>
      </c>
      <c r="GY241">
        <v>486</v>
      </c>
      <c r="GZ241">
        <v>485</v>
      </c>
      <c r="HA241">
        <v>45383856</v>
      </c>
      <c r="HB241">
        <v>213</v>
      </c>
      <c r="HD241" s="24"/>
      <c r="HE241">
        <v>5566</v>
      </c>
      <c r="HF241">
        <v>5779</v>
      </c>
      <c r="HG241">
        <v>5600</v>
      </c>
      <c r="HH241">
        <v>11872226</v>
      </c>
      <c r="HI241">
        <v>193</v>
      </c>
      <c r="HK241" s="24"/>
      <c r="HL241">
        <v>89000104</v>
      </c>
      <c r="HM241">
        <v>94457988</v>
      </c>
      <c r="HN241">
        <v>92613212</v>
      </c>
      <c r="HO241">
        <v>71</v>
      </c>
      <c r="HP241">
        <v>62</v>
      </c>
      <c r="HR241" s="24"/>
      <c r="HS241">
        <v>7550</v>
      </c>
      <c r="HT241">
        <v>8160</v>
      </c>
      <c r="HU241">
        <v>7899</v>
      </c>
      <c r="HV241">
        <v>795933</v>
      </c>
      <c r="HW241">
        <v>163</v>
      </c>
      <c r="HY241" s="24"/>
      <c r="HZ241">
        <v>5800</v>
      </c>
      <c r="IA241">
        <v>6099</v>
      </c>
      <c r="IB241">
        <v>6084</v>
      </c>
      <c r="IC241">
        <v>1701017</v>
      </c>
      <c r="ID241">
        <v>386</v>
      </c>
      <c r="IF241" s="24"/>
      <c r="IG241">
        <v>2614</v>
      </c>
      <c r="IH241">
        <v>2800</v>
      </c>
      <c r="II241">
        <v>2762</v>
      </c>
      <c r="IJ241">
        <v>1236916</v>
      </c>
      <c r="IK241">
        <v>96</v>
      </c>
      <c r="IM241" s="24"/>
      <c r="IN241">
        <v>88607018</v>
      </c>
      <c r="IO241">
        <v>95575999</v>
      </c>
      <c r="IP241">
        <v>92679277</v>
      </c>
      <c r="IQ241">
        <v>89</v>
      </c>
      <c r="IR241">
        <v>59</v>
      </c>
      <c r="IT241" s="24"/>
      <c r="IU241">
        <v>7344</v>
      </c>
      <c r="IV241">
        <v>7344</v>
      </c>
      <c r="IW241">
        <v>7344</v>
      </c>
      <c r="IX241">
        <v>977959</v>
      </c>
      <c r="IY241">
        <v>92</v>
      </c>
      <c r="JA241" s="24"/>
      <c r="JB241">
        <v>90002000</v>
      </c>
      <c r="JC241">
        <v>95996999</v>
      </c>
      <c r="JD241">
        <v>94417057</v>
      </c>
      <c r="JE241">
        <v>80</v>
      </c>
      <c r="JF241">
        <v>62</v>
      </c>
      <c r="JH241" s="24"/>
      <c r="JI241">
        <v>85103008</v>
      </c>
      <c r="JJ241">
        <v>91992937</v>
      </c>
      <c r="JK241">
        <v>89544315</v>
      </c>
      <c r="JL241">
        <v>55</v>
      </c>
      <c r="JM241">
        <v>40</v>
      </c>
      <c r="JO241" s="24"/>
      <c r="JP241">
        <v>94</v>
      </c>
      <c r="JQ241">
        <v>111</v>
      </c>
      <c r="JR241">
        <v>94</v>
      </c>
      <c r="JS241">
        <v>71424950</v>
      </c>
      <c r="JT241">
        <v>83</v>
      </c>
      <c r="JV241" s="24"/>
      <c r="JW241">
        <v>76</v>
      </c>
      <c r="JX241">
        <v>80</v>
      </c>
      <c r="JY241">
        <v>80</v>
      </c>
      <c r="JZ241">
        <v>44459673</v>
      </c>
      <c r="KA241">
        <v>69</v>
      </c>
      <c r="KC241" s="24"/>
      <c r="KD241">
        <v>19</v>
      </c>
      <c r="KE241">
        <v>20</v>
      </c>
      <c r="KF241">
        <v>20</v>
      </c>
      <c r="KG241">
        <v>45419956</v>
      </c>
      <c r="KH241">
        <v>301</v>
      </c>
      <c r="KJ241" s="24"/>
      <c r="KK241">
        <v>83</v>
      </c>
      <c r="KL241">
        <v>84</v>
      </c>
      <c r="KM241">
        <v>84</v>
      </c>
      <c r="KN241">
        <v>85776731</v>
      </c>
      <c r="KO241">
        <v>104</v>
      </c>
      <c r="KQ241" s="24"/>
      <c r="KR241">
        <v>132600</v>
      </c>
      <c r="KS241">
        <v>132713</v>
      </c>
      <c r="KT241">
        <v>132700</v>
      </c>
      <c r="KU241">
        <v>89888</v>
      </c>
      <c r="KV241">
        <v>689</v>
      </c>
      <c r="KX241" s="24"/>
      <c r="KY241">
        <v>556</v>
      </c>
      <c r="KZ241">
        <v>599</v>
      </c>
      <c r="LA241">
        <v>598</v>
      </c>
      <c r="LB241">
        <v>3141449</v>
      </c>
      <c r="LC241">
        <v>117</v>
      </c>
      <c r="LE241" s="24"/>
      <c r="LF241">
        <v>189001</v>
      </c>
      <c r="LG241">
        <v>193999</v>
      </c>
      <c r="LH241">
        <v>189011</v>
      </c>
      <c r="LI241">
        <v>124603</v>
      </c>
      <c r="LJ241">
        <v>995</v>
      </c>
      <c r="LL241" s="24"/>
      <c r="LM241">
        <v>80530</v>
      </c>
      <c r="LN241">
        <v>80600</v>
      </c>
      <c r="LO241">
        <v>80531</v>
      </c>
      <c r="LP241">
        <v>412142</v>
      </c>
      <c r="LQ241">
        <v>1325</v>
      </c>
      <c r="LS241" s="24"/>
      <c r="LT241">
        <v>485</v>
      </c>
      <c r="LU241">
        <v>487</v>
      </c>
      <c r="LV241">
        <v>486</v>
      </c>
      <c r="LW241">
        <v>70230557</v>
      </c>
      <c r="LX241">
        <v>342</v>
      </c>
      <c r="LZ241" s="24"/>
      <c r="MA241">
        <v>97010</v>
      </c>
      <c r="MB241">
        <v>102299</v>
      </c>
      <c r="MC241">
        <v>98011</v>
      </c>
      <c r="MD241">
        <v>1348559</v>
      </c>
      <c r="ME241">
        <v>107</v>
      </c>
    </row>
    <row r="242" spans="2:343" x14ac:dyDescent="0.25">
      <c r="B242" s="24"/>
      <c r="C242">
        <v>3</v>
      </c>
      <c r="D242">
        <v>3</v>
      </c>
      <c r="E242">
        <v>3</v>
      </c>
      <c r="F242">
        <v>29566602101</v>
      </c>
      <c r="G242">
        <v>2675</v>
      </c>
      <c r="I242" s="24"/>
      <c r="J242">
        <v>4</v>
      </c>
      <c r="K242">
        <v>4</v>
      </c>
      <c r="L242">
        <v>4</v>
      </c>
      <c r="M242">
        <v>6036158850</v>
      </c>
      <c r="N242">
        <v>1907</v>
      </c>
      <c r="P242" s="24"/>
      <c r="Q242">
        <v>28</v>
      </c>
      <c r="R242">
        <v>28</v>
      </c>
      <c r="S242">
        <v>28</v>
      </c>
      <c r="T242">
        <v>1476724311</v>
      </c>
      <c r="U242">
        <v>1763</v>
      </c>
      <c r="W242" s="24"/>
      <c r="X242">
        <v>61</v>
      </c>
      <c r="Y242">
        <v>61</v>
      </c>
      <c r="Z242">
        <v>61</v>
      </c>
      <c r="AA242">
        <v>346215445</v>
      </c>
      <c r="AB242">
        <v>1411</v>
      </c>
      <c r="AD242" s="24"/>
      <c r="AE242">
        <v>387</v>
      </c>
      <c r="AF242">
        <v>390</v>
      </c>
      <c r="AG242">
        <v>390</v>
      </c>
      <c r="AH242">
        <v>108509532</v>
      </c>
      <c r="AI242">
        <v>1440</v>
      </c>
      <c r="AK242" s="24"/>
      <c r="AL242">
        <v>737</v>
      </c>
      <c r="AM242">
        <v>757</v>
      </c>
      <c r="AN242">
        <v>756</v>
      </c>
      <c r="AO242">
        <v>37513454</v>
      </c>
      <c r="AP242">
        <v>1211</v>
      </c>
      <c r="AR242" s="24"/>
      <c r="AS242">
        <v>2618</v>
      </c>
      <c r="AT242">
        <v>2693</v>
      </c>
      <c r="AU242">
        <v>2660</v>
      </c>
      <c r="AV242">
        <v>14369032</v>
      </c>
      <c r="AW242">
        <v>1168</v>
      </c>
      <c r="AY242" s="24"/>
      <c r="AZ242">
        <v>360501001</v>
      </c>
      <c r="BA242">
        <v>366488988</v>
      </c>
      <c r="BB242">
        <v>365000000</v>
      </c>
      <c r="BC242">
        <v>2480</v>
      </c>
      <c r="BD242">
        <v>1698</v>
      </c>
      <c r="BF242" s="24"/>
      <c r="BG242">
        <v>24104</v>
      </c>
      <c r="BH242">
        <v>24105</v>
      </c>
      <c r="BI242">
        <v>24104</v>
      </c>
      <c r="BJ242">
        <v>2691506</v>
      </c>
      <c r="BK242">
        <v>217</v>
      </c>
      <c r="BM242" s="24"/>
      <c r="BN242">
        <v>6200000</v>
      </c>
      <c r="BO242">
        <v>6447999</v>
      </c>
      <c r="BP242">
        <v>6210002</v>
      </c>
      <c r="BQ242">
        <v>12614</v>
      </c>
      <c r="BR242">
        <v>355</v>
      </c>
      <c r="BT242" s="24"/>
      <c r="BU242">
        <v>2220</v>
      </c>
      <c r="BV242">
        <v>2307</v>
      </c>
      <c r="BW242">
        <v>2291</v>
      </c>
      <c r="BX242">
        <v>27906304</v>
      </c>
      <c r="BY242">
        <v>235</v>
      </c>
      <c r="CA242" s="24"/>
      <c r="CB242">
        <v>500</v>
      </c>
      <c r="CC242">
        <v>500</v>
      </c>
      <c r="CD242">
        <v>500</v>
      </c>
      <c r="CE242">
        <v>33176096</v>
      </c>
      <c r="CF242">
        <v>209</v>
      </c>
      <c r="CH242" s="24"/>
      <c r="CI242">
        <v>22168</v>
      </c>
      <c r="CJ242">
        <v>22169</v>
      </c>
      <c r="CK242">
        <v>22168</v>
      </c>
      <c r="CL242">
        <v>2246550</v>
      </c>
      <c r="CM242">
        <v>193</v>
      </c>
      <c r="CO242" s="24"/>
      <c r="CP242">
        <v>5920</v>
      </c>
      <c r="CQ242">
        <v>6499</v>
      </c>
      <c r="CR242">
        <v>6099</v>
      </c>
      <c r="CS242">
        <v>1369960</v>
      </c>
      <c r="CT242">
        <v>335</v>
      </c>
      <c r="CV242" s="24"/>
      <c r="CW242">
        <v>1300000</v>
      </c>
      <c r="CX242">
        <v>1344800</v>
      </c>
      <c r="CY242">
        <v>1340000</v>
      </c>
      <c r="CZ242">
        <v>16620</v>
      </c>
      <c r="DA242">
        <v>46</v>
      </c>
      <c r="DC242" s="24"/>
      <c r="DD242">
        <v>509</v>
      </c>
      <c r="DE242">
        <v>524</v>
      </c>
      <c r="DF242">
        <v>523</v>
      </c>
      <c r="DG242">
        <v>43198008</v>
      </c>
      <c r="DH242">
        <v>206</v>
      </c>
      <c r="DJ242" s="24"/>
      <c r="DK242">
        <v>32942000</v>
      </c>
      <c r="DL242">
        <v>32973333</v>
      </c>
      <c r="DM242">
        <v>32942001</v>
      </c>
      <c r="DN242">
        <v>318</v>
      </c>
      <c r="DO242">
        <v>73</v>
      </c>
      <c r="DQ242" s="24"/>
      <c r="DR242">
        <v>1451001</v>
      </c>
      <c r="DS242">
        <v>1599999</v>
      </c>
      <c r="DT242">
        <v>1470021</v>
      </c>
      <c r="DU242">
        <v>7181</v>
      </c>
      <c r="DV242">
        <v>209</v>
      </c>
      <c r="DX242" s="24"/>
      <c r="DY242">
        <v>20234013</v>
      </c>
      <c r="DZ242">
        <v>21184999</v>
      </c>
      <c r="EA242">
        <v>20801002</v>
      </c>
      <c r="EB242">
        <v>493</v>
      </c>
      <c r="EC242">
        <v>92</v>
      </c>
      <c r="EE242" s="24"/>
      <c r="EF242">
        <v>172</v>
      </c>
      <c r="EG242">
        <v>179</v>
      </c>
      <c r="EH242">
        <v>172</v>
      </c>
      <c r="EI242">
        <v>81281732</v>
      </c>
      <c r="EJ242">
        <v>176</v>
      </c>
      <c r="EL242" s="24"/>
      <c r="EM242">
        <v>60105</v>
      </c>
      <c r="EN242">
        <v>60106</v>
      </c>
      <c r="EO242">
        <v>60106</v>
      </c>
      <c r="EP242">
        <v>85155</v>
      </c>
      <c r="EQ242">
        <v>671</v>
      </c>
      <c r="ES242" s="24"/>
      <c r="ET242">
        <v>300</v>
      </c>
      <c r="EU242">
        <v>327</v>
      </c>
      <c r="EV242">
        <v>319</v>
      </c>
      <c r="EW242">
        <v>52958585</v>
      </c>
      <c r="EX242">
        <v>541</v>
      </c>
      <c r="EZ242" s="24"/>
      <c r="FA242">
        <v>3064006</v>
      </c>
      <c r="FB242">
        <v>3130000</v>
      </c>
      <c r="FC242">
        <v>3064006</v>
      </c>
      <c r="FD242">
        <v>2488</v>
      </c>
      <c r="FE242">
        <v>21</v>
      </c>
      <c r="FG242" s="24"/>
      <c r="FH242">
        <v>5905</v>
      </c>
      <c r="FI242">
        <v>6289</v>
      </c>
      <c r="FJ242">
        <v>6199</v>
      </c>
      <c r="FK242">
        <v>1606005</v>
      </c>
      <c r="FL242">
        <v>416</v>
      </c>
      <c r="FN242" s="24"/>
      <c r="FO242">
        <v>22199</v>
      </c>
      <c r="FP242">
        <v>22199</v>
      </c>
      <c r="FQ242">
        <v>22199</v>
      </c>
      <c r="FR242">
        <v>90742</v>
      </c>
      <c r="FS242">
        <v>54</v>
      </c>
      <c r="FU242" s="24"/>
      <c r="FV242">
        <v>17401</v>
      </c>
      <c r="FW242">
        <v>17604</v>
      </c>
      <c r="FX242">
        <v>17600</v>
      </c>
      <c r="FY242">
        <v>329182</v>
      </c>
      <c r="FZ242">
        <v>1277</v>
      </c>
      <c r="GB242" s="24"/>
      <c r="GC242">
        <v>87005011</v>
      </c>
      <c r="GD242">
        <v>92997986</v>
      </c>
      <c r="GE242">
        <v>91742373</v>
      </c>
      <c r="GF242">
        <v>81</v>
      </c>
      <c r="GG242">
        <v>59</v>
      </c>
      <c r="GI242" s="24"/>
      <c r="GJ242">
        <v>22102000</v>
      </c>
      <c r="GK242">
        <v>22750000</v>
      </c>
      <c r="GL242">
        <v>22164000</v>
      </c>
      <c r="GM242">
        <v>473</v>
      </c>
      <c r="GN242">
        <v>82</v>
      </c>
      <c r="GP242" s="24"/>
      <c r="GQ242">
        <v>108</v>
      </c>
      <c r="GR242">
        <v>109</v>
      </c>
      <c r="GS242">
        <v>109</v>
      </c>
      <c r="GT242">
        <v>76936723</v>
      </c>
      <c r="GU242">
        <v>108</v>
      </c>
      <c r="GW242" s="24"/>
      <c r="GX242">
        <v>462</v>
      </c>
      <c r="GY242">
        <v>486</v>
      </c>
      <c r="GZ242">
        <v>479</v>
      </c>
      <c r="HA242">
        <v>53981944</v>
      </c>
      <c r="HB242">
        <v>240</v>
      </c>
      <c r="HD242" s="24"/>
      <c r="HE242">
        <v>5432</v>
      </c>
      <c r="HF242">
        <v>5779</v>
      </c>
      <c r="HG242">
        <v>5649</v>
      </c>
      <c r="HH242">
        <v>10298432</v>
      </c>
      <c r="HI242">
        <v>212</v>
      </c>
      <c r="HK242" s="24"/>
      <c r="HL242">
        <v>94000005</v>
      </c>
      <c r="HM242">
        <v>98457993</v>
      </c>
      <c r="HN242">
        <v>96154725</v>
      </c>
      <c r="HO242">
        <v>80</v>
      </c>
      <c r="HP242">
        <v>63</v>
      </c>
      <c r="HR242" s="24"/>
      <c r="HS242">
        <v>8075</v>
      </c>
      <c r="HT242">
        <v>8899</v>
      </c>
      <c r="HU242">
        <v>8253</v>
      </c>
      <c r="HV242">
        <v>1130166</v>
      </c>
      <c r="HW242">
        <v>164</v>
      </c>
      <c r="HY242" s="24"/>
      <c r="HZ242">
        <v>5253</v>
      </c>
      <c r="IA242">
        <v>5998</v>
      </c>
      <c r="IB242">
        <v>5894</v>
      </c>
      <c r="IC242">
        <v>1913318</v>
      </c>
      <c r="ID242">
        <v>377</v>
      </c>
      <c r="IF242" s="24"/>
      <c r="IG242">
        <v>2821</v>
      </c>
      <c r="IH242">
        <v>2821</v>
      </c>
      <c r="II242">
        <v>2821</v>
      </c>
      <c r="IJ242">
        <v>939467</v>
      </c>
      <c r="IK242">
        <v>118</v>
      </c>
      <c r="IM242" s="24"/>
      <c r="IN242">
        <v>88801001</v>
      </c>
      <c r="IO242">
        <v>98868991</v>
      </c>
      <c r="IP242">
        <v>96116517</v>
      </c>
      <c r="IQ242">
        <v>83</v>
      </c>
      <c r="IR242">
        <v>70</v>
      </c>
      <c r="IT242" s="24"/>
      <c r="IU242">
        <v>7318</v>
      </c>
      <c r="IV242">
        <v>7329</v>
      </c>
      <c r="IW242">
        <v>7324</v>
      </c>
      <c r="IX242">
        <v>779134</v>
      </c>
      <c r="IY242">
        <v>128</v>
      </c>
      <c r="JA242" s="24"/>
      <c r="JB242">
        <v>90500012</v>
      </c>
      <c r="JC242">
        <v>95999989</v>
      </c>
      <c r="JD242">
        <v>94126349</v>
      </c>
      <c r="JE242">
        <v>95</v>
      </c>
      <c r="JF242">
        <v>77</v>
      </c>
      <c r="JH242" s="24"/>
      <c r="JI242">
        <v>85105010</v>
      </c>
      <c r="JJ242">
        <v>96385989</v>
      </c>
      <c r="JK242">
        <v>92003390</v>
      </c>
      <c r="JL242">
        <v>54</v>
      </c>
      <c r="JM242">
        <v>45</v>
      </c>
      <c r="JO242" s="24"/>
      <c r="JP242">
        <v>97</v>
      </c>
      <c r="JQ242">
        <v>107</v>
      </c>
      <c r="JR242">
        <v>106</v>
      </c>
      <c r="JS242">
        <v>45129450</v>
      </c>
      <c r="JT242">
        <v>99</v>
      </c>
      <c r="JV242" s="24"/>
      <c r="JW242">
        <v>77</v>
      </c>
      <c r="JX242">
        <v>80</v>
      </c>
      <c r="JY242">
        <v>79</v>
      </c>
      <c r="JZ242">
        <v>57887327</v>
      </c>
      <c r="KA242">
        <v>103</v>
      </c>
      <c r="KC242" s="24"/>
      <c r="KD242">
        <v>20</v>
      </c>
      <c r="KE242">
        <v>20</v>
      </c>
      <c r="KF242">
        <v>20</v>
      </c>
      <c r="KG242">
        <v>51247939</v>
      </c>
      <c r="KH242">
        <v>327</v>
      </c>
      <c r="KJ242" s="24"/>
      <c r="KK242">
        <v>83</v>
      </c>
      <c r="KL242">
        <v>90</v>
      </c>
      <c r="KM242">
        <v>84</v>
      </c>
      <c r="KN242">
        <v>80004395</v>
      </c>
      <c r="KO242">
        <v>101</v>
      </c>
      <c r="KQ242" s="24"/>
      <c r="KR242">
        <v>134712</v>
      </c>
      <c r="KS242">
        <v>138999</v>
      </c>
      <c r="KT242">
        <v>134857</v>
      </c>
      <c r="KU242">
        <v>79551</v>
      </c>
      <c r="KV242">
        <v>639</v>
      </c>
      <c r="KX242" s="24"/>
      <c r="KY242">
        <v>558</v>
      </c>
      <c r="KZ242">
        <v>598</v>
      </c>
      <c r="LA242">
        <v>598</v>
      </c>
      <c r="LB242">
        <v>5479154</v>
      </c>
      <c r="LC242">
        <v>157</v>
      </c>
      <c r="LE242" s="24"/>
      <c r="LF242">
        <v>189504</v>
      </c>
      <c r="LG242">
        <v>194399</v>
      </c>
      <c r="LH242">
        <v>189585</v>
      </c>
      <c r="LI242">
        <v>187603</v>
      </c>
      <c r="LJ242">
        <v>945</v>
      </c>
      <c r="LL242" s="24"/>
      <c r="LM242">
        <v>81001</v>
      </c>
      <c r="LN242">
        <v>81004</v>
      </c>
      <c r="LO242">
        <v>81003</v>
      </c>
      <c r="LP242">
        <v>374874</v>
      </c>
      <c r="LQ242">
        <v>1303</v>
      </c>
      <c r="LS242" s="24"/>
      <c r="LT242">
        <v>480</v>
      </c>
      <c r="LU242">
        <v>486</v>
      </c>
      <c r="LV242">
        <v>485</v>
      </c>
      <c r="LW242">
        <v>80889193</v>
      </c>
      <c r="LX242">
        <v>365</v>
      </c>
      <c r="LZ242" s="24"/>
      <c r="MA242">
        <v>98816</v>
      </c>
      <c r="MB242">
        <v>102498</v>
      </c>
      <c r="MC242">
        <v>102299</v>
      </c>
      <c r="MD242">
        <v>965621</v>
      </c>
      <c r="ME242">
        <v>76</v>
      </c>
    </row>
    <row r="243" spans="2:343" x14ac:dyDescent="0.25">
      <c r="B243" s="24"/>
      <c r="C243">
        <v>3</v>
      </c>
      <c r="D243">
        <v>3</v>
      </c>
      <c r="E243">
        <v>3</v>
      </c>
      <c r="F243">
        <v>27373123664</v>
      </c>
      <c r="G243">
        <v>3070</v>
      </c>
      <c r="I243" s="24"/>
      <c r="J243">
        <v>4</v>
      </c>
      <c r="K243">
        <v>4</v>
      </c>
      <c r="L243">
        <v>4</v>
      </c>
      <c r="M243">
        <v>6118475629</v>
      </c>
      <c r="N243">
        <v>2245</v>
      </c>
      <c r="P243" s="24"/>
      <c r="Q243">
        <v>28</v>
      </c>
      <c r="R243">
        <v>28</v>
      </c>
      <c r="S243">
        <v>28</v>
      </c>
      <c r="T243">
        <v>2271267311</v>
      </c>
      <c r="U243">
        <v>2029</v>
      </c>
      <c r="W243" s="24"/>
      <c r="X243">
        <v>61</v>
      </c>
      <c r="Y243">
        <v>61</v>
      </c>
      <c r="Z243">
        <v>61</v>
      </c>
      <c r="AA243">
        <v>426154940</v>
      </c>
      <c r="AB243">
        <v>1713</v>
      </c>
      <c r="AD243" s="24"/>
      <c r="AE243">
        <v>389</v>
      </c>
      <c r="AF243">
        <v>390</v>
      </c>
      <c r="AG243">
        <v>389</v>
      </c>
      <c r="AH243">
        <v>110290093</v>
      </c>
      <c r="AI243">
        <v>1657</v>
      </c>
      <c r="AK243" s="24"/>
      <c r="AL243">
        <v>736</v>
      </c>
      <c r="AM243">
        <v>755</v>
      </c>
      <c r="AN243">
        <v>754</v>
      </c>
      <c r="AO243">
        <v>35170553</v>
      </c>
      <c r="AP243">
        <v>1414</v>
      </c>
      <c r="AR243" s="24"/>
      <c r="AS243">
        <v>2587</v>
      </c>
      <c r="AT243">
        <v>2690</v>
      </c>
      <c r="AU243">
        <v>2654</v>
      </c>
      <c r="AV243">
        <v>16794593</v>
      </c>
      <c r="AW243">
        <v>1414</v>
      </c>
      <c r="AY243" s="24"/>
      <c r="AZ243">
        <v>358500000</v>
      </c>
      <c r="BA243">
        <v>365342997</v>
      </c>
      <c r="BB243">
        <v>363343962</v>
      </c>
      <c r="BC243">
        <v>2602</v>
      </c>
      <c r="BD243">
        <v>1863</v>
      </c>
      <c r="BF243" s="24"/>
      <c r="BG243">
        <v>24104</v>
      </c>
      <c r="BH243">
        <v>24105</v>
      </c>
      <c r="BI243">
        <v>24105</v>
      </c>
      <c r="BJ243">
        <v>2591833</v>
      </c>
      <c r="BK243">
        <v>216</v>
      </c>
      <c r="BM243" s="24"/>
      <c r="BN243">
        <v>6231805</v>
      </c>
      <c r="BO243">
        <v>6353000</v>
      </c>
      <c r="BP243">
        <v>6300000</v>
      </c>
      <c r="BQ243">
        <v>13757</v>
      </c>
      <c r="BR243">
        <v>328</v>
      </c>
      <c r="BT243" s="24"/>
      <c r="BU243">
        <v>2301</v>
      </c>
      <c r="BV243">
        <v>2303</v>
      </c>
      <c r="BW243">
        <v>2303</v>
      </c>
      <c r="BX243">
        <v>31727453</v>
      </c>
      <c r="BY243">
        <v>310</v>
      </c>
      <c r="CA243" s="24"/>
      <c r="CB243">
        <v>500</v>
      </c>
      <c r="CC243">
        <v>500</v>
      </c>
      <c r="CD243">
        <v>500</v>
      </c>
      <c r="CE243">
        <v>57310205</v>
      </c>
      <c r="CF243">
        <v>257</v>
      </c>
      <c r="CH243" s="24"/>
      <c r="CI243">
        <v>22168</v>
      </c>
      <c r="CJ243">
        <v>22168</v>
      </c>
      <c r="CK243">
        <v>22168</v>
      </c>
      <c r="CL243">
        <v>1507016</v>
      </c>
      <c r="CM243">
        <v>173</v>
      </c>
      <c r="CO243" s="24"/>
      <c r="CP243">
        <v>6200</v>
      </c>
      <c r="CQ243">
        <v>6789</v>
      </c>
      <c r="CR243">
        <v>6543</v>
      </c>
      <c r="CS243">
        <v>1284494</v>
      </c>
      <c r="CT243">
        <v>392</v>
      </c>
      <c r="CV243" s="24"/>
      <c r="CW243">
        <v>1366999</v>
      </c>
      <c r="CX243">
        <v>1368401</v>
      </c>
      <c r="CY243">
        <v>1368401</v>
      </c>
      <c r="CZ243">
        <v>10986</v>
      </c>
      <c r="DA243">
        <v>37</v>
      </c>
      <c r="DC243" s="24"/>
      <c r="DD243">
        <v>475</v>
      </c>
      <c r="DE243">
        <v>523</v>
      </c>
      <c r="DF243">
        <v>500</v>
      </c>
      <c r="DG243">
        <v>54686732</v>
      </c>
      <c r="DH243">
        <v>209</v>
      </c>
      <c r="DJ243" s="24"/>
      <c r="DK243">
        <v>32983111</v>
      </c>
      <c r="DL243">
        <v>32984000</v>
      </c>
      <c r="DM243">
        <v>32984000</v>
      </c>
      <c r="DN243">
        <v>224</v>
      </c>
      <c r="DO243">
        <v>67</v>
      </c>
      <c r="DQ243" s="24"/>
      <c r="DR243">
        <v>1470061</v>
      </c>
      <c r="DS243">
        <v>1648999</v>
      </c>
      <c r="DT243">
        <v>1475000</v>
      </c>
      <c r="DU243">
        <v>5784</v>
      </c>
      <c r="DV243">
        <v>206</v>
      </c>
      <c r="DX243" s="24"/>
      <c r="DY243">
        <v>20677899</v>
      </c>
      <c r="DZ243">
        <v>21528001</v>
      </c>
      <c r="EA243">
        <v>20799910</v>
      </c>
      <c r="EB243">
        <v>283</v>
      </c>
      <c r="EC243">
        <v>93</v>
      </c>
      <c r="EE243" s="24"/>
      <c r="EF243">
        <v>180</v>
      </c>
      <c r="EG243">
        <v>180</v>
      </c>
      <c r="EH243">
        <v>180</v>
      </c>
      <c r="EI243">
        <v>95384283</v>
      </c>
      <c r="EJ243">
        <v>187</v>
      </c>
      <c r="EL243" s="24"/>
      <c r="EM243">
        <v>60106</v>
      </c>
      <c r="EN243">
        <v>60108</v>
      </c>
      <c r="EO243">
        <v>60107</v>
      </c>
      <c r="EP243">
        <v>82439</v>
      </c>
      <c r="EQ243">
        <v>758</v>
      </c>
      <c r="ES243" s="24"/>
      <c r="ET243">
        <v>327</v>
      </c>
      <c r="EU243">
        <v>358</v>
      </c>
      <c r="EV243">
        <v>341</v>
      </c>
      <c r="EW243">
        <v>61322117</v>
      </c>
      <c r="EX243">
        <v>698</v>
      </c>
      <c r="EZ243" s="24"/>
      <c r="FA243">
        <v>3250000</v>
      </c>
      <c r="FB243">
        <v>3344899</v>
      </c>
      <c r="FC243">
        <v>3344899</v>
      </c>
      <c r="FD243">
        <v>1331</v>
      </c>
      <c r="FE243">
        <v>18</v>
      </c>
      <c r="FG243" s="24"/>
      <c r="FH243">
        <v>6000</v>
      </c>
      <c r="FI243">
        <v>6397</v>
      </c>
      <c r="FJ243">
        <v>6379</v>
      </c>
      <c r="FK243">
        <v>1503424</v>
      </c>
      <c r="FL243">
        <v>474</v>
      </c>
      <c r="FN243" s="24"/>
      <c r="FO243">
        <v>21462</v>
      </c>
      <c r="FP243">
        <v>21492</v>
      </c>
      <c r="FQ243">
        <v>21491</v>
      </c>
      <c r="FR243">
        <v>342595</v>
      </c>
      <c r="FS243">
        <v>90</v>
      </c>
      <c r="FU243" s="24"/>
      <c r="FV243">
        <v>17607</v>
      </c>
      <c r="FW243">
        <v>17809</v>
      </c>
      <c r="FX243">
        <v>17700</v>
      </c>
      <c r="FY243">
        <v>343264</v>
      </c>
      <c r="FZ243">
        <v>1403</v>
      </c>
      <c r="GB243" s="24"/>
      <c r="GC243">
        <v>95689999</v>
      </c>
      <c r="GD243">
        <v>97999999</v>
      </c>
      <c r="GE243">
        <v>95769000</v>
      </c>
      <c r="GF243">
        <v>107</v>
      </c>
      <c r="GG243">
        <v>68</v>
      </c>
      <c r="GI243" s="24"/>
      <c r="GJ243">
        <v>22169116</v>
      </c>
      <c r="GK243">
        <v>22664000</v>
      </c>
      <c r="GL243">
        <v>22369114</v>
      </c>
      <c r="GM243">
        <v>408</v>
      </c>
      <c r="GN243">
        <v>76</v>
      </c>
      <c r="GP243" s="24"/>
      <c r="GQ243">
        <v>101</v>
      </c>
      <c r="GR243">
        <v>109</v>
      </c>
      <c r="GS243">
        <v>108</v>
      </c>
      <c r="GT243">
        <v>323420350</v>
      </c>
      <c r="GU243">
        <v>217</v>
      </c>
      <c r="GW243" s="24"/>
      <c r="GX243">
        <v>479</v>
      </c>
      <c r="GY243">
        <v>486</v>
      </c>
      <c r="GZ243">
        <v>480</v>
      </c>
      <c r="HA243">
        <v>48557312</v>
      </c>
      <c r="HB243">
        <v>268</v>
      </c>
      <c r="HD243" s="24"/>
      <c r="HE243">
        <v>5430</v>
      </c>
      <c r="HF243">
        <v>5648</v>
      </c>
      <c r="HG243">
        <v>5647</v>
      </c>
      <c r="HH243">
        <v>22746580</v>
      </c>
      <c r="HI243">
        <v>299</v>
      </c>
      <c r="HK243" s="24"/>
      <c r="HL243">
        <v>92382452</v>
      </c>
      <c r="HM243">
        <v>97999999</v>
      </c>
      <c r="HN243">
        <v>92426727</v>
      </c>
      <c r="HO243">
        <v>108</v>
      </c>
      <c r="HP243">
        <v>66</v>
      </c>
      <c r="HR243" s="24"/>
      <c r="HS243">
        <v>7780</v>
      </c>
      <c r="HT243">
        <v>8437</v>
      </c>
      <c r="HU243">
        <v>8024</v>
      </c>
      <c r="HV243">
        <v>1082436</v>
      </c>
      <c r="HW243">
        <v>189</v>
      </c>
      <c r="HY243" s="24"/>
      <c r="HZ243">
        <v>5998</v>
      </c>
      <c r="IA243">
        <v>6266</v>
      </c>
      <c r="IB243">
        <v>5999</v>
      </c>
      <c r="IC243">
        <v>1974591</v>
      </c>
      <c r="ID243">
        <v>425</v>
      </c>
      <c r="IF243" s="24"/>
      <c r="IG243">
        <v>2810</v>
      </c>
      <c r="IH243">
        <v>2811</v>
      </c>
      <c r="II243">
        <v>2810</v>
      </c>
      <c r="IJ243">
        <v>1475423</v>
      </c>
      <c r="IK243">
        <v>144</v>
      </c>
      <c r="IM243" s="24"/>
      <c r="IN243">
        <v>89053051</v>
      </c>
      <c r="IO243">
        <v>99274800</v>
      </c>
      <c r="IP243">
        <v>95654839</v>
      </c>
      <c r="IQ243">
        <v>69</v>
      </c>
      <c r="IR243">
        <v>54</v>
      </c>
      <c r="IT243" s="24"/>
      <c r="IU243">
        <v>7151</v>
      </c>
      <c r="IV243">
        <v>7327</v>
      </c>
      <c r="IW243">
        <v>7324</v>
      </c>
      <c r="IX243">
        <v>2140463</v>
      </c>
      <c r="IY243">
        <v>185</v>
      </c>
      <c r="JA243" s="24"/>
      <c r="JB243">
        <v>90003007</v>
      </c>
      <c r="JC243">
        <v>96000000</v>
      </c>
      <c r="JD243">
        <v>93661261</v>
      </c>
      <c r="JE243">
        <v>89</v>
      </c>
      <c r="JF243">
        <v>66</v>
      </c>
      <c r="JH243" s="24"/>
      <c r="JI243">
        <v>85200200</v>
      </c>
      <c r="JJ243">
        <v>96381000</v>
      </c>
      <c r="JK243">
        <v>90987086</v>
      </c>
      <c r="JL243">
        <v>50</v>
      </c>
      <c r="JM243">
        <v>37</v>
      </c>
      <c r="JO243" s="24"/>
      <c r="JP243">
        <v>106</v>
      </c>
      <c r="JQ243">
        <v>106</v>
      </c>
      <c r="JR243">
        <v>106</v>
      </c>
      <c r="JS243">
        <v>112173273</v>
      </c>
      <c r="JT243">
        <v>124</v>
      </c>
      <c r="JV243" s="24"/>
      <c r="JW243">
        <v>78</v>
      </c>
      <c r="JX243">
        <v>81</v>
      </c>
      <c r="JY243">
        <v>80</v>
      </c>
      <c r="JZ243">
        <v>145685588</v>
      </c>
      <c r="KA243">
        <v>131</v>
      </c>
      <c r="KC243" s="24"/>
      <c r="KD243">
        <v>20</v>
      </c>
      <c r="KE243">
        <v>20</v>
      </c>
      <c r="KF243">
        <v>20</v>
      </c>
      <c r="KG243">
        <v>69324670</v>
      </c>
      <c r="KH243">
        <v>352</v>
      </c>
      <c r="KJ243" s="24"/>
      <c r="KK243">
        <v>86</v>
      </c>
      <c r="KL243">
        <v>93</v>
      </c>
      <c r="KM243">
        <v>93</v>
      </c>
      <c r="KN243">
        <v>108591272</v>
      </c>
      <c r="KO243">
        <v>151</v>
      </c>
      <c r="KQ243" s="24"/>
      <c r="KR243">
        <v>134875</v>
      </c>
      <c r="KS243">
        <v>135000</v>
      </c>
      <c r="KT243">
        <v>134875</v>
      </c>
      <c r="KU243">
        <v>151044</v>
      </c>
      <c r="KV243">
        <v>764</v>
      </c>
      <c r="KX243" s="24"/>
      <c r="KY243">
        <v>597</v>
      </c>
      <c r="KZ243">
        <v>597</v>
      </c>
      <c r="LA243">
        <v>597</v>
      </c>
      <c r="LB243">
        <v>8061472</v>
      </c>
      <c r="LC243">
        <v>200</v>
      </c>
      <c r="LE243" s="24"/>
      <c r="LF243">
        <v>189701</v>
      </c>
      <c r="LG243">
        <v>191000</v>
      </c>
      <c r="LH243">
        <v>190002</v>
      </c>
      <c r="LI243">
        <v>182725</v>
      </c>
      <c r="LJ243">
        <v>1092</v>
      </c>
      <c r="LL243" s="24"/>
      <c r="LM243">
        <v>77005</v>
      </c>
      <c r="LN243">
        <v>81002</v>
      </c>
      <c r="LO243">
        <v>77544</v>
      </c>
      <c r="LP243">
        <v>407791</v>
      </c>
      <c r="LQ243">
        <v>1494</v>
      </c>
      <c r="LS243" s="24"/>
      <c r="LT243">
        <v>485</v>
      </c>
      <c r="LU243">
        <v>487</v>
      </c>
      <c r="LV243">
        <v>486</v>
      </c>
      <c r="LW243">
        <v>87618229</v>
      </c>
      <c r="LX243">
        <v>457</v>
      </c>
      <c r="LZ243" s="24"/>
      <c r="MA243">
        <v>100000</v>
      </c>
      <c r="MB243">
        <v>102498</v>
      </c>
      <c r="MC243">
        <v>102498</v>
      </c>
      <c r="MD243">
        <v>1205872</v>
      </c>
      <c r="ME243">
        <v>87</v>
      </c>
    </row>
    <row r="244" spans="2:343" x14ac:dyDescent="0.25">
      <c r="B244" s="24"/>
      <c r="C244">
        <v>3</v>
      </c>
      <c r="D244">
        <v>3</v>
      </c>
      <c r="E244">
        <v>3</v>
      </c>
      <c r="F244">
        <v>26698186288</v>
      </c>
      <c r="G244">
        <v>3135</v>
      </c>
      <c r="I244" s="24"/>
      <c r="J244">
        <v>4</v>
      </c>
      <c r="K244">
        <v>4</v>
      </c>
      <c r="L244">
        <v>4</v>
      </c>
      <c r="M244">
        <v>6502989561</v>
      </c>
      <c r="N244">
        <v>2232</v>
      </c>
      <c r="P244" s="24"/>
      <c r="Q244">
        <v>28</v>
      </c>
      <c r="R244">
        <v>28</v>
      </c>
      <c r="S244">
        <v>28</v>
      </c>
      <c r="T244">
        <v>1535208190</v>
      </c>
      <c r="U244">
        <v>2016</v>
      </c>
      <c r="W244" s="24"/>
      <c r="X244">
        <v>60</v>
      </c>
      <c r="Y244">
        <v>63</v>
      </c>
      <c r="Z244">
        <v>61</v>
      </c>
      <c r="AA244">
        <v>418762583</v>
      </c>
      <c r="AB244">
        <v>1643</v>
      </c>
      <c r="AD244" s="24"/>
      <c r="AE244">
        <v>387</v>
      </c>
      <c r="AF244">
        <v>395</v>
      </c>
      <c r="AG244">
        <v>390</v>
      </c>
      <c r="AH244">
        <v>94984402</v>
      </c>
      <c r="AI244">
        <v>1694</v>
      </c>
      <c r="AK244" s="24"/>
      <c r="AL244">
        <v>742</v>
      </c>
      <c r="AM244">
        <v>756</v>
      </c>
      <c r="AN244">
        <v>755</v>
      </c>
      <c r="AO244">
        <v>30459574</v>
      </c>
      <c r="AP244">
        <v>1370</v>
      </c>
      <c r="AR244" s="24"/>
      <c r="AS244">
        <v>2690</v>
      </c>
      <c r="AT244">
        <v>2720</v>
      </c>
      <c r="AU244">
        <v>2704</v>
      </c>
      <c r="AV244">
        <v>10943697</v>
      </c>
      <c r="AW244">
        <v>1392</v>
      </c>
      <c r="AY244" s="24"/>
      <c r="AZ244">
        <v>360000000</v>
      </c>
      <c r="BA244">
        <v>365494000</v>
      </c>
      <c r="BB244">
        <v>363972968</v>
      </c>
      <c r="BC244">
        <v>2329</v>
      </c>
      <c r="BD244">
        <v>1774</v>
      </c>
      <c r="BF244" s="24"/>
      <c r="BG244">
        <v>24104</v>
      </c>
      <c r="BH244">
        <v>25212</v>
      </c>
      <c r="BI244">
        <v>25200</v>
      </c>
      <c r="BJ244">
        <v>3636302</v>
      </c>
      <c r="BK244">
        <v>252</v>
      </c>
      <c r="BM244" s="24"/>
      <c r="BN244">
        <v>6202000</v>
      </c>
      <c r="BO244">
        <v>6232014</v>
      </c>
      <c r="BP244">
        <v>6231819</v>
      </c>
      <c r="BQ244">
        <v>13116</v>
      </c>
      <c r="BR244">
        <v>330</v>
      </c>
      <c r="BT244" s="24"/>
      <c r="BU244">
        <v>2307</v>
      </c>
      <c r="BV244">
        <v>2429</v>
      </c>
      <c r="BW244">
        <v>2428</v>
      </c>
      <c r="BX244">
        <v>17765629</v>
      </c>
      <c r="BY244">
        <v>246</v>
      </c>
      <c r="CA244" s="24"/>
      <c r="CB244">
        <v>500</v>
      </c>
      <c r="CC244">
        <v>500</v>
      </c>
      <c r="CD244">
        <v>500</v>
      </c>
      <c r="CE244">
        <v>76531946</v>
      </c>
      <c r="CF244">
        <v>280</v>
      </c>
      <c r="CH244" s="24"/>
      <c r="CI244">
        <v>22178</v>
      </c>
      <c r="CJ244">
        <v>22182</v>
      </c>
      <c r="CK244">
        <v>22182</v>
      </c>
      <c r="CL244">
        <v>767547</v>
      </c>
      <c r="CM244">
        <v>173</v>
      </c>
      <c r="CO244" s="24"/>
      <c r="CP244">
        <v>6100</v>
      </c>
      <c r="CQ244">
        <v>6749</v>
      </c>
      <c r="CR244">
        <v>6484</v>
      </c>
      <c r="CS244">
        <v>1150327</v>
      </c>
      <c r="CT244">
        <v>383</v>
      </c>
      <c r="CV244" s="24"/>
      <c r="CW244">
        <v>1350000</v>
      </c>
      <c r="CX244">
        <v>1399399</v>
      </c>
      <c r="CY244">
        <v>1370000</v>
      </c>
      <c r="CZ244">
        <v>8341</v>
      </c>
      <c r="DA244">
        <v>45</v>
      </c>
      <c r="DC244" s="24"/>
      <c r="DD244">
        <v>501</v>
      </c>
      <c r="DE244">
        <v>518</v>
      </c>
      <c r="DF244">
        <v>514</v>
      </c>
      <c r="DG244">
        <v>35950106</v>
      </c>
      <c r="DH244">
        <v>155</v>
      </c>
      <c r="DJ244" s="24"/>
      <c r="DK244">
        <v>33002118</v>
      </c>
      <c r="DL244">
        <v>33200000</v>
      </c>
      <c r="DM244">
        <v>33005002</v>
      </c>
      <c r="DN244">
        <v>367</v>
      </c>
      <c r="DO244">
        <v>91</v>
      </c>
      <c r="DQ244" s="24"/>
      <c r="DR244">
        <v>1513123</v>
      </c>
      <c r="DS244">
        <v>1649996</v>
      </c>
      <c r="DT244">
        <v>1543123</v>
      </c>
      <c r="DU244">
        <v>6988</v>
      </c>
      <c r="DV244">
        <v>227</v>
      </c>
      <c r="DX244" s="24"/>
      <c r="DY244">
        <v>21001026</v>
      </c>
      <c r="DZ244">
        <v>22600000</v>
      </c>
      <c r="EA244">
        <v>21011066</v>
      </c>
      <c r="EB244">
        <v>622</v>
      </c>
      <c r="EC244">
        <v>137</v>
      </c>
      <c r="EE244" s="24"/>
      <c r="EF244">
        <v>172</v>
      </c>
      <c r="EG244">
        <v>182</v>
      </c>
      <c r="EH244">
        <v>180</v>
      </c>
      <c r="EI244">
        <v>103841547</v>
      </c>
      <c r="EJ244">
        <v>196</v>
      </c>
      <c r="EL244" s="24"/>
      <c r="EM244">
        <v>58530</v>
      </c>
      <c r="EN244">
        <v>61899</v>
      </c>
      <c r="EO244">
        <v>60030</v>
      </c>
      <c r="EP244">
        <v>122011</v>
      </c>
      <c r="EQ244">
        <v>789</v>
      </c>
      <c r="ES244" s="24"/>
      <c r="ET244">
        <v>321</v>
      </c>
      <c r="EU244">
        <v>339</v>
      </c>
      <c r="EV244">
        <v>321</v>
      </c>
      <c r="EW244">
        <v>51348528</v>
      </c>
      <c r="EX244">
        <v>678</v>
      </c>
      <c r="EZ244" s="24"/>
      <c r="FA244">
        <v>3100001</v>
      </c>
      <c r="FB244">
        <v>3340000</v>
      </c>
      <c r="FC244">
        <v>3200000</v>
      </c>
      <c r="FD244">
        <v>894</v>
      </c>
      <c r="FE244">
        <v>18</v>
      </c>
      <c r="FG244" s="24"/>
      <c r="FH244">
        <v>6000</v>
      </c>
      <c r="FI244">
        <v>6250</v>
      </c>
      <c r="FJ244">
        <v>6248</v>
      </c>
      <c r="FK244">
        <v>1860178</v>
      </c>
      <c r="FL244">
        <v>456</v>
      </c>
      <c r="FN244" s="24"/>
      <c r="FO244">
        <v>20988</v>
      </c>
      <c r="FP244">
        <v>20999</v>
      </c>
      <c r="FQ244">
        <v>20989</v>
      </c>
      <c r="FR244">
        <v>175224</v>
      </c>
      <c r="FS244">
        <v>90</v>
      </c>
      <c r="FU244" s="24"/>
      <c r="FV244">
        <v>17305</v>
      </c>
      <c r="FW244">
        <v>17505</v>
      </c>
      <c r="FX244">
        <v>17501</v>
      </c>
      <c r="FY244">
        <v>413844</v>
      </c>
      <c r="FZ244">
        <v>1447</v>
      </c>
      <c r="GB244" s="24"/>
      <c r="GC244">
        <v>89400010</v>
      </c>
      <c r="GD244">
        <v>97999999</v>
      </c>
      <c r="GE244">
        <v>94000099</v>
      </c>
      <c r="GF244">
        <v>140</v>
      </c>
      <c r="GG244">
        <v>92</v>
      </c>
      <c r="GI244" s="24"/>
      <c r="GJ244">
        <v>22179111</v>
      </c>
      <c r="GK244">
        <v>23400898</v>
      </c>
      <c r="GL244">
        <v>22969111</v>
      </c>
      <c r="GM244">
        <v>846</v>
      </c>
      <c r="GN244">
        <v>103</v>
      </c>
      <c r="GP244" s="24"/>
      <c r="GQ244">
        <v>99</v>
      </c>
      <c r="GR244">
        <v>108</v>
      </c>
      <c r="GS244">
        <v>106</v>
      </c>
      <c r="GT244">
        <v>108972647</v>
      </c>
      <c r="GU244">
        <v>130</v>
      </c>
      <c r="GW244" s="24"/>
      <c r="GX244">
        <v>470</v>
      </c>
      <c r="GY244">
        <v>489</v>
      </c>
      <c r="GZ244">
        <v>485</v>
      </c>
      <c r="HA244">
        <v>54651198</v>
      </c>
      <c r="HB244">
        <v>254</v>
      </c>
      <c r="HD244" s="24"/>
      <c r="HE244">
        <v>5769</v>
      </c>
      <c r="HF244">
        <v>5770</v>
      </c>
      <c r="HG244">
        <v>5770</v>
      </c>
      <c r="HH244">
        <v>12560300</v>
      </c>
      <c r="HI244">
        <v>249</v>
      </c>
      <c r="HK244" s="24"/>
      <c r="HL244">
        <v>91000002</v>
      </c>
      <c r="HM244">
        <v>96999999</v>
      </c>
      <c r="HN244">
        <v>91000004</v>
      </c>
      <c r="HO244">
        <v>133</v>
      </c>
      <c r="HP244">
        <v>82</v>
      </c>
      <c r="HR244" s="24"/>
      <c r="HS244">
        <v>7500</v>
      </c>
      <c r="HT244">
        <v>7898</v>
      </c>
      <c r="HU244">
        <v>7780</v>
      </c>
      <c r="HV244">
        <v>825171</v>
      </c>
      <c r="HW244">
        <v>169</v>
      </c>
      <c r="HY244" s="24"/>
      <c r="HZ244">
        <v>5753</v>
      </c>
      <c r="IA244">
        <v>6264</v>
      </c>
      <c r="IB244">
        <v>5998</v>
      </c>
      <c r="IC244">
        <v>2409772</v>
      </c>
      <c r="ID244">
        <v>464</v>
      </c>
      <c r="IF244" s="24"/>
      <c r="IG244">
        <v>2637</v>
      </c>
      <c r="IH244">
        <v>2810</v>
      </c>
      <c r="II244">
        <v>2810</v>
      </c>
      <c r="IJ244">
        <v>2208363</v>
      </c>
      <c r="IK244">
        <v>155</v>
      </c>
      <c r="IM244" s="24"/>
      <c r="IN244">
        <v>92000020</v>
      </c>
      <c r="IO244">
        <v>99274800</v>
      </c>
      <c r="IP244">
        <v>93005001</v>
      </c>
      <c r="IQ244">
        <v>138</v>
      </c>
      <c r="IR244">
        <v>80</v>
      </c>
      <c r="IT244" s="24"/>
      <c r="IU244">
        <v>7324</v>
      </c>
      <c r="IV244">
        <v>7324</v>
      </c>
      <c r="IW244">
        <v>7324</v>
      </c>
      <c r="IX244">
        <v>1118849</v>
      </c>
      <c r="IY244">
        <v>153</v>
      </c>
      <c r="JA244" s="24"/>
      <c r="JB244">
        <v>92003009</v>
      </c>
      <c r="JC244">
        <v>97299999</v>
      </c>
      <c r="JD244">
        <v>92003011</v>
      </c>
      <c r="JE244">
        <v>147</v>
      </c>
      <c r="JF244">
        <v>97</v>
      </c>
      <c r="JH244" s="24"/>
      <c r="JI244">
        <v>85205205</v>
      </c>
      <c r="JJ244">
        <v>94999999</v>
      </c>
      <c r="JK244">
        <v>89663450</v>
      </c>
      <c r="JL244">
        <v>66</v>
      </c>
      <c r="JM244">
        <v>44</v>
      </c>
      <c r="JO244" s="24"/>
      <c r="JP244">
        <v>110</v>
      </c>
      <c r="JQ244">
        <v>124</v>
      </c>
      <c r="JR244">
        <v>122</v>
      </c>
      <c r="JS244">
        <v>100693491</v>
      </c>
      <c r="JT244">
        <v>137</v>
      </c>
      <c r="JV244" s="24"/>
      <c r="JW244">
        <v>84</v>
      </c>
      <c r="JX244">
        <v>84</v>
      </c>
      <c r="JY244">
        <v>84</v>
      </c>
      <c r="JZ244">
        <v>81823552</v>
      </c>
      <c r="KA244">
        <v>108</v>
      </c>
      <c r="KC244" s="24"/>
      <c r="KD244">
        <v>20</v>
      </c>
      <c r="KE244">
        <v>21</v>
      </c>
      <c r="KF244">
        <v>20</v>
      </c>
      <c r="KG244">
        <v>54333961</v>
      </c>
      <c r="KH244">
        <v>336</v>
      </c>
      <c r="KJ244" s="24"/>
      <c r="KK244">
        <v>88</v>
      </c>
      <c r="KL244">
        <v>94</v>
      </c>
      <c r="KM244">
        <v>93</v>
      </c>
      <c r="KN244">
        <v>158971021</v>
      </c>
      <c r="KO244">
        <v>133</v>
      </c>
      <c r="KQ244" s="24"/>
      <c r="KR244">
        <v>132111</v>
      </c>
      <c r="KS244">
        <v>136899</v>
      </c>
      <c r="KT244">
        <v>135000</v>
      </c>
      <c r="KU244">
        <v>92756</v>
      </c>
      <c r="KV244">
        <v>773</v>
      </c>
      <c r="KX244" s="24"/>
      <c r="KY244">
        <v>575</v>
      </c>
      <c r="KZ244">
        <v>598</v>
      </c>
      <c r="LA244">
        <v>598</v>
      </c>
      <c r="LB244">
        <v>5490006</v>
      </c>
      <c r="LC244">
        <v>188</v>
      </c>
      <c r="LE244" s="24"/>
      <c r="LF244">
        <v>191111</v>
      </c>
      <c r="LG244">
        <v>197298</v>
      </c>
      <c r="LH244">
        <v>195165</v>
      </c>
      <c r="LI244">
        <v>180032</v>
      </c>
      <c r="LJ244">
        <v>1076</v>
      </c>
      <c r="LL244" s="24"/>
      <c r="LM244">
        <v>77500</v>
      </c>
      <c r="LN244">
        <v>79004</v>
      </c>
      <c r="LO244">
        <v>79001</v>
      </c>
      <c r="LP244">
        <v>339793</v>
      </c>
      <c r="LQ244">
        <v>1493</v>
      </c>
      <c r="LS244" s="24"/>
      <c r="LT244">
        <v>487</v>
      </c>
      <c r="LU244">
        <v>487</v>
      </c>
      <c r="LV244">
        <v>487</v>
      </c>
      <c r="LW244">
        <v>94899927</v>
      </c>
      <c r="LX244">
        <v>442</v>
      </c>
      <c r="LZ244" s="24"/>
      <c r="MA244">
        <v>88003</v>
      </c>
      <c r="MB244">
        <v>100000</v>
      </c>
      <c r="MC244">
        <v>98127</v>
      </c>
      <c r="MD244">
        <v>1869249</v>
      </c>
      <c r="ME244">
        <v>130</v>
      </c>
    </row>
    <row r="245" spans="2:343" x14ac:dyDescent="0.25">
      <c r="B245" s="24"/>
      <c r="C245">
        <v>3</v>
      </c>
      <c r="D245">
        <v>3</v>
      </c>
      <c r="E245">
        <v>3</v>
      </c>
      <c r="F245">
        <v>24062147460</v>
      </c>
      <c r="G245">
        <v>2793</v>
      </c>
      <c r="I245" s="24"/>
      <c r="J245">
        <v>4</v>
      </c>
      <c r="K245">
        <v>4</v>
      </c>
      <c r="L245">
        <v>4</v>
      </c>
      <c r="M245">
        <v>6563593770</v>
      </c>
      <c r="N245">
        <v>1986</v>
      </c>
      <c r="P245" s="24"/>
      <c r="Q245">
        <v>27</v>
      </c>
      <c r="R245">
        <v>28</v>
      </c>
      <c r="S245">
        <v>28</v>
      </c>
      <c r="T245">
        <v>1151758121</v>
      </c>
      <c r="U245">
        <v>1856</v>
      </c>
      <c r="W245" s="24"/>
      <c r="X245">
        <v>60</v>
      </c>
      <c r="Y245">
        <v>62</v>
      </c>
      <c r="Z245">
        <v>62</v>
      </c>
      <c r="AA245">
        <v>217447380</v>
      </c>
      <c r="AB245">
        <v>1544</v>
      </c>
      <c r="AD245" s="24"/>
      <c r="AE245">
        <v>381</v>
      </c>
      <c r="AF245">
        <v>390</v>
      </c>
      <c r="AG245">
        <v>388</v>
      </c>
      <c r="AH245">
        <v>74416294</v>
      </c>
      <c r="AI245">
        <v>1549</v>
      </c>
      <c r="AK245" s="24"/>
      <c r="AL245">
        <v>731</v>
      </c>
      <c r="AM245">
        <v>752</v>
      </c>
      <c r="AN245">
        <v>738</v>
      </c>
      <c r="AO245">
        <v>40952379</v>
      </c>
      <c r="AP245">
        <v>1288</v>
      </c>
      <c r="AR245" s="24"/>
      <c r="AS245">
        <v>2604</v>
      </c>
      <c r="AT245">
        <v>2702</v>
      </c>
      <c r="AU245">
        <v>2640</v>
      </c>
      <c r="AV245">
        <v>11861518</v>
      </c>
      <c r="AW245">
        <v>1230</v>
      </c>
      <c r="AY245" s="24"/>
      <c r="AZ245">
        <v>359832052</v>
      </c>
      <c r="BA245">
        <v>365597750</v>
      </c>
      <c r="BB245">
        <v>364000000</v>
      </c>
      <c r="BC245">
        <v>2465</v>
      </c>
      <c r="BD245">
        <v>1558</v>
      </c>
      <c r="BF245" s="24"/>
      <c r="BG245">
        <v>25451</v>
      </c>
      <c r="BH245">
        <v>25800</v>
      </c>
      <c r="BI245">
        <v>25750</v>
      </c>
      <c r="BJ245">
        <v>3350490</v>
      </c>
      <c r="BK245">
        <v>265</v>
      </c>
      <c r="BM245" s="24"/>
      <c r="BN245">
        <v>6201044</v>
      </c>
      <c r="BO245">
        <v>6480447</v>
      </c>
      <c r="BP245">
        <v>6202002</v>
      </c>
      <c r="BQ245">
        <v>13804</v>
      </c>
      <c r="BR245">
        <v>368</v>
      </c>
      <c r="BT245" s="24"/>
      <c r="BU245">
        <v>2398</v>
      </c>
      <c r="BV245">
        <v>2429</v>
      </c>
      <c r="BW245">
        <v>2409</v>
      </c>
      <c r="BX245">
        <v>24054093</v>
      </c>
      <c r="BY245">
        <v>228</v>
      </c>
      <c r="CA245" s="24"/>
      <c r="CB245">
        <v>503</v>
      </c>
      <c r="CC245">
        <v>503</v>
      </c>
      <c r="CD245">
        <v>503</v>
      </c>
      <c r="CE245">
        <v>52134848</v>
      </c>
      <c r="CF245">
        <v>225</v>
      </c>
      <c r="CH245" s="24"/>
      <c r="CI245">
        <v>22186</v>
      </c>
      <c r="CJ245">
        <v>22188</v>
      </c>
      <c r="CK245">
        <v>22187</v>
      </c>
      <c r="CL245">
        <v>1947954</v>
      </c>
      <c r="CM245">
        <v>199</v>
      </c>
      <c r="CO245" s="24"/>
      <c r="CP245">
        <v>6100</v>
      </c>
      <c r="CQ245">
        <v>6299</v>
      </c>
      <c r="CR245">
        <v>6224</v>
      </c>
      <c r="CS245">
        <v>1014890</v>
      </c>
      <c r="CT245">
        <v>315</v>
      </c>
      <c r="CV245" s="24"/>
      <c r="CW245">
        <v>1345988</v>
      </c>
      <c r="CX245">
        <v>1377988</v>
      </c>
      <c r="CY245">
        <v>1360007</v>
      </c>
      <c r="CZ245">
        <v>10028</v>
      </c>
      <c r="DA245">
        <v>37</v>
      </c>
      <c r="DC245" s="24"/>
      <c r="DD245">
        <v>508</v>
      </c>
      <c r="DE245">
        <v>508</v>
      </c>
      <c r="DF245">
        <v>508</v>
      </c>
      <c r="DG245">
        <v>41851553</v>
      </c>
      <c r="DH245">
        <v>184</v>
      </c>
      <c r="DJ245" s="24"/>
      <c r="DK245">
        <v>33006095</v>
      </c>
      <c r="DL245">
        <v>33006096</v>
      </c>
      <c r="DM245">
        <v>33006095</v>
      </c>
      <c r="DN245">
        <v>765</v>
      </c>
      <c r="DO245">
        <v>92</v>
      </c>
      <c r="DQ245" s="24"/>
      <c r="DR245">
        <v>1474400</v>
      </c>
      <c r="DS245">
        <v>1500000</v>
      </c>
      <c r="DT245">
        <v>1475402</v>
      </c>
      <c r="DU245">
        <v>8052</v>
      </c>
      <c r="DV245">
        <v>231</v>
      </c>
      <c r="DX245" s="24"/>
      <c r="DY245">
        <v>21017006</v>
      </c>
      <c r="DZ245">
        <v>22499999</v>
      </c>
      <c r="EA245">
        <v>21017072</v>
      </c>
      <c r="EB245">
        <v>489</v>
      </c>
      <c r="EC245">
        <v>107</v>
      </c>
      <c r="EE245" s="24"/>
      <c r="EF245">
        <v>175</v>
      </c>
      <c r="EG245">
        <v>182</v>
      </c>
      <c r="EH245">
        <v>180</v>
      </c>
      <c r="EI245">
        <v>87259397</v>
      </c>
      <c r="EJ245">
        <v>168</v>
      </c>
      <c r="EL245" s="24"/>
      <c r="EM245">
        <v>59997</v>
      </c>
      <c r="EN245">
        <v>60029</v>
      </c>
      <c r="EO245">
        <v>60000</v>
      </c>
      <c r="EP245">
        <v>55412</v>
      </c>
      <c r="EQ245">
        <v>710</v>
      </c>
      <c r="ES245" s="24"/>
      <c r="ET245">
        <v>305</v>
      </c>
      <c r="EU245">
        <v>321</v>
      </c>
      <c r="EV245">
        <v>314</v>
      </c>
      <c r="EW245">
        <v>66097902</v>
      </c>
      <c r="EX245">
        <v>517</v>
      </c>
      <c r="EZ245" s="24"/>
      <c r="FA245">
        <v>3100002</v>
      </c>
      <c r="FB245">
        <v>3288002</v>
      </c>
      <c r="FC245">
        <v>3288000</v>
      </c>
      <c r="FD245">
        <v>3697</v>
      </c>
      <c r="FE245">
        <v>38</v>
      </c>
      <c r="FG245" s="24"/>
      <c r="FH245">
        <v>6020</v>
      </c>
      <c r="FI245">
        <v>6365</v>
      </c>
      <c r="FJ245">
        <v>6162</v>
      </c>
      <c r="FK245">
        <v>1475647</v>
      </c>
      <c r="FL245">
        <v>400</v>
      </c>
      <c r="FN245" s="24"/>
      <c r="FO245">
        <v>20080</v>
      </c>
      <c r="FP245">
        <v>21484</v>
      </c>
      <c r="FQ245">
        <v>20080</v>
      </c>
      <c r="FR245">
        <v>568553</v>
      </c>
      <c r="FS245">
        <v>79</v>
      </c>
      <c r="FU245" s="24"/>
      <c r="FV245">
        <v>17504</v>
      </c>
      <c r="FW245">
        <v>17506</v>
      </c>
      <c r="FX245">
        <v>17506</v>
      </c>
      <c r="FY245">
        <v>355222</v>
      </c>
      <c r="FZ245">
        <v>1307</v>
      </c>
      <c r="GB245" s="24"/>
      <c r="GC245">
        <v>91889992</v>
      </c>
      <c r="GD245">
        <v>93390001</v>
      </c>
      <c r="GE245">
        <v>92463486</v>
      </c>
      <c r="GF245">
        <v>47</v>
      </c>
      <c r="GG245">
        <v>41</v>
      </c>
      <c r="GI245" s="24"/>
      <c r="GJ245">
        <v>22178004</v>
      </c>
      <c r="GK245">
        <v>22300000</v>
      </c>
      <c r="GL245">
        <v>22178802</v>
      </c>
      <c r="GM245">
        <v>970</v>
      </c>
      <c r="GN245">
        <v>122</v>
      </c>
      <c r="GP245" s="24"/>
      <c r="GQ245">
        <v>101</v>
      </c>
      <c r="GR245">
        <v>105</v>
      </c>
      <c r="GS245">
        <v>104</v>
      </c>
      <c r="GT245">
        <v>112139690</v>
      </c>
      <c r="GU245">
        <v>133</v>
      </c>
      <c r="GW245" s="24"/>
      <c r="GX245">
        <v>470</v>
      </c>
      <c r="GY245">
        <v>489</v>
      </c>
      <c r="GZ245">
        <v>488</v>
      </c>
      <c r="HA245">
        <v>50637228</v>
      </c>
      <c r="HB245">
        <v>218</v>
      </c>
      <c r="HD245" s="24"/>
      <c r="HE245">
        <v>5639</v>
      </c>
      <c r="HF245">
        <v>5763</v>
      </c>
      <c r="HG245">
        <v>5761</v>
      </c>
      <c r="HH245">
        <v>16194922</v>
      </c>
      <c r="HI245">
        <v>280</v>
      </c>
      <c r="HK245" s="24"/>
      <c r="HL245">
        <v>92000000</v>
      </c>
      <c r="HM245">
        <v>96514999</v>
      </c>
      <c r="HN245">
        <v>94952363</v>
      </c>
      <c r="HO245">
        <v>55</v>
      </c>
      <c r="HP245">
        <v>45</v>
      </c>
      <c r="HR245" s="24"/>
      <c r="HS245">
        <v>7805</v>
      </c>
      <c r="HT245">
        <v>7844</v>
      </c>
      <c r="HU245">
        <v>7805</v>
      </c>
      <c r="HV245">
        <v>527347</v>
      </c>
      <c r="HW245">
        <v>96</v>
      </c>
      <c r="HY245" s="24"/>
      <c r="HZ245">
        <v>5765</v>
      </c>
      <c r="IA245">
        <v>6199</v>
      </c>
      <c r="IB245">
        <v>6174</v>
      </c>
      <c r="IC245">
        <v>1834426</v>
      </c>
      <c r="ID245">
        <v>365</v>
      </c>
      <c r="IF245" s="24"/>
      <c r="IG245">
        <v>2712</v>
      </c>
      <c r="IH245">
        <v>2810</v>
      </c>
      <c r="II245">
        <v>2810</v>
      </c>
      <c r="IJ245">
        <v>1924995</v>
      </c>
      <c r="IK245">
        <v>136</v>
      </c>
      <c r="IM245" s="24"/>
      <c r="IN245">
        <v>92000003</v>
      </c>
      <c r="IO245">
        <v>96500000</v>
      </c>
      <c r="IP245">
        <v>94000001</v>
      </c>
      <c r="IQ245">
        <v>116</v>
      </c>
      <c r="IR245">
        <v>78</v>
      </c>
      <c r="IT245" s="24"/>
      <c r="IU245">
        <v>7324</v>
      </c>
      <c r="IV245">
        <v>7400</v>
      </c>
      <c r="IW245">
        <v>7344</v>
      </c>
      <c r="IX245">
        <v>1399868</v>
      </c>
      <c r="IY245">
        <v>129</v>
      </c>
      <c r="JA245" s="24"/>
      <c r="JB245">
        <v>90011000</v>
      </c>
      <c r="JC245">
        <v>95999988</v>
      </c>
      <c r="JD245">
        <v>92003009</v>
      </c>
      <c r="JE245">
        <v>112</v>
      </c>
      <c r="JF245">
        <v>76</v>
      </c>
      <c r="JH245" s="24"/>
      <c r="JI245">
        <v>90000003</v>
      </c>
      <c r="JJ245">
        <v>96334000</v>
      </c>
      <c r="JK245">
        <v>94038976</v>
      </c>
      <c r="JL245">
        <v>42</v>
      </c>
      <c r="JM245">
        <v>34</v>
      </c>
      <c r="JO245" s="24"/>
      <c r="JP245">
        <v>108</v>
      </c>
      <c r="JQ245">
        <v>124</v>
      </c>
      <c r="JR245">
        <v>124</v>
      </c>
      <c r="JS245">
        <v>75404195</v>
      </c>
      <c r="JT245">
        <v>87</v>
      </c>
      <c r="JV245" s="24"/>
      <c r="JW245">
        <v>82</v>
      </c>
      <c r="JX245">
        <v>89</v>
      </c>
      <c r="JY245">
        <v>86</v>
      </c>
      <c r="JZ245">
        <v>102750560</v>
      </c>
      <c r="KA245">
        <v>88</v>
      </c>
      <c r="KC245" s="24"/>
      <c r="KD245">
        <v>20</v>
      </c>
      <c r="KE245">
        <v>20</v>
      </c>
      <c r="KF245">
        <v>20</v>
      </c>
      <c r="KG245">
        <v>57840388</v>
      </c>
      <c r="KH245">
        <v>295</v>
      </c>
      <c r="KJ245" s="24"/>
      <c r="KK245">
        <v>88</v>
      </c>
      <c r="KL245">
        <v>93</v>
      </c>
      <c r="KM245">
        <v>92</v>
      </c>
      <c r="KN245">
        <v>133313393</v>
      </c>
      <c r="KO245">
        <v>132</v>
      </c>
      <c r="KQ245" s="24"/>
      <c r="KR245">
        <v>134275</v>
      </c>
      <c r="KS245">
        <v>135000</v>
      </c>
      <c r="KT245">
        <v>134500</v>
      </c>
      <c r="KU245">
        <v>117488</v>
      </c>
      <c r="KV245">
        <v>715</v>
      </c>
      <c r="KX245" s="24"/>
      <c r="KY245">
        <v>590</v>
      </c>
      <c r="KZ245">
        <v>598</v>
      </c>
      <c r="LA245">
        <v>598</v>
      </c>
      <c r="LB245">
        <v>5511926</v>
      </c>
      <c r="LC245">
        <v>160</v>
      </c>
      <c r="LE245" s="24"/>
      <c r="LF245">
        <v>194000</v>
      </c>
      <c r="LG245">
        <v>195165</v>
      </c>
      <c r="LH245">
        <v>195000</v>
      </c>
      <c r="LI245">
        <v>307193</v>
      </c>
      <c r="LJ245">
        <v>978</v>
      </c>
      <c r="LL245" s="24"/>
      <c r="LM245">
        <v>77601</v>
      </c>
      <c r="LN245">
        <v>78001</v>
      </c>
      <c r="LO245">
        <v>78000</v>
      </c>
      <c r="LP245">
        <v>373257</v>
      </c>
      <c r="LQ245">
        <v>1310</v>
      </c>
      <c r="LS245" s="24"/>
      <c r="LT245">
        <v>480</v>
      </c>
      <c r="LU245">
        <v>488</v>
      </c>
      <c r="LV245">
        <v>487</v>
      </c>
      <c r="LW245">
        <v>79710380</v>
      </c>
      <c r="LX245">
        <v>359</v>
      </c>
      <c r="LZ245" s="24"/>
      <c r="MA245">
        <v>94601</v>
      </c>
      <c r="MB245">
        <v>102278</v>
      </c>
      <c r="MC245">
        <v>101500</v>
      </c>
      <c r="MD245">
        <v>872404</v>
      </c>
      <c r="ME245">
        <v>96</v>
      </c>
    </row>
    <row r="246" spans="2:343" x14ac:dyDescent="0.25">
      <c r="B246" s="24"/>
      <c r="C246">
        <v>3</v>
      </c>
      <c r="D246">
        <v>3</v>
      </c>
      <c r="E246">
        <v>3</v>
      </c>
      <c r="F246">
        <v>27987157763</v>
      </c>
      <c r="G246">
        <v>2787</v>
      </c>
      <c r="I246" s="24"/>
      <c r="J246">
        <v>4</v>
      </c>
      <c r="K246">
        <v>4</v>
      </c>
      <c r="L246">
        <v>4</v>
      </c>
      <c r="M246">
        <v>6325736942</v>
      </c>
      <c r="N246">
        <v>1935</v>
      </c>
      <c r="P246" s="24"/>
      <c r="Q246">
        <v>27</v>
      </c>
      <c r="R246">
        <v>28</v>
      </c>
      <c r="S246">
        <v>28</v>
      </c>
      <c r="T246">
        <v>1783769804</v>
      </c>
      <c r="U246">
        <v>1784</v>
      </c>
      <c r="W246" s="24"/>
      <c r="X246">
        <v>60</v>
      </c>
      <c r="Y246">
        <v>62</v>
      </c>
      <c r="Z246">
        <v>60</v>
      </c>
      <c r="AA246">
        <v>377499855</v>
      </c>
      <c r="AB246">
        <v>1390</v>
      </c>
      <c r="AD246" s="24"/>
      <c r="AE246">
        <v>381</v>
      </c>
      <c r="AF246">
        <v>389</v>
      </c>
      <c r="AG246">
        <v>382</v>
      </c>
      <c r="AH246">
        <v>115832413</v>
      </c>
      <c r="AI246">
        <v>1460</v>
      </c>
      <c r="AK246" s="24"/>
      <c r="AL246">
        <v>727</v>
      </c>
      <c r="AM246">
        <v>750</v>
      </c>
      <c r="AN246">
        <v>727</v>
      </c>
      <c r="AO246">
        <v>41036200</v>
      </c>
      <c r="AP246">
        <v>1151</v>
      </c>
      <c r="AR246" s="24"/>
      <c r="AS246">
        <v>2600</v>
      </c>
      <c r="AT246">
        <v>2689</v>
      </c>
      <c r="AU246">
        <v>2646</v>
      </c>
      <c r="AV246">
        <v>14654517</v>
      </c>
      <c r="AW246">
        <v>1098</v>
      </c>
      <c r="AY246" s="24"/>
      <c r="AZ246">
        <v>359513305</v>
      </c>
      <c r="BA246">
        <v>365043000</v>
      </c>
      <c r="BB246">
        <v>364499948</v>
      </c>
      <c r="BC246">
        <v>2410</v>
      </c>
      <c r="BD246">
        <v>1564</v>
      </c>
      <c r="BF246" s="24"/>
      <c r="BG246">
        <v>25482</v>
      </c>
      <c r="BH246">
        <v>25482</v>
      </c>
      <c r="BI246">
        <v>25482</v>
      </c>
      <c r="BJ246">
        <v>2685894</v>
      </c>
      <c r="BK246">
        <v>194</v>
      </c>
      <c r="BM246" s="24"/>
      <c r="BN246">
        <v>6304000</v>
      </c>
      <c r="BO246">
        <v>6305000</v>
      </c>
      <c r="BP246">
        <v>6304012</v>
      </c>
      <c r="BQ246">
        <v>10988</v>
      </c>
      <c r="BR246">
        <v>313</v>
      </c>
      <c r="BT246" s="24"/>
      <c r="BU246">
        <v>2260</v>
      </c>
      <c r="BV246">
        <v>2339</v>
      </c>
      <c r="BW246">
        <v>2290</v>
      </c>
      <c r="BX246">
        <v>21636247</v>
      </c>
      <c r="BY246">
        <v>206</v>
      </c>
      <c r="CA246" s="24"/>
      <c r="CB246">
        <v>502</v>
      </c>
      <c r="CC246">
        <v>502</v>
      </c>
      <c r="CD246">
        <v>502</v>
      </c>
      <c r="CE246">
        <v>50515247</v>
      </c>
      <c r="CF246">
        <v>235</v>
      </c>
      <c r="CH246" s="24"/>
      <c r="CI246">
        <v>22191</v>
      </c>
      <c r="CJ246">
        <v>22191</v>
      </c>
      <c r="CK246">
        <v>22191</v>
      </c>
      <c r="CL246">
        <v>826108</v>
      </c>
      <c r="CM246">
        <v>154</v>
      </c>
      <c r="CO246" s="24"/>
      <c r="CP246">
        <v>6205</v>
      </c>
      <c r="CQ246">
        <v>6950</v>
      </c>
      <c r="CR246">
        <v>6484</v>
      </c>
      <c r="CS246">
        <v>1265019</v>
      </c>
      <c r="CT246">
        <v>342</v>
      </c>
      <c r="CV246" s="24"/>
      <c r="CW246">
        <v>1321000</v>
      </c>
      <c r="CX246">
        <v>1377797</v>
      </c>
      <c r="CY246">
        <v>1375998</v>
      </c>
      <c r="CZ246">
        <v>7206</v>
      </c>
      <c r="DA246">
        <v>31</v>
      </c>
      <c r="DC246" s="24"/>
      <c r="DD246">
        <v>493</v>
      </c>
      <c r="DE246">
        <v>508</v>
      </c>
      <c r="DF246">
        <v>508</v>
      </c>
      <c r="DG246">
        <v>36282076</v>
      </c>
      <c r="DH246">
        <v>209</v>
      </c>
      <c r="DJ246" s="24"/>
      <c r="DK246">
        <v>33006095</v>
      </c>
      <c r="DL246">
        <v>33007111</v>
      </c>
      <c r="DM246">
        <v>33006096</v>
      </c>
      <c r="DN246">
        <v>382</v>
      </c>
      <c r="DO246">
        <v>66</v>
      </c>
      <c r="DQ246" s="24"/>
      <c r="DR246">
        <v>1476000</v>
      </c>
      <c r="DS246">
        <v>1560000</v>
      </c>
      <c r="DT246">
        <v>1476657</v>
      </c>
      <c r="DU246">
        <v>8911</v>
      </c>
      <c r="DV246">
        <v>192</v>
      </c>
      <c r="DX246" s="24"/>
      <c r="DY246">
        <v>21018093</v>
      </c>
      <c r="DZ246">
        <v>24949999</v>
      </c>
      <c r="EA246">
        <v>21020003</v>
      </c>
      <c r="EB246">
        <v>594</v>
      </c>
      <c r="EC246">
        <v>93</v>
      </c>
      <c r="EE246" s="24"/>
      <c r="EF246">
        <v>175</v>
      </c>
      <c r="EG246">
        <v>182</v>
      </c>
      <c r="EH246">
        <v>178</v>
      </c>
      <c r="EI246">
        <v>48641812</v>
      </c>
      <c r="EJ246">
        <v>150</v>
      </c>
      <c r="EL246" s="24"/>
      <c r="EM246">
        <v>59002</v>
      </c>
      <c r="EN246">
        <v>59011</v>
      </c>
      <c r="EO246">
        <v>59003</v>
      </c>
      <c r="EP246">
        <v>60501</v>
      </c>
      <c r="EQ246">
        <v>632</v>
      </c>
      <c r="ES246" s="24"/>
      <c r="ET246">
        <v>313</v>
      </c>
      <c r="EU246">
        <v>338</v>
      </c>
      <c r="EV246">
        <v>336</v>
      </c>
      <c r="EW246">
        <v>42684167</v>
      </c>
      <c r="EX246">
        <v>505</v>
      </c>
      <c r="EZ246" s="24"/>
      <c r="FA246">
        <v>3273999</v>
      </c>
      <c r="FB246">
        <v>3274000</v>
      </c>
      <c r="FC246">
        <v>3274000</v>
      </c>
      <c r="FD246">
        <v>1313</v>
      </c>
      <c r="FE246">
        <v>18</v>
      </c>
      <c r="FG246" s="24"/>
      <c r="FH246">
        <v>6022</v>
      </c>
      <c r="FI246">
        <v>6360</v>
      </c>
      <c r="FJ246">
        <v>6349</v>
      </c>
      <c r="FK246">
        <v>1865929</v>
      </c>
      <c r="FL246">
        <v>351</v>
      </c>
      <c r="FN246" s="24"/>
      <c r="FO246">
        <v>22200</v>
      </c>
      <c r="FP246">
        <v>23999</v>
      </c>
      <c r="FQ246">
        <v>22200</v>
      </c>
      <c r="FR246">
        <v>186924</v>
      </c>
      <c r="FS246">
        <v>73</v>
      </c>
      <c r="FU246" s="24"/>
      <c r="FV246">
        <v>17325</v>
      </c>
      <c r="FW246">
        <v>17404</v>
      </c>
      <c r="FX246">
        <v>17399</v>
      </c>
      <c r="FY246">
        <v>289006</v>
      </c>
      <c r="FZ246">
        <v>1151</v>
      </c>
      <c r="GB246" s="24"/>
      <c r="GC246">
        <v>89504001</v>
      </c>
      <c r="GD246">
        <v>98317999</v>
      </c>
      <c r="GE246">
        <v>92540000</v>
      </c>
      <c r="GF246">
        <v>101</v>
      </c>
      <c r="GG246">
        <v>65</v>
      </c>
      <c r="GI246" s="24"/>
      <c r="GJ246">
        <v>22178006</v>
      </c>
      <c r="GK246">
        <v>22178006</v>
      </c>
      <c r="GL246">
        <v>22178006</v>
      </c>
      <c r="GM246">
        <v>490</v>
      </c>
      <c r="GN246">
        <v>76</v>
      </c>
      <c r="GP246" s="24"/>
      <c r="GQ246">
        <v>101</v>
      </c>
      <c r="GR246">
        <v>102</v>
      </c>
      <c r="GS246">
        <v>101</v>
      </c>
      <c r="GT246">
        <v>189284224</v>
      </c>
      <c r="GU246">
        <v>140</v>
      </c>
      <c r="GW246" s="24"/>
      <c r="GX246">
        <v>470</v>
      </c>
      <c r="GY246">
        <v>489</v>
      </c>
      <c r="GZ246">
        <v>488</v>
      </c>
      <c r="HA246">
        <v>36873069</v>
      </c>
      <c r="HB246">
        <v>206</v>
      </c>
      <c r="HD246" s="24"/>
      <c r="HE246">
        <v>5639</v>
      </c>
      <c r="HF246">
        <v>5728</v>
      </c>
      <c r="HG246">
        <v>5641</v>
      </c>
      <c r="HH246">
        <v>13864425</v>
      </c>
      <c r="HI246">
        <v>232</v>
      </c>
      <c r="HK246" s="24"/>
      <c r="HL246">
        <v>89101102</v>
      </c>
      <c r="HM246">
        <v>96999996</v>
      </c>
      <c r="HN246">
        <v>91208623</v>
      </c>
      <c r="HO246">
        <v>105</v>
      </c>
      <c r="HP246">
        <v>74</v>
      </c>
      <c r="HR246" s="24"/>
      <c r="HS246">
        <v>7483</v>
      </c>
      <c r="HT246">
        <v>7750</v>
      </c>
      <c r="HU246">
        <v>7486</v>
      </c>
      <c r="HV246">
        <v>904909</v>
      </c>
      <c r="HW246">
        <v>131</v>
      </c>
      <c r="HY246" s="24"/>
      <c r="HZ246">
        <v>6010</v>
      </c>
      <c r="IA246">
        <v>6609</v>
      </c>
      <c r="IB246">
        <v>6423</v>
      </c>
      <c r="IC246">
        <v>1872250</v>
      </c>
      <c r="ID246">
        <v>428</v>
      </c>
      <c r="IF246" s="24"/>
      <c r="IG246">
        <v>2688</v>
      </c>
      <c r="IH246">
        <v>2810</v>
      </c>
      <c r="II246">
        <v>2798</v>
      </c>
      <c r="IJ246">
        <v>1009746</v>
      </c>
      <c r="IK246">
        <v>112</v>
      </c>
      <c r="IM246" s="24"/>
      <c r="IN246">
        <v>90038005</v>
      </c>
      <c r="IO246">
        <v>98993999</v>
      </c>
      <c r="IP246">
        <v>95140846</v>
      </c>
      <c r="IQ246">
        <v>72</v>
      </c>
      <c r="IR246">
        <v>52</v>
      </c>
      <c r="IT246" s="24"/>
      <c r="IU246">
        <v>7300</v>
      </c>
      <c r="IV246">
        <v>7350</v>
      </c>
      <c r="IW246">
        <v>7343</v>
      </c>
      <c r="IX246">
        <v>575654</v>
      </c>
      <c r="IY246">
        <v>117</v>
      </c>
      <c r="JA246" s="24"/>
      <c r="JB246">
        <v>90011000</v>
      </c>
      <c r="JC246">
        <v>94999998</v>
      </c>
      <c r="JD246">
        <v>90012000</v>
      </c>
      <c r="JE246">
        <v>159</v>
      </c>
      <c r="JF246">
        <v>86</v>
      </c>
      <c r="JH246" s="24"/>
      <c r="JI246">
        <v>85318002</v>
      </c>
      <c r="JJ246">
        <v>96326500</v>
      </c>
      <c r="JK246">
        <v>90370606</v>
      </c>
      <c r="JL246">
        <v>61</v>
      </c>
      <c r="JM246">
        <v>45</v>
      </c>
      <c r="JO246" s="24"/>
      <c r="JP246">
        <v>108</v>
      </c>
      <c r="JQ246">
        <v>119</v>
      </c>
      <c r="JR246">
        <v>108</v>
      </c>
      <c r="JS246">
        <v>136335424</v>
      </c>
      <c r="JT246">
        <v>115</v>
      </c>
      <c r="JV246" s="24"/>
      <c r="JW246">
        <v>84</v>
      </c>
      <c r="JX246">
        <v>86</v>
      </c>
      <c r="JY246">
        <v>86</v>
      </c>
      <c r="JZ246">
        <v>177714447</v>
      </c>
      <c r="KA246">
        <v>108</v>
      </c>
      <c r="KC246" s="24"/>
      <c r="KD246">
        <v>20</v>
      </c>
      <c r="KE246">
        <v>21</v>
      </c>
      <c r="KF246">
        <v>20</v>
      </c>
      <c r="KG246">
        <v>42897505</v>
      </c>
      <c r="KH246">
        <v>268</v>
      </c>
      <c r="KJ246" s="24"/>
      <c r="KK246">
        <v>88</v>
      </c>
      <c r="KL246">
        <v>92</v>
      </c>
      <c r="KM246">
        <v>92</v>
      </c>
      <c r="KN246">
        <v>69386742</v>
      </c>
      <c r="KO246">
        <v>105</v>
      </c>
      <c r="KQ246" s="24"/>
      <c r="KR246">
        <v>137497</v>
      </c>
      <c r="KS246">
        <v>138999</v>
      </c>
      <c r="KT246">
        <v>138999</v>
      </c>
      <c r="KU246">
        <v>141390</v>
      </c>
      <c r="KV246">
        <v>639</v>
      </c>
      <c r="KX246" s="24"/>
      <c r="KY246">
        <v>584</v>
      </c>
      <c r="KZ246">
        <v>598</v>
      </c>
      <c r="LA246">
        <v>590</v>
      </c>
      <c r="LB246">
        <v>4257766</v>
      </c>
      <c r="LC246">
        <v>135</v>
      </c>
      <c r="LE246" s="24"/>
      <c r="LF246">
        <v>190001</v>
      </c>
      <c r="LG246">
        <v>198189</v>
      </c>
      <c r="LH246">
        <v>190005</v>
      </c>
      <c r="LI246">
        <v>150535</v>
      </c>
      <c r="LJ246">
        <v>875</v>
      </c>
      <c r="LL246" s="24"/>
      <c r="LM246">
        <v>77601</v>
      </c>
      <c r="LN246">
        <v>77630</v>
      </c>
      <c r="LO246">
        <v>77626</v>
      </c>
      <c r="LP246">
        <v>362468</v>
      </c>
      <c r="LQ246">
        <v>1272</v>
      </c>
      <c r="LS246" s="24"/>
      <c r="LT246">
        <v>477</v>
      </c>
      <c r="LU246">
        <v>487</v>
      </c>
      <c r="LV246">
        <v>487</v>
      </c>
      <c r="LW246">
        <v>91341275</v>
      </c>
      <c r="LX246">
        <v>363</v>
      </c>
      <c r="LZ246" s="24"/>
      <c r="MA246">
        <v>98202</v>
      </c>
      <c r="MB246">
        <v>102237</v>
      </c>
      <c r="MC246">
        <v>98300</v>
      </c>
      <c r="MD246">
        <v>968578</v>
      </c>
      <c r="ME246">
        <v>88</v>
      </c>
    </row>
    <row r="247" spans="2:343" x14ac:dyDescent="0.25">
      <c r="B247" s="24"/>
      <c r="C247">
        <v>3</v>
      </c>
      <c r="D247">
        <v>3</v>
      </c>
      <c r="E247">
        <v>3</v>
      </c>
      <c r="F247">
        <v>23941078896</v>
      </c>
      <c r="G247">
        <v>2563</v>
      </c>
      <c r="I247" s="24"/>
      <c r="J247">
        <v>4</v>
      </c>
      <c r="K247">
        <v>4</v>
      </c>
      <c r="L247">
        <v>4</v>
      </c>
      <c r="M247">
        <v>3761818518</v>
      </c>
      <c r="N247">
        <v>1848</v>
      </c>
      <c r="P247" s="24"/>
      <c r="Q247">
        <v>27</v>
      </c>
      <c r="R247">
        <v>28</v>
      </c>
      <c r="S247">
        <v>27</v>
      </c>
      <c r="T247">
        <v>1092595757</v>
      </c>
      <c r="U247">
        <v>1653</v>
      </c>
      <c r="W247" s="24"/>
      <c r="X247">
        <v>60</v>
      </c>
      <c r="Y247">
        <v>62</v>
      </c>
      <c r="Z247">
        <v>62</v>
      </c>
      <c r="AA247">
        <v>203545330</v>
      </c>
      <c r="AB247">
        <v>1353</v>
      </c>
      <c r="AD247" s="24"/>
      <c r="AE247">
        <v>384</v>
      </c>
      <c r="AF247">
        <v>387</v>
      </c>
      <c r="AG247">
        <v>386</v>
      </c>
      <c r="AH247">
        <v>82351852</v>
      </c>
      <c r="AI247">
        <v>1409</v>
      </c>
      <c r="AK247" s="24"/>
      <c r="AL247">
        <v>721</v>
      </c>
      <c r="AM247">
        <v>745</v>
      </c>
      <c r="AN247">
        <v>722</v>
      </c>
      <c r="AO247">
        <v>23202314</v>
      </c>
      <c r="AP247">
        <v>1121</v>
      </c>
      <c r="AR247" s="24"/>
      <c r="AS247">
        <v>2586</v>
      </c>
      <c r="AT247">
        <v>2692</v>
      </c>
      <c r="AU247">
        <v>2591</v>
      </c>
      <c r="AV247">
        <v>15377430</v>
      </c>
      <c r="AW247">
        <v>1118</v>
      </c>
      <c r="AY247" s="24"/>
      <c r="AZ247">
        <v>359390302</v>
      </c>
      <c r="BA247">
        <v>365144775</v>
      </c>
      <c r="BB247">
        <v>363999999</v>
      </c>
      <c r="BC247">
        <v>2610</v>
      </c>
      <c r="BD247">
        <v>1570</v>
      </c>
      <c r="BF247" s="24"/>
      <c r="BG247">
        <v>24106</v>
      </c>
      <c r="BH247">
        <v>24506</v>
      </c>
      <c r="BI247">
        <v>24207</v>
      </c>
      <c r="BJ247">
        <v>2309622</v>
      </c>
      <c r="BK247">
        <v>215</v>
      </c>
      <c r="BM247" s="24"/>
      <c r="BN247">
        <v>6208016</v>
      </c>
      <c r="BO247">
        <v>6387999</v>
      </c>
      <c r="BP247">
        <v>6217003</v>
      </c>
      <c r="BQ247">
        <v>12165</v>
      </c>
      <c r="BR247">
        <v>357</v>
      </c>
      <c r="BT247" s="24"/>
      <c r="BU247">
        <v>2253</v>
      </c>
      <c r="BV247">
        <v>2299</v>
      </c>
      <c r="BW247">
        <v>2298</v>
      </c>
      <c r="BX247">
        <v>24170093</v>
      </c>
      <c r="BY247">
        <v>245</v>
      </c>
      <c r="CA247" s="24"/>
      <c r="CB247">
        <v>499</v>
      </c>
      <c r="CC247">
        <v>502</v>
      </c>
      <c r="CD247">
        <v>502</v>
      </c>
      <c r="CE247">
        <v>76236137</v>
      </c>
      <c r="CF247">
        <v>254</v>
      </c>
      <c r="CH247" s="24"/>
      <c r="CI247">
        <v>22191</v>
      </c>
      <c r="CJ247">
        <v>22191</v>
      </c>
      <c r="CK247">
        <v>22191</v>
      </c>
      <c r="CL247">
        <v>865276</v>
      </c>
      <c r="CM247">
        <v>165</v>
      </c>
      <c r="CO247" s="24"/>
      <c r="CP247">
        <v>6451</v>
      </c>
      <c r="CQ247">
        <v>6798</v>
      </c>
      <c r="CR247">
        <v>6666</v>
      </c>
      <c r="CS247">
        <v>1072327</v>
      </c>
      <c r="CT247">
        <v>318</v>
      </c>
      <c r="CV247" s="24"/>
      <c r="CW247">
        <v>1374999</v>
      </c>
      <c r="CX247">
        <v>1374999</v>
      </c>
      <c r="CY247">
        <v>1374999</v>
      </c>
      <c r="CZ247">
        <v>6318</v>
      </c>
      <c r="DA247">
        <v>24</v>
      </c>
      <c r="DC247" s="24"/>
      <c r="DD247">
        <v>492</v>
      </c>
      <c r="DE247">
        <v>519</v>
      </c>
      <c r="DF247">
        <v>512</v>
      </c>
      <c r="DG247">
        <v>50282938</v>
      </c>
      <c r="DH247">
        <v>202</v>
      </c>
      <c r="DJ247" s="24"/>
      <c r="DK247">
        <v>33007111</v>
      </c>
      <c r="DL247">
        <v>34102998</v>
      </c>
      <c r="DM247">
        <v>33007113</v>
      </c>
      <c r="DN247">
        <v>332</v>
      </c>
      <c r="DO247">
        <v>64</v>
      </c>
      <c r="DQ247" s="24"/>
      <c r="DR247">
        <v>1476003</v>
      </c>
      <c r="DS247">
        <v>1499991</v>
      </c>
      <c r="DT247">
        <v>1495112</v>
      </c>
      <c r="DU247">
        <v>6764</v>
      </c>
      <c r="DV247">
        <v>201</v>
      </c>
      <c r="DX247" s="24"/>
      <c r="DY247">
        <v>21023067</v>
      </c>
      <c r="DZ247">
        <v>21024000</v>
      </c>
      <c r="EA247">
        <v>21023069</v>
      </c>
      <c r="EB247">
        <v>390</v>
      </c>
      <c r="EC247">
        <v>85</v>
      </c>
      <c r="EE247" s="24"/>
      <c r="EF247">
        <v>181</v>
      </c>
      <c r="EG247">
        <v>182</v>
      </c>
      <c r="EH247">
        <v>182</v>
      </c>
      <c r="EI247">
        <v>102905365</v>
      </c>
      <c r="EJ247">
        <v>154</v>
      </c>
      <c r="EL247" s="24"/>
      <c r="EM247">
        <v>59004</v>
      </c>
      <c r="EN247">
        <v>60000</v>
      </c>
      <c r="EO247">
        <v>59011</v>
      </c>
      <c r="EP247">
        <v>64820</v>
      </c>
      <c r="EQ247">
        <v>676</v>
      </c>
      <c r="ES247" s="24"/>
      <c r="ET247">
        <v>312</v>
      </c>
      <c r="EU247">
        <v>330</v>
      </c>
      <c r="EV247">
        <v>325</v>
      </c>
      <c r="EW247">
        <v>30296591</v>
      </c>
      <c r="EX247">
        <v>493</v>
      </c>
      <c r="EZ247" s="24"/>
      <c r="FA247">
        <v>3124002</v>
      </c>
      <c r="FB247">
        <v>3124002</v>
      </c>
      <c r="FC247">
        <v>3124002</v>
      </c>
      <c r="FD247">
        <v>1062</v>
      </c>
      <c r="FE247">
        <v>15</v>
      </c>
      <c r="FG247" s="24"/>
      <c r="FH247">
        <v>6100</v>
      </c>
      <c r="FI247">
        <v>6339</v>
      </c>
      <c r="FJ247">
        <v>6329</v>
      </c>
      <c r="FK247">
        <v>1307828</v>
      </c>
      <c r="FL247">
        <v>392</v>
      </c>
      <c r="FN247" s="24"/>
      <c r="FO247">
        <v>22220</v>
      </c>
      <c r="FP247">
        <v>23898</v>
      </c>
      <c r="FQ247">
        <v>23001</v>
      </c>
      <c r="FR247">
        <v>72328</v>
      </c>
      <c r="FS247">
        <v>67</v>
      </c>
      <c r="FU247" s="24"/>
      <c r="FV247">
        <v>17229</v>
      </c>
      <c r="FW247">
        <v>17406</v>
      </c>
      <c r="FX247">
        <v>17401</v>
      </c>
      <c r="FY247">
        <v>409658</v>
      </c>
      <c r="FZ247">
        <v>1271</v>
      </c>
      <c r="GB247" s="24"/>
      <c r="GC247">
        <v>92540005</v>
      </c>
      <c r="GD247">
        <v>98316999</v>
      </c>
      <c r="GE247">
        <v>95161024</v>
      </c>
      <c r="GF247">
        <v>80</v>
      </c>
      <c r="GG247">
        <v>63</v>
      </c>
      <c r="GI247" s="24"/>
      <c r="GJ247">
        <v>22178008</v>
      </c>
      <c r="GK247">
        <v>22178009</v>
      </c>
      <c r="GL247">
        <v>22178008</v>
      </c>
      <c r="GM247">
        <v>586</v>
      </c>
      <c r="GN247">
        <v>92</v>
      </c>
      <c r="GP247" s="24"/>
      <c r="GQ247">
        <v>99</v>
      </c>
      <c r="GR247">
        <v>100</v>
      </c>
      <c r="GS247">
        <v>99</v>
      </c>
      <c r="GT247">
        <v>165739920</v>
      </c>
      <c r="GU247">
        <v>99</v>
      </c>
      <c r="GW247" s="24"/>
      <c r="GX247">
        <v>467</v>
      </c>
      <c r="GY247">
        <v>487</v>
      </c>
      <c r="GZ247">
        <v>487</v>
      </c>
      <c r="HA247">
        <v>46456390</v>
      </c>
      <c r="HB247">
        <v>223</v>
      </c>
      <c r="HD247" s="24"/>
      <c r="HE247">
        <v>5638</v>
      </c>
      <c r="HF247">
        <v>5726</v>
      </c>
      <c r="HG247">
        <v>5726</v>
      </c>
      <c r="HH247">
        <v>19037612</v>
      </c>
      <c r="HI247">
        <v>243</v>
      </c>
      <c r="HK247" s="24"/>
      <c r="HL247">
        <v>89106000</v>
      </c>
      <c r="HM247">
        <v>96999499</v>
      </c>
      <c r="HN247">
        <v>93291937</v>
      </c>
      <c r="HO247">
        <v>68</v>
      </c>
      <c r="HP247">
        <v>50</v>
      </c>
      <c r="HR247" s="24"/>
      <c r="HS247">
        <v>7600</v>
      </c>
      <c r="HT247">
        <v>7899</v>
      </c>
      <c r="HU247">
        <v>7894</v>
      </c>
      <c r="HV247">
        <v>518848</v>
      </c>
      <c r="HW247">
        <v>118</v>
      </c>
      <c r="HY247" s="24"/>
      <c r="HZ247">
        <v>6203</v>
      </c>
      <c r="IA247">
        <v>6589</v>
      </c>
      <c r="IB247">
        <v>6567</v>
      </c>
      <c r="IC247">
        <v>1597564</v>
      </c>
      <c r="ID247">
        <v>394</v>
      </c>
      <c r="IF247" s="24"/>
      <c r="IG247">
        <v>2688</v>
      </c>
      <c r="IH247">
        <v>2798</v>
      </c>
      <c r="II247">
        <v>2693</v>
      </c>
      <c r="IJ247">
        <v>1945334</v>
      </c>
      <c r="IK247">
        <v>129</v>
      </c>
      <c r="IM247" s="24"/>
      <c r="IN247">
        <v>91399598</v>
      </c>
      <c r="IO247">
        <v>97999999</v>
      </c>
      <c r="IP247">
        <v>91403000</v>
      </c>
      <c r="IQ247">
        <v>108</v>
      </c>
      <c r="IR247">
        <v>60</v>
      </c>
      <c r="IT247" s="24"/>
      <c r="IU247">
        <v>7294</v>
      </c>
      <c r="IV247">
        <v>7295</v>
      </c>
      <c r="IW247">
        <v>7294</v>
      </c>
      <c r="IX247">
        <v>1275671</v>
      </c>
      <c r="IY247">
        <v>131</v>
      </c>
      <c r="JA247" s="24"/>
      <c r="JB247">
        <v>90016000</v>
      </c>
      <c r="JC247">
        <v>95999999</v>
      </c>
      <c r="JD247">
        <v>92000004</v>
      </c>
      <c r="JE247">
        <v>117</v>
      </c>
      <c r="JF247">
        <v>66</v>
      </c>
      <c r="JH247" s="24"/>
      <c r="JI247">
        <v>85378000</v>
      </c>
      <c r="JJ247">
        <v>96322994</v>
      </c>
      <c r="JK247">
        <v>90549145</v>
      </c>
      <c r="JL247">
        <v>61</v>
      </c>
      <c r="JM247">
        <v>36</v>
      </c>
      <c r="JO247" s="24"/>
      <c r="JP247">
        <v>100</v>
      </c>
      <c r="JQ247">
        <v>110</v>
      </c>
      <c r="JR247">
        <v>109</v>
      </c>
      <c r="JS247">
        <v>91819955</v>
      </c>
      <c r="JT247">
        <v>81</v>
      </c>
      <c r="JV247" s="24"/>
      <c r="JW247">
        <v>82</v>
      </c>
      <c r="JX247">
        <v>84</v>
      </c>
      <c r="JY247">
        <v>84</v>
      </c>
      <c r="JZ247">
        <v>98167619</v>
      </c>
      <c r="KA247">
        <v>89</v>
      </c>
      <c r="KC247" s="24"/>
      <c r="KD247">
        <v>20</v>
      </c>
      <c r="KE247">
        <v>20</v>
      </c>
      <c r="KF247">
        <v>20</v>
      </c>
      <c r="KG247">
        <v>32000221</v>
      </c>
      <c r="KH247">
        <v>286</v>
      </c>
      <c r="KJ247" s="24"/>
      <c r="KK247">
        <v>89</v>
      </c>
      <c r="KL247">
        <v>92</v>
      </c>
      <c r="KM247">
        <v>92</v>
      </c>
      <c r="KN247">
        <v>69712248</v>
      </c>
      <c r="KO247">
        <v>106</v>
      </c>
      <c r="KQ247" s="24"/>
      <c r="KR247">
        <v>134754</v>
      </c>
      <c r="KS247">
        <v>135060</v>
      </c>
      <c r="KT247">
        <v>135000</v>
      </c>
      <c r="KU247">
        <v>127582</v>
      </c>
      <c r="KV247">
        <v>635</v>
      </c>
      <c r="KX247" s="24"/>
      <c r="KY247">
        <v>584</v>
      </c>
      <c r="KZ247">
        <v>598</v>
      </c>
      <c r="LA247">
        <v>598</v>
      </c>
      <c r="LB247">
        <v>3997683</v>
      </c>
      <c r="LC247">
        <v>145</v>
      </c>
      <c r="LE247" s="24"/>
      <c r="LF247">
        <v>195006</v>
      </c>
      <c r="LG247">
        <v>195010</v>
      </c>
      <c r="LH247">
        <v>195009</v>
      </c>
      <c r="LI247">
        <v>119445</v>
      </c>
      <c r="LJ247">
        <v>906</v>
      </c>
      <c r="LL247" s="24"/>
      <c r="LM247">
        <v>77635</v>
      </c>
      <c r="LN247">
        <v>77639</v>
      </c>
      <c r="LO247">
        <v>77637</v>
      </c>
      <c r="LP247">
        <v>376490</v>
      </c>
      <c r="LQ247">
        <v>1306</v>
      </c>
      <c r="LS247" s="24"/>
      <c r="LT247">
        <v>487</v>
      </c>
      <c r="LU247">
        <v>489</v>
      </c>
      <c r="LV247">
        <v>487</v>
      </c>
      <c r="LW247">
        <v>75182705</v>
      </c>
      <c r="LX247">
        <v>353</v>
      </c>
      <c r="LZ247" s="24"/>
      <c r="MA247">
        <v>94000</v>
      </c>
      <c r="MB247">
        <v>101300</v>
      </c>
      <c r="MC247">
        <v>96000</v>
      </c>
      <c r="MD247">
        <v>1157637</v>
      </c>
      <c r="ME247">
        <v>121</v>
      </c>
    </row>
    <row r="248" spans="2:343" x14ac:dyDescent="0.25">
      <c r="B248" s="24"/>
      <c r="C248">
        <v>3</v>
      </c>
      <c r="D248">
        <v>3</v>
      </c>
      <c r="E248">
        <v>3</v>
      </c>
      <c r="F248">
        <v>30861687287</v>
      </c>
      <c r="G248">
        <v>2597</v>
      </c>
      <c r="I248" s="24"/>
      <c r="J248">
        <v>4</v>
      </c>
      <c r="K248">
        <v>4</v>
      </c>
      <c r="L248">
        <v>4</v>
      </c>
      <c r="M248">
        <v>6223182158</v>
      </c>
      <c r="N248">
        <v>1807</v>
      </c>
      <c r="P248" s="24"/>
      <c r="Q248">
        <v>27</v>
      </c>
      <c r="R248">
        <v>28</v>
      </c>
      <c r="S248">
        <v>28</v>
      </c>
      <c r="T248">
        <v>2192953698</v>
      </c>
      <c r="U248">
        <v>1712</v>
      </c>
      <c r="W248" s="24"/>
      <c r="X248">
        <v>60</v>
      </c>
      <c r="Y248">
        <v>62</v>
      </c>
      <c r="Z248">
        <v>62</v>
      </c>
      <c r="AA248">
        <v>391651110</v>
      </c>
      <c r="AB248">
        <v>1307</v>
      </c>
      <c r="AD248" s="24"/>
      <c r="AE248">
        <v>380</v>
      </c>
      <c r="AF248">
        <v>388</v>
      </c>
      <c r="AG248">
        <v>384</v>
      </c>
      <c r="AH248">
        <v>102060152</v>
      </c>
      <c r="AI248">
        <v>1429</v>
      </c>
      <c r="AK248" s="24"/>
      <c r="AL248">
        <v>722</v>
      </c>
      <c r="AM248">
        <v>739</v>
      </c>
      <c r="AN248">
        <v>724</v>
      </c>
      <c r="AO248">
        <v>40920789</v>
      </c>
      <c r="AP248">
        <v>1172</v>
      </c>
      <c r="AR248" s="24"/>
      <c r="AS248">
        <v>2613</v>
      </c>
      <c r="AT248">
        <v>2649</v>
      </c>
      <c r="AU248">
        <v>2647</v>
      </c>
      <c r="AV248">
        <v>11142275</v>
      </c>
      <c r="AW248">
        <v>1104</v>
      </c>
      <c r="AY248" s="24"/>
      <c r="AZ248">
        <v>361011111</v>
      </c>
      <c r="BA248">
        <v>366399989</v>
      </c>
      <c r="BB248">
        <v>364169999</v>
      </c>
      <c r="BC248">
        <v>2457</v>
      </c>
      <c r="BD248">
        <v>1590</v>
      </c>
      <c r="BF248" s="24"/>
      <c r="BG248">
        <v>24612</v>
      </c>
      <c r="BH248">
        <v>24613</v>
      </c>
      <c r="BI248">
        <v>24613</v>
      </c>
      <c r="BJ248">
        <v>1959424</v>
      </c>
      <c r="BK248">
        <v>176</v>
      </c>
      <c r="BM248" s="24"/>
      <c r="BN248">
        <v>6220012</v>
      </c>
      <c r="BO248">
        <v>6439999</v>
      </c>
      <c r="BP248">
        <v>6399992</v>
      </c>
      <c r="BQ248">
        <v>13038</v>
      </c>
      <c r="BR248">
        <v>345</v>
      </c>
      <c r="BT248" s="24"/>
      <c r="BU248">
        <v>2233</v>
      </c>
      <c r="BV248">
        <v>2299</v>
      </c>
      <c r="BW248">
        <v>2298</v>
      </c>
      <c r="BX248">
        <v>26376641</v>
      </c>
      <c r="BY248">
        <v>275</v>
      </c>
      <c r="CA248" s="24"/>
      <c r="CB248">
        <v>501</v>
      </c>
      <c r="CC248">
        <v>502</v>
      </c>
      <c r="CD248">
        <v>502</v>
      </c>
      <c r="CE248">
        <v>56535630</v>
      </c>
      <c r="CF248">
        <v>270</v>
      </c>
      <c r="CH248" s="24"/>
      <c r="CI248">
        <v>22193</v>
      </c>
      <c r="CJ248">
        <v>22193</v>
      </c>
      <c r="CK248">
        <v>22193</v>
      </c>
      <c r="CL248">
        <v>920628</v>
      </c>
      <c r="CM248">
        <v>143</v>
      </c>
      <c r="CO248" s="24"/>
      <c r="CP248">
        <v>6450</v>
      </c>
      <c r="CQ248">
        <v>6522</v>
      </c>
      <c r="CR248">
        <v>6489</v>
      </c>
      <c r="CS248">
        <v>1071565</v>
      </c>
      <c r="CT248">
        <v>384</v>
      </c>
      <c r="CV248" s="24"/>
      <c r="CW248">
        <v>1374999</v>
      </c>
      <c r="CX248">
        <v>1400000</v>
      </c>
      <c r="CY248">
        <v>1399399</v>
      </c>
      <c r="CZ248">
        <v>18732</v>
      </c>
      <c r="DA248">
        <v>47</v>
      </c>
      <c r="DC248" s="24"/>
      <c r="DD248">
        <v>498</v>
      </c>
      <c r="DE248">
        <v>519</v>
      </c>
      <c r="DF248">
        <v>515</v>
      </c>
      <c r="DG248">
        <v>44687289</v>
      </c>
      <c r="DH248">
        <v>179</v>
      </c>
      <c r="DJ248" s="24"/>
      <c r="DK248">
        <v>33007113</v>
      </c>
      <c r="DL248">
        <v>34502000</v>
      </c>
      <c r="DM248">
        <v>33500000</v>
      </c>
      <c r="DN248">
        <v>224</v>
      </c>
      <c r="DO248">
        <v>65</v>
      </c>
      <c r="DQ248" s="24"/>
      <c r="DR248">
        <v>1475012</v>
      </c>
      <c r="DS248">
        <v>1643365</v>
      </c>
      <c r="DT248">
        <v>1500012</v>
      </c>
      <c r="DU248">
        <v>7103</v>
      </c>
      <c r="DV248">
        <v>189</v>
      </c>
      <c r="DX248" s="24"/>
      <c r="DY248">
        <v>21401001</v>
      </c>
      <c r="DZ248">
        <v>23000000</v>
      </c>
      <c r="EA248">
        <v>22000013</v>
      </c>
      <c r="EB248">
        <v>312</v>
      </c>
      <c r="EC248">
        <v>76</v>
      </c>
      <c r="EE248" s="24"/>
      <c r="EF248">
        <v>184</v>
      </c>
      <c r="EG248">
        <v>203</v>
      </c>
      <c r="EH248">
        <v>189</v>
      </c>
      <c r="EI248">
        <v>95621904</v>
      </c>
      <c r="EJ248">
        <v>177</v>
      </c>
      <c r="EL248" s="24"/>
      <c r="EM248">
        <v>59007</v>
      </c>
      <c r="EN248">
        <v>60022</v>
      </c>
      <c r="EO248">
        <v>59508</v>
      </c>
      <c r="EP248">
        <v>64515</v>
      </c>
      <c r="EQ248">
        <v>627</v>
      </c>
      <c r="ES248" s="24"/>
      <c r="ET248">
        <v>323</v>
      </c>
      <c r="EU248">
        <v>324</v>
      </c>
      <c r="EV248">
        <v>324</v>
      </c>
      <c r="EW248">
        <v>27778301</v>
      </c>
      <c r="EX248">
        <v>562</v>
      </c>
      <c r="EZ248" s="24"/>
      <c r="FA248">
        <v>3238999</v>
      </c>
      <c r="FB248">
        <v>3336999</v>
      </c>
      <c r="FC248">
        <v>3239000</v>
      </c>
      <c r="FD248">
        <v>1469</v>
      </c>
      <c r="FE248">
        <v>14</v>
      </c>
      <c r="FG248" s="24"/>
      <c r="FH248">
        <v>6105</v>
      </c>
      <c r="FI248">
        <v>6294</v>
      </c>
      <c r="FJ248">
        <v>6266</v>
      </c>
      <c r="FK248">
        <v>1373511</v>
      </c>
      <c r="FL248">
        <v>386</v>
      </c>
      <c r="FN248" s="24"/>
      <c r="FO248">
        <v>23879</v>
      </c>
      <c r="FP248">
        <v>23892</v>
      </c>
      <c r="FQ248">
        <v>23892</v>
      </c>
      <c r="FR248">
        <v>295987</v>
      </c>
      <c r="FS248">
        <v>91</v>
      </c>
      <c r="FU248" s="24"/>
      <c r="FV248">
        <v>17227</v>
      </c>
      <c r="FW248">
        <v>17510</v>
      </c>
      <c r="FX248">
        <v>17400</v>
      </c>
      <c r="FY248">
        <v>349804</v>
      </c>
      <c r="FZ248">
        <v>1179</v>
      </c>
      <c r="GB248" s="24"/>
      <c r="GC248">
        <v>93200006</v>
      </c>
      <c r="GD248">
        <v>98281999</v>
      </c>
      <c r="GE248">
        <v>95324962</v>
      </c>
      <c r="GF248">
        <v>89</v>
      </c>
      <c r="GG248">
        <v>63</v>
      </c>
      <c r="GI248" s="24"/>
      <c r="GJ248">
        <v>22178013</v>
      </c>
      <c r="GK248">
        <v>22700011</v>
      </c>
      <c r="GL248">
        <v>22402003</v>
      </c>
      <c r="GM248">
        <v>292</v>
      </c>
      <c r="GN248">
        <v>60</v>
      </c>
      <c r="GP248" s="24"/>
      <c r="GQ248">
        <v>104</v>
      </c>
      <c r="GR248">
        <v>105</v>
      </c>
      <c r="GS248">
        <v>105</v>
      </c>
      <c r="GT248">
        <v>101700034</v>
      </c>
      <c r="GU248">
        <v>127</v>
      </c>
      <c r="GW248" s="24"/>
      <c r="GX248">
        <v>487</v>
      </c>
      <c r="GY248">
        <v>498</v>
      </c>
      <c r="GZ248">
        <v>489</v>
      </c>
      <c r="HA248">
        <v>37063312</v>
      </c>
      <c r="HB248">
        <v>230</v>
      </c>
      <c r="HD248" s="24"/>
      <c r="HE248">
        <v>5650</v>
      </c>
      <c r="HF248">
        <v>5729</v>
      </c>
      <c r="HG248">
        <v>5729</v>
      </c>
      <c r="HH248">
        <v>15900871</v>
      </c>
      <c r="HI248">
        <v>271</v>
      </c>
      <c r="HK248" s="24"/>
      <c r="HL248">
        <v>89318101</v>
      </c>
      <c r="HM248">
        <v>96994000</v>
      </c>
      <c r="HN248">
        <v>93658949</v>
      </c>
      <c r="HO248">
        <v>77</v>
      </c>
      <c r="HP248">
        <v>57</v>
      </c>
      <c r="HR248" s="24"/>
      <c r="HS248">
        <v>7405</v>
      </c>
      <c r="HT248">
        <v>7760</v>
      </c>
      <c r="HU248">
        <v>7759</v>
      </c>
      <c r="HV248">
        <v>889130</v>
      </c>
      <c r="HW248">
        <v>172</v>
      </c>
      <c r="HY248" s="24"/>
      <c r="HZ248">
        <v>6240</v>
      </c>
      <c r="IA248">
        <v>6498</v>
      </c>
      <c r="IB248">
        <v>6495</v>
      </c>
      <c r="IC248">
        <v>1573009</v>
      </c>
      <c r="ID248">
        <v>448</v>
      </c>
      <c r="IF248" s="24"/>
      <c r="IG248">
        <v>2798</v>
      </c>
      <c r="IH248">
        <v>2798</v>
      </c>
      <c r="II248">
        <v>2798</v>
      </c>
      <c r="IJ248">
        <v>3061960</v>
      </c>
      <c r="IK248">
        <v>172</v>
      </c>
      <c r="IM248" s="24"/>
      <c r="IN248">
        <v>92100007</v>
      </c>
      <c r="IO248">
        <v>97998000</v>
      </c>
      <c r="IP248">
        <v>94929247</v>
      </c>
      <c r="IQ248">
        <v>78</v>
      </c>
      <c r="IR248">
        <v>55</v>
      </c>
      <c r="IT248" s="24"/>
      <c r="IU248">
        <v>7399</v>
      </c>
      <c r="IV248">
        <v>7500</v>
      </c>
      <c r="IW248">
        <v>7400</v>
      </c>
      <c r="IX248">
        <v>1521764</v>
      </c>
      <c r="IY248">
        <v>157</v>
      </c>
      <c r="JA248" s="24"/>
      <c r="JB248">
        <v>92000007</v>
      </c>
      <c r="JC248">
        <v>96987998</v>
      </c>
      <c r="JD248">
        <v>94310189</v>
      </c>
      <c r="JE248">
        <v>80</v>
      </c>
      <c r="JF248">
        <v>55</v>
      </c>
      <c r="JH248" s="24"/>
      <c r="JI248">
        <v>85390001</v>
      </c>
      <c r="JJ248">
        <v>96307000</v>
      </c>
      <c r="JK248">
        <v>94635538</v>
      </c>
      <c r="JL248">
        <v>39</v>
      </c>
      <c r="JM248">
        <v>31</v>
      </c>
      <c r="JO248" s="24"/>
      <c r="JP248">
        <v>110</v>
      </c>
      <c r="JQ248">
        <v>110</v>
      </c>
      <c r="JR248">
        <v>110</v>
      </c>
      <c r="JS248">
        <v>219834561</v>
      </c>
      <c r="JT248">
        <v>118</v>
      </c>
      <c r="JV248" s="24"/>
      <c r="JW248">
        <v>86</v>
      </c>
      <c r="JX248">
        <v>86</v>
      </c>
      <c r="JY248">
        <v>86</v>
      </c>
      <c r="JZ248">
        <v>90541549</v>
      </c>
      <c r="KA248">
        <v>91</v>
      </c>
      <c r="KC248" s="24"/>
      <c r="KD248">
        <v>20</v>
      </c>
      <c r="KE248">
        <v>21</v>
      </c>
      <c r="KF248">
        <v>20</v>
      </c>
      <c r="KG248">
        <v>41629301</v>
      </c>
      <c r="KH248">
        <v>319</v>
      </c>
      <c r="KJ248" s="24"/>
      <c r="KK248">
        <v>92</v>
      </c>
      <c r="KL248">
        <v>94</v>
      </c>
      <c r="KM248">
        <v>93</v>
      </c>
      <c r="KN248">
        <v>200004753</v>
      </c>
      <c r="KO248">
        <v>132</v>
      </c>
      <c r="KQ248" s="24"/>
      <c r="KR248">
        <v>135000</v>
      </c>
      <c r="KS248">
        <v>135004</v>
      </c>
      <c r="KT248">
        <v>135000</v>
      </c>
      <c r="KU248">
        <v>82502</v>
      </c>
      <c r="KV248">
        <v>606</v>
      </c>
      <c r="KX248" s="24"/>
      <c r="KY248">
        <v>585</v>
      </c>
      <c r="KZ248">
        <v>598</v>
      </c>
      <c r="LA248">
        <v>598</v>
      </c>
      <c r="LB248">
        <v>11636394</v>
      </c>
      <c r="LC248">
        <v>199</v>
      </c>
      <c r="LE248" s="24"/>
      <c r="LF248">
        <v>196003</v>
      </c>
      <c r="LG248">
        <v>200398</v>
      </c>
      <c r="LH248">
        <v>197010</v>
      </c>
      <c r="LI248">
        <v>148355</v>
      </c>
      <c r="LJ248">
        <v>921</v>
      </c>
      <c r="LL248" s="24"/>
      <c r="LM248">
        <v>77637</v>
      </c>
      <c r="LN248">
        <v>78502</v>
      </c>
      <c r="LO248">
        <v>77638</v>
      </c>
      <c r="LP248">
        <v>373069</v>
      </c>
      <c r="LQ248">
        <v>1226</v>
      </c>
      <c r="LS248" s="24"/>
      <c r="LT248">
        <v>478</v>
      </c>
      <c r="LU248">
        <v>490</v>
      </c>
      <c r="LV248">
        <v>489</v>
      </c>
      <c r="LW248">
        <v>80143878</v>
      </c>
      <c r="LX248">
        <v>355</v>
      </c>
      <c r="LZ248" s="24"/>
      <c r="MA248">
        <v>95000</v>
      </c>
      <c r="MB248">
        <v>99918</v>
      </c>
      <c r="MC248">
        <v>95002</v>
      </c>
      <c r="MD248">
        <v>1055265</v>
      </c>
      <c r="ME248">
        <v>106</v>
      </c>
    </row>
    <row r="249" spans="2:343" x14ac:dyDescent="0.25">
      <c r="B249" s="24"/>
      <c r="C249">
        <v>3</v>
      </c>
      <c r="D249">
        <v>3</v>
      </c>
      <c r="E249">
        <v>3</v>
      </c>
      <c r="F249">
        <v>21764697405</v>
      </c>
      <c r="G249">
        <v>2623</v>
      </c>
      <c r="I249" s="24"/>
      <c r="J249">
        <v>4</v>
      </c>
      <c r="K249">
        <v>4</v>
      </c>
      <c r="L249">
        <v>4</v>
      </c>
      <c r="M249">
        <v>5030578789</v>
      </c>
      <c r="N249">
        <v>1863</v>
      </c>
      <c r="P249" s="24"/>
      <c r="Q249">
        <v>28</v>
      </c>
      <c r="R249">
        <v>29</v>
      </c>
      <c r="S249">
        <v>29</v>
      </c>
      <c r="T249">
        <v>1488968587</v>
      </c>
      <c r="U249">
        <v>1744</v>
      </c>
      <c r="W249" s="24"/>
      <c r="X249">
        <v>61</v>
      </c>
      <c r="Y249">
        <v>62</v>
      </c>
      <c r="Z249">
        <v>62</v>
      </c>
      <c r="AA249">
        <v>238763437</v>
      </c>
      <c r="AB249">
        <v>1409</v>
      </c>
      <c r="AD249" s="24"/>
      <c r="AE249">
        <v>385</v>
      </c>
      <c r="AF249">
        <v>386</v>
      </c>
      <c r="AG249">
        <v>386</v>
      </c>
      <c r="AH249">
        <v>87837598</v>
      </c>
      <c r="AI249">
        <v>1397</v>
      </c>
      <c r="AK249" s="24"/>
      <c r="AL249">
        <v>726</v>
      </c>
      <c r="AM249">
        <v>742</v>
      </c>
      <c r="AN249">
        <v>740</v>
      </c>
      <c r="AO249">
        <v>29026003</v>
      </c>
      <c r="AP249">
        <v>1167</v>
      </c>
      <c r="AR249" s="24"/>
      <c r="AS249">
        <v>2653</v>
      </c>
      <c r="AT249">
        <v>2721</v>
      </c>
      <c r="AU249">
        <v>2699</v>
      </c>
      <c r="AV249">
        <v>12545226</v>
      </c>
      <c r="AW249">
        <v>1154</v>
      </c>
      <c r="AY249" s="24"/>
      <c r="AZ249">
        <v>360001005</v>
      </c>
      <c r="BA249">
        <v>366898857</v>
      </c>
      <c r="BB249">
        <v>365000000</v>
      </c>
      <c r="BC249">
        <v>2437</v>
      </c>
      <c r="BD249">
        <v>1628</v>
      </c>
      <c r="BF249" s="24"/>
      <c r="BG249">
        <v>24945</v>
      </c>
      <c r="BH249">
        <v>24945</v>
      </c>
      <c r="BI249">
        <v>24945</v>
      </c>
      <c r="BJ249">
        <v>2860005</v>
      </c>
      <c r="BK249">
        <v>228</v>
      </c>
      <c r="BM249" s="24"/>
      <c r="BN249">
        <v>6401001</v>
      </c>
      <c r="BO249">
        <v>6499999</v>
      </c>
      <c r="BP249">
        <v>6402002</v>
      </c>
      <c r="BQ249">
        <v>13147</v>
      </c>
      <c r="BR249">
        <v>325</v>
      </c>
      <c r="BT249" s="24"/>
      <c r="BU249">
        <v>2100</v>
      </c>
      <c r="BV249">
        <v>2296</v>
      </c>
      <c r="BW249">
        <v>2193</v>
      </c>
      <c r="BX249">
        <v>18481097</v>
      </c>
      <c r="BY249">
        <v>222</v>
      </c>
      <c r="CA249" s="24"/>
      <c r="CB249">
        <v>502</v>
      </c>
      <c r="CC249">
        <v>502</v>
      </c>
      <c r="CD249">
        <v>502</v>
      </c>
      <c r="CE249">
        <v>57673059</v>
      </c>
      <c r="CF249">
        <v>234</v>
      </c>
      <c r="CH249" s="24"/>
      <c r="CI249">
        <v>22196</v>
      </c>
      <c r="CJ249">
        <v>22196</v>
      </c>
      <c r="CK249">
        <v>22196</v>
      </c>
      <c r="CL249">
        <v>1314706</v>
      </c>
      <c r="CM249">
        <v>158</v>
      </c>
      <c r="CO249" s="24"/>
      <c r="CP249">
        <v>6379</v>
      </c>
      <c r="CQ249">
        <v>6649</v>
      </c>
      <c r="CR249">
        <v>6494</v>
      </c>
      <c r="CS249">
        <v>861906</v>
      </c>
      <c r="CT249">
        <v>289</v>
      </c>
      <c r="CV249" s="24"/>
      <c r="CW249">
        <v>1400000</v>
      </c>
      <c r="CX249">
        <v>1400000</v>
      </c>
      <c r="CY249">
        <v>1400000</v>
      </c>
      <c r="CZ249">
        <v>15845</v>
      </c>
      <c r="DA249">
        <v>51</v>
      </c>
      <c r="DC249" s="24"/>
      <c r="DD249">
        <v>493</v>
      </c>
      <c r="DE249">
        <v>506</v>
      </c>
      <c r="DF249">
        <v>505</v>
      </c>
      <c r="DG249">
        <v>37470087</v>
      </c>
      <c r="DH249">
        <v>168</v>
      </c>
      <c r="DJ249" s="24"/>
      <c r="DK249">
        <v>33700000</v>
      </c>
      <c r="DL249">
        <v>34479999</v>
      </c>
      <c r="DM249">
        <v>33700000</v>
      </c>
      <c r="DN249">
        <v>327</v>
      </c>
      <c r="DO249">
        <v>89</v>
      </c>
      <c r="DQ249" s="24"/>
      <c r="DR249">
        <v>1491004</v>
      </c>
      <c r="DS249">
        <v>1560000</v>
      </c>
      <c r="DT249">
        <v>1499011</v>
      </c>
      <c r="DU249">
        <v>6779</v>
      </c>
      <c r="DV249">
        <v>229</v>
      </c>
      <c r="DX249" s="24"/>
      <c r="DY249">
        <v>22300006</v>
      </c>
      <c r="DZ249">
        <v>23999998</v>
      </c>
      <c r="EA249">
        <v>22302001</v>
      </c>
      <c r="EB249">
        <v>357</v>
      </c>
      <c r="EC249">
        <v>88</v>
      </c>
      <c r="EE249" s="24"/>
      <c r="EF249">
        <v>183</v>
      </c>
      <c r="EG249">
        <v>197</v>
      </c>
      <c r="EH249">
        <v>185</v>
      </c>
      <c r="EI249">
        <v>101412466</v>
      </c>
      <c r="EJ249">
        <v>184</v>
      </c>
      <c r="EL249" s="24"/>
      <c r="EM249">
        <v>60901</v>
      </c>
      <c r="EN249">
        <v>60903</v>
      </c>
      <c r="EO249">
        <v>60902</v>
      </c>
      <c r="EP249">
        <v>57648</v>
      </c>
      <c r="EQ249">
        <v>650</v>
      </c>
      <c r="ES249" s="24"/>
      <c r="ET249">
        <v>312</v>
      </c>
      <c r="EU249">
        <v>322</v>
      </c>
      <c r="EV249">
        <v>315</v>
      </c>
      <c r="EW249">
        <v>32884187</v>
      </c>
      <c r="EX249">
        <v>515</v>
      </c>
      <c r="EZ249" s="24"/>
      <c r="FA249">
        <v>3125003</v>
      </c>
      <c r="FB249">
        <v>3336989</v>
      </c>
      <c r="FC249">
        <v>3329000</v>
      </c>
      <c r="FD249">
        <v>1894</v>
      </c>
      <c r="FE249">
        <v>29</v>
      </c>
      <c r="FG249" s="24"/>
      <c r="FH249">
        <v>6249</v>
      </c>
      <c r="FI249">
        <v>6288</v>
      </c>
      <c r="FJ249">
        <v>6266</v>
      </c>
      <c r="FK249">
        <v>1228717</v>
      </c>
      <c r="FL249">
        <v>379</v>
      </c>
      <c r="FN249" s="24"/>
      <c r="FO249">
        <v>22500</v>
      </c>
      <c r="FP249">
        <v>23798</v>
      </c>
      <c r="FQ249">
        <v>22600</v>
      </c>
      <c r="FR249">
        <v>231097</v>
      </c>
      <c r="FS249">
        <v>84</v>
      </c>
      <c r="FU249" s="24"/>
      <c r="FV249">
        <v>17762</v>
      </c>
      <c r="FW249">
        <v>17763</v>
      </c>
      <c r="FX249">
        <v>17763</v>
      </c>
      <c r="FY249">
        <v>326142</v>
      </c>
      <c r="FZ249">
        <v>1214</v>
      </c>
      <c r="GB249" s="24"/>
      <c r="GC249">
        <v>93833379</v>
      </c>
      <c r="GD249">
        <v>98220589</v>
      </c>
      <c r="GE249">
        <v>93979102</v>
      </c>
      <c r="GF249">
        <v>108</v>
      </c>
      <c r="GG249">
        <v>72</v>
      </c>
      <c r="GI249" s="24"/>
      <c r="GJ249">
        <v>22403127</v>
      </c>
      <c r="GK249">
        <v>23349998</v>
      </c>
      <c r="GL249">
        <v>22700011</v>
      </c>
      <c r="GM249">
        <v>415</v>
      </c>
      <c r="GN249">
        <v>84</v>
      </c>
      <c r="GP249" s="24"/>
      <c r="GQ249">
        <v>104</v>
      </c>
      <c r="GR249">
        <v>118</v>
      </c>
      <c r="GS249">
        <v>110</v>
      </c>
      <c r="GT249">
        <v>92572314</v>
      </c>
      <c r="GU249">
        <v>121</v>
      </c>
      <c r="GW249" s="24"/>
      <c r="GX249">
        <v>488</v>
      </c>
      <c r="GY249">
        <v>492</v>
      </c>
      <c r="GZ249">
        <v>490</v>
      </c>
      <c r="HA249">
        <v>37505147</v>
      </c>
      <c r="HB249">
        <v>172</v>
      </c>
      <c r="HD249" s="24"/>
      <c r="HE249">
        <v>5630</v>
      </c>
      <c r="HF249">
        <v>5729</v>
      </c>
      <c r="HG249">
        <v>5729</v>
      </c>
      <c r="HH249">
        <v>14337236</v>
      </c>
      <c r="HI249">
        <v>282</v>
      </c>
      <c r="HK249" s="24"/>
      <c r="HL249">
        <v>89680009</v>
      </c>
      <c r="HM249">
        <v>96992999</v>
      </c>
      <c r="HN249">
        <v>92670130</v>
      </c>
      <c r="HO249">
        <v>99</v>
      </c>
      <c r="HP249">
        <v>68</v>
      </c>
      <c r="HR249" s="24"/>
      <c r="HS249">
        <v>7455</v>
      </c>
      <c r="HT249">
        <v>7769</v>
      </c>
      <c r="HU249">
        <v>7699</v>
      </c>
      <c r="HV249">
        <v>531687</v>
      </c>
      <c r="HW249">
        <v>120</v>
      </c>
      <c r="HY249" s="24"/>
      <c r="HZ249">
        <v>6245</v>
      </c>
      <c r="IA249">
        <v>6575</v>
      </c>
      <c r="IB249">
        <v>6499</v>
      </c>
      <c r="IC249">
        <v>1523271</v>
      </c>
      <c r="ID249">
        <v>346</v>
      </c>
      <c r="IF249" s="24"/>
      <c r="IG249">
        <v>2732</v>
      </c>
      <c r="IH249">
        <v>2917</v>
      </c>
      <c r="II249">
        <v>2800</v>
      </c>
      <c r="IJ249">
        <v>1958501</v>
      </c>
      <c r="IK249">
        <v>130</v>
      </c>
      <c r="IM249" s="24"/>
      <c r="IN249">
        <v>92798993</v>
      </c>
      <c r="IO249">
        <v>97598997</v>
      </c>
      <c r="IP249">
        <v>95691326</v>
      </c>
      <c r="IQ249">
        <v>80</v>
      </c>
      <c r="IR249">
        <v>65</v>
      </c>
      <c r="IT249" s="24"/>
      <c r="IU249">
        <v>7600</v>
      </c>
      <c r="IV249">
        <v>7768</v>
      </c>
      <c r="IW249">
        <v>7767</v>
      </c>
      <c r="IX249">
        <v>1610303</v>
      </c>
      <c r="IY249">
        <v>153</v>
      </c>
      <c r="JA249" s="24"/>
      <c r="JB249">
        <v>90500100</v>
      </c>
      <c r="JC249">
        <v>95249989</v>
      </c>
      <c r="JD249">
        <v>92000008</v>
      </c>
      <c r="JE249">
        <v>118</v>
      </c>
      <c r="JF249">
        <v>74</v>
      </c>
      <c r="JH249" s="24"/>
      <c r="JI249">
        <v>86011131</v>
      </c>
      <c r="JJ249">
        <v>96292999</v>
      </c>
      <c r="JK249">
        <v>91213935</v>
      </c>
      <c r="JL249">
        <v>55</v>
      </c>
      <c r="JM249">
        <v>37</v>
      </c>
      <c r="JO249" s="24"/>
      <c r="JP249">
        <v>114</v>
      </c>
      <c r="JQ249">
        <v>123</v>
      </c>
      <c r="JR249">
        <v>115</v>
      </c>
      <c r="JS249">
        <v>97171833</v>
      </c>
      <c r="JT249">
        <v>98</v>
      </c>
      <c r="JV249" s="24"/>
      <c r="JW249">
        <v>85</v>
      </c>
      <c r="JX249">
        <v>89</v>
      </c>
      <c r="JY249">
        <v>87</v>
      </c>
      <c r="JZ249">
        <v>188381981</v>
      </c>
      <c r="KA249">
        <v>118</v>
      </c>
      <c r="KC249" s="24"/>
      <c r="KD249">
        <v>20</v>
      </c>
      <c r="KE249">
        <v>21</v>
      </c>
      <c r="KF249">
        <v>21</v>
      </c>
      <c r="KG249">
        <v>52834191</v>
      </c>
      <c r="KH249">
        <v>281</v>
      </c>
      <c r="KJ249" s="24"/>
      <c r="KK249">
        <v>91</v>
      </c>
      <c r="KL249">
        <v>93</v>
      </c>
      <c r="KM249">
        <v>92</v>
      </c>
      <c r="KN249">
        <v>110715372</v>
      </c>
      <c r="KO249">
        <v>125</v>
      </c>
      <c r="KQ249" s="24"/>
      <c r="KR249">
        <v>136502</v>
      </c>
      <c r="KS249">
        <v>138999</v>
      </c>
      <c r="KT249">
        <v>136503</v>
      </c>
      <c r="KU249">
        <v>66492</v>
      </c>
      <c r="KV249">
        <v>609</v>
      </c>
      <c r="KX249" s="24"/>
      <c r="KY249">
        <v>580</v>
      </c>
      <c r="KZ249">
        <v>598</v>
      </c>
      <c r="LA249">
        <v>580</v>
      </c>
      <c r="LB249">
        <v>7120978</v>
      </c>
      <c r="LC249">
        <v>168</v>
      </c>
      <c r="LE249" s="24"/>
      <c r="LF249">
        <v>198002</v>
      </c>
      <c r="LG249">
        <v>203999</v>
      </c>
      <c r="LH249">
        <v>198003</v>
      </c>
      <c r="LI249">
        <v>189692</v>
      </c>
      <c r="LJ249">
        <v>903</v>
      </c>
      <c r="LL249" s="24"/>
      <c r="LM249">
        <v>79503</v>
      </c>
      <c r="LN249">
        <v>79525</v>
      </c>
      <c r="LO249">
        <v>79503</v>
      </c>
      <c r="LP249">
        <v>353372</v>
      </c>
      <c r="LQ249">
        <v>1253</v>
      </c>
      <c r="LS249" s="24"/>
      <c r="LT249">
        <v>482</v>
      </c>
      <c r="LU249">
        <v>484</v>
      </c>
      <c r="LV249">
        <v>484</v>
      </c>
      <c r="LW249">
        <v>77950685</v>
      </c>
      <c r="LX249">
        <v>318</v>
      </c>
      <c r="LZ249" s="24"/>
      <c r="MA249">
        <v>97500</v>
      </c>
      <c r="MB249">
        <v>99994</v>
      </c>
      <c r="MC249">
        <v>99900</v>
      </c>
      <c r="MD249">
        <v>995262</v>
      </c>
      <c r="ME249">
        <v>95</v>
      </c>
    </row>
    <row r="250" spans="2:343" x14ac:dyDescent="0.25">
      <c r="B250" s="24"/>
      <c r="C250">
        <v>3</v>
      </c>
      <c r="D250">
        <v>3</v>
      </c>
      <c r="E250">
        <v>3</v>
      </c>
      <c r="F250">
        <v>20978637482</v>
      </c>
      <c r="G250">
        <v>2951</v>
      </c>
      <c r="I250" s="24"/>
      <c r="J250">
        <v>4</v>
      </c>
      <c r="K250">
        <v>4</v>
      </c>
      <c r="L250">
        <v>4</v>
      </c>
      <c r="M250">
        <v>4863996333</v>
      </c>
      <c r="N250">
        <v>2108</v>
      </c>
      <c r="P250" s="24"/>
      <c r="Q250">
        <v>28</v>
      </c>
      <c r="R250">
        <v>29</v>
      </c>
      <c r="S250">
        <v>29</v>
      </c>
      <c r="T250">
        <v>1445349627</v>
      </c>
      <c r="U250">
        <v>1998</v>
      </c>
      <c r="W250" s="24"/>
      <c r="X250">
        <v>61</v>
      </c>
      <c r="Y250">
        <v>62</v>
      </c>
      <c r="Z250">
        <v>62</v>
      </c>
      <c r="AA250">
        <v>463561143</v>
      </c>
      <c r="AB250">
        <v>1607</v>
      </c>
      <c r="AD250" s="24"/>
      <c r="AE250">
        <v>383</v>
      </c>
      <c r="AF250">
        <v>385</v>
      </c>
      <c r="AG250">
        <v>384</v>
      </c>
      <c r="AH250">
        <v>122830034</v>
      </c>
      <c r="AI250">
        <v>1626</v>
      </c>
      <c r="AK250" s="24"/>
      <c r="AL250">
        <v>726</v>
      </c>
      <c r="AM250">
        <v>740</v>
      </c>
      <c r="AN250">
        <v>739</v>
      </c>
      <c r="AO250">
        <v>36299836</v>
      </c>
      <c r="AP250">
        <v>1309</v>
      </c>
      <c r="AR250" s="24"/>
      <c r="AS250">
        <v>2638</v>
      </c>
      <c r="AT250">
        <v>2709</v>
      </c>
      <c r="AU250">
        <v>2697</v>
      </c>
      <c r="AV250">
        <v>16833693</v>
      </c>
      <c r="AW250">
        <v>1276</v>
      </c>
      <c r="AY250" s="24"/>
      <c r="AZ250">
        <v>360001001</v>
      </c>
      <c r="BA250">
        <v>365399800</v>
      </c>
      <c r="BB250">
        <v>364001000</v>
      </c>
      <c r="BC250">
        <v>2607</v>
      </c>
      <c r="BD250">
        <v>1784</v>
      </c>
      <c r="BF250" s="24"/>
      <c r="BG250">
        <v>24946</v>
      </c>
      <c r="BH250">
        <v>25001</v>
      </c>
      <c r="BI250">
        <v>24988</v>
      </c>
      <c r="BJ250">
        <v>2866327</v>
      </c>
      <c r="BK250">
        <v>232</v>
      </c>
      <c r="BM250" s="24"/>
      <c r="BN250">
        <v>6252016</v>
      </c>
      <c r="BO250">
        <v>6270001</v>
      </c>
      <c r="BP250">
        <v>6252017</v>
      </c>
      <c r="BQ250">
        <v>13244</v>
      </c>
      <c r="BR250">
        <v>350</v>
      </c>
      <c r="BT250" s="24"/>
      <c r="BU250">
        <v>2133</v>
      </c>
      <c r="BV250">
        <v>2287</v>
      </c>
      <c r="BW250">
        <v>2287</v>
      </c>
      <c r="BX250">
        <v>25805855</v>
      </c>
      <c r="BY250">
        <v>221</v>
      </c>
      <c r="CA250" s="24"/>
      <c r="CB250">
        <v>499</v>
      </c>
      <c r="CC250">
        <v>501</v>
      </c>
      <c r="CD250">
        <v>500</v>
      </c>
      <c r="CE250">
        <v>50259111</v>
      </c>
      <c r="CF250">
        <v>275</v>
      </c>
      <c r="CH250" s="24"/>
      <c r="CI250">
        <v>22196</v>
      </c>
      <c r="CJ250">
        <v>22197</v>
      </c>
      <c r="CK250">
        <v>22196</v>
      </c>
      <c r="CL250">
        <v>805503</v>
      </c>
      <c r="CM250">
        <v>170</v>
      </c>
      <c r="CO250" s="24"/>
      <c r="CP250">
        <v>6690</v>
      </c>
      <c r="CQ250">
        <v>7099</v>
      </c>
      <c r="CR250">
        <v>6800</v>
      </c>
      <c r="CS250">
        <v>1210936</v>
      </c>
      <c r="CT250">
        <v>368</v>
      </c>
      <c r="CV250" s="24"/>
      <c r="CW250">
        <v>1473989</v>
      </c>
      <c r="CX250">
        <v>1475000</v>
      </c>
      <c r="CY250">
        <v>1474000</v>
      </c>
      <c r="CZ250">
        <v>9521</v>
      </c>
      <c r="DA250">
        <v>47</v>
      </c>
      <c r="DC250" s="24"/>
      <c r="DD250">
        <v>497</v>
      </c>
      <c r="DE250">
        <v>505</v>
      </c>
      <c r="DF250">
        <v>501</v>
      </c>
      <c r="DG250">
        <v>30648314</v>
      </c>
      <c r="DH250">
        <v>157</v>
      </c>
      <c r="DJ250" s="24"/>
      <c r="DK250">
        <v>30555557</v>
      </c>
      <c r="DL250">
        <v>33007121</v>
      </c>
      <c r="DM250">
        <v>33007113</v>
      </c>
      <c r="DN250">
        <v>395</v>
      </c>
      <c r="DO250">
        <v>63</v>
      </c>
      <c r="DQ250" s="24"/>
      <c r="DR250">
        <v>1491016</v>
      </c>
      <c r="DS250">
        <v>1648365</v>
      </c>
      <c r="DT250">
        <v>1492779</v>
      </c>
      <c r="DU250">
        <v>5650</v>
      </c>
      <c r="DV250">
        <v>206</v>
      </c>
      <c r="DX250" s="24"/>
      <c r="DY250">
        <v>22304004</v>
      </c>
      <c r="DZ250">
        <v>23799999</v>
      </c>
      <c r="EA250">
        <v>22305010</v>
      </c>
      <c r="EB250">
        <v>274</v>
      </c>
      <c r="EC250">
        <v>75</v>
      </c>
      <c r="EE250" s="24"/>
      <c r="EF250">
        <v>189</v>
      </c>
      <c r="EG250">
        <v>197</v>
      </c>
      <c r="EH250">
        <v>196</v>
      </c>
      <c r="EI250">
        <v>81163696</v>
      </c>
      <c r="EJ250">
        <v>172</v>
      </c>
      <c r="EL250" s="24"/>
      <c r="EM250">
        <v>60903</v>
      </c>
      <c r="EN250">
        <v>60903</v>
      </c>
      <c r="EO250">
        <v>60903</v>
      </c>
      <c r="EP250">
        <v>86437</v>
      </c>
      <c r="EQ250">
        <v>731</v>
      </c>
      <c r="ES250" s="24"/>
      <c r="ET250">
        <v>317</v>
      </c>
      <c r="EU250">
        <v>322</v>
      </c>
      <c r="EV250">
        <v>318</v>
      </c>
      <c r="EW250">
        <v>35445874</v>
      </c>
      <c r="EX250">
        <v>564</v>
      </c>
      <c r="EZ250" s="24"/>
      <c r="FA250">
        <v>3299999</v>
      </c>
      <c r="FB250">
        <v>3336989</v>
      </c>
      <c r="FC250">
        <v>3336989</v>
      </c>
      <c r="FD250">
        <v>2354</v>
      </c>
      <c r="FE250">
        <v>28</v>
      </c>
      <c r="FG250" s="24"/>
      <c r="FH250">
        <v>6105</v>
      </c>
      <c r="FI250">
        <v>6243</v>
      </c>
      <c r="FJ250">
        <v>6243</v>
      </c>
      <c r="FK250">
        <v>1855724</v>
      </c>
      <c r="FL250">
        <v>447</v>
      </c>
      <c r="FN250" s="24"/>
      <c r="FO250">
        <v>20086</v>
      </c>
      <c r="FP250">
        <v>21000</v>
      </c>
      <c r="FQ250">
        <v>20086</v>
      </c>
      <c r="FR250">
        <v>304576</v>
      </c>
      <c r="FS250">
        <v>100</v>
      </c>
      <c r="FU250" s="24"/>
      <c r="FV250">
        <v>17764</v>
      </c>
      <c r="FW250">
        <v>17770</v>
      </c>
      <c r="FX250">
        <v>17765</v>
      </c>
      <c r="FY250">
        <v>459097</v>
      </c>
      <c r="FZ250">
        <v>1431</v>
      </c>
      <c r="GB250" s="24"/>
      <c r="GC250">
        <v>89592001</v>
      </c>
      <c r="GD250">
        <v>96984999</v>
      </c>
      <c r="GE250">
        <v>90574649</v>
      </c>
      <c r="GF250">
        <v>63</v>
      </c>
      <c r="GG250">
        <v>55</v>
      </c>
      <c r="GI250" s="24"/>
      <c r="GJ250">
        <v>22200000</v>
      </c>
      <c r="GK250">
        <v>23347133</v>
      </c>
      <c r="GL250">
        <v>22229138</v>
      </c>
      <c r="GM250">
        <v>337</v>
      </c>
      <c r="GN250">
        <v>72</v>
      </c>
      <c r="GP250" s="24"/>
      <c r="GQ250">
        <v>108</v>
      </c>
      <c r="GR250">
        <v>114</v>
      </c>
      <c r="GS250">
        <v>108</v>
      </c>
      <c r="GT250">
        <v>129193070</v>
      </c>
      <c r="GU250">
        <v>138</v>
      </c>
      <c r="GW250" s="24"/>
      <c r="GX250">
        <v>475</v>
      </c>
      <c r="GY250">
        <v>494</v>
      </c>
      <c r="GZ250">
        <v>488</v>
      </c>
      <c r="HA250">
        <v>65467738</v>
      </c>
      <c r="HB250">
        <v>275</v>
      </c>
      <c r="HD250" s="24"/>
      <c r="HE250">
        <v>5525</v>
      </c>
      <c r="HF250">
        <v>5729</v>
      </c>
      <c r="HG250">
        <v>5716</v>
      </c>
      <c r="HH250">
        <v>15142685</v>
      </c>
      <c r="HI250">
        <v>260</v>
      </c>
      <c r="HK250" s="24"/>
      <c r="HL250">
        <v>89702000</v>
      </c>
      <c r="HM250">
        <v>96989896</v>
      </c>
      <c r="HN250">
        <v>94149324</v>
      </c>
      <c r="HO250">
        <v>61</v>
      </c>
      <c r="HP250">
        <v>53</v>
      </c>
      <c r="HR250" s="24"/>
      <c r="HS250">
        <v>7455</v>
      </c>
      <c r="HT250">
        <v>7737</v>
      </c>
      <c r="HU250">
        <v>7600</v>
      </c>
      <c r="HV250">
        <v>718952</v>
      </c>
      <c r="HW250">
        <v>151</v>
      </c>
      <c r="HY250" s="24"/>
      <c r="HZ250">
        <v>6500</v>
      </c>
      <c r="IA250">
        <v>6999</v>
      </c>
      <c r="IB250">
        <v>6569</v>
      </c>
      <c r="IC250">
        <v>2213505</v>
      </c>
      <c r="ID250">
        <v>473</v>
      </c>
      <c r="IF250" s="24"/>
      <c r="IG250">
        <v>2801</v>
      </c>
      <c r="IH250">
        <v>2921</v>
      </c>
      <c r="II250">
        <v>2921</v>
      </c>
      <c r="IJ250">
        <v>1738858</v>
      </c>
      <c r="IK250">
        <v>136</v>
      </c>
      <c r="IM250" s="24"/>
      <c r="IN250">
        <v>91000100</v>
      </c>
      <c r="IO250">
        <v>96996996</v>
      </c>
      <c r="IP250">
        <v>92798987</v>
      </c>
      <c r="IQ250">
        <v>129</v>
      </c>
      <c r="IR250">
        <v>88</v>
      </c>
      <c r="IT250" s="24"/>
      <c r="IU250">
        <v>7423</v>
      </c>
      <c r="IV250">
        <v>7600</v>
      </c>
      <c r="IW250">
        <v>7599</v>
      </c>
      <c r="IX250">
        <v>1121695</v>
      </c>
      <c r="IY250">
        <v>143</v>
      </c>
      <c r="JA250" s="24"/>
      <c r="JB250">
        <v>90022001</v>
      </c>
      <c r="JC250">
        <v>93999898</v>
      </c>
      <c r="JD250">
        <v>92149546</v>
      </c>
      <c r="JE250">
        <v>70</v>
      </c>
      <c r="JF250">
        <v>61</v>
      </c>
      <c r="JH250" s="24"/>
      <c r="JI250">
        <v>86203009</v>
      </c>
      <c r="JJ250">
        <v>95999698</v>
      </c>
      <c r="JK250">
        <v>93922558</v>
      </c>
      <c r="JL250">
        <v>28</v>
      </c>
      <c r="JM250">
        <v>28</v>
      </c>
      <c r="JO250" s="24"/>
      <c r="JP250">
        <v>114</v>
      </c>
      <c r="JQ250">
        <v>122</v>
      </c>
      <c r="JR250">
        <v>117</v>
      </c>
      <c r="JS250">
        <v>86264498</v>
      </c>
      <c r="JT250">
        <v>115</v>
      </c>
      <c r="JV250" s="24"/>
      <c r="JW250">
        <v>87</v>
      </c>
      <c r="JX250">
        <v>90</v>
      </c>
      <c r="JY250">
        <v>87</v>
      </c>
      <c r="JZ250">
        <v>113807488</v>
      </c>
      <c r="KA250">
        <v>114</v>
      </c>
      <c r="KC250" s="24"/>
      <c r="KD250">
        <v>20</v>
      </c>
      <c r="KE250">
        <v>21</v>
      </c>
      <c r="KF250">
        <v>21</v>
      </c>
      <c r="KG250">
        <v>41454069</v>
      </c>
      <c r="KH250">
        <v>315</v>
      </c>
      <c r="KJ250" s="24"/>
      <c r="KK250">
        <v>91</v>
      </c>
      <c r="KL250">
        <v>93</v>
      </c>
      <c r="KM250">
        <v>93</v>
      </c>
      <c r="KN250">
        <v>94419547</v>
      </c>
      <c r="KO250">
        <v>136</v>
      </c>
      <c r="KQ250" s="24"/>
      <c r="KR250">
        <v>134750</v>
      </c>
      <c r="KS250">
        <v>136503</v>
      </c>
      <c r="KT250">
        <v>136503</v>
      </c>
      <c r="KU250">
        <v>111366</v>
      </c>
      <c r="KV250">
        <v>743</v>
      </c>
      <c r="KX250" s="24"/>
      <c r="KY250">
        <v>564</v>
      </c>
      <c r="KZ250">
        <v>597</v>
      </c>
      <c r="LA250">
        <v>596</v>
      </c>
      <c r="LB250">
        <v>8683362</v>
      </c>
      <c r="LC250">
        <v>199</v>
      </c>
      <c r="LE250" s="24"/>
      <c r="LF250">
        <v>194000</v>
      </c>
      <c r="LG250">
        <v>198002</v>
      </c>
      <c r="LH250">
        <v>194108</v>
      </c>
      <c r="LI250">
        <v>201480</v>
      </c>
      <c r="LJ250">
        <v>980</v>
      </c>
      <c r="LL250" s="24"/>
      <c r="LM250">
        <v>79525</v>
      </c>
      <c r="LN250">
        <v>79753</v>
      </c>
      <c r="LO250">
        <v>79605</v>
      </c>
      <c r="LP250">
        <v>332463</v>
      </c>
      <c r="LQ250">
        <v>1454</v>
      </c>
      <c r="LS250" s="24"/>
      <c r="LT250">
        <v>482</v>
      </c>
      <c r="LU250">
        <v>484</v>
      </c>
      <c r="LV250">
        <v>483</v>
      </c>
      <c r="LW250">
        <v>78621290</v>
      </c>
      <c r="LX250">
        <v>365</v>
      </c>
      <c r="LZ250" s="24"/>
      <c r="MA250">
        <v>97100</v>
      </c>
      <c r="MB250">
        <v>101099</v>
      </c>
      <c r="MC250">
        <v>100984</v>
      </c>
      <c r="MD250">
        <v>974533</v>
      </c>
      <c r="ME250">
        <v>100</v>
      </c>
    </row>
    <row r="251" spans="2:343" x14ac:dyDescent="0.25">
      <c r="B251" s="24"/>
      <c r="C251">
        <v>3</v>
      </c>
      <c r="D251">
        <v>3</v>
      </c>
      <c r="E251">
        <v>3</v>
      </c>
      <c r="F251">
        <v>35170238103</v>
      </c>
      <c r="G251">
        <v>3316</v>
      </c>
      <c r="I251" s="24"/>
      <c r="J251">
        <v>4</v>
      </c>
      <c r="K251">
        <v>4</v>
      </c>
      <c r="L251">
        <v>4</v>
      </c>
      <c r="M251">
        <v>7637867524</v>
      </c>
      <c r="N251">
        <v>2421</v>
      </c>
      <c r="P251" s="24"/>
      <c r="Q251">
        <v>28</v>
      </c>
      <c r="R251">
        <v>28</v>
      </c>
      <c r="S251">
        <v>28</v>
      </c>
      <c r="T251">
        <v>2203698798</v>
      </c>
      <c r="U251">
        <v>2152</v>
      </c>
      <c r="W251" s="24"/>
      <c r="X251">
        <v>62</v>
      </c>
      <c r="Y251">
        <v>63</v>
      </c>
      <c r="Z251">
        <v>62</v>
      </c>
      <c r="AA251">
        <v>793813378</v>
      </c>
      <c r="AB251">
        <v>1801</v>
      </c>
      <c r="AD251" s="24"/>
      <c r="AE251">
        <v>381</v>
      </c>
      <c r="AF251">
        <v>386</v>
      </c>
      <c r="AG251">
        <v>383</v>
      </c>
      <c r="AH251">
        <v>135501573</v>
      </c>
      <c r="AI251">
        <v>1768</v>
      </c>
      <c r="AK251" s="24"/>
      <c r="AL251">
        <v>722</v>
      </c>
      <c r="AM251">
        <v>739</v>
      </c>
      <c r="AN251">
        <v>739</v>
      </c>
      <c r="AO251">
        <v>34679273</v>
      </c>
      <c r="AP251">
        <v>1458</v>
      </c>
      <c r="AR251" s="24"/>
      <c r="AS251">
        <v>2651</v>
      </c>
      <c r="AT251">
        <v>2721</v>
      </c>
      <c r="AU251">
        <v>2716</v>
      </c>
      <c r="AV251">
        <v>13781223</v>
      </c>
      <c r="AW251">
        <v>1382</v>
      </c>
      <c r="AY251" s="24"/>
      <c r="AZ251">
        <v>360010010</v>
      </c>
      <c r="BA251">
        <v>365291000</v>
      </c>
      <c r="BB251">
        <v>363000000</v>
      </c>
      <c r="BC251">
        <v>2596</v>
      </c>
      <c r="BD251">
        <v>1716</v>
      </c>
      <c r="BF251" s="24"/>
      <c r="BG251">
        <v>25012</v>
      </c>
      <c r="BH251">
        <v>25159</v>
      </c>
      <c r="BI251">
        <v>25150</v>
      </c>
      <c r="BJ251">
        <v>1313406</v>
      </c>
      <c r="BK251">
        <v>231</v>
      </c>
      <c r="BM251" s="24"/>
      <c r="BN251">
        <v>6200000</v>
      </c>
      <c r="BO251">
        <v>6200000</v>
      </c>
      <c r="BP251">
        <v>6200000</v>
      </c>
      <c r="BQ251">
        <v>9082</v>
      </c>
      <c r="BR251">
        <v>320</v>
      </c>
      <c r="BT251" s="24"/>
      <c r="BU251">
        <v>2185</v>
      </c>
      <c r="BV251">
        <v>2228</v>
      </c>
      <c r="BW251">
        <v>2186</v>
      </c>
      <c r="BX251">
        <v>25041616</v>
      </c>
      <c r="BY251">
        <v>288</v>
      </c>
      <c r="CA251" s="24"/>
      <c r="CB251">
        <v>499</v>
      </c>
      <c r="CC251">
        <v>499</v>
      </c>
      <c r="CD251">
        <v>499</v>
      </c>
      <c r="CE251">
        <v>85914418</v>
      </c>
      <c r="CF251">
        <v>272</v>
      </c>
      <c r="CH251" s="24"/>
      <c r="CI251">
        <v>22196</v>
      </c>
      <c r="CJ251">
        <v>22196</v>
      </c>
      <c r="CK251">
        <v>22196</v>
      </c>
      <c r="CL251">
        <v>1371331</v>
      </c>
      <c r="CM251">
        <v>211</v>
      </c>
      <c r="CO251" s="24"/>
      <c r="CP251">
        <v>6510</v>
      </c>
      <c r="CQ251">
        <v>6899</v>
      </c>
      <c r="CR251">
        <v>6764</v>
      </c>
      <c r="CS251">
        <v>1352208</v>
      </c>
      <c r="CT251">
        <v>405</v>
      </c>
      <c r="CV251" s="24"/>
      <c r="CW251">
        <v>1370000</v>
      </c>
      <c r="CX251">
        <v>1518690</v>
      </c>
      <c r="CY251">
        <v>1370000</v>
      </c>
      <c r="CZ251">
        <v>6346</v>
      </c>
      <c r="DA251">
        <v>38</v>
      </c>
      <c r="DC251" s="24"/>
      <c r="DD251">
        <v>487</v>
      </c>
      <c r="DE251">
        <v>494</v>
      </c>
      <c r="DF251">
        <v>494</v>
      </c>
      <c r="DG251">
        <v>41734904</v>
      </c>
      <c r="DH251">
        <v>184</v>
      </c>
      <c r="DJ251" s="24"/>
      <c r="DK251">
        <v>30995587</v>
      </c>
      <c r="DL251">
        <v>32897543</v>
      </c>
      <c r="DM251">
        <v>31400145</v>
      </c>
      <c r="DN251">
        <v>246</v>
      </c>
      <c r="DO251">
        <v>83</v>
      </c>
      <c r="DQ251" s="24"/>
      <c r="DR251">
        <v>1501559</v>
      </c>
      <c r="DS251">
        <v>1641999</v>
      </c>
      <c r="DT251">
        <v>1555777</v>
      </c>
      <c r="DU251">
        <v>10074</v>
      </c>
      <c r="DV251">
        <v>307</v>
      </c>
      <c r="DX251" s="24"/>
      <c r="DY251">
        <v>22303008</v>
      </c>
      <c r="DZ251">
        <v>23971999</v>
      </c>
      <c r="EA251">
        <v>22304010</v>
      </c>
      <c r="EB251">
        <v>461</v>
      </c>
      <c r="EC251">
        <v>139</v>
      </c>
      <c r="EE251" s="24"/>
      <c r="EF251">
        <v>190</v>
      </c>
      <c r="EG251">
        <v>196</v>
      </c>
      <c r="EH251">
        <v>195</v>
      </c>
      <c r="EI251">
        <v>115656082</v>
      </c>
      <c r="EJ251">
        <v>223</v>
      </c>
      <c r="EL251" s="24"/>
      <c r="EM251">
        <v>60903</v>
      </c>
      <c r="EN251">
        <v>60909</v>
      </c>
      <c r="EO251">
        <v>60904</v>
      </c>
      <c r="EP251">
        <v>67610</v>
      </c>
      <c r="EQ251">
        <v>831</v>
      </c>
      <c r="ES251" s="24"/>
      <c r="ET251">
        <v>319</v>
      </c>
      <c r="EU251">
        <v>323</v>
      </c>
      <c r="EV251">
        <v>320</v>
      </c>
      <c r="EW251">
        <v>40914977</v>
      </c>
      <c r="EX251">
        <v>682</v>
      </c>
      <c r="EZ251" s="24"/>
      <c r="FA251">
        <v>3125006</v>
      </c>
      <c r="FB251">
        <v>3336999</v>
      </c>
      <c r="FC251">
        <v>3125007</v>
      </c>
      <c r="FD251">
        <v>1965</v>
      </c>
      <c r="FE251">
        <v>32</v>
      </c>
      <c r="FG251" s="24"/>
      <c r="FH251">
        <v>6100</v>
      </c>
      <c r="FI251">
        <v>6316</v>
      </c>
      <c r="FJ251">
        <v>6238</v>
      </c>
      <c r="FK251">
        <v>1620326</v>
      </c>
      <c r="FL251">
        <v>484</v>
      </c>
      <c r="FN251" s="24"/>
      <c r="FO251">
        <v>20000</v>
      </c>
      <c r="FP251">
        <v>20997</v>
      </c>
      <c r="FQ251">
        <v>20086</v>
      </c>
      <c r="FR251">
        <v>135716</v>
      </c>
      <c r="FS251">
        <v>83</v>
      </c>
      <c r="FU251" s="24"/>
      <c r="FV251">
        <v>17400</v>
      </c>
      <c r="FW251">
        <v>17402</v>
      </c>
      <c r="FX251">
        <v>17401</v>
      </c>
      <c r="FY251">
        <v>321061</v>
      </c>
      <c r="FZ251">
        <v>1555</v>
      </c>
      <c r="GB251" s="24"/>
      <c r="GC251">
        <v>89630007</v>
      </c>
      <c r="GD251">
        <v>96799999</v>
      </c>
      <c r="GE251">
        <v>92924722</v>
      </c>
      <c r="GF251">
        <v>76</v>
      </c>
      <c r="GG251">
        <v>68</v>
      </c>
      <c r="GI251" s="24"/>
      <c r="GJ251">
        <v>22299138</v>
      </c>
      <c r="GK251">
        <v>23277499</v>
      </c>
      <c r="GL251">
        <v>22299999</v>
      </c>
      <c r="GM251">
        <v>611</v>
      </c>
      <c r="GN251">
        <v>104</v>
      </c>
      <c r="GP251" s="24"/>
      <c r="GQ251">
        <v>105</v>
      </c>
      <c r="GR251">
        <v>111</v>
      </c>
      <c r="GS251">
        <v>105</v>
      </c>
      <c r="GT251">
        <v>191031814</v>
      </c>
      <c r="GU251">
        <v>165</v>
      </c>
      <c r="GW251" s="24"/>
      <c r="GX251">
        <v>470</v>
      </c>
      <c r="GY251">
        <v>487</v>
      </c>
      <c r="GZ251">
        <v>486</v>
      </c>
      <c r="HA251">
        <v>88356229</v>
      </c>
      <c r="HB251">
        <v>330</v>
      </c>
      <c r="HD251" s="24"/>
      <c r="HE251">
        <v>5581</v>
      </c>
      <c r="HF251">
        <v>5712</v>
      </c>
      <c r="HG251">
        <v>5708</v>
      </c>
      <c r="HH251">
        <v>10584716</v>
      </c>
      <c r="HI251">
        <v>287</v>
      </c>
      <c r="HK251" s="24"/>
      <c r="HL251">
        <v>89751003</v>
      </c>
      <c r="HM251">
        <v>96989000</v>
      </c>
      <c r="HN251">
        <v>94910060</v>
      </c>
      <c r="HO251">
        <v>79</v>
      </c>
      <c r="HP251">
        <v>73</v>
      </c>
      <c r="HR251" s="24"/>
      <c r="HS251">
        <v>7455</v>
      </c>
      <c r="HT251">
        <v>7890</v>
      </c>
      <c r="HU251">
        <v>7770</v>
      </c>
      <c r="HV251">
        <v>978130</v>
      </c>
      <c r="HW251">
        <v>179</v>
      </c>
      <c r="HY251" s="24"/>
      <c r="HZ251">
        <v>6949</v>
      </c>
      <c r="IA251">
        <v>7964</v>
      </c>
      <c r="IB251">
        <v>7500</v>
      </c>
      <c r="IC251">
        <v>2424445</v>
      </c>
      <c r="ID251">
        <v>521</v>
      </c>
      <c r="IF251" s="24"/>
      <c r="IG251">
        <v>2802</v>
      </c>
      <c r="IH251">
        <v>2999</v>
      </c>
      <c r="II251">
        <v>2999</v>
      </c>
      <c r="IJ251">
        <v>1123178</v>
      </c>
      <c r="IK251">
        <v>131</v>
      </c>
      <c r="IM251" s="24"/>
      <c r="IN251">
        <v>90219027</v>
      </c>
      <c r="IO251">
        <v>96700006</v>
      </c>
      <c r="IP251">
        <v>94788596</v>
      </c>
      <c r="IQ251">
        <v>78</v>
      </c>
      <c r="IR251">
        <v>68</v>
      </c>
      <c r="IT251" s="24"/>
      <c r="IU251">
        <v>7471</v>
      </c>
      <c r="IV251">
        <v>7775</v>
      </c>
      <c r="IW251">
        <v>7775</v>
      </c>
      <c r="IX251">
        <v>945434</v>
      </c>
      <c r="IY251">
        <v>130</v>
      </c>
      <c r="JA251" s="24"/>
      <c r="JB251">
        <v>90023002</v>
      </c>
      <c r="JC251">
        <v>94499995</v>
      </c>
      <c r="JD251">
        <v>92000003</v>
      </c>
      <c r="JE251">
        <v>144</v>
      </c>
      <c r="JF251">
        <v>96</v>
      </c>
      <c r="JH251" s="24"/>
      <c r="JI251">
        <v>86233001</v>
      </c>
      <c r="JJ251">
        <v>96287000</v>
      </c>
      <c r="JK251">
        <v>94093052</v>
      </c>
      <c r="JL251">
        <v>54</v>
      </c>
      <c r="JM251">
        <v>51</v>
      </c>
      <c r="JO251" s="24"/>
      <c r="JP251">
        <v>114</v>
      </c>
      <c r="JQ251">
        <v>117</v>
      </c>
      <c r="JR251">
        <v>114</v>
      </c>
      <c r="JS251">
        <v>135811943</v>
      </c>
      <c r="JT251">
        <v>126</v>
      </c>
      <c r="JV251" s="24"/>
      <c r="JW251">
        <v>87</v>
      </c>
      <c r="JX251">
        <v>92</v>
      </c>
      <c r="JY251">
        <v>90</v>
      </c>
      <c r="JZ251">
        <v>91289544</v>
      </c>
      <c r="KA251">
        <v>104</v>
      </c>
      <c r="KC251" s="24"/>
      <c r="KD251">
        <v>20</v>
      </c>
      <c r="KE251">
        <v>21</v>
      </c>
      <c r="KF251">
        <v>21</v>
      </c>
      <c r="KG251">
        <v>45081661</v>
      </c>
      <c r="KH251">
        <v>393</v>
      </c>
      <c r="KJ251" s="24"/>
      <c r="KK251">
        <v>91</v>
      </c>
      <c r="KL251">
        <v>92</v>
      </c>
      <c r="KM251">
        <v>92</v>
      </c>
      <c r="KN251">
        <v>56492532</v>
      </c>
      <c r="KO251">
        <v>139</v>
      </c>
      <c r="KQ251" s="24"/>
      <c r="KR251">
        <v>135210</v>
      </c>
      <c r="KS251">
        <v>135401</v>
      </c>
      <c r="KT251">
        <v>135378</v>
      </c>
      <c r="KU251">
        <v>90407</v>
      </c>
      <c r="KV251">
        <v>800</v>
      </c>
      <c r="KX251" s="24"/>
      <c r="KY251">
        <v>595</v>
      </c>
      <c r="KZ251">
        <v>597</v>
      </c>
      <c r="LA251">
        <v>597</v>
      </c>
      <c r="LB251">
        <v>4812464</v>
      </c>
      <c r="LC251">
        <v>190</v>
      </c>
      <c r="LE251" s="24"/>
      <c r="LF251">
        <v>196102</v>
      </c>
      <c r="LG251">
        <v>196105</v>
      </c>
      <c r="LH251">
        <v>196105</v>
      </c>
      <c r="LI251">
        <v>98328</v>
      </c>
      <c r="LJ251">
        <v>1095</v>
      </c>
      <c r="LL251" s="24"/>
      <c r="LM251">
        <v>80000</v>
      </c>
      <c r="LN251">
        <v>80053</v>
      </c>
      <c r="LO251">
        <v>80046</v>
      </c>
      <c r="LP251">
        <v>362281</v>
      </c>
      <c r="LQ251">
        <v>1672</v>
      </c>
      <c r="LS251" s="24"/>
      <c r="LT251">
        <v>475</v>
      </c>
      <c r="LU251">
        <v>481</v>
      </c>
      <c r="LV251">
        <v>479</v>
      </c>
      <c r="LW251">
        <v>113397080</v>
      </c>
      <c r="LX251">
        <v>471</v>
      </c>
      <c r="LZ251" s="24"/>
      <c r="MA251">
        <v>97001</v>
      </c>
      <c r="MB251">
        <v>101098</v>
      </c>
      <c r="MC251">
        <v>101098</v>
      </c>
      <c r="MD251">
        <v>1180287</v>
      </c>
      <c r="ME251">
        <v>106</v>
      </c>
    </row>
    <row r="252" spans="2:343" x14ac:dyDescent="0.25">
      <c r="B252" s="24"/>
      <c r="C252">
        <v>3</v>
      </c>
      <c r="D252">
        <v>3</v>
      </c>
      <c r="E252">
        <v>3</v>
      </c>
      <c r="F252">
        <v>27893775133</v>
      </c>
      <c r="G252">
        <v>2833</v>
      </c>
      <c r="I252" s="24"/>
      <c r="J252">
        <v>4</v>
      </c>
      <c r="K252">
        <v>4</v>
      </c>
      <c r="L252">
        <v>4</v>
      </c>
      <c r="M252">
        <v>3700149918</v>
      </c>
      <c r="N252">
        <v>1909</v>
      </c>
      <c r="P252" s="24"/>
      <c r="Q252">
        <v>28</v>
      </c>
      <c r="R252">
        <v>28</v>
      </c>
      <c r="S252">
        <v>28</v>
      </c>
      <c r="T252">
        <v>1609802222</v>
      </c>
      <c r="U252">
        <v>1851</v>
      </c>
      <c r="W252" s="24"/>
      <c r="X252">
        <v>64</v>
      </c>
      <c r="Y252">
        <v>68</v>
      </c>
      <c r="Z252">
        <v>67</v>
      </c>
      <c r="AA252">
        <v>281153432</v>
      </c>
      <c r="AB252">
        <v>1440</v>
      </c>
      <c r="AD252" s="24"/>
      <c r="AE252">
        <v>341</v>
      </c>
      <c r="AF252">
        <v>374</v>
      </c>
      <c r="AG252">
        <v>351</v>
      </c>
      <c r="AH252">
        <v>149667929</v>
      </c>
      <c r="AI252">
        <v>1565</v>
      </c>
      <c r="AK252" s="24"/>
      <c r="AL252">
        <v>720</v>
      </c>
      <c r="AM252">
        <v>738</v>
      </c>
      <c r="AN252">
        <v>737</v>
      </c>
      <c r="AO252">
        <v>34053491</v>
      </c>
      <c r="AP252">
        <v>1224</v>
      </c>
      <c r="AR252" s="24"/>
      <c r="AS252">
        <v>2667</v>
      </c>
      <c r="AT252">
        <v>2779</v>
      </c>
      <c r="AU252">
        <v>2721</v>
      </c>
      <c r="AV252">
        <v>16336929</v>
      </c>
      <c r="AW252">
        <v>1184</v>
      </c>
      <c r="AY252" s="24"/>
      <c r="AZ252">
        <v>364000042</v>
      </c>
      <c r="BA252">
        <v>370000000</v>
      </c>
      <c r="BB252">
        <v>367421910</v>
      </c>
      <c r="BC252">
        <v>2448</v>
      </c>
      <c r="BD252">
        <v>1687</v>
      </c>
      <c r="BF252" s="24"/>
      <c r="BG252">
        <v>25160</v>
      </c>
      <c r="BH252">
        <v>25359</v>
      </c>
      <c r="BI252">
        <v>25258</v>
      </c>
      <c r="BJ252">
        <v>2444520</v>
      </c>
      <c r="BK252">
        <v>211</v>
      </c>
      <c r="BM252" s="24"/>
      <c r="BN252">
        <v>6000003</v>
      </c>
      <c r="BO252">
        <v>6100000</v>
      </c>
      <c r="BP252">
        <v>6000004</v>
      </c>
      <c r="BQ252">
        <v>11206</v>
      </c>
      <c r="BR252">
        <v>285</v>
      </c>
      <c r="BT252" s="24"/>
      <c r="BU252">
        <v>2198</v>
      </c>
      <c r="BV252">
        <v>2213</v>
      </c>
      <c r="BW252">
        <v>2198</v>
      </c>
      <c r="BX252">
        <v>25254284</v>
      </c>
      <c r="BY252">
        <v>265</v>
      </c>
      <c r="CA252" s="24"/>
      <c r="CB252">
        <v>487</v>
      </c>
      <c r="CC252">
        <v>499</v>
      </c>
      <c r="CD252">
        <v>499</v>
      </c>
      <c r="CE252">
        <v>55384510</v>
      </c>
      <c r="CF252">
        <v>264</v>
      </c>
      <c r="CH252" s="24"/>
      <c r="CI252">
        <v>22197</v>
      </c>
      <c r="CJ252">
        <v>22197</v>
      </c>
      <c r="CK252">
        <v>22197</v>
      </c>
      <c r="CL252">
        <v>994483</v>
      </c>
      <c r="CM252">
        <v>158</v>
      </c>
      <c r="CO252" s="24"/>
      <c r="CP252">
        <v>6572</v>
      </c>
      <c r="CQ252">
        <v>6768</v>
      </c>
      <c r="CR252">
        <v>6697</v>
      </c>
      <c r="CS252">
        <v>1261865</v>
      </c>
      <c r="CT252">
        <v>382</v>
      </c>
      <c r="CV252" s="24"/>
      <c r="CW252">
        <v>1360001</v>
      </c>
      <c r="CX252">
        <v>1370000</v>
      </c>
      <c r="CY252">
        <v>1360003</v>
      </c>
      <c r="CZ252">
        <v>5719</v>
      </c>
      <c r="DA252">
        <v>27</v>
      </c>
      <c r="DC252" s="24"/>
      <c r="DD252">
        <v>482</v>
      </c>
      <c r="DE252">
        <v>503</v>
      </c>
      <c r="DF252">
        <v>494</v>
      </c>
      <c r="DG252">
        <v>36441174</v>
      </c>
      <c r="DH252">
        <v>149</v>
      </c>
      <c r="DJ252" s="24"/>
      <c r="DK252">
        <v>31990176</v>
      </c>
      <c r="DL252">
        <v>32934999</v>
      </c>
      <c r="DM252">
        <v>31990212</v>
      </c>
      <c r="DN252">
        <v>275</v>
      </c>
      <c r="DO252">
        <v>59</v>
      </c>
      <c r="DQ252" s="24"/>
      <c r="DR252">
        <v>1498561</v>
      </c>
      <c r="DS252">
        <v>1599999</v>
      </c>
      <c r="DT252">
        <v>1498585</v>
      </c>
      <c r="DU252">
        <v>8487</v>
      </c>
      <c r="DV252">
        <v>242</v>
      </c>
      <c r="DX252" s="24"/>
      <c r="DY252">
        <v>21500036</v>
      </c>
      <c r="DZ252">
        <v>23999999</v>
      </c>
      <c r="EA252">
        <v>21500047</v>
      </c>
      <c r="EB252">
        <v>367</v>
      </c>
      <c r="EC252">
        <v>104</v>
      </c>
      <c r="EE252" s="24"/>
      <c r="EF252">
        <v>183</v>
      </c>
      <c r="EG252">
        <v>199</v>
      </c>
      <c r="EH252">
        <v>185</v>
      </c>
      <c r="EI252">
        <v>84917055</v>
      </c>
      <c r="EJ252">
        <v>184</v>
      </c>
      <c r="EL252" s="24"/>
      <c r="EM252">
        <v>59004</v>
      </c>
      <c r="EN252">
        <v>60904</v>
      </c>
      <c r="EO252">
        <v>59007</v>
      </c>
      <c r="EP252">
        <v>70112</v>
      </c>
      <c r="EQ252">
        <v>740</v>
      </c>
      <c r="ES252" s="24"/>
      <c r="ET252">
        <v>304</v>
      </c>
      <c r="EU252">
        <v>319</v>
      </c>
      <c r="EV252">
        <v>312</v>
      </c>
      <c r="EW252">
        <v>57130052</v>
      </c>
      <c r="EX252">
        <v>575</v>
      </c>
      <c r="EZ252" s="24"/>
      <c r="FA252">
        <v>3125008</v>
      </c>
      <c r="FB252">
        <v>3300000</v>
      </c>
      <c r="FC252">
        <v>3290000</v>
      </c>
      <c r="FD252">
        <v>1078</v>
      </c>
      <c r="FE252">
        <v>22</v>
      </c>
      <c r="FG252" s="24"/>
      <c r="FH252">
        <v>5919</v>
      </c>
      <c r="FI252">
        <v>6199</v>
      </c>
      <c r="FJ252">
        <v>6187</v>
      </c>
      <c r="FK252">
        <v>1953753</v>
      </c>
      <c r="FL252">
        <v>418</v>
      </c>
      <c r="FN252" s="24"/>
      <c r="FO252">
        <v>19254</v>
      </c>
      <c r="FP252">
        <v>19256</v>
      </c>
      <c r="FQ252">
        <v>19256</v>
      </c>
      <c r="FR252">
        <v>307535</v>
      </c>
      <c r="FS252">
        <v>114</v>
      </c>
      <c r="FU252" s="24"/>
      <c r="FV252">
        <v>17400</v>
      </c>
      <c r="FW252">
        <v>17500</v>
      </c>
      <c r="FX252">
        <v>17400</v>
      </c>
      <c r="FY252">
        <v>321798</v>
      </c>
      <c r="FZ252">
        <v>1260</v>
      </c>
      <c r="GB252" s="24"/>
      <c r="GC252">
        <v>90002000</v>
      </c>
      <c r="GD252">
        <v>96988991</v>
      </c>
      <c r="GE252">
        <v>93005093</v>
      </c>
      <c r="GF252">
        <v>77</v>
      </c>
      <c r="GG252">
        <v>51</v>
      </c>
      <c r="GI252" s="24"/>
      <c r="GJ252">
        <v>22235001</v>
      </c>
      <c r="GK252">
        <v>22309999</v>
      </c>
      <c r="GL252">
        <v>22235001</v>
      </c>
      <c r="GM252">
        <v>559</v>
      </c>
      <c r="GN252">
        <v>92</v>
      </c>
      <c r="GP252" s="24"/>
      <c r="GQ252">
        <v>100</v>
      </c>
      <c r="GR252">
        <v>108</v>
      </c>
      <c r="GS252">
        <v>105</v>
      </c>
      <c r="GT252">
        <v>156249761</v>
      </c>
      <c r="GU252">
        <v>141</v>
      </c>
      <c r="GW252" s="24"/>
      <c r="GX252">
        <v>446</v>
      </c>
      <c r="GY252">
        <v>474</v>
      </c>
      <c r="GZ252">
        <v>468</v>
      </c>
      <c r="HA252">
        <v>37072869</v>
      </c>
      <c r="HB252">
        <v>195</v>
      </c>
      <c r="HD252" s="24"/>
      <c r="HE252">
        <v>5581</v>
      </c>
      <c r="HF252">
        <v>5689</v>
      </c>
      <c r="HG252">
        <v>5685</v>
      </c>
      <c r="HH252">
        <v>16684938</v>
      </c>
      <c r="HI252">
        <v>338</v>
      </c>
      <c r="HK252" s="24"/>
      <c r="HL252">
        <v>89810100</v>
      </c>
      <c r="HM252">
        <v>96993998</v>
      </c>
      <c r="HN252">
        <v>92939159</v>
      </c>
      <c r="HO252">
        <v>85</v>
      </c>
      <c r="HP252">
        <v>59</v>
      </c>
      <c r="HR252" s="24"/>
      <c r="HS252">
        <v>7848</v>
      </c>
      <c r="HT252">
        <v>7948</v>
      </c>
      <c r="HU252">
        <v>7879</v>
      </c>
      <c r="HV252">
        <v>1307320</v>
      </c>
      <c r="HW252">
        <v>167</v>
      </c>
      <c r="HY252" s="24"/>
      <c r="HZ252">
        <v>7101</v>
      </c>
      <c r="IA252">
        <v>7676</v>
      </c>
      <c r="IB252">
        <v>7499</v>
      </c>
      <c r="IC252">
        <v>2509109</v>
      </c>
      <c r="ID252">
        <v>449</v>
      </c>
      <c r="IF252" s="24"/>
      <c r="IG252">
        <v>2936</v>
      </c>
      <c r="IH252">
        <v>2998</v>
      </c>
      <c r="II252">
        <v>2990</v>
      </c>
      <c r="IJ252">
        <v>1407305</v>
      </c>
      <c r="IK252">
        <v>148</v>
      </c>
      <c r="IM252" s="24"/>
      <c r="IN252">
        <v>90302001</v>
      </c>
      <c r="IO252">
        <v>96697996</v>
      </c>
      <c r="IP252">
        <v>92932210</v>
      </c>
      <c r="IQ252">
        <v>85</v>
      </c>
      <c r="IR252">
        <v>54</v>
      </c>
      <c r="IT252" s="24"/>
      <c r="IU252">
        <v>7775</v>
      </c>
      <c r="IV252">
        <v>7998</v>
      </c>
      <c r="IW252">
        <v>7777</v>
      </c>
      <c r="IX252">
        <v>1161754</v>
      </c>
      <c r="IY252">
        <v>162</v>
      </c>
      <c r="JA252" s="24"/>
      <c r="JB252">
        <v>90003004</v>
      </c>
      <c r="JC252">
        <v>95975999</v>
      </c>
      <c r="JD252">
        <v>92000000</v>
      </c>
      <c r="JE252">
        <v>143</v>
      </c>
      <c r="JF252">
        <v>87</v>
      </c>
      <c r="JH252" s="24"/>
      <c r="JI252">
        <v>86587201</v>
      </c>
      <c r="JJ252">
        <v>96279998</v>
      </c>
      <c r="JK252">
        <v>90862593</v>
      </c>
      <c r="JL252">
        <v>73</v>
      </c>
      <c r="JM252">
        <v>48</v>
      </c>
      <c r="JO252" s="24"/>
      <c r="JP252">
        <v>111</v>
      </c>
      <c r="JQ252">
        <v>111</v>
      </c>
      <c r="JR252">
        <v>111</v>
      </c>
      <c r="JS252">
        <v>68118858</v>
      </c>
      <c r="JT252">
        <v>105</v>
      </c>
      <c r="JV252" s="24"/>
      <c r="JW252">
        <v>87</v>
      </c>
      <c r="JX252">
        <v>89</v>
      </c>
      <c r="JY252">
        <v>88</v>
      </c>
      <c r="JZ252">
        <v>94822659</v>
      </c>
      <c r="KA252">
        <v>134</v>
      </c>
      <c r="KC252" s="24"/>
      <c r="KD252">
        <v>20</v>
      </c>
      <c r="KE252">
        <v>21</v>
      </c>
      <c r="KF252">
        <v>21</v>
      </c>
      <c r="KG252">
        <v>58454070</v>
      </c>
      <c r="KH252">
        <v>326</v>
      </c>
      <c r="KJ252" s="24"/>
      <c r="KK252">
        <v>91</v>
      </c>
      <c r="KL252">
        <v>92</v>
      </c>
      <c r="KM252">
        <v>91</v>
      </c>
      <c r="KN252">
        <v>101419639</v>
      </c>
      <c r="KO252">
        <v>113</v>
      </c>
      <c r="KQ252" s="24"/>
      <c r="KR252">
        <v>134001</v>
      </c>
      <c r="KS252">
        <v>135000</v>
      </c>
      <c r="KT252">
        <v>134001</v>
      </c>
      <c r="KU252">
        <v>66647</v>
      </c>
      <c r="KV252">
        <v>680</v>
      </c>
      <c r="KX252" s="24"/>
      <c r="KY252">
        <v>569</v>
      </c>
      <c r="KZ252">
        <v>585</v>
      </c>
      <c r="LA252">
        <v>585</v>
      </c>
      <c r="LB252">
        <v>5557512</v>
      </c>
      <c r="LC252">
        <v>191</v>
      </c>
      <c r="LE252" s="24"/>
      <c r="LF252">
        <v>194000</v>
      </c>
      <c r="LG252">
        <v>197000</v>
      </c>
      <c r="LH252">
        <v>195010</v>
      </c>
      <c r="LI252">
        <v>162344</v>
      </c>
      <c r="LJ252">
        <v>932</v>
      </c>
      <c r="LL252" s="24"/>
      <c r="LM252">
        <v>80501</v>
      </c>
      <c r="LN252">
        <v>80526</v>
      </c>
      <c r="LO252">
        <v>80525</v>
      </c>
      <c r="LP252">
        <v>372369</v>
      </c>
      <c r="LQ252">
        <v>1338</v>
      </c>
      <c r="LS252" s="24"/>
      <c r="LT252">
        <v>479</v>
      </c>
      <c r="LU252">
        <v>481</v>
      </c>
      <c r="LV252">
        <v>481</v>
      </c>
      <c r="LW252">
        <v>77857671</v>
      </c>
      <c r="LX252">
        <v>366</v>
      </c>
      <c r="LZ252" s="24"/>
      <c r="MA252">
        <v>98000</v>
      </c>
      <c r="MB252">
        <v>101098</v>
      </c>
      <c r="MC252">
        <v>101098</v>
      </c>
      <c r="MD252">
        <v>1124082</v>
      </c>
      <c r="ME252">
        <v>94</v>
      </c>
    </row>
    <row r="253" spans="2:343" x14ac:dyDescent="0.25">
      <c r="B253" s="24"/>
      <c r="C253">
        <v>3</v>
      </c>
      <c r="D253">
        <v>3</v>
      </c>
      <c r="E253">
        <v>3</v>
      </c>
      <c r="F253">
        <v>30335287206</v>
      </c>
      <c r="G253">
        <v>2929</v>
      </c>
      <c r="I253" s="24"/>
      <c r="J253">
        <v>4</v>
      </c>
      <c r="K253">
        <v>4</v>
      </c>
      <c r="L253">
        <v>4</v>
      </c>
      <c r="M253">
        <v>8382014939</v>
      </c>
      <c r="N253">
        <v>1916</v>
      </c>
      <c r="P253" s="24"/>
      <c r="Q253">
        <v>28</v>
      </c>
      <c r="R253">
        <v>29</v>
      </c>
      <c r="S253">
        <v>28</v>
      </c>
      <c r="T253">
        <v>2227268901</v>
      </c>
      <c r="U253">
        <v>1787</v>
      </c>
      <c r="W253" s="24"/>
      <c r="X253">
        <v>64</v>
      </c>
      <c r="Y253">
        <v>66</v>
      </c>
      <c r="Z253">
        <v>66</v>
      </c>
      <c r="AA253">
        <v>494084892</v>
      </c>
      <c r="AB253">
        <v>1470</v>
      </c>
      <c r="AD253" s="24"/>
      <c r="AE253">
        <v>349</v>
      </c>
      <c r="AF253">
        <v>381</v>
      </c>
      <c r="AG253">
        <v>370</v>
      </c>
      <c r="AH253">
        <v>134338934</v>
      </c>
      <c r="AI253">
        <v>1542</v>
      </c>
      <c r="AK253" s="24"/>
      <c r="AL253">
        <v>718</v>
      </c>
      <c r="AM253">
        <v>736</v>
      </c>
      <c r="AN253">
        <v>735</v>
      </c>
      <c r="AO253">
        <v>37624747</v>
      </c>
      <c r="AP253">
        <v>1204</v>
      </c>
      <c r="AR253" s="24"/>
      <c r="AS253">
        <v>2780</v>
      </c>
      <c r="AT253">
        <v>2815</v>
      </c>
      <c r="AU253">
        <v>2809</v>
      </c>
      <c r="AV253">
        <v>13334659</v>
      </c>
      <c r="AW253">
        <v>1165</v>
      </c>
      <c r="AY253" s="24"/>
      <c r="AZ253">
        <v>364500171</v>
      </c>
      <c r="BA253">
        <v>372499000</v>
      </c>
      <c r="BB253">
        <v>369800000</v>
      </c>
      <c r="BC253">
        <v>2253</v>
      </c>
      <c r="BD253">
        <v>1526</v>
      </c>
      <c r="BF253" s="24"/>
      <c r="BG253">
        <v>25161</v>
      </c>
      <c r="BH253">
        <v>25162</v>
      </c>
      <c r="BI253">
        <v>25162</v>
      </c>
      <c r="BJ253">
        <v>4102099</v>
      </c>
      <c r="BK253">
        <v>262</v>
      </c>
      <c r="BM253" s="24"/>
      <c r="BN253">
        <v>6000302</v>
      </c>
      <c r="BO253">
        <v>6196999</v>
      </c>
      <c r="BP253">
        <v>6054605</v>
      </c>
      <c r="BQ253">
        <v>10865</v>
      </c>
      <c r="BR253">
        <v>305</v>
      </c>
      <c r="BT253" s="24"/>
      <c r="BU253">
        <v>2136</v>
      </c>
      <c r="BV253">
        <v>2197</v>
      </c>
      <c r="BW253">
        <v>2197</v>
      </c>
      <c r="BX253">
        <v>27152383</v>
      </c>
      <c r="BY253">
        <v>276</v>
      </c>
      <c r="CA253" s="24"/>
      <c r="CB253">
        <v>498</v>
      </c>
      <c r="CC253">
        <v>498</v>
      </c>
      <c r="CD253">
        <v>498</v>
      </c>
      <c r="CE253">
        <v>44668807</v>
      </c>
      <c r="CF253">
        <v>248</v>
      </c>
      <c r="CH253" s="24"/>
      <c r="CI253">
        <v>22197</v>
      </c>
      <c r="CJ253">
        <v>22197</v>
      </c>
      <c r="CK253">
        <v>22197</v>
      </c>
      <c r="CL253">
        <v>1899889</v>
      </c>
      <c r="CM253">
        <v>190</v>
      </c>
      <c r="CO253" s="24"/>
      <c r="CP253">
        <v>6553</v>
      </c>
      <c r="CQ253">
        <v>6658</v>
      </c>
      <c r="CR253">
        <v>6592</v>
      </c>
      <c r="CS253">
        <v>1072835</v>
      </c>
      <c r="CT253">
        <v>316</v>
      </c>
      <c r="CV253" s="24"/>
      <c r="CW253">
        <v>1420000</v>
      </c>
      <c r="CX253">
        <v>1420000</v>
      </c>
      <c r="CY253">
        <v>1420000</v>
      </c>
      <c r="CZ253">
        <v>10876</v>
      </c>
      <c r="DA253">
        <v>49</v>
      </c>
      <c r="DC253" s="24"/>
      <c r="DD253">
        <v>484</v>
      </c>
      <c r="DE253">
        <v>502</v>
      </c>
      <c r="DF253">
        <v>502</v>
      </c>
      <c r="DG253">
        <v>31637885</v>
      </c>
      <c r="DH253">
        <v>128</v>
      </c>
      <c r="DJ253" s="24"/>
      <c r="DK253">
        <v>31991772</v>
      </c>
      <c r="DL253">
        <v>34000000</v>
      </c>
      <c r="DM253">
        <v>31995331</v>
      </c>
      <c r="DN253">
        <v>419</v>
      </c>
      <c r="DO253">
        <v>93</v>
      </c>
      <c r="DQ253" s="24"/>
      <c r="DR253">
        <v>1502002</v>
      </c>
      <c r="DS253">
        <v>1502105</v>
      </c>
      <c r="DT253">
        <v>1502003</v>
      </c>
      <c r="DU253">
        <v>7090</v>
      </c>
      <c r="DV253">
        <v>201</v>
      </c>
      <c r="DX253" s="24"/>
      <c r="DY253">
        <v>21503210</v>
      </c>
      <c r="DZ253">
        <v>21850023</v>
      </c>
      <c r="EA253">
        <v>21850018</v>
      </c>
      <c r="EB253">
        <v>261</v>
      </c>
      <c r="EC253">
        <v>77</v>
      </c>
      <c r="EE253" s="24"/>
      <c r="EF253">
        <v>181</v>
      </c>
      <c r="EG253">
        <v>199</v>
      </c>
      <c r="EH253">
        <v>189</v>
      </c>
      <c r="EI253">
        <v>89721228</v>
      </c>
      <c r="EJ253">
        <v>157</v>
      </c>
      <c r="EL253" s="24"/>
      <c r="EM253">
        <v>56602</v>
      </c>
      <c r="EN253">
        <v>61299</v>
      </c>
      <c r="EO253">
        <v>57605</v>
      </c>
      <c r="EP253">
        <v>77961</v>
      </c>
      <c r="EQ253">
        <v>663</v>
      </c>
      <c r="ES253" s="24"/>
      <c r="ET253">
        <v>306</v>
      </c>
      <c r="EU253">
        <v>318</v>
      </c>
      <c r="EV253">
        <v>318</v>
      </c>
      <c r="EW253">
        <v>30065675</v>
      </c>
      <c r="EX253">
        <v>525</v>
      </c>
      <c r="EZ253" s="24"/>
      <c r="FA253">
        <v>3125009</v>
      </c>
      <c r="FB253">
        <v>3125009</v>
      </c>
      <c r="FC253">
        <v>3125009</v>
      </c>
      <c r="FD253">
        <v>1757</v>
      </c>
      <c r="FE253">
        <v>20</v>
      </c>
      <c r="FG253" s="24"/>
      <c r="FH253">
        <v>5919</v>
      </c>
      <c r="FI253">
        <v>6234</v>
      </c>
      <c r="FJ253">
        <v>6170</v>
      </c>
      <c r="FK253">
        <v>1687619</v>
      </c>
      <c r="FL253">
        <v>389</v>
      </c>
      <c r="FN253" s="24"/>
      <c r="FO253">
        <v>20885</v>
      </c>
      <c r="FP253">
        <v>20886</v>
      </c>
      <c r="FQ253">
        <v>20885</v>
      </c>
      <c r="FR253">
        <v>85070</v>
      </c>
      <c r="FS253">
        <v>71</v>
      </c>
      <c r="FU253" s="24"/>
      <c r="FV253">
        <v>17233</v>
      </c>
      <c r="FW253">
        <v>17600</v>
      </c>
      <c r="FX253">
        <v>17236</v>
      </c>
      <c r="FY253">
        <v>330366</v>
      </c>
      <c r="FZ253">
        <v>1263</v>
      </c>
      <c r="GB253" s="24"/>
      <c r="GC253">
        <v>91000025</v>
      </c>
      <c r="GD253">
        <v>95999000</v>
      </c>
      <c r="GE253">
        <v>93736420</v>
      </c>
      <c r="GF253">
        <v>78</v>
      </c>
      <c r="GG253">
        <v>50</v>
      </c>
      <c r="GI253" s="24"/>
      <c r="GJ253">
        <v>22306000</v>
      </c>
      <c r="GK253">
        <v>22998999</v>
      </c>
      <c r="GL253">
        <v>22327339</v>
      </c>
      <c r="GM253">
        <v>394</v>
      </c>
      <c r="GN253">
        <v>70</v>
      </c>
      <c r="GP253" s="24"/>
      <c r="GQ253">
        <v>108</v>
      </c>
      <c r="GR253">
        <v>111</v>
      </c>
      <c r="GS253">
        <v>109</v>
      </c>
      <c r="GT253">
        <v>91481658</v>
      </c>
      <c r="GU253">
        <v>127</v>
      </c>
      <c r="GW253" s="24"/>
      <c r="GX253">
        <v>430</v>
      </c>
      <c r="GY253">
        <v>451</v>
      </c>
      <c r="GZ253">
        <v>444</v>
      </c>
      <c r="HA253">
        <v>47913834</v>
      </c>
      <c r="HB253">
        <v>207</v>
      </c>
      <c r="HD253" s="24"/>
      <c r="HE253">
        <v>5502</v>
      </c>
      <c r="HF253">
        <v>5686</v>
      </c>
      <c r="HG253">
        <v>5599</v>
      </c>
      <c r="HH253">
        <v>15031781</v>
      </c>
      <c r="HI253">
        <v>257</v>
      </c>
      <c r="HK253" s="24"/>
      <c r="HL253">
        <v>89853001</v>
      </c>
      <c r="HM253">
        <v>96822002</v>
      </c>
      <c r="HN253">
        <v>94706229</v>
      </c>
      <c r="HO253">
        <v>71</v>
      </c>
      <c r="HP253">
        <v>55</v>
      </c>
      <c r="HR253" s="24"/>
      <c r="HS253">
        <v>8101</v>
      </c>
      <c r="HT253">
        <v>8447</v>
      </c>
      <c r="HU253">
        <v>8293</v>
      </c>
      <c r="HV253">
        <v>414840</v>
      </c>
      <c r="HW253">
        <v>103</v>
      </c>
      <c r="HY253" s="24"/>
      <c r="HZ253">
        <v>6816</v>
      </c>
      <c r="IA253">
        <v>7049</v>
      </c>
      <c r="IB253">
        <v>6959</v>
      </c>
      <c r="IC253">
        <v>1998526</v>
      </c>
      <c r="ID253">
        <v>413</v>
      </c>
      <c r="IF253" s="24"/>
      <c r="IG253">
        <v>2988</v>
      </c>
      <c r="IH253">
        <v>2988</v>
      </c>
      <c r="II253">
        <v>2988</v>
      </c>
      <c r="IJ253">
        <v>2105474</v>
      </c>
      <c r="IK253">
        <v>147</v>
      </c>
      <c r="IM253" s="24"/>
      <c r="IN253">
        <v>91400010</v>
      </c>
      <c r="IO253">
        <v>96295000</v>
      </c>
      <c r="IP253">
        <v>94218450</v>
      </c>
      <c r="IQ253">
        <v>76</v>
      </c>
      <c r="IR253">
        <v>55</v>
      </c>
      <c r="IT253" s="24"/>
      <c r="IU253">
        <v>7651</v>
      </c>
      <c r="IV253">
        <v>7998</v>
      </c>
      <c r="IW253">
        <v>7998</v>
      </c>
      <c r="IX253">
        <v>1173374</v>
      </c>
      <c r="IY253">
        <v>143</v>
      </c>
      <c r="JA253" s="24"/>
      <c r="JB253">
        <v>92000002</v>
      </c>
      <c r="JC253">
        <v>94993000</v>
      </c>
      <c r="JD253">
        <v>92937803</v>
      </c>
      <c r="JE253">
        <v>89</v>
      </c>
      <c r="JF253">
        <v>62</v>
      </c>
      <c r="JH253" s="24"/>
      <c r="JI253">
        <v>89269998</v>
      </c>
      <c r="JJ253">
        <v>96273500</v>
      </c>
      <c r="JK253">
        <v>92047498</v>
      </c>
      <c r="JL253">
        <v>69</v>
      </c>
      <c r="JM253">
        <v>46</v>
      </c>
      <c r="JO253" s="24"/>
      <c r="JP253">
        <v>107</v>
      </c>
      <c r="JQ253">
        <v>110</v>
      </c>
      <c r="JR253">
        <v>109</v>
      </c>
      <c r="JS253">
        <v>98300269</v>
      </c>
      <c r="JT253">
        <v>92</v>
      </c>
      <c r="JV253" s="24"/>
      <c r="JW253">
        <v>86</v>
      </c>
      <c r="JX253">
        <v>89</v>
      </c>
      <c r="JY253">
        <v>89</v>
      </c>
      <c r="JZ253">
        <v>143767830</v>
      </c>
      <c r="KA253">
        <v>94</v>
      </c>
      <c r="KC253" s="24"/>
      <c r="KD253">
        <v>20</v>
      </c>
      <c r="KE253">
        <v>21</v>
      </c>
      <c r="KF253">
        <v>21</v>
      </c>
      <c r="KG253">
        <v>46099221</v>
      </c>
      <c r="KH253">
        <v>301</v>
      </c>
      <c r="KJ253" s="24"/>
      <c r="KK253">
        <v>91</v>
      </c>
      <c r="KL253">
        <v>91</v>
      </c>
      <c r="KM253">
        <v>91</v>
      </c>
      <c r="KN253">
        <v>68886948</v>
      </c>
      <c r="KO253">
        <v>93</v>
      </c>
      <c r="KQ253" s="24"/>
      <c r="KR253">
        <v>134600</v>
      </c>
      <c r="KS253">
        <v>135350</v>
      </c>
      <c r="KT253">
        <v>134700</v>
      </c>
      <c r="KU253">
        <v>62933</v>
      </c>
      <c r="KV253">
        <v>658</v>
      </c>
      <c r="KX253" s="24"/>
      <c r="KY253">
        <v>567</v>
      </c>
      <c r="KZ253">
        <v>585</v>
      </c>
      <c r="LA253">
        <v>579</v>
      </c>
      <c r="LB253">
        <v>9300487</v>
      </c>
      <c r="LC253">
        <v>192</v>
      </c>
      <c r="LE253" s="24"/>
      <c r="LF253">
        <v>193001</v>
      </c>
      <c r="LG253">
        <v>199999</v>
      </c>
      <c r="LH253">
        <v>195333</v>
      </c>
      <c r="LI253">
        <v>135975</v>
      </c>
      <c r="LJ253">
        <v>935</v>
      </c>
      <c r="LL253" s="24"/>
      <c r="LM253">
        <v>79200</v>
      </c>
      <c r="LN253">
        <v>80058</v>
      </c>
      <c r="LO253">
        <v>79506</v>
      </c>
      <c r="LP253">
        <v>392642</v>
      </c>
      <c r="LQ253">
        <v>1294</v>
      </c>
      <c r="LS253" s="24"/>
      <c r="LT253">
        <v>479</v>
      </c>
      <c r="LU253">
        <v>479</v>
      </c>
      <c r="LV253">
        <v>479</v>
      </c>
      <c r="LW253">
        <v>88017143</v>
      </c>
      <c r="LX253">
        <v>339</v>
      </c>
      <c r="LZ253" s="24"/>
      <c r="MA253">
        <v>97500</v>
      </c>
      <c r="MB253">
        <v>101300</v>
      </c>
      <c r="MC253">
        <v>100998</v>
      </c>
      <c r="MD253">
        <v>1206347</v>
      </c>
      <c r="ME253">
        <v>102</v>
      </c>
    </row>
    <row r="254" spans="2:343" x14ac:dyDescent="0.25">
      <c r="B254" s="24"/>
      <c r="C254">
        <v>3</v>
      </c>
      <c r="D254">
        <v>3</v>
      </c>
      <c r="E254">
        <v>3</v>
      </c>
      <c r="F254">
        <v>26181341729</v>
      </c>
      <c r="G254">
        <v>2556</v>
      </c>
      <c r="I254" s="24"/>
      <c r="J254">
        <v>4</v>
      </c>
      <c r="K254">
        <v>4</v>
      </c>
      <c r="L254">
        <v>4</v>
      </c>
      <c r="M254">
        <v>5547803540</v>
      </c>
      <c r="N254">
        <v>1824</v>
      </c>
      <c r="P254" s="24"/>
      <c r="Q254">
        <v>28</v>
      </c>
      <c r="R254">
        <v>29</v>
      </c>
      <c r="S254">
        <v>29</v>
      </c>
      <c r="T254">
        <v>1150668872</v>
      </c>
      <c r="U254">
        <v>1577</v>
      </c>
      <c r="W254" s="24"/>
      <c r="X254">
        <v>64</v>
      </c>
      <c r="Y254">
        <v>65</v>
      </c>
      <c r="Z254">
        <v>65</v>
      </c>
      <c r="AA254">
        <v>370191082</v>
      </c>
      <c r="AB254">
        <v>1333</v>
      </c>
      <c r="AD254" s="24"/>
      <c r="AE254">
        <v>376</v>
      </c>
      <c r="AF254">
        <v>381</v>
      </c>
      <c r="AG254">
        <v>378</v>
      </c>
      <c r="AH254">
        <v>77650238</v>
      </c>
      <c r="AI254">
        <v>1369</v>
      </c>
      <c r="AK254" s="24"/>
      <c r="AL254">
        <v>719</v>
      </c>
      <c r="AM254">
        <v>733</v>
      </c>
      <c r="AN254">
        <v>721</v>
      </c>
      <c r="AO254">
        <v>34231040</v>
      </c>
      <c r="AP254">
        <v>1116</v>
      </c>
      <c r="AR254" s="24"/>
      <c r="AS254">
        <v>2730</v>
      </c>
      <c r="AT254">
        <v>2795</v>
      </c>
      <c r="AU254">
        <v>2775</v>
      </c>
      <c r="AV254">
        <v>11142519</v>
      </c>
      <c r="AW254">
        <v>1090</v>
      </c>
      <c r="AY254" s="24"/>
      <c r="AZ254">
        <v>366000000</v>
      </c>
      <c r="BA254">
        <v>372224666</v>
      </c>
      <c r="BB254">
        <v>370000000</v>
      </c>
      <c r="BC254">
        <v>2160</v>
      </c>
      <c r="BD254">
        <v>1448</v>
      </c>
      <c r="BF254" s="24"/>
      <c r="BG254">
        <v>25045</v>
      </c>
      <c r="BH254">
        <v>25230</v>
      </c>
      <c r="BI254">
        <v>25200</v>
      </c>
      <c r="BJ254">
        <v>2390578</v>
      </c>
      <c r="BK254">
        <v>199</v>
      </c>
      <c r="BM254" s="24"/>
      <c r="BN254">
        <v>6059010</v>
      </c>
      <c r="BO254">
        <v>6275000</v>
      </c>
      <c r="BP254">
        <v>6060005</v>
      </c>
      <c r="BQ254">
        <v>10297</v>
      </c>
      <c r="BR254">
        <v>328</v>
      </c>
      <c r="BT254" s="24"/>
      <c r="BU254">
        <v>2120</v>
      </c>
      <c r="BV254">
        <v>2192</v>
      </c>
      <c r="BW254">
        <v>2192</v>
      </c>
      <c r="BX254">
        <v>25574956</v>
      </c>
      <c r="BY254">
        <v>244</v>
      </c>
      <c r="CA254" s="24"/>
      <c r="CB254">
        <v>495</v>
      </c>
      <c r="CC254">
        <v>496</v>
      </c>
      <c r="CD254">
        <v>496</v>
      </c>
      <c r="CE254">
        <v>53776618</v>
      </c>
      <c r="CF254">
        <v>215</v>
      </c>
      <c r="CH254" s="24"/>
      <c r="CI254">
        <v>20501</v>
      </c>
      <c r="CJ254">
        <v>22192</v>
      </c>
      <c r="CK254">
        <v>21839</v>
      </c>
      <c r="CL254">
        <v>977373</v>
      </c>
      <c r="CM254">
        <v>151</v>
      </c>
      <c r="CO254" s="24"/>
      <c r="CP254">
        <v>6322</v>
      </c>
      <c r="CQ254">
        <v>6648</v>
      </c>
      <c r="CR254">
        <v>6554</v>
      </c>
      <c r="CS254">
        <v>1053345</v>
      </c>
      <c r="CT254">
        <v>371</v>
      </c>
      <c r="CV254" s="24"/>
      <c r="CW254">
        <v>1439647</v>
      </c>
      <c r="CX254">
        <v>1439647</v>
      </c>
      <c r="CY254">
        <v>1439647</v>
      </c>
      <c r="CZ254">
        <v>9119</v>
      </c>
      <c r="DA254">
        <v>38</v>
      </c>
      <c r="DC254" s="24"/>
      <c r="DD254">
        <v>496</v>
      </c>
      <c r="DE254">
        <v>498</v>
      </c>
      <c r="DF254">
        <v>497</v>
      </c>
      <c r="DG254">
        <v>23305641</v>
      </c>
      <c r="DH254">
        <v>150</v>
      </c>
      <c r="DJ254" s="24"/>
      <c r="DK254">
        <v>31300178</v>
      </c>
      <c r="DL254">
        <v>31800003</v>
      </c>
      <c r="DM254">
        <v>31800000</v>
      </c>
      <c r="DN254">
        <v>282</v>
      </c>
      <c r="DO254">
        <v>68</v>
      </c>
      <c r="DQ254" s="24"/>
      <c r="DR254">
        <v>1474025</v>
      </c>
      <c r="DS254">
        <v>1549996</v>
      </c>
      <c r="DT254">
        <v>1491111</v>
      </c>
      <c r="DU254">
        <v>7518</v>
      </c>
      <c r="DV254">
        <v>201</v>
      </c>
      <c r="DX254" s="24"/>
      <c r="DY254">
        <v>21850013</v>
      </c>
      <c r="DZ254">
        <v>22698998</v>
      </c>
      <c r="EA254">
        <v>21851013</v>
      </c>
      <c r="EB254">
        <v>489</v>
      </c>
      <c r="EC254">
        <v>122</v>
      </c>
      <c r="EE254" s="24"/>
      <c r="EF254">
        <v>182</v>
      </c>
      <c r="EG254">
        <v>189</v>
      </c>
      <c r="EH254">
        <v>186</v>
      </c>
      <c r="EI254">
        <v>93858642</v>
      </c>
      <c r="EJ254">
        <v>171</v>
      </c>
      <c r="EL254" s="24"/>
      <c r="EM254">
        <v>60003</v>
      </c>
      <c r="EN254">
        <v>61501</v>
      </c>
      <c r="EO254">
        <v>60208</v>
      </c>
      <c r="EP254">
        <v>60962</v>
      </c>
      <c r="EQ254">
        <v>605</v>
      </c>
      <c r="ES254" s="24"/>
      <c r="ET254">
        <v>300</v>
      </c>
      <c r="EU254">
        <v>315</v>
      </c>
      <c r="EV254">
        <v>314</v>
      </c>
      <c r="EW254">
        <v>34359070</v>
      </c>
      <c r="EX254">
        <v>496</v>
      </c>
      <c r="EZ254" s="24"/>
      <c r="FA254">
        <v>3124001</v>
      </c>
      <c r="FB254">
        <v>3250000</v>
      </c>
      <c r="FC254">
        <v>3125009</v>
      </c>
      <c r="FD254">
        <v>1171</v>
      </c>
      <c r="FE254">
        <v>17</v>
      </c>
      <c r="FG254" s="24"/>
      <c r="FH254">
        <v>5930</v>
      </c>
      <c r="FI254">
        <v>6191</v>
      </c>
      <c r="FJ254">
        <v>6095</v>
      </c>
      <c r="FK254">
        <v>1720043</v>
      </c>
      <c r="FL254">
        <v>418</v>
      </c>
      <c r="FN254" s="24"/>
      <c r="FO254">
        <v>18305</v>
      </c>
      <c r="FP254">
        <v>20856</v>
      </c>
      <c r="FQ254">
        <v>20856</v>
      </c>
      <c r="FR254">
        <v>189326</v>
      </c>
      <c r="FS254">
        <v>81</v>
      </c>
      <c r="FU254" s="24"/>
      <c r="FV254">
        <v>17701</v>
      </c>
      <c r="FW254">
        <v>18117</v>
      </c>
      <c r="FX254">
        <v>17712</v>
      </c>
      <c r="FY254">
        <v>287728</v>
      </c>
      <c r="FZ254">
        <v>1094</v>
      </c>
      <c r="GB254" s="24"/>
      <c r="GC254">
        <v>93000001</v>
      </c>
      <c r="GD254">
        <v>95000024</v>
      </c>
      <c r="GE254">
        <v>93395539</v>
      </c>
      <c r="GF254">
        <v>91</v>
      </c>
      <c r="GG254">
        <v>62</v>
      </c>
      <c r="GI254" s="24"/>
      <c r="GJ254">
        <v>22329356</v>
      </c>
      <c r="GK254">
        <v>22900000</v>
      </c>
      <c r="GL254">
        <v>22360000</v>
      </c>
      <c r="GM254">
        <v>357</v>
      </c>
      <c r="GN254">
        <v>73</v>
      </c>
      <c r="GP254" s="24"/>
      <c r="GQ254">
        <v>102</v>
      </c>
      <c r="GR254">
        <v>110</v>
      </c>
      <c r="GS254">
        <v>107</v>
      </c>
      <c r="GT254">
        <v>158527273</v>
      </c>
      <c r="GU254">
        <v>138</v>
      </c>
      <c r="GW254" s="24"/>
      <c r="GX254">
        <v>435</v>
      </c>
      <c r="GY254">
        <v>443</v>
      </c>
      <c r="GZ254">
        <v>436</v>
      </c>
      <c r="HA254">
        <v>31293193</v>
      </c>
      <c r="HB254">
        <v>169</v>
      </c>
      <c r="HD254" s="24"/>
      <c r="HE254">
        <v>5600</v>
      </c>
      <c r="HF254">
        <v>5686</v>
      </c>
      <c r="HG254">
        <v>5669</v>
      </c>
      <c r="HH254">
        <v>13859577</v>
      </c>
      <c r="HI254">
        <v>267</v>
      </c>
      <c r="HK254" s="24"/>
      <c r="HL254">
        <v>90300000</v>
      </c>
      <c r="HM254">
        <v>98448990</v>
      </c>
      <c r="HN254">
        <v>94458558</v>
      </c>
      <c r="HO254">
        <v>82</v>
      </c>
      <c r="HP254">
        <v>59</v>
      </c>
      <c r="HR254" s="24"/>
      <c r="HS254">
        <v>8200</v>
      </c>
      <c r="HT254">
        <v>8996</v>
      </c>
      <c r="HU254">
        <v>8989</v>
      </c>
      <c r="HV254">
        <v>1030722</v>
      </c>
      <c r="HW254">
        <v>157</v>
      </c>
      <c r="HY254" s="24"/>
      <c r="HZ254">
        <v>6508</v>
      </c>
      <c r="IA254">
        <v>6936</v>
      </c>
      <c r="IB254">
        <v>6933</v>
      </c>
      <c r="IC254">
        <v>1742777</v>
      </c>
      <c r="ID254">
        <v>415</v>
      </c>
      <c r="IF254" s="24"/>
      <c r="IG254">
        <v>2987</v>
      </c>
      <c r="IH254">
        <v>2987</v>
      </c>
      <c r="II254">
        <v>2987</v>
      </c>
      <c r="IJ254">
        <v>1648134</v>
      </c>
      <c r="IK254">
        <v>108</v>
      </c>
      <c r="IM254" s="24"/>
      <c r="IN254">
        <v>92298001</v>
      </c>
      <c r="IO254">
        <v>96199947</v>
      </c>
      <c r="IP254">
        <v>93000010</v>
      </c>
      <c r="IQ254">
        <v>112</v>
      </c>
      <c r="IR254">
        <v>81</v>
      </c>
      <c r="IT254" s="24"/>
      <c r="IU254">
        <v>7499</v>
      </c>
      <c r="IV254">
        <v>7998</v>
      </c>
      <c r="IW254">
        <v>7596</v>
      </c>
      <c r="IX254">
        <v>1887993</v>
      </c>
      <c r="IY254">
        <v>144</v>
      </c>
      <c r="JA254" s="24"/>
      <c r="JB254">
        <v>86208000</v>
      </c>
      <c r="JC254">
        <v>94917895</v>
      </c>
      <c r="JD254">
        <v>91228774</v>
      </c>
      <c r="JE254">
        <v>95</v>
      </c>
      <c r="JF254">
        <v>57</v>
      </c>
      <c r="JH254" s="24"/>
      <c r="JI254">
        <v>90052003</v>
      </c>
      <c r="JJ254">
        <v>96240988</v>
      </c>
      <c r="JK254">
        <v>95206218</v>
      </c>
      <c r="JL254">
        <v>31</v>
      </c>
      <c r="JM254">
        <v>29</v>
      </c>
      <c r="JO254" s="24"/>
      <c r="JP254">
        <v>107</v>
      </c>
      <c r="JQ254">
        <v>110</v>
      </c>
      <c r="JR254">
        <v>110</v>
      </c>
      <c r="JS254">
        <v>96838639</v>
      </c>
      <c r="JT254">
        <v>109</v>
      </c>
      <c r="JV254" s="24"/>
      <c r="JW254">
        <v>85</v>
      </c>
      <c r="JX254">
        <v>89</v>
      </c>
      <c r="JY254">
        <v>88</v>
      </c>
      <c r="JZ254">
        <v>101518159</v>
      </c>
      <c r="KA254">
        <v>88</v>
      </c>
      <c r="KC254" s="24"/>
      <c r="KD254">
        <v>20</v>
      </c>
      <c r="KE254">
        <v>21</v>
      </c>
      <c r="KF254">
        <v>21</v>
      </c>
      <c r="KG254">
        <v>36139109</v>
      </c>
      <c r="KH254">
        <v>286</v>
      </c>
      <c r="KJ254" s="24"/>
      <c r="KK254">
        <v>89</v>
      </c>
      <c r="KL254">
        <v>91</v>
      </c>
      <c r="KM254">
        <v>91</v>
      </c>
      <c r="KN254">
        <v>111803660</v>
      </c>
      <c r="KO254">
        <v>137</v>
      </c>
      <c r="KQ254" s="24"/>
      <c r="KR254">
        <v>137501</v>
      </c>
      <c r="KS254">
        <v>141699</v>
      </c>
      <c r="KT254">
        <v>137785</v>
      </c>
      <c r="KU254">
        <v>62281</v>
      </c>
      <c r="KV254">
        <v>558</v>
      </c>
      <c r="KX254" s="24"/>
      <c r="KY254">
        <v>527</v>
      </c>
      <c r="KZ254">
        <v>591</v>
      </c>
      <c r="LA254">
        <v>551</v>
      </c>
      <c r="LB254">
        <v>11783419</v>
      </c>
      <c r="LC254">
        <v>166</v>
      </c>
      <c r="LE254" s="24"/>
      <c r="LF254">
        <v>196014</v>
      </c>
      <c r="LG254">
        <v>202799</v>
      </c>
      <c r="LH254">
        <v>196021</v>
      </c>
      <c r="LI254">
        <v>156910</v>
      </c>
      <c r="LJ254">
        <v>827</v>
      </c>
      <c r="LL254" s="24"/>
      <c r="LM254">
        <v>79570</v>
      </c>
      <c r="LN254">
        <v>81244</v>
      </c>
      <c r="LO254">
        <v>80000</v>
      </c>
      <c r="LP254">
        <v>320849</v>
      </c>
      <c r="LQ254">
        <v>1216</v>
      </c>
      <c r="LS254" s="24"/>
      <c r="LT254">
        <v>478</v>
      </c>
      <c r="LU254">
        <v>479</v>
      </c>
      <c r="LV254">
        <v>479</v>
      </c>
      <c r="LW254">
        <v>65134185</v>
      </c>
      <c r="LX254">
        <v>298</v>
      </c>
      <c r="LZ254" s="24"/>
      <c r="MA254">
        <v>102276</v>
      </c>
      <c r="MB254">
        <v>102748</v>
      </c>
      <c r="MC254">
        <v>102277</v>
      </c>
      <c r="MD254">
        <v>886555</v>
      </c>
      <c r="ME254">
        <v>89</v>
      </c>
    </row>
    <row r="255" spans="2:343" x14ac:dyDescent="0.25">
      <c r="B255" s="24"/>
      <c r="C255">
        <v>3</v>
      </c>
      <c r="D255">
        <v>3</v>
      </c>
      <c r="E255">
        <v>3</v>
      </c>
      <c r="F255">
        <v>24570641680</v>
      </c>
      <c r="G255">
        <v>2482</v>
      </c>
      <c r="I255" s="24"/>
      <c r="J255">
        <v>4</v>
      </c>
      <c r="K255">
        <v>4</v>
      </c>
      <c r="L255">
        <v>4</v>
      </c>
      <c r="M255">
        <v>6778040157</v>
      </c>
      <c r="N255">
        <v>1835</v>
      </c>
      <c r="P255" s="24"/>
      <c r="Q255">
        <v>29</v>
      </c>
      <c r="R255">
        <v>29</v>
      </c>
      <c r="S255">
        <v>29</v>
      </c>
      <c r="T255">
        <v>2284440379</v>
      </c>
      <c r="U255">
        <v>1616</v>
      </c>
      <c r="W255" s="24"/>
      <c r="X255">
        <v>64</v>
      </c>
      <c r="Y255">
        <v>66</v>
      </c>
      <c r="Z255">
        <v>66</v>
      </c>
      <c r="AA255">
        <v>493378485</v>
      </c>
      <c r="AB255">
        <v>1306</v>
      </c>
      <c r="AD255" s="24"/>
      <c r="AE255">
        <v>378</v>
      </c>
      <c r="AF255">
        <v>379</v>
      </c>
      <c r="AG255">
        <v>378</v>
      </c>
      <c r="AH255">
        <v>169275249</v>
      </c>
      <c r="AI255">
        <v>1306</v>
      </c>
      <c r="AK255" s="24"/>
      <c r="AL255">
        <v>731</v>
      </c>
      <c r="AM255">
        <v>732</v>
      </c>
      <c r="AN255">
        <v>732</v>
      </c>
      <c r="AO255">
        <v>31945585</v>
      </c>
      <c r="AP255">
        <v>1051</v>
      </c>
      <c r="AR255" s="24"/>
      <c r="AS255">
        <v>2703</v>
      </c>
      <c r="AT255">
        <v>2785</v>
      </c>
      <c r="AU255">
        <v>2782</v>
      </c>
      <c r="AV255">
        <v>14003274</v>
      </c>
      <c r="AW255">
        <v>1084</v>
      </c>
      <c r="AY255" s="24"/>
      <c r="AZ255">
        <v>365010000</v>
      </c>
      <c r="BA255">
        <v>372088000</v>
      </c>
      <c r="BB255">
        <v>370750000</v>
      </c>
      <c r="BC255">
        <v>2441</v>
      </c>
      <c r="BD255">
        <v>1677</v>
      </c>
      <c r="BF255" s="24"/>
      <c r="BG255">
        <v>25045</v>
      </c>
      <c r="BH255">
        <v>25100</v>
      </c>
      <c r="BI255">
        <v>25045</v>
      </c>
      <c r="BJ255">
        <v>2222345</v>
      </c>
      <c r="BK255">
        <v>196</v>
      </c>
      <c r="BM255" s="24"/>
      <c r="BN255">
        <v>6066011</v>
      </c>
      <c r="BO255">
        <v>6558998</v>
      </c>
      <c r="BP255">
        <v>6069116</v>
      </c>
      <c r="BQ255">
        <v>12705</v>
      </c>
      <c r="BR255">
        <v>323</v>
      </c>
      <c r="BT255" s="24"/>
      <c r="BU255">
        <v>2187</v>
      </c>
      <c r="BV255">
        <v>2190</v>
      </c>
      <c r="BW255">
        <v>2188</v>
      </c>
      <c r="BX255">
        <v>13466392</v>
      </c>
      <c r="BY255">
        <v>175</v>
      </c>
      <c r="CA255" s="24"/>
      <c r="CB255">
        <v>479</v>
      </c>
      <c r="CC255">
        <v>495</v>
      </c>
      <c r="CD255">
        <v>495</v>
      </c>
      <c r="CE255">
        <v>49050731</v>
      </c>
      <c r="CF255">
        <v>256</v>
      </c>
      <c r="CH255" s="24"/>
      <c r="CI255">
        <v>20501</v>
      </c>
      <c r="CJ255">
        <v>20505</v>
      </c>
      <c r="CK255">
        <v>20502</v>
      </c>
      <c r="CL255">
        <v>1734633</v>
      </c>
      <c r="CM255">
        <v>184</v>
      </c>
      <c r="CO255" s="24"/>
      <c r="CP255">
        <v>6327</v>
      </c>
      <c r="CQ255">
        <v>6644</v>
      </c>
      <c r="CR255">
        <v>6644</v>
      </c>
      <c r="CS255">
        <v>1066235</v>
      </c>
      <c r="CT255">
        <v>316</v>
      </c>
      <c r="CV255" s="24"/>
      <c r="CW255">
        <v>1360009</v>
      </c>
      <c r="CX255">
        <v>1398999</v>
      </c>
      <c r="CY255">
        <v>1360009</v>
      </c>
      <c r="CZ255">
        <v>11681</v>
      </c>
      <c r="DA255">
        <v>44</v>
      </c>
      <c r="DC255" s="24"/>
      <c r="DD255">
        <v>496</v>
      </c>
      <c r="DE255">
        <v>497</v>
      </c>
      <c r="DF255">
        <v>497</v>
      </c>
      <c r="DG255">
        <v>17842912</v>
      </c>
      <c r="DH255">
        <v>139</v>
      </c>
      <c r="DJ255" s="24"/>
      <c r="DK255">
        <v>31990552</v>
      </c>
      <c r="DL255">
        <v>33506096</v>
      </c>
      <c r="DM255">
        <v>32890229</v>
      </c>
      <c r="DN255">
        <v>270</v>
      </c>
      <c r="DO255">
        <v>81</v>
      </c>
      <c r="DQ255" s="24"/>
      <c r="DR255">
        <v>1473002</v>
      </c>
      <c r="DS255">
        <v>1549998</v>
      </c>
      <c r="DT255">
        <v>1473004</v>
      </c>
      <c r="DU255">
        <v>5325</v>
      </c>
      <c r="DV255">
        <v>205</v>
      </c>
      <c r="DX255" s="24"/>
      <c r="DY255">
        <v>21852023</v>
      </c>
      <c r="DZ255">
        <v>24940083</v>
      </c>
      <c r="EA255">
        <v>22010001</v>
      </c>
      <c r="EB255">
        <v>345</v>
      </c>
      <c r="EC255">
        <v>95</v>
      </c>
      <c r="EE255" s="24"/>
      <c r="EF255">
        <v>182</v>
      </c>
      <c r="EG255">
        <v>198</v>
      </c>
      <c r="EH255">
        <v>196</v>
      </c>
      <c r="EI255">
        <v>59904448</v>
      </c>
      <c r="EJ255">
        <v>129</v>
      </c>
      <c r="EL255" s="24"/>
      <c r="EM255">
        <v>60823</v>
      </c>
      <c r="EN255">
        <v>62483</v>
      </c>
      <c r="EO255">
        <v>62300</v>
      </c>
      <c r="EP255">
        <v>96782</v>
      </c>
      <c r="EQ255">
        <v>690</v>
      </c>
      <c r="ES255" s="24"/>
      <c r="ET255">
        <v>299</v>
      </c>
      <c r="EU255">
        <v>311</v>
      </c>
      <c r="EV255">
        <v>303</v>
      </c>
      <c r="EW255">
        <v>34683456</v>
      </c>
      <c r="EX255">
        <v>487</v>
      </c>
      <c r="EZ255" s="24"/>
      <c r="FA255">
        <v>3213999</v>
      </c>
      <c r="FB255">
        <v>3228999</v>
      </c>
      <c r="FC255">
        <v>3215000</v>
      </c>
      <c r="FD255">
        <v>1878</v>
      </c>
      <c r="FE255">
        <v>19</v>
      </c>
      <c r="FG255" s="24"/>
      <c r="FH255">
        <v>5931</v>
      </c>
      <c r="FI255">
        <v>6194</v>
      </c>
      <c r="FJ255">
        <v>6191</v>
      </c>
      <c r="FK255">
        <v>1323880</v>
      </c>
      <c r="FL255">
        <v>357</v>
      </c>
      <c r="FN255" s="24"/>
      <c r="FO255">
        <v>19001</v>
      </c>
      <c r="FP255">
        <v>19001</v>
      </c>
      <c r="FQ255">
        <v>19001</v>
      </c>
      <c r="FR255">
        <v>119769</v>
      </c>
      <c r="FS255">
        <v>59</v>
      </c>
      <c r="FU255" s="24"/>
      <c r="FV255">
        <v>17715</v>
      </c>
      <c r="FW255">
        <v>17721</v>
      </c>
      <c r="FX255">
        <v>17716</v>
      </c>
      <c r="FY255">
        <v>326001</v>
      </c>
      <c r="FZ255">
        <v>1195</v>
      </c>
      <c r="GB255" s="24"/>
      <c r="GC255">
        <v>89720007</v>
      </c>
      <c r="GD255">
        <v>95991997</v>
      </c>
      <c r="GE255">
        <v>92388732</v>
      </c>
      <c r="GF255">
        <v>56</v>
      </c>
      <c r="GG255">
        <v>36</v>
      </c>
      <c r="GI255" s="24"/>
      <c r="GJ255">
        <v>22350339</v>
      </c>
      <c r="GK255">
        <v>22361000</v>
      </c>
      <c r="GL255">
        <v>22360100</v>
      </c>
      <c r="GM255">
        <v>560</v>
      </c>
      <c r="GN255">
        <v>84</v>
      </c>
      <c r="GP255" s="24"/>
      <c r="GQ255">
        <v>110</v>
      </c>
      <c r="GR255">
        <v>113</v>
      </c>
      <c r="GS255">
        <v>111</v>
      </c>
      <c r="GT255">
        <v>120897696</v>
      </c>
      <c r="GU255">
        <v>149</v>
      </c>
      <c r="GW255" s="24"/>
      <c r="GX255">
        <v>428</v>
      </c>
      <c r="GY255">
        <v>436</v>
      </c>
      <c r="GZ255">
        <v>436</v>
      </c>
      <c r="HA255">
        <v>45555163</v>
      </c>
      <c r="HB255">
        <v>205</v>
      </c>
      <c r="HD255" s="24"/>
      <c r="HE255">
        <v>5684</v>
      </c>
      <c r="HF255">
        <v>5685</v>
      </c>
      <c r="HG255">
        <v>5685</v>
      </c>
      <c r="HH255">
        <v>10942887</v>
      </c>
      <c r="HI255">
        <v>217</v>
      </c>
      <c r="HK255" s="24"/>
      <c r="HL255">
        <v>91651001</v>
      </c>
      <c r="HM255">
        <v>97007002</v>
      </c>
      <c r="HN255">
        <v>93840139</v>
      </c>
      <c r="HO255">
        <v>54</v>
      </c>
      <c r="HP255">
        <v>40</v>
      </c>
      <c r="HR255" s="24"/>
      <c r="HS255">
        <v>8210</v>
      </c>
      <c r="HT255">
        <v>9097</v>
      </c>
      <c r="HU255">
        <v>8300</v>
      </c>
      <c r="HV255">
        <v>1002798</v>
      </c>
      <c r="HW255">
        <v>147</v>
      </c>
      <c r="HY255" s="24"/>
      <c r="HZ255">
        <v>6507</v>
      </c>
      <c r="IA255">
        <v>6848</v>
      </c>
      <c r="IB255">
        <v>6847</v>
      </c>
      <c r="IC255">
        <v>1357438</v>
      </c>
      <c r="ID255">
        <v>349</v>
      </c>
      <c r="IF255" s="24"/>
      <c r="IG255">
        <v>2810</v>
      </c>
      <c r="IH255">
        <v>2814</v>
      </c>
      <c r="II255">
        <v>2810</v>
      </c>
      <c r="IJ255">
        <v>1870124</v>
      </c>
      <c r="IK255">
        <v>130</v>
      </c>
      <c r="IM255" s="24"/>
      <c r="IN255">
        <v>92298000</v>
      </c>
      <c r="IO255">
        <v>95947995</v>
      </c>
      <c r="IP255">
        <v>93604749</v>
      </c>
      <c r="IQ255">
        <v>60</v>
      </c>
      <c r="IR255">
        <v>38</v>
      </c>
      <c r="IT255" s="24"/>
      <c r="IU255">
        <v>7473</v>
      </c>
      <c r="IV255">
        <v>7993</v>
      </c>
      <c r="IW255">
        <v>7991</v>
      </c>
      <c r="IX255">
        <v>889313</v>
      </c>
      <c r="IY255">
        <v>114</v>
      </c>
      <c r="JA255" s="24"/>
      <c r="JB255">
        <v>85570002</v>
      </c>
      <c r="JC255">
        <v>91000000</v>
      </c>
      <c r="JD255">
        <v>90689363</v>
      </c>
      <c r="JE255">
        <v>92</v>
      </c>
      <c r="JF255">
        <v>41</v>
      </c>
      <c r="JH255" s="24"/>
      <c r="JI255">
        <v>91550005</v>
      </c>
      <c r="JJ255">
        <v>95999945</v>
      </c>
      <c r="JK255">
        <v>94594428</v>
      </c>
      <c r="JL255">
        <v>32</v>
      </c>
      <c r="JM255">
        <v>29</v>
      </c>
      <c r="JO255" s="24"/>
      <c r="JP255">
        <v>104</v>
      </c>
      <c r="JQ255">
        <v>110</v>
      </c>
      <c r="JR255">
        <v>110</v>
      </c>
      <c r="JS255">
        <v>73413389</v>
      </c>
      <c r="JT255">
        <v>83</v>
      </c>
      <c r="JV255" s="24"/>
      <c r="JW255">
        <v>85</v>
      </c>
      <c r="JX255">
        <v>91</v>
      </c>
      <c r="JY255">
        <v>86</v>
      </c>
      <c r="JZ255">
        <v>115796058</v>
      </c>
      <c r="KA255">
        <v>96</v>
      </c>
      <c r="KC255" s="24"/>
      <c r="KD255">
        <v>20</v>
      </c>
      <c r="KE255">
        <v>21</v>
      </c>
      <c r="KF255">
        <v>21</v>
      </c>
      <c r="KG255">
        <v>44984140</v>
      </c>
      <c r="KH255">
        <v>297</v>
      </c>
      <c r="KJ255" s="24"/>
      <c r="KK255">
        <v>88</v>
      </c>
      <c r="KL255">
        <v>92</v>
      </c>
      <c r="KM255">
        <v>89</v>
      </c>
      <c r="KN255">
        <v>50338031</v>
      </c>
      <c r="KO255">
        <v>80</v>
      </c>
      <c r="KQ255" s="24"/>
      <c r="KR255">
        <v>142499</v>
      </c>
      <c r="KS255">
        <v>142499</v>
      </c>
      <c r="KT255">
        <v>142499</v>
      </c>
      <c r="KU255">
        <v>96637</v>
      </c>
      <c r="KV255">
        <v>583</v>
      </c>
      <c r="KX255" s="24"/>
      <c r="KY255">
        <v>532</v>
      </c>
      <c r="KZ255">
        <v>568</v>
      </c>
      <c r="LA255">
        <v>551</v>
      </c>
      <c r="LB255">
        <v>4999976</v>
      </c>
      <c r="LC255">
        <v>123</v>
      </c>
      <c r="LE255" s="24"/>
      <c r="LF255">
        <v>196026</v>
      </c>
      <c r="LG255">
        <v>202481</v>
      </c>
      <c r="LH255">
        <v>196027</v>
      </c>
      <c r="LI255">
        <v>199163</v>
      </c>
      <c r="LJ255">
        <v>862</v>
      </c>
      <c r="LL255" s="24"/>
      <c r="LM255">
        <v>80101</v>
      </c>
      <c r="LN255">
        <v>80200</v>
      </c>
      <c r="LO255">
        <v>80106</v>
      </c>
      <c r="LP255">
        <v>313669</v>
      </c>
      <c r="LQ255">
        <v>1240</v>
      </c>
      <c r="LS255" s="24"/>
      <c r="LT255">
        <v>465</v>
      </c>
      <c r="LU255">
        <v>478</v>
      </c>
      <c r="LV255">
        <v>477</v>
      </c>
      <c r="LW255">
        <v>60262931</v>
      </c>
      <c r="LX255">
        <v>288</v>
      </c>
      <c r="LZ255" s="24"/>
      <c r="MA255">
        <v>103000</v>
      </c>
      <c r="MB255">
        <v>105397</v>
      </c>
      <c r="MC255">
        <v>104999</v>
      </c>
      <c r="MD255">
        <v>740926</v>
      </c>
      <c r="ME255">
        <v>87</v>
      </c>
    </row>
    <row r="256" spans="2:343" x14ac:dyDescent="0.25">
      <c r="B256" s="24"/>
      <c r="C256">
        <v>3</v>
      </c>
      <c r="D256">
        <v>3</v>
      </c>
      <c r="E256">
        <v>3</v>
      </c>
      <c r="F256">
        <v>33720760600</v>
      </c>
      <c r="G256">
        <v>2629</v>
      </c>
      <c r="I256" s="24"/>
      <c r="J256">
        <v>4</v>
      </c>
      <c r="K256">
        <v>4</v>
      </c>
      <c r="L256">
        <v>4</v>
      </c>
      <c r="M256">
        <v>4677462835</v>
      </c>
      <c r="N256">
        <v>1825</v>
      </c>
      <c r="P256" s="24"/>
      <c r="Q256">
        <v>28</v>
      </c>
      <c r="R256">
        <v>29</v>
      </c>
      <c r="S256">
        <v>29</v>
      </c>
      <c r="T256">
        <v>1895115139</v>
      </c>
      <c r="U256">
        <v>1663</v>
      </c>
      <c r="W256" s="24"/>
      <c r="X256">
        <v>63</v>
      </c>
      <c r="Y256">
        <v>64</v>
      </c>
      <c r="Z256">
        <v>64</v>
      </c>
      <c r="AA256">
        <v>328489116</v>
      </c>
      <c r="AB256">
        <v>1339</v>
      </c>
      <c r="AD256" s="24"/>
      <c r="AE256">
        <v>375</v>
      </c>
      <c r="AF256">
        <v>386</v>
      </c>
      <c r="AG256">
        <v>379</v>
      </c>
      <c r="AH256">
        <v>123392413</v>
      </c>
      <c r="AI256">
        <v>1443</v>
      </c>
      <c r="AK256" s="24"/>
      <c r="AL256">
        <v>717</v>
      </c>
      <c r="AM256">
        <v>730</v>
      </c>
      <c r="AN256">
        <v>720</v>
      </c>
      <c r="AO256">
        <v>61712156</v>
      </c>
      <c r="AP256">
        <v>1162</v>
      </c>
      <c r="AR256" s="24"/>
      <c r="AS256">
        <v>2701</v>
      </c>
      <c r="AT256">
        <v>2780</v>
      </c>
      <c r="AU256">
        <v>2704</v>
      </c>
      <c r="AV256">
        <v>11990483</v>
      </c>
      <c r="AW256">
        <v>1118</v>
      </c>
      <c r="AY256" s="24"/>
      <c r="AZ256">
        <v>366220002</v>
      </c>
      <c r="BA256">
        <v>372999001</v>
      </c>
      <c r="BB256">
        <v>370000000</v>
      </c>
      <c r="BC256">
        <v>2568</v>
      </c>
      <c r="BD256">
        <v>1670</v>
      </c>
      <c r="BF256" s="24"/>
      <c r="BG256">
        <v>25002</v>
      </c>
      <c r="BH256">
        <v>25002</v>
      </c>
      <c r="BI256">
        <v>25002</v>
      </c>
      <c r="BJ256">
        <v>1020651</v>
      </c>
      <c r="BK256">
        <v>177</v>
      </c>
      <c r="BM256" s="24"/>
      <c r="BN256">
        <v>6078002</v>
      </c>
      <c r="BO256">
        <v>6102001</v>
      </c>
      <c r="BP256">
        <v>6099726</v>
      </c>
      <c r="BQ256">
        <v>9695</v>
      </c>
      <c r="BR256">
        <v>304</v>
      </c>
      <c r="BT256" s="24"/>
      <c r="BU256">
        <v>2082</v>
      </c>
      <c r="BV256">
        <v>2183</v>
      </c>
      <c r="BW256">
        <v>2100</v>
      </c>
      <c r="BX256">
        <v>32823524</v>
      </c>
      <c r="BY256">
        <v>287</v>
      </c>
      <c r="CA256" s="24"/>
      <c r="CB256">
        <v>494</v>
      </c>
      <c r="CC256">
        <v>495</v>
      </c>
      <c r="CD256">
        <v>495</v>
      </c>
      <c r="CE256">
        <v>45077808</v>
      </c>
      <c r="CF256">
        <v>207</v>
      </c>
      <c r="CH256" s="24"/>
      <c r="CI256">
        <v>20525</v>
      </c>
      <c r="CJ256">
        <v>20537</v>
      </c>
      <c r="CK256">
        <v>20528</v>
      </c>
      <c r="CL256">
        <v>980846</v>
      </c>
      <c r="CM256">
        <v>169</v>
      </c>
      <c r="CO256" s="24"/>
      <c r="CP256">
        <v>6352</v>
      </c>
      <c r="CQ256">
        <v>6593</v>
      </c>
      <c r="CR256">
        <v>6500</v>
      </c>
      <c r="CS256">
        <v>1273960</v>
      </c>
      <c r="CT256">
        <v>331</v>
      </c>
      <c r="CV256" s="24"/>
      <c r="CW256">
        <v>1321000</v>
      </c>
      <c r="CX256">
        <v>1377949</v>
      </c>
      <c r="CY256">
        <v>1321000</v>
      </c>
      <c r="CZ256">
        <v>8208</v>
      </c>
      <c r="DA256">
        <v>29</v>
      </c>
      <c r="DC256" s="24"/>
      <c r="DD256">
        <v>482</v>
      </c>
      <c r="DE256">
        <v>499</v>
      </c>
      <c r="DF256">
        <v>498</v>
      </c>
      <c r="DG256">
        <v>31901044</v>
      </c>
      <c r="DH256">
        <v>168</v>
      </c>
      <c r="DJ256" s="24"/>
      <c r="DK256">
        <v>32911112</v>
      </c>
      <c r="DL256">
        <v>32999118</v>
      </c>
      <c r="DM256">
        <v>32999116</v>
      </c>
      <c r="DN256">
        <v>228</v>
      </c>
      <c r="DO256">
        <v>70</v>
      </c>
      <c r="DQ256" s="24"/>
      <c r="DR256">
        <v>1350001</v>
      </c>
      <c r="DS256">
        <v>1473004</v>
      </c>
      <c r="DT256">
        <v>1473002</v>
      </c>
      <c r="DU256">
        <v>10179</v>
      </c>
      <c r="DV256">
        <v>221</v>
      </c>
      <c r="DX256" s="24"/>
      <c r="DY256">
        <v>22102010</v>
      </c>
      <c r="DZ256">
        <v>22902002</v>
      </c>
      <c r="EA256">
        <v>22103009</v>
      </c>
      <c r="EB256">
        <v>521</v>
      </c>
      <c r="EC256">
        <v>109</v>
      </c>
      <c r="EE256" s="24"/>
      <c r="EF256">
        <v>190</v>
      </c>
      <c r="EG256">
        <v>199</v>
      </c>
      <c r="EH256">
        <v>196</v>
      </c>
      <c r="EI256">
        <v>62533604</v>
      </c>
      <c r="EJ256">
        <v>158</v>
      </c>
      <c r="EL256" s="24"/>
      <c r="EM256">
        <v>61227</v>
      </c>
      <c r="EN256">
        <v>61227</v>
      </c>
      <c r="EO256">
        <v>61227</v>
      </c>
      <c r="EP256">
        <v>180951</v>
      </c>
      <c r="EQ256">
        <v>708</v>
      </c>
      <c r="ES256" s="24"/>
      <c r="ET256">
        <v>300</v>
      </c>
      <c r="EU256">
        <v>311</v>
      </c>
      <c r="EV256">
        <v>310</v>
      </c>
      <c r="EW256">
        <v>29066893</v>
      </c>
      <c r="EX256">
        <v>510</v>
      </c>
      <c r="EZ256" s="24"/>
      <c r="FA256">
        <v>3124001</v>
      </c>
      <c r="FB256">
        <v>3209000</v>
      </c>
      <c r="FC256">
        <v>3150000</v>
      </c>
      <c r="FD256">
        <v>1026</v>
      </c>
      <c r="FE256">
        <v>19</v>
      </c>
      <c r="FG256" s="24"/>
      <c r="FH256">
        <v>5939</v>
      </c>
      <c r="FI256">
        <v>6189</v>
      </c>
      <c r="FJ256">
        <v>6174</v>
      </c>
      <c r="FK256">
        <v>1270306</v>
      </c>
      <c r="FL256">
        <v>344</v>
      </c>
      <c r="FN256" s="24"/>
      <c r="FO256">
        <v>20253</v>
      </c>
      <c r="FP256">
        <v>20253</v>
      </c>
      <c r="FQ256">
        <v>20253</v>
      </c>
      <c r="FR256">
        <v>164962</v>
      </c>
      <c r="FS256">
        <v>71</v>
      </c>
      <c r="FU256" s="24"/>
      <c r="FV256">
        <v>17736</v>
      </c>
      <c r="FW256">
        <v>17755</v>
      </c>
      <c r="FX256">
        <v>17753</v>
      </c>
      <c r="FY256">
        <v>334433</v>
      </c>
      <c r="FZ256">
        <v>1237</v>
      </c>
      <c r="GB256" s="24"/>
      <c r="GC256">
        <v>89722100</v>
      </c>
      <c r="GD256">
        <v>97499999</v>
      </c>
      <c r="GE256">
        <v>89722111</v>
      </c>
      <c r="GF256">
        <v>117</v>
      </c>
      <c r="GG256">
        <v>61</v>
      </c>
      <c r="GI256" s="24"/>
      <c r="GJ256">
        <v>20501111</v>
      </c>
      <c r="GK256">
        <v>22350339</v>
      </c>
      <c r="GL256">
        <v>21000000</v>
      </c>
      <c r="GM256">
        <v>405</v>
      </c>
      <c r="GN256">
        <v>81</v>
      </c>
      <c r="GP256" s="24"/>
      <c r="GQ256">
        <v>113</v>
      </c>
      <c r="GR256">
        <v>118</v>
      </c>
      <c r="GS256">
        <v>118</v>
      </c>
      <c r="GT256">
        <v>92202846</v>
      </c>
      <c r="GU256">
        <v>104</v>
      </c>
      <c r="GW256" s="24"/>
      <c r="GX256">
        <v>405</v>
      </c>
      <c r="GY256">
        <v>440</v>
      </c>
      <c r="GZ256">
        <v>415</v>
      </c>
      <c r="HA256">
        <v>84640892</v>
      </c>
      <c r="HB256">
        <v>232</v>
      </c>
      <c r="HD256" s="24"/>
      <c r="HE256">
        <v>5650</v>
      </c>
      <c r="HF256">
        <v>5685</v>
      </c>
      <c r="HG256">
        <v>5685</v>
      </c>
      <c r="HH256">
        <v>13407418</v>
      </c>
      <c r="HI256">
        <v>253</v>
      </c>
      <c r="HK256" s="24"/>
      <c r="HL256">
        <v>89952501</v>
      </c>
      <c r="HM256">
        <v>91667004</v>
      </c>
      <c r="HN256">
        <v>91405000</v>
      </c>
      <c r="HO256">
        <v>219</v>
      </c>
      <c r="HP256">
        <v>91</v>
      </c>
      <c r="HR256" s="24"/>
      <c r="HS256">
        <v>7512</v>
      </c>
      <c r="HT256">
        <v>7999</v>
      </c>
      <c r="HU256">
        <v>7615</v>
      </c>
      <c r="HV256">
        <v>537831</v>
      </c>
      <c r="HW256">
        <v>134</v>
      </c>
      <c r="HY256" s="24"/>
      <c r="HZ256">
        <v>6507</v>
      </c>
      <c r="IA256">
        <v>6999</v>
      </c>
      <c r="IB256">
        <v>6733</v>
      </c>
      <c r="IC256">
        <v>2550607</v>
      </c>
      <c r="ID256">
        <v>392</v>
      </c>
      <c r="IF256" s="24"/>
      <c r="IG256">
        <v>2986</v>
      </c>
      <c r="IH256">
        <v>2986</v>
      </c>
      <c r="II256">
        <v>2986</v>
      </c>
      <c r="IJ256">
        <v>1127344</v>
      </c>
      <c r="IK256">
        <v>129</v>
      </c>
      <c r="IM256" s="24"/>
      <c r="IN256">
        <v>90214101</v>
      </c>
      <c r="IO256">
        <v>93000000</v>
      </c>
      <c r="IP256">
        <v>90504000</v>
      </c>
      <c r="IQ256">
        <v>209</v>
      </c>
      <c r="IR256">
        <v>94</v>
      </c>
      <c r="IT256" s="24"/>
      <c r="IU256">
        <v>7473</v>
      </c>
      <c r="IV256">
        <v>7982</v>
      </c>
      <c r="IW256">
        <v>7978</v>
      </c>
      <c r="IX256">
        <v>1485504</v>
      </c>
      <c r="IY256">
        <v>133</v>
      </c>
      <c r="JA256" s="24"/>
      <c r="JB256">
        <v>85562006</v>
      </c>
      <c r="JC256">
        <v>92499997</v>
      </c>
      <c r="JD256">
        <v>85575000</v>
      </c>
      <c r="JE256">
        <v>142</v>
      </c>
      <c r="JF256">
        <v>83</v>
      </c>
      <c r="JH256" s="24"/>
      <c r="JI256">
        <v>91031000</v>
      </c>
      <c r="JJ256">
        <v>91125000</v>
      </c>
      <c r="JK256">
        <v>91100009</v>
      </c>
      <c r="JL256">
        <v>139</v>
      </c>
      <c r="JM256">
        <v>55</v>
      </c>
      <c r="JO256" s="24"/>
      <c r="JP256">
        <v>107</v>
      </c>
      <c r="JQ256">
        <v>117</v>
      </c>
      <c r="JR256">
        <v>112</v>
      </c>
      <c r="JS256">
        <v>74287036</v>
      </c>
      <c r="JT256">
        <v>92</v>
      </c>
      <c r="JV256" s="24"/>
      <c r="JW256">
        <v>89</v>
      </c>
      <c r="JX256">
        <v>90</v>
      </c>
      <c r="JY256">
        <v>90</v>
      </c>
      <c r="JZ256">
        <v>93557229</v>
      </c>
      <c r="KA256">
        <v>105</v>
      </c>
      <c r="KC256" s="24"/>
      <c r="KD256">
        <v>20</v>
      </c>
      <c r="KE256">
        <v>21</v>
      </c>
      <c r="KF256">
        <v>21</v>
      </c>
      <c r="KG256">
        <v>56455885</v>
      </c>
      <c r="KH256">
        <v>318</v>
      </c>
      <c r="KJ256" s="24"/>
      <c r="KK256">
        <v>89</v>
      </c>
      <c r="KL256">
        <v>92</v>
      </c>
      <c r="KM256">
        <v>92</v>
      </c>
      <c r="KN256">
        <v>81103989</v>
      </c>
      <c r="KO256">
        <v>102</v>
      </c>
      <c r="KQ256" s="24"/>
      <c r="KR256">
        <v>136600</v>
      </c>
      <c r="KS256">
        <v>142799</v>
      </c>
      <c r="KT256">
        <v>136900</v>
      </c>
      <c r="KU256">
        <v>145507</v>
      </c>
      <c r="KV256">
        <v>647</v>
      </c>
      <c r="KX256" s="24"/>
      <c r="KY256">
        <v>543</v>
      </c>
      <c r="KZ256">
        <v>560</v>
      </c>
      <c r="LA256">
        <v>558</v>
      </c>
      <c r="LB256">
        <v>5737695</v>
      </c>
      <c r="LC256">
        <v>161</v>
      </c>
      <c r="LE256" s="24"/>
      <c r="LF256">
        <v>196243</v>
      </c>
      <c r="LG256">
        <v>196359</v>
      </c>
      <c r="LH256">
        <v>196245</v>
      </c>
      <c r="LI256">
        <v>233804</v>
      </c>
      <c r="LJ256">
        <v>930</v>
      </c>
      <c r="LL256" s="24"/>
      <c r="LM256">
        <v>80296</v>
      </c>
      <c r="LN256">
        <v>80304</v>
      </c>
      <c r="LO256">
        <v>80300</v>
      </c>
      <c r="LP256">
        <v>338395</v>
      </c>
      <c r="LQ256">
        <v>1238</v>
      </c>
      <c r="LS256" s="24"/>
      <c r="LT256">
        <v>475</v>
      </c>
      <c r="LU256">
        <v>478</v>
      </c>
      <c r="LV256">
        <v>477</v>
      </c>
      <c r="LW256">
        <v>87522798</v>
      </c>
      <c r="LX256">
        <v>341</v>
      </c>
      <c r="LZ256" s="24"/>
      <c r="MA256">
        <v>104998</v>
      </c>
      <c r="MB256">
        <v>106009</v>
      </c>
      <c r="MC256">
        <v>106000</v>
      </c>
      <c r="MD256">
        <v>1030722</v>
      </c>
      <c r="ME256">
        <v>123</v>
      </c>
    </row>
    <row r="257" spans="2:343" x14ac:dyDescent="0.25">
      <c r="B257" s="24"/>
      <c r="C257">
        <v>3</v>
      </c>
      <c r="D257">
        <v>3</v>
      </c>
      <c r="E257">
        <v>3</v>
      </c>
      <c r="F257">
        <v>29422063070</v>
      </c>
      <c r="G257">
        <v>2900</v>
      </c>
      <c r="I257" s="24"/>
      <c r="J257">
        <v>4</v>
      </c>
      <c r="K257">
        <v>4</v>
      </c>
      <c r="L257">
        <v>4</v>
      </c>
      <c r="M257">
        <v>5747720420</v>
      </c>
      <c r="N257">
        <v>2044</v>
      </c>
      <c r="P257" s="24"/>
      <c r="Q257">
        <v>28</v>
      </c>
      <c r="R257">
        <v>29</v>
      </c>
      <c r="S257">
        <v>29</v>
      </c>
      <c r="T257">
        <v>2009927461</v>
      </c>
      <c r="U257">
        <v>1864</v>
      </c>
      <c r="W257" s="24"/>
      <c r="X257">
        <v>61</v>
      </c>
      <c r="Y257">
        <v>62</v>
      </c>
      <c r="Z257">
        <v>62</v>
      </c>
      <c r="AA257">
        <v>706872890</v>
      </c>
      <c r="AB257">
        <v>1533</v>
      </c>
      <c r="AD257" s="24"/>
      <c r="AE257">
        <v>380</v>
      </c>
      <c r="AF257">
        <v>390</v>
      </c>
      <c r="AG257">
        <v>389</v>
      </c>
      <c r="AH257">
        <v>101294652</v>
      </c>
      <c r="AI257">
        <v>1629</v>
      </c>
      <c r="AK257" s="24"/>
      <c r="AL257">
        <v>706</v>
      </c>
      <c r="AM257">
        <v>732</v>
      </c>
      <c r="AN257">
        <v>712</v>
      </c>
      <c r="AO257">
        <v>33362487</v>
      </c>
      <c r="AP257">
        <v>1258</v>
      </c>
      <c r="AR257" s="24"/>
      <c r="AS257">
        <v>2702</v>
      </c>
      <c r="AT257">
        <v>2798</v>
      </c>
      <c r="AU257">
        <v>2750</v>
      </c>
      <c r="AV257">
        <v>14082582</v>
      </c>
      <c r="AW257">
        <v>1235</v>
      </c>
      <c r="AY257" s="24"/>
      <c r="AZ257">
        <v>365500007</v>
      </c>
      <c r="BA257">
        <v>371759990</v>
      </c>
      <c r="BB257">
        <v>370008002</v>
      </c>
      <c r="BC257">
        <v>2714</v>
      </c>
      <c r="BD257">
        <v>1775</v>
      </c>
      <c r="BF257" s="24"/>
      <c r="BG257">
        <v>25259</v>
      </c>
      <c r="BH257">
        <v>25555</v>
      </c>
      <c r="BI257">
        <v>25260</v>
      </c>
      <c r="BJ257">
        <v>2887610</v>
      </c>
      <c r="BK257">
        <v>238</v>
      </c>
      <c r="BM257" s="24"/>
      <c r="BN257">
        <v>6103006</v>
      </c>
      <c r="BO257">
        <v>6254001</v>
      </c>
      <c r="BP257">
        <v>6105001</v>
      </c>
      <c r="BQ257">
        <v>12051</v>
      </c>
      <c r="BR257">
        <v>336</v>
      </c>
      <c r="BT257" s="24"/>
      <c r="BU257">
        <v>2030</v>
      </c>
      <c r="BV257">
        <v>2123</v>
      </c>
      <c r="BW257">
        <v>2123</v>
      </c>
      <c r="BX257">
        <v>23681221</v>
      </c>
      <c r="BY257">
        <v>242</v>
      </c>
      <c r="CA257" s="24"/>
      <c r="CB257">
        <v>493</v>
      </c>
      <c r="CC257">
        <v>495</v>
      </c>
      <c r="CD257">
        <v>494</v>
      </c>
      <c r="CE257">
        <v>54244329</v>
      </c>
      <c r="CF257">
        <v>238</v>
      </c>
      <c r="CH257" s="24"/>
      <c r="CI257">
        <v>20543</v>
      </c>
      <c r="CJ257">
        <v>20601</v>
      </c>
      <c r="CK257">
        <v>20544</v>
      </c>
      <c r="CL257">
        <v>983383</v>
      </c>
      <c r="CM257">
        <v>182</v>
      </c>
      <c r="CO257" s="24"/>
      <c r="CP257">
        <v>6352</v>
      </c>
      <c r="CQ257">
        <v>6700</v>
      </c>
      <c r="CR257">
        <v>6695</v>
      </c>
      <c r="CS257">
        <v>915302</v>
      </c>
      <c r="CT257">
        <v>367</v>
      </c>
      <c r="CV257" s="24"/>
      <c r="CW257">
        <v>1299000</v>
      </c>
      <c r="CX257">
        <v>1336999</v>
      </c>
      <c r="CY257">
        <v>1335999</v>
      </c>
      <c r="CZ257">
        <v>12072</v>
      </c>
      <c r="DA257">
        <v>34</v>
      </c>
      <c r="DC257" s="24"/>
      <c r="DD257">
        <v>496</v>
      </c>
      <c r="DE257">
        <v>499</v>
      </c>
      <c r="DF257">
        <v>499</v>
      </c>
      <c r="DG257">
        <v>26256313</v>
      </c>
      <c r="DH257">
        <v>168</v>
      </c>
      <c r="DJ257" s="24"/>
      <c r="DK257">
        <v>33000004</v>
      </c>
      <c r="DL257">
        <v>33000112</v>
      </c>
      <c r="DM257">
        <v>33000111</v>
      </c>
      <c r="DN257">
        <v>214</v>
      </c>
      <c r="DO257">
        <v>56</v>
      </c>
      <c r="DQ257" s="24"/>
      <c r="DR257">
        <v>1350011</v>
      </c>
      <c r="DS257">
        <v>1548999</v>
      </c>
      <c r="DT257">
        <v>1350013</v>
      </c>
      <c r="DU257">
        <v>7494</v>
      </c>
      <c r="DV257">
        <v>197</v>
      </c>
      <c r="DX257" s="24"/>
      <c r="DY257">
        <v>22104017</v>
      </c>
      <c r="DZ257">
        <v>24499945</v>
      </c>
      <c r="EA257">
        <v>22532517</v>
      </c>
      <c r="EB257">
        <v>350</v>
      </c>
      <c r="EC257">
        <v>89</v>
      </c>
      <c r="EE257" s="24"/>
      <c r="EF257">
        <v>188</v>
      </c>
      <c r="EG257">
        <v>200</v>
      </c>
      <c r="EH257">
        <v>188</v>
      </c>
      <c r="EI257">
        <v>107894465</v>
      </c>
      <c r="EJ257">
        <v>181</v>
      </c>
      <c r="EL257" s="24"/>
      <c r="EM257">
        <v>58500</v>
      </c>
      <c r="EN257">
        <v>61228</v>
      </c>
      <c r="EO257">
        <v>61228</v>
      </c>
      <c r="EP257">
        <v>84737</v>
      </c>
      <c r="EQ257">
        <v>773</v>
      </c>
      <c r="ES257" s="24"/>
      <c r="ET257">
        <v>312</v>
      </c>
      <c r="EU257">
        <v>312</v>
      </c>
      <c r="EV257">
        <v>312</v>
      </c>
      <c r="EW257">
        <v>26632180</v>
      </c>
      <c r="EX257">
        <v>593</v>
      </c>
      <c r="EZ257" s="24"/>
      <c r="FA257">
        <v>3208999</v>
      </c>
      <c r="FB257">
        <v>3208999</v>
      </c>
      <c r="FC257">
        <v>3208999</v>
      </c>
      <c r="FD257">
        <v>2154</v>
      </c>
      <c r="FE257">
        <v>22</v>
      </c>
      <c r="FG257" s="24"/>
      <c r="FH257">
        <v>6050</v>
      </c>
      <c r="FI257">
        <v>6174</v>
      </c>
      <c r="FJ257">
        <v>6174</v>
      </c>
      <c r="FK257">
        <v>1256455</v>
      </c>
      <c r="FL257">
        <v>386</v>
      </c>
      <c r="FN257" s="24"/>
      <c r="FO257">
        <v>19013</v>
      </c>
      <c r="FP257">
        <v>19998</v>
      </c>
      <c r="FQ257">
        <v>19015</v>
      </c>
      <c r="FR257">
        <v>171284</v>
      </c>
      <c r="FS257">
        <v>87</v>
      </c>
      <c r="FU257" s="24"/>
      <c r="FV257">
        <v>17750</v>
      </c>
      <c r="FW257">
        <v>17752</v>
      </c>
      <c r="FX257">
        <v>17752</v>
      </c>
      <c r="FY257">
        <v>525503</v>
      </c>
      <c r="FZ257">
        <v>1415</v>
      </c>
      <c r="GB257" s="24"/>
      <c r="GC257">
        <v>89728001</v>
      </c>
      <c r="GD257">
        <v>95999999</v>
      </c>
      <c r="GE257">
        <v>90000100</v>
      </c>
      <c r="GF257">
        <v>115</v>
      </c>
      <c r="GG257">
        <v>68</v>
      </c>
      <c r="GI257" s="24"/>
      <c r="GJ257">
        <v>20501123</v>
      </c>
      <c r="GK257">
        <v>23249999</v>
      </c>
      <c r="GL257">
        <v>20855001</v>
      </c>
      <c r="GM257">
        <v>310</v>
      </c>
      <c r="GN257">
        <v>63</v>
      </c>
      <c r="GP257" s="24"/>
      <c r="GQ257">
        <v>113</v>
      </c>
      <c r="GR257">
        <v>117</v>
      </c>
      <c r="GS257">
        <v>113</v>
      </c>
      <c r="GT257">
        <v>103256014</v>
      </c>
      <c r="GU257">
        <v>134</v>
      </c>
      <c r="GW257" s="24"/>
      <c r="GX257">
        <v>438</v>
      </c>
      <c r="GY257">
        <v>454</v>
      </c>
      <c r="GZ257">
        <v>439</v>
      </c>
      <c r="HA257">
        <v>50593260</v>
      </c>
      <c r="HB257">
        <v>256</v>
      </c>
      <c r="HD257" s="24"/>
      <c r="HE257">
        <v>5582</v>
      </c>
      <c r="HF257">
        <v>5685</v>
      </c>
      <c r="HG257">
        <v>5685</v>
      </c>
      <c r="HH257">
        <v>13831771</v>
      </c>
      <c r="HI257">
        <v>265</v>
      </c>
      <c r="HK257" s="24"/>
      <c r="HL257">
        <v>89897000</v>
      </c>
      <c r="HM257">
        <v>96893787</v>
      </c>
      <c r="HN257">
        <v>89897121</v>
      </c>
      <c r="HO257">
        <v>118</v>
      </c>
      <c r="HP257">
        <v>72</v>
      </c>
      <c r="HR257" s="24"/>
      <c r="HS257">
        <v>7550</v>
      </c>
      <c r="HT257">
        <v>8129</v>
      </c>
      <c r="HU257">
        <v>7999</v>
      </c>
      <c r="HV257">
        <v>646411</v>
      </c>
      <c r="HW257">
        <v>169</v>
      </c>
      <c r="HY257" s="24"/>
      <c r="HZ257">
        <v>6450</v>
      </c>
      <c r="IA257">
        <v>6548</v>
      </c>
      <c r="IB257">
        <v>6547</v>
      </c>
      <c r="IC257">
        <v>1448465</v>
      </c>
      <c r="ID257">
        <v>405</v>
      </c>
      <c r="IF257" s="24"/>
      <c r="IG257">
        <v>2901</v>
      </c>
      <c r="IH257">
        <v>2984</v>
      </c>
      <c r="II257">
        <v>2984</v>
      </c>
      <c r="IJ257">
        <v>1099110</v>
      </c>
      <c r="IK257">
        <v>118</v>
      </c>
      <c r="IM257" s="24"/>
      <c r="IN257">
        <v>89000000</v>
      </c>
      <c r="IO257">
        <v>94478985</v>
      </c>
      <c r="IP257">
        <v>89110100</v>
      </c>
      <c r="IQ257">
        <v>115</v>
      </c>
      <c r="IR257">
        <v>77</v>
      </c>
      <c r="IT257" s="24"/>
      <c r="IU257">
        <v>7800</v>
      </c>
      <c r="IV257">
        <v>7942</v>
      </c>
      <c r="IW257">
        <v>7899</v>
      </c>
      <c r="IX257">
        <v>1345703</v>
      </c>
      <c r="IY257">
        <v>143</v>
      </c>
      <c r="JA257" s="24"/>
      <c r="JB257">
        <v>85567000</v>
      </c>
      <c r="JC257">
        <v>91917894</v>
      </c>
      <c r="JD257">
        <v>87917897</v>
      </c>
      <c r="JE257">
        <v>147</v>
      </c>
      <c r="JF257">
        <v>85</v>
      </c>
      <c r="JH257" s="24"/>
      <c r="JI257">
        <v>90050004</v>
      </c>
      <c r="JJ257">
        <v>95817984</v>
      </c>
      <c r="JK257">
        <v>92096079</v>
      </c>
      <c r="JL257">
        <v>99</v>
      </c>
      <c r="JM257">
        <v>61</v>
      </c>
      <c r="JO257" s="24"/>
      <c r="JP257">
        <v>117</v>
      </c>
      <c r="JQ257">
        <v>117</v>
      </c>
      <c r="JR257">
        <v>117</v>
      </c>
      <c r="JS257">
        <v>65543477</v>
      </c>
      <c r="JT257">
        <v>89</v>
      </c>
      <c r="JV257" s="24"/>
      <c r="JW257">
        <v>86</v>
      </c>
      <c r="JX257">
        <v>91</v>
      </c>
      <c r="JY257">
        <v>89</v>
      </c>
      <c r="JZ257">
        <v>139283409</v>
      </c>
      <c r="KA257">
        <v>142</v>
      </c>
      <c r="KC257" s="24"/>
      <c r="KD257">
        <v>20</v>
      </c>
      <c r="KE257">
        <v>21</v>
      </c>
      <c r="KF257">
        <v>21</v>
      </c>
      <c r="KG257">
        <v>40734876</v>
      </c>
      <c r="KH257">
        <v>301</v>
      </c>
      <c r="KJ257" s="24"/>
      <c r="KK257">
        <v>90</v>
      </c>
      <c r="KL257">
        <v>92</v>
      </c>
      <c r="KM257">
        <v>91</v>
      </c>
      <c r="KN257">
        <v>135339676</v>
      </c>
      <c r="KO257">
        <v>128</v>
      </c>
      <c r="KQ257" s="24"/>
      <c r="KR257">
        <v>135000</v>
      </c>
      <c r="KS257">
        <v>136102</v>
      </c>
      <c r="KT257">
        <v>135060</v>
      </c>
      <c r="KU257">
        <v>139770</v>
      </c>
      <c r="KV257">
        <v>722</v>
      </c>
      <c r="KX257" s="24"/>
      <c r="KY257">
        <v>542</v>
      </c>
      <c r="KZ257">
        <v>557</v>
      </c>
      <c r="LA257">
        <v>557</v>
      </c>
      <c r="LB257">
        <v>5005071</v>
      </c>
      <c r="LC257">
        <v>178</v>
      </c>
      <c r="LE257" s="24"/>
      <c r="LF257">
        <v>196037</v>
      </c>
      <c r="LG257">
        <v>196247</v>
      </c>
      <c r="LH257">
        <v>196038</v>
      </c>
      <c r="LI257">
        <v>213822</v>
      </c>
      <c r="LJ257">
        <v>1069</v>
      </c>
      <c r="LL257" s="24"/>
      <c r="LM257">
        <v>80303</v>
      </c>
      <c r="LN257">
        <v>80303</v>
      </c>
      <c r="LO257">
        <v>80303</v>
      </c>
      <c r="LP257">
        <v>412423</v>
      </c>
      <c r="LQ257">
        <v>1456</v>
      </c>
      <c r="LS257" s="24"/>
      <c r="LT257">
        <v>478</v>
      </c>
      <c r="LU257">
        <v>478</v>
      </c>
      <c r="LV257">
        <v>478</v>
      </c>
      <c r="LW257">
        <v>83362190</v>
      </c>
      <c r="LX257">
        <v>360</v>
      </c>
      <c r="LZ257" s="24"/>
      <c r="MA257">
        <v>99505</v>
      </c>
      <c r="MB257">
        <v>102001</v>
      </c>
      <c r="MC257">
        <v>100070</v>
      </c>
      <c r="MD257">
        <v>1618951</v>
      </c>
      <c r="ME257">
        <v>112</v>
      </c>
    </row>
    <row r="258" spans="2:343" x14ac:dyDescent="0.25">
      <c r="B258" s="24"/>
      <c r="C258">
        <v>3</v>
      </c>
      <c r="D258">
        <v>3</v>
      </c>
      <c r="E258">
        <v>3</v>
      </c>
      <c r="F258">
        <v>20871778770</v>
      </c>
      <c r="G258">
        <v>3009</v>
      </c>
      <c r="I258" s="24"/>
      <c r="J258">
        <v>4</v>
      </c>
      <c r="K258">
        <v>4</v>
      </c>
      <c r="L258">
        <v>4</v>
      </c>
      <c r="M258">
        <v>5135329594</v>
      </c>
      <c r="N258">
        <v>2199</v>
      </c>
      <c r="P258" s="24"/>
      <c r="Q258">
        <v>28</v>
      </c>
      <c r="R258">
        <v>29</v>
      </c>
      <c r="S258">
        <v>29</v>
      </c>
      <c r="T258">
        <v>1710738810</v>
      </c>
      <c r="U258">
        <v>2017</v>
      </c>
      <c r="W258" s="24"/>
      <c r="X258">
        <v>61</v>
      </c>
      <c r="Y258">
        <v>61</v>
      </c>
      <c r="Z258">
        <v>61</v>
      </c>
      <c r="AA258">
        <v>372036092</v>
      </c>
      <c r="AB258">
        <v>1635</v>
      </c>
      <c r="AD258" s="24"/>
      <c r="AE258">
        <v>390</v>
      </c>
      <c r="AF258">
        <v>396</v>
      </c>
      <c r="AG258">
        <v>395</v>
      </c>
      <c r="AH258">
        <v>121643341</v>
      </c>
      <c r="AI258">
        <v>1698</v>
      </c>
      <c r="AK258" s="24"/>
      <c r="AL258">
        <v>707</v>
      </c>
      <c r="AM258">
        <v>729</v>
      </c>
      <c r="AN258">
        <v>721</v>
      </c>
      <c r="AO258">
        <v>36325520</v>
      </c>
      <c r="AP258">
        <v>1381</v>
      </c>
      <c r="AR258" s="24"/>
      <c r="AS258">
        <v>2715</v>
      </c>
      <c r="AT258">
        <v>2893</v>
      </c>
      <c r="AU258">
        <v>2764</v>
      </c>
      <c r="AV258">
        <v>15164924</v>
      </c>
      <c r="AW258">
        <v>1272</v>
      </c>
      <c r="AY258" s="24"/>
      <c r="AZ258">
        <v>366500501</v>
      </c>
      <c r="BA258">
        <v>371503000</v>
      </c>
      <c r="BB258">
        <v>370747999</v>
      </c>
      <c r="BC258">
        <v>2426</v>
      </c>
      <c r="BD258">
        <v>1572</v>
      </c>
      <c r="BF258" s="24"/>
      <c r="BG258">
        <v>25006</v>
      </c>
      <c r="BH258">
        <v>25259</v>
      </c>
      <c r="BI258">
        <v>25006</v>
      </c>
      <c r="BJ258">
        <v>5830068</v>
      </c>
      <c r="BK258">
        <v>291</v>
      </c>
      <c r="BM258" s="24"/>
      <c r="BN258">
        <v>6103021</v>
      </c>
      <c r="BO258">
        <v>6107519</v>
      </c>
      <c r="BP258">
        <v>6106002</v>
      </c>
      <c r="BQ258">
        <v>11246</v>
      </c>
      <c r="BR258">
        <v>342</v>
      </c>
      <c r="BT258" s="24"/>
      <c r="BU258">
        <v>2040</v>
      </c>
      <c r="BV258">
        <v>2112</v>
      </c>
      <c r="BW258">
        <v>2109</v>
      </c>
      <c r="BX258">
        <v>23612598</v>
      </c>
      <c r="BY258">
        <v>282</v>
      </c>
      <c r="CA258" s="24"/>
      <c r="CB258">
        <v>489</v>
      </c>
      <c r="CC258">
        <v>490</v>
      </c>
      <c r="CD258">
        <v>490</v>
      </c>
      <c r="CE258">
        <v>58869494</v>
      </c>
      <c r="CF258">
        <v>287</v>
      </c>
      <c r="CH258" s="24"/>
      <c r="CI258">
        <v>20903</v>
      </c>
      <c r="CJ258">
        <v>22000</v>
      </c>
      <c r="CK258">
        <v>20914</v>
      </c>
      <c r="CL258">
        <v>2031537</v>
      </c>
      <c r="CM258">
        <v>253</v>
      </c>
      <c r="CO258" s="24"/>
      <c r="CP258">
        <v>6415</v>
      </c>
      <c r="CQ258">
        <v>6692</v>
      </c>
      <c r="CR258">
        <v>6415</v>
      </c>
      <c r="CS258">
        <v>1514934</v>
      </c>
      <c r="CT258">
        <v>412</v>
      </c>
      <c r="CV258" s="24"/>
      <c r="CW258">
        <v>1335550</v>
      </c>
      <c r="CX258">
        <v>1336999</v>
      </c>
      <c r="CY258">
        <v>1336999</v>
      </c>
      <c r="CZ258">
        <v>9838</v>
      </c>
      <c r="DA258">
        <v>43</v>
      </c>
      <c r="DC258" s="24"/>
      <c r="DD258">
        <v>451</v>
      </c>
      <c r="DE258">
        <v>495</v>
      </c>
      <c r="DF258">
        <v>474</v>
      </c>
      <c r="DG258">
        <v>58987119</v>
      </c>
      <c r="DH258">
        <v>220</v>
      </c>
      <c r="DJ258" s="24"/>
      <c r="DK258">
        <v>31117499</v>
      </c>
      <c r="DL258">
        <v>32711139</v>
      </c>
      <c r="DM258">
        <v>32391000</v>
      </c>
      <c r="DN258">
        <v>281</v>
      </c>
      <c r="DO258">
        <v>82</v>
      </c>
      <c r="DQ258" s="24"/>
      <c r="DR258">
        <v>1350014</v>
      </c>
      <c r="DS258">
        <v>1545979</v>
      </c>
      <c r="DT258">
        <v>1350055</v>
      </c>
      <c r="DU258">
        <v>13367</v>
      </c>
      <c r="DV258">
        <v>295</v>
      </c>
      <c r="DX258" s="24"/>
      <c r="DY258">
        <v>22176000</v>
      </c>
      <c r="DZ258">
        <v>24998997</v>
      </c>
      <c r="EA258">
        <v>23000002</v>
      </c>
      <c r="EB258">
        <v>470</v>
      </c>
      <c r="EC258">
        <v>106</v>
      </c>
      <c r="EE258" s="24"/>
      <c r="EF258">
        <v>188</v>
      </c>
      <c r="EG258">
        <v>199</v>
      </c>
      <c r="EH258">
        <v>188</v>
      </c>
      <c r="EI258">
        <v>103747189</v>
      </c>
      <c r="EJ258">
        <v>194</v>
      </c>
      <c r="EL258" s="24"/>
      <c r="EM258">
        <v>57651</v>
      </c>
      <c r="EN258">
        <v>60000</v>
      </c>
      <c r="EO258">
        <v>60000</v>
      </c>
      <c r="EP258">
        <v>101976</v>
      </c>
      <c r="EQ258">
        <v>841</v>
      </c>
      <c r="ES258" s="24"/>
      <c r="ET258">
        <v>301</v>
      </c>
      <c r="EU258">
        <v>312</v>
      </c>
      <c r="EV258">
        <v>312</v>
      </c>
      <c r="EW258">
        <v>37839617</v>
      </c>
      <c r="EX258">
        <v>650</v>
      </c>
      <c r="EZ258" s="24"/>
      <c r="FA258">
        <v>3208999</v>
      </c>
      <c r="FB258">
        <v>3208999</v>
      </c>
      <c r="FC258">
        <v>3208999</v>
      </c>
      <c r="FD258">
        <v>1135</v>
      </c>
      <c r="FE258">
        <v>21</v>
      </c>
      <c r="FG258" s="24"/>
      <c r="FH258">
        <v>5940</v>
      </c>
      <c r="FI258">
        <v>6149</v>
      </c>
      <c r="FJ258">
        <v>6140</v>
      </c>
      <c r="FK258">
        <v>2130096</v>
      </c>
      <c r="FL258">
        <v>454</v>
      </c>
      <c r="FN258" s="24"/>
      <c r="FO258">
        <v>17406</v>
      </c>
      <c r="FP258">
        <v>18286</v>
      </c>
      <c r="FQ258">
        <v>18278</v>
      </c>
      <c r="FR258">
        <v>632588</v>
      </c>
      <c r="FS258">
        <v>146</v>
      </c>
      <c r="FU258" s="24"/>
      <c r="FV258">
        <v>16776</v>
      </c>
      <c r="FW258">
        <v>17226</v>
      </c>
      <c r="FX258">
        <v>16826</v>
      </c>
      <c r="FY258">
        <v>441520</v>
      </c>
      <c r="FZ258">
        <v>1531</v>
      </c>
      <c r="GB258" s="24"/>
      <c r="GC258">
        <v>89730212</v>
      </c>
      <c r="GD258">
        <v>94730210</v>
      </c>
      <c r="GE258">
        <v>93591996</v>
      </c>
      <c r="GF258">
        <v>74</v>
      </c>
      <c r="GG258">
        <v>59</v>
      </c>
      <c r="GI258" s="24"/>
      <c r="GJ258">
        <v>21000000</v>
      </c>
      <c r="GK258">
        <v>22498999</v>
      </c>
      <c r="GL258">
        <v>21195076</v>
      </c>
      <c r="GM258">
        <v>776</v>
      </c>
      <c r="GN258">
        <v>86</v>
      </c>
      <c r="GP258" s="24"/>
      <c r="GQ258">
        <v>109</v>
      </c>
      <c r="GR258">
        <v>116</v>
      </c>
      <c r="GS258">
        <v>113</v>
      </c>
      <c r="GT258">
        <v>125874684</v>
      </c>
      <c r="GU258">
        <v>164</v>
      </c>
      <c r="GW258" s="24"/>
      <c r="GX258">
        <v>412</v>
      </c>
      <c r="GY258">
        <v>432</v>
      </c>
      <c r="GZ258">
        <v>417</v>
      </c>
      <c r="HA258">
        <v>87168186</v>
      </c>
      <c r="HB258">
        <v>292</v>
      </c>
      <c r="HD258" s="24"/>
      <c r="HE258">
        <v>5579</v>
      </c>
      <c r="HF258">
        <v>5683</v>
      </c>
      <c r="HG258">
        <v>5674</v>
      </c>
      <c r="HH258">
        <v>18315402</v>
      </c>
      <c r="HI258">
        <v>312</v>
      </c>
      <c r="HK258" s="24"/>
      <c r="HL258">
        <v>89901201</v>
      </c>
      <c r="HM258">
        <v>94499993</v>
      </c>
      <c r="HN258">
        <v>92930647</v>
      </c>
      <c r="HO258">
        <v>92</v>
      </c>
      <c r="HP258">
        <v>68</v>
      </c>
      <c r="HR258" s="24"/>
      <c r="HS258">
        <v>7550</v>
      </c>
      <c r="HT258">
        <v>8197</v>
      </c>
      <c r="HU258">
        <v>8047</v>
      </c>
      <c r="HV258">
        <v>592339</v>
      </c>
      <c r="HW258">
        <v>153</v>
      </c>
      <c r="HY258" s="24"/>
      <c r="HZ258">
        <v>6449</v>
      </c>
      <c r="IA258">
        <v>6550</v>
      </c>
      <c r="IB258">
        <v>6499</v>
      </c>
      <c r="IC258">
        <v>1937623</v>
      </c>
      <c r="ID258">
        <v>488</v>
      </c>
      <c r="IF258" s="24"/>
      <c r="IG258">
        <v>2901</v>
      </c>
      <c r="IH258">
        <v>2984</v>
      </c>
      <c r="II258">
        <v>2984</v>
      </c>
      <c r="IJ258">
        <v>1567043</v>
      </c>
      <c r="IK258">
        <v>147</v>
      </c>
      <c r="IM258" s="24"/>
      <c r="IN258">
        <v>89000401</v>
      </c>
      <c r="IO258">
        <v>94298981</v>
      </c>
      <c r="IP258">
        <v>91903722</v>
      </c>
      <c r="IQ258">
        <v>68</v>
      </c>
      <c r="IR258">
        <v>60</v>
      </c>
      <c r="IT258" s="24"/>
      <c r="IU258">
        <v>7655</v>
      </c>
      <c r="IV258">
        <v>7942</v>
      </c>
      <c r="IW258">
        <v>7931</v>
      </c>
      <c r="IX258">
        <v>976850</v>
      </c>
      <c r="IY258">
        <v>128</v>
      </c>
      <c r="JA258" s="24"/>
      <c r="JB258">
        <v>91498997</v>
      </c>
      <c r="JC258">
        <v>91499998</v>
      </c>
      <c r="JD258">
        <v>91498997</v>
      </c>
      <c r="JE258">
        <v>103</v>
      </c>
      <c r="JF258">
        <v>78</v>
      </c>
      <c r="JH258" s="24"/>
      <c r="JI258">
        <v>91200000</v>
      </c>
      <c r="JJ258">
        <v>95813000</v>
      </c>
      <c r="JK258">
        <v>94224096</v>
      </c>
      <c r="JL258">
        <v>60</v>
      </c>
      <c r="JM258">
        <v>45</v>
      </c>
      <c r="JO258" s="24"/>
      <c r="JP258">
        <v>119</v>
      </c>
      <c r="JQ258">
        <v>124</v>
      </c>
      <c r="JR258">
        <v>124</v>
      </c>
      <c r="JS258">
        <v>59727731</v>
      </c>
      <c r="JT258">
        <v>119</v>
      </c>
      <c r="JV258" s="24"/>
      <c r="JW258">
        <v>87</v>
      </c>
      <c r="JX258">
        <v>91</v>
      </c>
      <c r="JY258">
        <v>91</v>
      </c>
      <c r="JZ258">
        <v>133970438</v>
      </c>
      <c r="KA258">
        <v>117</v>
      </c>
      <c r="KC258" s="24"/>
      <c r="KD258">
        <v>21</v>
      </c>
      <c r="KE258">
        <v>21</v>
      </c>
      <c r="KF258">
        <v>21</v>
      </c>
      <c r="KG258">
        <v>44336339</v>
      </c>
      <c r="KH258">
        <v>367</v>
      </c>
      <c r="KJ258" s="24"/>
      <c r="KK258">
        <v>90</v>
      </c>
      <c r="KL258">
        <v>92</v>
      </c>
      <c r="KM258">
        <v>92</v>
      </c>
      <c r="KN258">
        <v>120281768</v>
      </c>
      <c r="KO258">
        <v>145</v>
      </c>
      <c r="KQ258" s="24"/>
      <c r="KR258">
        <v>133250</v>
      </c>
      <c r="KS258">
        <v>134501</v>
      </c>
      <c r="KT258">
        <v>133500</v>
      </c>
      <c r="KU258">
        <v>187313</v>
      </c>
      <c r="KV258">
        <v>754</v>
      </c>
      <c r="KX258" s="24"/>
      <c r="KY258">
        <v>542</v>
      </c>
      <c r="KZ258">
        <v>556</v>
      </c>
      <c r="LA258">
        <v>542</v>
      </c>
      <c r="LB258">
        <v>8961245</v>
      </c>
      <c r="LC258">
        <v>186</v>
      </c>
      <c r="LE258" s="24"/>
      <c r="LF258">
        <v>193506</v>
      </c>
      <c r="LG258">
        <v>194000</v>
      </c>
      <c r="LH258">
        <v>194000</v>
      </c>
      <c r="LI258">
        <v>275259</v>
      </c>
      <c r="LJ258">
        <v>1101</v>
      </c>
      <c r="LL258" s="24"/>
      <c r="LM258">
        <v>80305</v>
      </c>
      <c r="LN258">
        <v>80333</v>
      </c>
      <c r="LO258">
        <v>80308</v>
      </c>
      <c r="LP258">
        <v>354757</v>
      </c>
      <c r="LQ258">
        <v>1625</v>
      </c>
      <c r="LS258" s="24"/>
      <c r="LT258">
        <v>476</v>
      </c>
      <c r="LU258">
        <v>478</v>
      </c>
      <c r="LV258">
        <v>477</v>
      </c>
      <c r="LW258">
        <v>106124901</v>
      </c>
      <c r="LX258">
        <v>501</v>
      </c>
      <c r="LZ258" s="24"/>
      <c r="MA258">
        <v>97200</v>
      </c>
      <c r="MB258">
        <v>105692</v>
      </c>
      <c r="MC258">
        <v>105569</v>
      </c>
      <c r="MD258">
        <v>934020</v>
      </c>
      <c r="ME258">
        <v>80</v>
      </c>
    </row>
    <row r="259" spans="2:343" x14ac:dyDescent="0.25">
      <c r="B259" s="24"/>
      <c r="C259">
        <v>3</v>
      </c>
      <c r="D259">
        <v>3</v>
      </c>
      <c r="E259">
        <v>3</v>
      </c>
      <c r="F259">
        <v>34479402394</v>
      </c>
      <c r="G259">
        <v>2800</v>
      </c>
      <c r="I259" s="24"/>
      <c r="J259">
        <v>4</v>
      </c>
      <c r="K259">
        <v>4</v>
      </c>
      <c r="L259">
        <v>4</v>
      </c>
      <c r="M259">
        <v>7944230873</v>
      </c>
      <c r="N259">
        <v>2092</v>
      </c>
      <c r="P259" s="24"/>
      <c r="Q259">
        <v>29</v>
      </c>
      <c r="R259">
        <v>30</v>
      </c>
      <c r="S259">
        <v>29</v>
      </c>
      <c r="T259">
        <v>2027943263</v>
      </c>
      <c r="U259">
        <v>1927</v>
      </c>
      <c r="W259" s="24"/>
      <c r="X259">
        <v>62</v>
      </c>
      <c r="Y259">
        <v>64</v>
      </c>
      <c r="Z259">
        <v>64</v>
      </c>
      <c r="AA259">
        <v>522606501</v>
      </c>
      <c r="AB259">
        <v>1520</v>
      </c>
      <c r="AD259" s="24"/>
      <c r="AE259">
        <v>390</v>
      </c>
      <c r="AF259">
        <v>395</v>
      </c>
      <c r="AG259">
        <v>391</v>
      </c>
      <c r="AH259">
        <v>113063216</v>
      </c>
      <c r="AI259">
        <v>1584</v>
      </c>
      <c r="AK259" s="24"/>
      <c r="AL259">
        <v>722</v>
      </c>
      <c r="AM259">
        <v>728</v>
      </c>
      <c r="AN259">
        <v>726</v>
      </c>
      <c r="AO259">
        <v>38781886</v>
      </c>
      <c r="AP259">
        <v>1294</v>
      </c>
      <c r="AR259" s="24"/>
      <c r="AS259">
        <v>2733</v>
      </c>
      <c r="AT259">
        <v>2844</v>
      </c>
      <c r="AU259">
        <v>2778</v>
      </c>
      <c r="AV259">
        <v>16009041</v>
      </c>
      <c r="AW259">
        <v>1280</v>
      </c>
      <c r="AY259" s="24"/>
      <c r="AZ259">
        <v>365450001</v>
      </c>
      <c r="BA259">
        <v>371750000</v>
      </c>
      <c r="BB259">
        <v>370000000</v>
      </c>
      <c r="BC259">
        <v>2743</v>
      </c>
      <c r="BD259">
        <v>1743</v>
      </c>
      <c r="BF259" s="24"/>
      <c r="BG259">
        <v>24400</v>
      </c>
      <c r="BH259">
        <v>24890</v>
      </c>
      <c r="BI259">
        <v>24890</v>
      </c>
      <c r="BJ259">
        <v>2818268</v>
      </c>
      <c r="BK259">
        <v>246</v>
      </c>
      <c r="BM259" s="24"/>
      <c r="BN259">
        <v>6103019</v>
      </c>
      <c r="BO259">
        <v>6103022</v>
      </c>
      <c r="BP259">
        <v>6103021</v>
      </c>
      <c r="BQ259">
        <v>11466</v>
      </c>
      <c r="BR259">
        <v>333</v>
      </c>
      <c r="BT259" s="24"/>
      <c r="BU259">
        <v>2075</v>
      </c>
      <c r="BV259">
        <v>2098</v>
      </c>
      <c r="BW259">
        <v>2098</v>
      </c>
      <c r="BX259">
        <v>25963879</v>
      </c>
      <c r="BY259">
        <v>289</v>
      </c>
      <c r="CA259" s="24"/>
      <c r="CB259">
        <v>490</v>
      </c>
      <c r="CC259">
        <v>490</v>
      </c>
      <c r="CD259">
        <v>490</v>
      </c>
      <c r="CE259">
        <v>50431365</v>
      </c>
      <c r="CF259">
        <v>246</v>
      </c>
      <c r="CH259" s="24"/>
      <c r="CI259">
        <v>21502</v>
      </c>
      <c r="CJ259">
        <v>22005</v>
      </c>
      <c r="CK259">
        <v>22002</v>
      </c>
      <c r="CL259">
        <v>1481867</v>
      </c>
      <c r="CM259">
        <v>219</v>
      </c>
      <c r="CO259" s="24"/>
      <c r="CP259">
        <v>6414</v>
      </c>
      <c r="CQ259">
        <v>6594</v>
      </c>
      <c r="CR259">
        <v>6504</v>
      </c>
      <c r="CS259">
        <v>1172902</v>
      </c>
      <c r="CT259">
        <v>326</v>
      </c>
      <c r="CV259" s="24"/>
      <c r="CW259">
        <v>1300001</v>
      </c>
      <c r="CX259">
        <v>1335998</v>
      </c>
      <c r="CY259">
        <v>1318999</v>
      </c>
      <c r="CZ259">
        <v>13669</v>
      </c>
      <c r="DA259">
        <v>41</v>
      </c>
      <c r="DC259" s="24"/>
      <c r="DD259">
        <v>455</v>
      </c>
      <c r="DE259">
        <v>491</v>
      </c>
      <c r="DF259">
        <v>487</v>
      </c>
      <c r="DG259">
        <v>37618903</v>
      </c>
      <c r="DH259">
        <v>157</v>
      </c>
      <c r="DJ259" s="24"/>
      <c r="DK259">
        <v>32244326</v>
      </c>
      <c r="DL259">
        <v>34194998</v>
      </c>
      <c r="DM259">
        <v>32245005</v>
      </c>
      <c r="DN259">
        <v>268</v>
      </c>
      <c r="DO259">
        <v>85</v>
      </c>
      <c r="DQ259" s="24"/>
      <c r="DR259">
        <v>1350390</v>
      </c>
      <c r="DS259">
        <v>1438999</v>
      </c>
      <c r="DT259">
        <v>1375001</v>
      </c>
      <c r="DU259">
        <v>9020</v>
      </c>
      <c r="DV259">
        <v>259</v>
      </c>
      <c r="DX259" s="24"/>
      <c r="DY259">
        <v>23000024</v>
      </c>
      <c r="DZ259">
        <v>24800003</v>
      </c>
      <c r="EA259">
        <v>23000046</v>
      </c>
      <c r="EB259">
        <v>335</v>
      </c>
      <c r="EC259">
        <v>86</v>
      </c>
      <c r="EE259" s="24"/>
      <c r="EF259">
        <v>189</v>
      </c>
      <c r="EG259">
        <v>195</v>
      </c>
      <c r="EH259">
        <v>192</v>
      </c>
      <c r="EI259">
        <v>106049096</v>
      </c>
      <c r="EJ259">
        <v>206</v>
      </c>
      <c r="EL259" s="24"/>
      <c r="EM259">
        <v>58000</v>
      </c>
      <c r="EN259">
        <v>58001</v>
      </c>
      <c r="EO259">
        <v>58000</v>
      </c>
      <c r="EP259">
        <v>123075</v>
      </c>
      <c r="EQ259">
        <v>702</v>
      </c>
      <c r="ES259" s="24"/>
      <c r="ET259">
        <v>300</v>
      </c>
      <c r="EU259">
        <v>314</v>
      </c>
      <c r="EV259">
        <v>306</v>
      </c>
      <c r="EW259">
        <v>55321129</v>
      </c>
      <c r="EX259">
        <v>532</v>
      </c>
      <c r="EZ259" s="24"/>
      <c r="FA259">
        <v>3209000</v>
      </c>
      <c r="FB259">
        <v>3209000</v>
      </c>
      <c r="FC259">
        <v>3209000</v>
      </c>
      <c r="FD259">
        <v>2055</v>
      </c>
      <c r="FE259">
        <v>20</v>
      </c>
      <c r="FG259" s="24"/>
      <c r="FH259">
        <v>5941</v>
      </c>
      <c r="FI259">
        <v>6128</v>
      </c>
      <c r="FJ259">
        <v>6010</v>
      </c>
      <c r="FK259">
        <v>1465456</v>
      </c>
      <c r="FL259">
        <v>383</v>
      </c>
      <c r="FN259" s="24"/>
      <c r="FO259">
        <v>18283</v>
      </c>
      <c r="FP259">
        <v>18285</v>
      </c>
      <c r="FQ259">
        <v>18285</v>
      </c>
      <c r="FR259">
        <v>191757</v>
      </c>
      <c r="FS259">
        <v>98</v>
      </c>
      <c r="FU259" s="24"/>
      <c r="FV259">
        <v>17005</v>
      </c>
      <c r="FW259">
        <v>17005</v>
      </c>
      <c r="FX259">
        <v>17005</v>
      </c>
      <c r="FY259">
        <v>351050</v>
      </c>
      <c r="FZ259">
        <v>1385</v>
      </c>
      <c r="GB259" s="24"/>
      <c r="GC259">
        <v>90012000</v>
      </c>
      <c r="GD259">
        <v>94724397</v>
      </c>
      <c r="GE259">
        <v>92000000</v>
      </c>
      <c r="GF259">
        <v>103</v>
      </c>
      <c r="GG259">
        <v>72</v>
      </c>
      <c r="GI259" s="24"/>
      <c r="GJ259">
        <v>21000114</v>
      </c>
      <c r="GK259">
        <v>21588889</v>
      </c>
      <c r="GL259">
        <v>21000115</v>
      </c>
      <c r="GM259">
        <v>409</v>
      </c>
      <c r="GN259">
        <v>80</v>
      </c>
      <c r="GP259" s="24"/>
      <c r="GQ259">
        <v>110</v>
      </c>
      <c r="GR259">
        <v>112</v>
      </c>
      <c r="GS259">
        <v>112</v>
      </c>
      <c r="GT259">
        <v>140148132</v>
      </c>
      <c r="GU259">
        <v>132</v>
      </c>
      <c r="GW259" s="24"/>
      <c r="GX259">
        <v>414</v>
      </c>
      <c r="GY259">
        <v>426</v>
      </c>
      <c r="GZ259">
        <v>425</v>
      </c>
      <c r="HA259">
        <v>49327491</v>
      </c>
      <c r="HB259">
        <v>236</v>
      </c>
      <c r="HD259" s="24"/>
      <c r="HE259">
        <v>5504</v>
      </c>
      <c r="HF259">
        <v>5659</v>
      </c>
      <c r="HG259">
        <v>5550</v>
      </c>
      <c r="HH259">
        <v>17088659</v>
      </c>
      <c r="HI259">
        <v>307</v>
      </c>
      <c r="HK259" s="24"/>
      <c r="HL259">
        <v>90101001</v>
      </c>
      <c r="HM259">
        <v>93900472</v>
      </c>
      <c r="HN259">
        <v>92304540</v>
      </c>
      <c r="HO259">
        <v>94</v>
      </c>
      <c r="HP259">
        <v>70</v>
      </c>
      <c r="HR259" s="24"/>
      <c r="HS259">
        <v>7994</v>
      </c>
      <c r="HT259">
        <v>8375</v>
      </c>
      <c r="HU259">
        <v>8227</v>
      </c>
      <c r="HV259">
        <v>701293</v>
      </c>
      <c r="HW259">
        <v>161</v>
      </c>
      <c r="HY259" s="24"/>
      <c r="HZ259">
        <v>6456</v>
      </c>
      <c r="IA259">
        <v>6948</v>
      </c>
      <c r="IB259">
        <v>6899</v>
      </c>
      <c r="IC259">
        <v>1498769</v>
      </c>
      <c r="ID259">
        <v>377</v>
      </c>
      <c r="IF259" s="24"/>
      <c r="IG259">
        <v>2863</v>
      </c>
      <c r="IH259">
        <v>2979</v>
      </c>
      <c r="II259">
        <v>2926</v>
      </c>
      <c r="IJ259">
        <v>1851613</v>
      </c>
      <c r="IK259">
        <v>169</v>
      </c>
      <c r="IM259" s="24"/>
      <c r="IN259">
        <v>90100006</v>
      </c>
      <c r="IO259">
        <v>94248985</v>
      </c>
      <c r="IP259">
        <v>91000000</v>
      </c>
      <c r="IQ259">
        <v>107</v>
      </c>
      <c r="IR259">
        <v>72</v>
      </c>
      <c r="IT259" s="24"/>
      <c r="IU259">
        <v>7702</v>
      </c>
      <c r="IV259">
        <v>7929</v>
      </c>
      <c r="IW259">
        <v>7800</v>
      </c>
      <c r="IX259">
        <v>1325000</v>
      </c>
      <c r="IY259">
        <v>162</v>
      </c>
      <c r="JA259" s="24"/>
      <c r="JB259">
        <v>89000002</v>
      </c>
      <c r="JC259">
        <v>91498997</v>
      </c>
      <c r="JD259">
        <v>90215775</v>
      </c>
      <c r="JE259">
        <v>94</v>
      </c>
      <c r="JF259">
        <v>64</v>
      </c>
      <c r="JH259" s="24"/>
      <c r="JI259">
        <v>91114004</v>
      </c>
      <c r="JJ259">
        <v>94999920</v>
      </c>
      <c r="JK259">
        <v>94565432</v>
      </c>
      <c r="JL259">
        <v>42</v>
      </c>
      <c r="JM259">
        <v>35</v>
      </c>
      <c r="JO259" s="24"/>
      <c r="JP259">
        <v>119</v>
      </c>
      <c r="JQ259">
        <v>123</v>
      </c>
      <c r="JR259">
        <v>121</v>
      </c>
      <c r="JS259">
        <v>160794933</v>
      </c>
      <c r="JT259">
        <v>152</v>
      </c>
      <c r="JV259" s="24"/>
      <c r="JW259">
        <v>87</v>
      </c>
      <c r="JX259">
        <v>92</v>
      </c>
      <c r="JY259">
        <v>87</v>
      </c>
      <c r="JZ259">
        <v>78234565</v>
      </c>
      <c r="KA259">
        <v>99</v>
      </c>
      <c r="KC259" s="24"/>
      <c r="KD259">
        <v>20</v>
      </c>
      <c r="KE259">
        <v>21</v>
      </c>
      <c r="KF259">
        <v>21</v>
      </c>
      <c r="KG259">
        <v>70255166</v>
      </c>
      <c r="KH259">
        <v>331</v>
      </c>
      <c r="KJ259" s="24"/>
      <c r="KK259">
        <v>89</v>
      </c>
      <c r="KL259">
        <v>92</v>
      </c>
      <c r="KM259">
        <v>92</v>
      </c>
      <c r="KN259">
        <v>92652118</v>
      </c>
      <c r="KO259">
        <v>139</v>
      </c>
      <c r="KQ259" s="24"/>
      <c r="KR259">
        <v>128000</v>
      </c>
      <c r="KS259">
        <v>133260</v>
      </c>
      <c r="KT259">
        <v>133055</v>
      </c>
      <c r="KU259">
        <v>103854</v>
      </c>
      <c r="KV259">
        <v>734</v>
      </c>
      <c r="KX259" s="24"/>
      <c r="KY259">
        <v>532</v>
      </c>
      <c r="KZ259">
        <v>554</v>
      </c>
      <c r="LA259">
        <v>532</v>
      </c>
      <c r="LB259">
        <v>8298134</v>
      </c>
      <c r="LC259">
        <v>180</v>
      </c>
      <c r="LE259" s="24"/>
      <c r="LF259">
        <v>193513</v>
      </c>
      <c r="LG259">
        <v>197985</v>
      </c>
      <c r="LH259">
        <v>193520</v>
      </c>
      <c r="LI259">
        <v>121758</v>
      </c>
      <c r="LJ259">
        <v>1016</v>
      </c>
      <c r="LL259" s="24"/>
      <c r="LM259">
        <v>80318</v>
      </c>
      <c r="LN259">
        <v>80324</v>
      </c>
      <c r="LO259">
        <v>80319</v>
      </c>
      <c r="LP259">
        <v>303370</v>
      </c>
      <c r="LQ259">
        <v>1445</v>
      </c>
      <c r="LS259" s="24"/>
      <c r="LT259">
        <v>475</v>
      </c>
      <c r="LU259">
        <v>476</v>
      </c>
      <c r="LV259">
        <v>476</v>
      </c>
      <c r="LW259">
        <v>76629340</v>
      </c>
      <c r="LX259">
        <v>395</v>
      </c>
      <c r="LZ259" s="24"/>
      <c r="MA259">
        <v>97500</v>
      </c>
      <c r="MB259">
        <v>105000</v>
      </c>
      <c r="MC259">
        <v>98020</v>
      </c>
      <c r="MD259">
        <v>1043622</v>
      </c>
      <c r="ME259">
        <v>93</v>
      </c>
    </row>
    <row r="260" spans="2:343" x14ac:dyDescent="0.25">
      <c r="B260" s="24"/>
      <c r="C260">
        <v>3</v>
      </c>
      <c r="D260">
        <v>3</v>
      </c>
      <c r="E260">
        <v>3</v>
      </c>
      <c r="F260">
        <v>34088669713</v>
      </c>
      <c r="G260">
        <v>2728</v>
      </c>
      <c r="I260" s="24"/>
      <c r="J260">
        <v>4</v>
      </c>
      <c r="K260">
        <v>4</v>
      </c>
      <c r="L260">
        <v>4</v>
      </c>
      <c r="M260">
        <v>5522857890</v>
      </c>
      <c r="N260">
        <v>1930</v>
      </c>
      <c r="P260" s="24"/>
      <c r="Q260">
        <v>28</v>
      </c>
      <c r="R260">
        <v>29</v>
      </c>
      <c r="S260">
        <v>29</v>
      </c>
      <c r="T260">
        <v>1453779933</v>
      </c>
      <c r="U260">
        <v>1804</v>
      </c>
      <c r="W260" s="24"/>
      <c r="X260">
        <v>62</v>
      </c>
      <c r="Y260">
        <v>64</v>
      </c>
      <c r="Z260">
        <v>63</v>
      </c>
      <c r="AA260">
        <v>386047486</v>
      </c>
      <c r="AB260">
        <v>1435</v>
      </c>
      <c r="AD260" s="24"/>
      <c r="AE260">
        <v>385</v>
      </c>
      <c r="AF260">
        <v>394</v>
      </c>
      <c r="AG260">
        <v>392</v>
      </c>
      <c r="AH260">
        <v>83090598</v>
      </c>
      <c r="AI260">
        <v>1429</v>
      </c>
      <c r="AK260" s="24"/>
      <c r="AL260">
        <v>706</v>
      </c>
      <c r="AM260">
        <v>723</v>
      </c>
      <c r="AN260">
        <v>707</v>
      </c>
      <c r="AO260">
        <v>42769356</v>
      </c>
      <c r="AP260">
        <v>1221</v>
      </c>
      <c r="AR260" s="24"/>
      <c r="AS260">
        <v>2651</v>
      </c>
      <c r="AT260">
        <v>2746</v>
      </c>
      <c r="AU260">
        <v>2710</v>
      </c>
      <c r="AV260">
        <v>18330463</v>
      </c>
      <c r="AW260">
        <v>1233</v>
      </c>
      <c r="AY260" s="24"/>
      <c r="AZ260">
        <v>366750000</v>
      </c>
      <c r="BA260">
        <v>374000000</v>
      </c>
      <c r="BB260">
        <v>371500000</v>
      </c>
      <c r="BC260">
        <v>2390</v>
      </c>
      <c r="BD260">
        <v>1678</v>
      </c>
      <c r="BF260" s="24"/>
      <c r="BG260">
        <v>24893</v>
      </c>
      <c r="BH260">
        <v>24893</v>
      </c>
      <c r="BI260">
        <v>24893</v>
      </c>
      <c r="BJ260">
        <v>3549903</v>
      </c>
      <c r="BK260">
        <v>250</v>
      </c>
      <c r="BM260" s="24"/>
      <c r="BN260">
        <v>6103027</v>
      </c>
      <c r="BO260">
        <v>6323997</v>
      </c>
      <c r="BP260">
        <v>6111005</v>
      </c>
      <c r="BQ260">
        <v>11935</v>
      </c>
      <c r="BR260">
        <v>352</v>
      </c>
      <c r="BT260" s="24"/>
      <c r="BU260">
        <v>2046</v>
      </c>
      <c r="BV260">
        <v>2097</v>
      </c>
      <c r="BW260">
        <v>2097</v>
      </c>
      <c r="BX260">
        <v>23514426</v>
      </c>
      <c r="BY260">
        <v>268</v>
      </c>
      <c r="CA260" s="24"/>
      <c r="CB260">
        <v>481</v>
      </c>
      <c r="CC260">
        <v>490</v>
      </c>
      <c r="CD260">
        <v>489</v>
      </c>
      <c r="CE260">
        <v>59351329</v>
      </c>
      <c r="CF260">
        <v>270</v>
      </c>
      <c r="CH260" s="24"/>
      <c r="CI260">
        <v>22053</v>
      </c>
      <c r="CJ260">
        <v>22110</v>
      </c>
      <c r="CK260">
        <v>22054</v>
      </c>
      <c r="CL260">
        <v>1936935</v>
      </c>
      <c r="CM260">
        <v>204</v>
      </c>
      <c r="CO260" s="24"/>
      <c r="CP260">
        <v>6357</v>
      </c>
      <c r="CQ260">
        <v>6599</v>
      </c>
      <c r="CR260">
        <v>6599</v>
      </c>
      <c r="CS260">
        <v>811775</v>
      </c>
      <c r="CT260">
        <v>335</v>
      </c>
      <c r="CV260" s="24"/>
      <c r="CW260">
        <v>1300000</v>
      </c>
      <c r="CX260">
        <v>1319989</v>
      </c>
      <c r="CY260">
        <v>1319989</v>
      </c>
      <c r="CZ260">
        <v>9703</v>
      </c>
      <c r="DA260">
        <v>41</v>
      </c>
      <c r="DC260" s="24"/>
      <c r="DD260">
        <v>458</v>
      </c>
      <c r="DE260">
        <v>474</v>
      </c>
      <c r="DF260">
        <v>460</v>
      </c>
      <c r="DG260">
        <v>57420159</v>
      </c>
      <c r="DH260">
        <v>197</v>
      </c>
      <c r="DJ260" s="24"/>
      <c r="DK260">
        <v>32245005</v>
      </c>
      <c r="DL260">
        <v>32245005</v>
      </c>
      <c r="DM260">
        <v>32245005</v>
      </c>
      <c r="DN260">
        <v>203</v>
      </c>
      <c r="DO260">
        <v>68</v>
      </c>
      <c r="DQ260" s="24"/>
      <c r="DR260">
        <v>1350436</v>
      </c>
      <c r="DS260">
        <v>1409437</v>
      </c>
      <c r="DT260">
        <v>1350438</v>
      </c>
      <c r="DU260">
        <v>8729</v>
      </c>
      <c r="DV260">
        <v>227</v>
      </c>
      <c r="DX260" s="24"/>
      <c r="DY260">
        <v>23133139</v>
      </c>
      <c r="DZ260">
        <v>23134001</v>
      </c>
      <c r="EA260">
        <v>23134001</v>
      </c>
      <c r="EB260">
        <v>288</v>
      </c>
      <c r="EC260">
        <v>93</v>
      </c>
      <c r="EE260" s="24"/>
      <c r="EF260">
        <v>190</v>
      </c>
      <c r="EG260">
        <v>196</v>
      </c>
      <c r="EH260">
        <v>194</v>
      </c>
      <c r="EI260">
        <v>57633736</v>
      </c>
      <c r="EJ260">
        <v>132</v>
      </c>
      <c r="EL260" s="24"/>
      <c r="EM260">
        <v>56256</v>
      </c>
      <c r="EN260">
        <v>56258</v>
      </c>
      <c r="EO260">
        <v>56256</v>
      </c>
      <c r="EP260">
        <v>78918</v>
      </c>
      <c r="EQ260">
        <v>696</v>
      </c>
      <c r="ES260" s="24"/>
      <c r="ET260">
        <v>297</v>
      </c>
      <c r="EU260">
        <v>313</v>
      </c>
      <c r="EV260">
        <v>305</v>
      </c>
      <c r="EW260">
        <v>58543796</v>
      </c>
      <c r="EX260">
        <v>565</v>
      </c>
      <c r="EZ260" s="24"/>
      <c r="FA260">
        <v>3132001</v>
      </c>
      <c r="FB260">
        <v>3309999</v>
      </c>
      <c r="FC260">
        <v>3309999</v>
      </c>
      <c r="FD260">
        <v>1169</v>
      </c>
      <c r="FE260">
        <v>19</v>
      </c>
      <c r="FG260" s="24"/>
      <c r="FH260">
        <v>5940</v>
      </c>
      <c r="FI260">
        <v>6128</v>
      </c>
      <c r="FJ260">
        <v>6095</v>
      </c>
      <c r="FK260">
        <v>1253713</v>
      </c>
      <c r="FL260">
        <v>403</v>
      </c>
      <c r="FN260" s="24"/>
      <c r="FO260">
        <v>18999</v>
      </c>
      <c r="FP260">
        <v>18999</v>
      </c>
      <c r="FQ260">
        <v>18999</v>
      </c>
      <c r="FR260">
        <v>233053</v>
      </c>
      <c r="FS260">
        <v>67</v>
      </c>
      <c r="FU260" s="24"/>
      <c r="FV260">
        <v>17005</v>
      </c>
      <c r="FW260">
        <v>17025</v>
      </c>
      <c r="FX260">
        <v>17005</v>
      </c>
      <c r="FY260">
        <v>346817</v>
      </c>
      <c r="FZ260">
        <v>1369</v>
      </c>
      <c r="GB260" s="24"/>
      <c r="GC260">
        <v>90102100</v>
      </c>
      <c r="GD260">
        <v>94498999</v>
      </c>
      <c r="GE260">
        <v>92435279</v>
      </c>
      <c r="GF260">
        <v>82</v>
      </c>
      <c r="GG260">
        <v>55</v>
      </c>
      <c r="GI260" s="24"/>
      <c r="GJ260">
        <v>18644603</v>
      </c>
      <c r="GK260">
        <v>21498000</v>
      </c>
      <c r="GL260">
        <v>20555001</v>
      </c>
      <c r="GM260">
        <v>405</v>
      </c>
      <c r="GN260">
        <v>93</v>
      </c>
      <c r="GP260" s="24"/>
      <c r="GQ260">
        <v>108</v>
      </c>
      <c r="GR260">
        <v>112</v>
      </c>
      <c r="GS260">
        <v>112</v>
      </c>
      <c r="GT260">
        <v>118006729</v>
      </c>
      <c r="GU260">
        <v>154</v>
      </c>
      <c r="GW260" s="24"/>
      <c r="GX260">
        <v>390</v>
      </c>
      <c r="GY260">
        <v>397</v>
      </c>
      <c r="GZ260">
        <v>390</v>
      </c>
      <c r="HA260">
        <v>64210772</v>
      </c>
      <c r="HB260">
        <v>251</v>
      </c>
      <c r="HD260" s="24"/>
      <c r="HE260">
        <v>5495</v>
      </c>
      <c r="HF260">
        <v>5628</v>
      </c>
      <c r="HG260">
        <v>5627</v>
      </c>
      <c r="HH260">
        <v>12745555</v>
      </c>
      <c r="HI260">
        <v>261</v>
      </c>
      <c r="HK260" s="24"/>
      <c r="HL260">
        <v>90500251</v>
      </c>
      <c r="HM260">
        <v>93900998</v>
      </c>
      <c r="HN260">
        <v>93095238</v>
      </c>
      <c r="HO260">
        <v>76</v>
      </c>
      <c r="HP260">
        <v>53</v>
      </c>
      <c r="HR260" s="24"/>
      <c r="HS260">
        <v>7556</v>
      </c>
      <c r="HT260">
        <v>8250</v>
      </c>
      <c r="HU260">
        <v>7565</v>
      </c>
      <c r="HV260">
        <v>499076</v>
      </c>
      <c r="HW260">
        <v>122</v>
      </c>
      <c r="HY260" s="24"/>
      <c r="HZ260">
        <v>6471</v>
      </c>
      <c r="IA260">
        <v>6849</v>
      </c>
      <c r="IB260">
        <v>6848</v>
      </c>
      <c r="IC260">
        <v>1939112</v>
      </c>
      <c r="ID260">
        <v>403</v>
      </c>
      <c r="IF260" s="24"/>
      <c r="IG260">
        <v>2965</v>
      </c>
      <c r="IH260">
        <v>2979</v>
      </c>
      <c r="II260">
        <v>2974</v>
      </c>
      <c r="IJ260">
        <v>1678819</v>
      </c>
      <c r="IK260">
        <v>135</v>
      </c>
      <c r="IM260" s="24"/>
      <c r="IN260">
        <v>90200100</v>
      </c>
      <c r="IO260">
        <v>94229992</v>
      </c>
      <c r="IP260">
        <v>91971953</v>
      </c>
      <c r="IQ260">
        <v>91</v>
      </c>
      <c r="IR260">
        <v>61</v>
      </c>
      <c r="IT260" s="24"/>
      <c r="IU260">
        <v>7899</v>
      </c>
      <c r="IV260">
        <v>7928</v>
      </c>
      <c r="IW260">
        <v>7928</v>
      </c>
      <c r="IX260">
        <v>559401</v>
      </c>
      <c r="IY260">
        <v>104</v>
      </c>
      <c r="JA260" s="24"/>
      <c r="JB260">
        <v>89000100</v>
      </c>
      <c r="JC260">
        <v>93996000</v>
      </c>
      <c r="JD260">
        <v>92003886</v>
      </c>
      <c r="JE260">
        <v>71</v>
      </c>
      <c r="JF260">
        <v>59</v>
      </c>
      <c r="JH260" s="24"/>
      <c r="JI260">
        <v>91113200</v>
      </c>
      <c r="JJ260">
        <v>92604001</v>
      </c>
      <c r="JK260">
        <v>92604001</v>
      </c>
      <c r="JL260">
        <v>103</v>
      </c>
      <c r="JM260">
        <v>49</v>
      </c>
      <c r="JO260" s="24"/>
      <c r="JP260">
        <v>131</v>
      </c>
      <c r="JQ260">
        <v>158</v>
      </c>
      <c r="JR260">
        <v>154</v>
      </c>
      <c r="JS260">
        <v>79656648</v>
      </c>
      <c r="JT260">
        <v>121</v>
      </c>
      <c r="JV260" s="24"/>
      <c r="JW260">
        <v>88</v>
      </c>
      <c r="JX260">
        <v>90</v>
      </c>
      <c r="JY260">
        <v>90</v>
      </c>
      <c r="JZ260">
        <v>61328867</v>
      </c>
      <c r="KA260">
        <v>76</v>
      </c>
      <c r="KC260" s="24"/>
      <c r="KD260">
        <v>20</v>
      </c>
      <c r="KE260">
        <v>21</v>
      </c>
      <c r="KF260">
        <v>21</v>
      </c>
      <c r="KG260">
        <v>77287398</v>
      </c>
      <c r="KH260">
        <v>303</v>
      </c>
      <c r="KJ260" s="24"/>
      <c r="KK260">
        <v>88</v>
      </c>
      <c r="KL260">
        <v>92</v>
      </c>
      <c r="KM260">
        <v>92</v>
      </c>
      <c r="KN260">
        <v>84371482</v>
      </c>
      <c r="KO260">
        <v>113</v>
      </c>
      <c r="KQ260" s="24"/>
      <c r="KR260">
        <v>126253</v>
      </c>
      <c r="KS260">
        <v>132350</v>
      </c>
      <c r="KT260">
        <v>126352</v>
      </c>
      <c r="KU260">
        <v>52772</v>
      </c>
      <c r="KV260">
        <v>656</v>
      </c>
      <c r="KX260" s="24"/>
      <c r="KY260">
        <v>539</v>
      </c>
      <c r="KZ260">
        <v>553</v>
      </c>
      <c r="LA260">
        <v>553</v>
      </c>
      <c r="LB260">
        <v>6934098</v>
      </c>
      <c r="LC260">
        <v>152</v>
      </c>
      <c r="LE260" s="24"/>
      <c r="LF260">
        <v>193523</v>
      </c>
      <c r="LG260">
        <v>197997</v>
      </c>
      <c r="LH260">
        <v>193532</v>
      </c>
      <c r="LI260">
        <v>202296</v>
      </c>
      <c r="LJ260">
        <v>974</v>
      </c>
      <c r="LL260" s="24"/>
      <c r="LM260">
        <v>80326</v>
      </c>
      <c r="LN260">
        <v>80355</v>
      </c>
      <c r="LO260">
        <v>80327</v>
      </c>
      <c r="LP260">
        <v>321778</v>
      </c>
      <c r="LQ260">
        <v>1400</v>
      </c>
      <c r="LS260" s="24"/>
      <c r="LT260">
        <v>475</v>
      </c>
      <c r="LU260">
        <v>476</v>
      </c>
      <c r="LV260">
        <v>476</v>
      </c>
      <c r="LW260">
        <v>75617230</v>
      </c>
      <c r="LX260">
        <v>346</v>
      </c>
      <c r="LZ260" s="24"/>
      <c r="MA260">
        <v>100000</v>
      </c>
      <c r="MB260">
        <v>100996</v>
      </c>
      <c r="MC260">
        <v>100993</v>
      </c>
      <c r="MD260">
        <v>1152272</v>
      </c>
      <c r="ME260">
        <v>107</v>
      </c>
    </row>
    <row r="261" spans="2:343" x14ac:dyDescent="0.25">
      <c r="B261" s="24"/>
      <c r="C261">
        <v>3</v>
      </c>
      <c r="D261">
        <v>3</v>
      </c>
      <c r="E261">
        <v>3</v>
      </c>
      <c r="F261">
        <v>23919042840</v>
      </c>
      <c r="G261">
        <v>2489</v>
      </c>
      <c r="I261" s="24"/>
      <c r="J261">
        <v>4</v>
      </c>
      <c r="K261">
        <v>4</v>
      </c>
      <c r="L261">
        <v>4</v>
      </c>
      <c r="M261">
        <v>5346634955</v>
      </c>
      <c r="N261">
        <v>1745</v>
      </c>
      <c r="P261" s="24"/>
      <c r="Q261">
        <v>28</v>
      </c>
      <c r="R261">
        <v>29</v>
      </c>
      <c r="S261">
        <v>28</v>
      </c>
      <c r="T261">
        <v>1737634997</v>
      </c>
      <c r="U261">
        <v>1607</v>
      </c>
      <c r="W261" s="24"/>
      <c r="X261">
        <v>61</v>
      </c>
      <c r="Y261">
        <v>63</v>
      </c>
      <c r="Z261">
        <v>62</v>
      </c>
      <c r="AA261">
        <v>249896112</v>
      </c>
      <c r="AB261">
        <v>1312</v>
      </c>
      <c r="AD261" s="24"/>
      <c r="AE261">
        <v>385</v>
      </c>
      <c r="AF261">
        <v>392</v>
      </c>
      <c r="AG261">
        <v>385</v>
      </c>
      <c r="AH261">
        <v>84029725</v>
      </c>
      <c r="AI261">
        <v>1413</v>
      </c>
      <c r="AK261" s="24"/>
      <c r="AL261">
        <v>707</v>
      </c>
      <c r="AM261">
        <v>724</v>
      </c>
      <c r="AN261">
        <v>715</v>
      </c>
      <c r="AO261">
        <v>30545625</v>
      </c>
      <c r="AP261">
        <v>1160</v>
      </c>
      <c r="AR261" s="24"/>
      <c r="AS261">
        <v>2626</v>
      </c>
      <c r="AT261">
        <v>2713</v>
      </c>
      <c r="AU261">
        <v>2650</v>
      </c>
      <c r="AV261">
        <v>13870488</v>
      </c>
      <c r="AW261">
        <v>1186</v>
      </c>
      <c r="AY261" s="24"/>
      <c r="AZ261">
        <v>367899725</v>
      </c>
      <c r="BA261">
        <v>377228842</v>
      </c>
      <c r="BB261">
        <v>372000000</v>
      </c>
      <c r="BC261">
        <v>2243</v>
      </c>
      <c r="BD261">
        <v>1586</v>
      </c>
      <c r="BF261" s="24"/>
      <c r="BG261">
        <v>24897</v>
      </c>
      <c r="BH261">
        <v>24897</v>
      </c>
      <c r="BI261">
        <v>24897</v>
      </c>
      <c r="BJ261">
        <v>1762626</v>
      </c>
      <c r="BK261">
        <v>205</v>
      </c>
      <c r="BM261" s="24"/>
      <c r="BN261">
        <v>6103029</v>
      </c>
      <c r="BO261">
        <v>6113031</v>
      </c>
      <c r="BP261">
        <v>6113029</v>
      </c>
      <c r="BQ261">
        <v>12613</v>
      </c>
      <c r="BR261">
        <v>307</v>
      </c>
      <c r="BT261" s="24"/>
      <c r="BU261">
        <v>2097</v>
      </c>
      <c r="BV261">
        <v>2098</v>
      </c>
      <c r="BW261">
        <v>2097</v>
      </c>
      <c r="BX261">
        <v>23896979</v>
      </c>
      <c r="BY261">
        <v>214</v>
      </c>
      <c r="CA261" s="24"/>
      <c r="CB261">
        <v>489</v>
      </c>
      <c r="CC261">
        <v>489</v>
      </c>
      <c r="CD261">
        <v>489</v>
      </c>
      <c r="CE261">
        <v>62903786</v>
      </c>
      <c r="CF261">
        <v>285</v>
      </c>
      <c r="CH261" s="24"/>
      <c r="CI261">
        <v>22057</v>
      </c>
      <c r="CJ261">
        <v>22063</v>
      </c>
      <c r="CK261">
        <v>22062</v>
      </c>
      <c r="CL261">
        <v>562288</v>
      </c>
      <c r="CM261">
        <v>160</v>
      </c>
      <c r="CO261" s="24"/>
      <c r="CP261">
        <v>6358</v>
      </c>
      <c r="CQ261">
        <v>6599</v>
      </c>
      <c r="CR261">
        <v>6599</v>
      </c>
      <c r="CS261">
        <v>1207881</v>
      </c>
      <c r="CT261">
        <v>392</v>
      </c>
      <c r="CV261" s="24"/>
      <c r="CW261">
        <v>1291000</v>
      </c>
      <c r="CX261">
        <v>1300000</v>
      </c>
      <c r="CY261">
        <v>1291000</v>
      </c>
      <c r="CZ261">
        <v>10812</v>
      </c>
      <c r="DA261">
        <v>44</v>
      </c>
      <c r="DC261" s="24"/>
      <c r="DD261">
        <v>433</v>
      </c>
      <c r="DE261">
        <v>459</v>
      </c>
      <c r="DF261">
        <v>458</v>
      </c>
      <c r="DG261">
        <v>35224829</v>
      </c>
      <c r="DH261">
        <v>172</v>
      </c>
      <c r="DJ261" s="24"/>
      <c r="DK261">
        <v>32245009</v>
      </c>
      <c r="DL261">
        <v>32247001</v>
      </c>
      <c r="DM261">
        <v>32246007</v>
      </c>
      <c r="DN261">
        <v>319</v>
      </c>
      <c r="DO261">
        <v>62</v>
      </c>
      <c r="DQ261" s="24"/>
      <c r="DR261">
        <v>1350514</v>
      </c>
      <c r="DS261">
        <v>1409437</v>
      </c>
      <c r="DT261">
        <v>1351000</v>
      </c>
      <c r="DU261">
        <v>4779</v>
      </c>
      <c r="DV261">
        <v>163</v>
      </c>
      <c r="DX261" s="24"/>
      <c r="DY261">
        <v>23134006</v>
      </c>
      <c r="DZ261">
        <v>24461989</v>
      </c>
      <c r="EA261">
        <v>24457998</v>
      </c>
      <c r="EB261">
        <v>353</v>
      </c>
      <c r="EC261">
        <v>91</v>
      </c>
      <c r="EE261" s="24"/>
      <c r="EF261">
        <v>187</v>
      </c>
      <c r="EG261">
        <v>194</v>
      </c>
      <c r="EH261">
        <v>188</v>
      </c>
      <c r="EI261">
        <v>106994508</v>
      </c>
      <c r="EJ261">
        <v>154</v>
      </c>
      <c r="EL261" s="24"/>
      <c r="EM261">
        <v>59000</v>
      </c>
      <c r="EN261">
        <v>59301</v>
      </c>
      <c r="EO261">
        <v>59300</v>
      </c>
      <c r="EP261">
        <v>66933</v>
      </c>
      <c r="EQ261">
        <v>666</v>
      </c>
      <c r="ES261" s="24"/>
      <c r="ET261">
        <v>282</v>
      </c>
      <c r="EU261">
        <v>303</v>
      </c>
      <c r="EV261">
        <v>298</v>
      </c>
      <c r="EW261">
        <v>59688432</v>
      </c>
      <c r="EX261">
        <v>553</v>
      </c>
      <c r="EZ261" s="24"/>
      <c r="FA261">
        <v>3134006</v>
      </c>
      <c r="FB261">
        <v>3336997</v>
      </c>
      <c r="FC261">
        <v>3134007</v>
      </c>
      <c r="FD261">
        <v>929</v>
      </c>
      <c r="FE261">
        <v>24</v>
      </c>
      <c r="FG261" s="24"/>
      <c r="FH261">
        <v>5940</v>
      </c>
      <c r="FI261">
        <v>6178</v>
      </c>
      <c r="FJ261">
        <v>6145</v>
      </c>
      <c r="FK261">
        <v>1704864</v>
      </c>
      <c r="FL261">
        <v>408</v>
      </c>
      <c r="FN261" s="24"/>
      <c r="FO261">
        <v>18999</v>
      </c>
      <c r="FP261">
        <v>18999</v>
      </c>
      <c r="FQ261">
        <v>18999</v>
      </c>
      <c r="FR261">
        <v>125875</v>
      </c>
      <c r="FS261">
        <v>62</v>
      </c>
      <c r="FU261" s="24"/>
      <c r="FV261">
        <v>17025</v>
      </c>
      <c r="FW261">
        <v>17026</v>
      </c>
      <c r="FX261">
        <v>17025</v>
      </c>
      <c r="FY261">
        <v>290767</v>
      </c>
      <c r="FZ261">
        <v>1213</v>
      </c>
      <c r="GB261" s="24"/>
      <c r="GC261">
        <v>90104000</v>
      </c>
      <c r="GD261">
        <v>94498998</v>
      </c>
      <c r="GE261">
        <v>90408111</v>
      </c>
      <c r="GF261">
        <v>190</v>
      </c>
      <c r="GG261">
        <v>82</v>
      </c>
      <c r="GI261" s="24"/>
      <c r="GJ261">
        <v>20001002</v>
      </c>
      <c r="GK261">
        <v>22099999</v>
      </c>
      <c r="GL261">
        <v>20002003</v>
      </c>
      <c r="GM261">
        <v>317</v>
      </c>
      <c r="GN261">
        <v>65</v>
      </c>
      <c r="GP261" s="24"/>
      <c r="GQ261">
        <v>108</v>
      </c>
      <c r="GR261">
        <v>111</v>
      </c>
      <c r="GS261">
        <v>111</v>
      </c>
      <c r="GT261">
        <v>102968406</v>
      </c>
      <c r="GU261">
        <v>117</v>
      </c>
      <c r="GW261" s="24"/>
      <c r="GX261">
        <v>425</v>
      </c>
      <c r="GY261">
        <v>435</v>
      </c>
      <c r="GZ261">
        <v>432</v>
      </c>
      <c r="HA261">
        <v>48839408</v>
      </c>
      <c r="HB261">
        <v>212</v>
      </c>
      <c r="HD261" s="24"/>
      <c r="HE261">
        <v>5495</v>
      </c>
      <c r="HF261">
        <v>5617</v>
      </c>
      <c r="HG261">
        <v>5511</v>
      </c>
      <c r="HH261">
        <v>20357592</v>
      </c>
      <c r="HI261">
        <v>287</v>
      </c>
      <c r="HK261" s="24"/>
      <c r="HL261">
        <v>90102000</v>
      </c>
      <c r="HM261">
        <v>90808200</v>
      </c>
      <c r="HN261">
        <v>90808008</v>
      </c>
      <c r="HO261">
        <v>157</v>
      </c>
      <c r="HP261">
        <v>76</v>
      </c>
      <c r="HR261" s="24"/>
      <c r="HS261">
        <v>7566</v>
      </c>
      <c r="HT261">
        <v>7949</v>
      </c>
      <c r="HU261">
        <v>7867</v>
      </c>
      <c r="HV261">
        <v>681075</v>
      </c>
      <c r="HW261">
        <v>145</v>
      </c>
      <c r="HY261" s="24"/>
      <c r="HZ261">
        <v>6600</v>
      </c>
      <c r="IA261">
        <v>6840</v>
      </c>
      <c r="IB261">
        <v>6824</v>
      </c>
      <c r="IC261">
        <v>1776468</v>
      </c>
      <c r="ID261">
        <v>390</v>
      </c>
      <c r="IF261" s="24"/>
      <c r="IG261">
        <v>2861</v>
      </c>
      <c r="IH261">
        <v>2979</v>
      </c>
      <c r="II261">
        <v>2979</v>
      </c>
      <c r="IJ261">
        <v>1279351</v>
      </c>
      <c r="IK261">
        <v>124</v>
      </c>
      <c r="IM261" s="24"/>
      <c r="IN261">
        <v>90200103</v>
      </c>
      <c r="IO261">
        <v>94201948</v>
      </c>
      <c r="IP261">
        <v>90200201</v>
      </c>
      <c r="IQ261">
        <v>154</v>
      </c>
      <c r="IR261">
        <v>80</v>
      </c>
      <c r="IT261" s="24"/>
      <c r="IU261">
        <v>7603</v>
      </c>
      <c r="IV261">
        <v>7700</v>
      </c>
      <c r="IW261">
        <v>7605</v>
      </c>
      <c r="IX261">
        <v>1894298</v>
      </c>
      <c r="IY261">
        <v>128</v>
      </c>
      <c r="JA261" s="24"/>
      <c r="JB261">
        <v>90209002</v>
      </c>
      <c r="JC261">
        <v>93989945</v>
      </c>
      <c r="JD261">
        <v>92296917</v>
      </c>
      <c r="JE261">
        <v>69</v>
      </c>
      <c r="JF261">
        <v>54</v>
      </c>
      <c r="JH261" s="24"/>
      <c r="JI261">
        <v>91000000</v>
      </c>
      <c r="JJ261">
        <v>94995000</v>
      </c>
      <c r="JK261">
        <v>92265000</v>
      </c>
      <c r="JL261">
        <v>54</v>
      </c>
      <c r="JM261">
        <v>37</v>
      </c>
      <c r="JO261" s="24"/>
      <c r="JP261">
        <v>125</v>
      </c>
      <c r="JQ261">
        <v>146</v>
      </c>
      <c r="JR261">
        <v>130</v>
      </c>
      <c r="JS261">
        <v>57056420</v>
      </c>
      <c r="JT261">
        <v>80</v>
      </c>
      <c r="JV261" s="24"/>
      <c r="JW261">
        <v>87</v>
      </c>
      <c r="JX261">
        <v>90</v>
      </c>
      <c r="JY261">
        <v>88</v>
      </c>
      <c r="JZ261">
        <v>125165580</v>
      </c>
      <c r="KA261">
        <v>95</v>
      </c>
      <c r="KC261" s="24"/>
      <c r="KD261">
        <v>21</v>
      </c>
      <c r="KE261">
        <v>21</v>
      </c>
      <c r="KF261">
        <v>21</v>
      </c>
      <c r="KG261">
        <v>128435488</v>
      </c>
      <c r="KH261">
        <v>398</v>
      </c>
      <c r="KJ261" s="24"/>
      <c r="KK261">
        <v>88</v>
      </c>
      <c r="KL261">
        <v>92</v>
      </c>
      <c r="KM261">
        <v>89</v>
      </c>
      <c r="KN261">
        <v>115237657</v>
      </c>
      <c r="KO261">
        <v>125</v>
      </c>
      <c r="KQ261" s="24"/>
      <c r="KR261">
        <v>126354</v>
      </c>
      <c r="KS261">
        <v>127300</v>
      </c>
      <c r="KT261">
        <v>126700</v>
      </c>
      <c r="KU261">
        <v>50034</v>
      </c>
      <c r="KV261">
        <v>632</v>
      </c>
      <c r="KX261" s="24"/>
      <c r="KY261">
        <v>554</v>
      </c>
      <c r="KZ261">
        <v>554</v>
      </c>
      <c r="LA261">
        <v>554</v>
      </c>
      <c r="LB261">
        <v>4676668</v>
      </c>
      <c r="LC261">
        <v>156</v>
      </c>
      <c r="LE261" s="24"/>
      <c r="LF261">
        <v>193535</v>
      </c>
      <c r="LG261">
        <v>193852</v>
      </c>
      <c r="LH261">
        <v>193601</v>
      </c>
      <c r="LI261">
        <v>133228</v>
      </c>
      <c r="LJ261">
        <v>863</v>
      </c>
      <c r="LL261" s="24"/>
      <c r="LM261">
        <v>80361</v>
      </c>
      <c r="LN261">
        <v>80374</v>
      </c>
      <c r="LO261">
        <v>80366</v>
      </c>
      <c r="LP261">
        <v>353573</v>
      </c>
      <c r="LQ261">
        <v>1363</v>
      </c>
      <c r="LS261" s="24"/>
      <c r="LT261">
        <v>465</v>
      </c>
      <c r="LU261">
        <v>476</v>
      </c>
      <c r="LV261">
        <v>475</v>
      </c>
      <c r="LW261">
        <v>100803564</v>
      </c>
      <c r="LX261">
        <v>378</v>
      </c>
      <c r="LZ261" s="24"/>
      <c r="MA261">
        <v>99000</v>
      </c>
      <c r="MB261">
        <v>100993</v>
      </c>
      <c r="MC261">
        <v>100899</v>
      </c>
      <c r="MD261">
        <v>1221475</v>
      </c>
      <c r="ME261">
        <v>126</v>
      </c>
    </row>
    <row r="262" spans="2:343" x14ac:dyDescent="0.25">
      <c r="B262" s="24"/>
      <c r="C262">
        <v>3</v>
      </c>
      <c r="D262">
        <v>3</v>
      </c>
      <c r="E262">
        <v>3</v>
      </c>
      <c r="F262">
        <v>23699332653</v>
      </c>
      <c r="G262">
        <v>2333</v>
      </c>
      <c r="I262" s="24"/>
      <c r="J262">
        <v>4</v>
      </c>
      <c r="K262">
        <v>4</v>
      </c>
      <c r="L262">
        <v>4</v>
      </c>
      <c r="M262">
        <v>4776096899</v>
      </c>
      <c r="N262">
        <v>1687</v>
      </c>
      <c r="P262" s="24"/>
      <c r="Q262">
        <v>27</v>
      </c>
      <c r="R262">
        <v>29</v>
      </c>
      <c r="S262">
        <v>28</v>
      </c>
      <c r="T262">
        <v>1147698759</v>
      </c>
      <c r="U262">
        <v>1557</v>
      </c>
      <c r="W262" s="24"/>
      <c r="X262">
        <v>61</v>
      </c>
      <c r="Y262">
        <v>62</v>
      </c>
      <c r="Z262">
        <v>62</v>
      </c>
      <c r="AA262">
        <v>435737656</v>
      </c>
      <c r="AB262">
        <v>1279</v>
      </c>
      <c r="AD262" s="24"/>
      <c r="AE262">
        <v>376</v>
      </c>
      <c r="AF262">
        <v>385</v>
      </c>
      <c r="AG262">
        <v>383</v>
      </c>
      <c r="AH262">
        <v>86471126</v>
      </c>
      <c r="AI262">
        <v>1279</v>
      </c>
      <c r="AK262" s="24"/>
      <c r="AL262">
        <v>709</v>
      </c>
      <c r="AM262">
        <v>721</v>
      </c>
      <c r="AN262">
        <v>719</v>
      </c>
      <c r="AO262">
        <v>28296428</v>
      </c>
      <c r="AP262">
        <v>1090</v>
      </c>
      <c r="AR262" s="24"/>
      <c r="AS262">
        <v>2630</v>
      </c>
      <c r="AT262">
        <v>2714</v>
      </c>
      <c r="AU262">
        <v>2699</v>
      </c>
      <c r="AV262">
        <v>11785186</v>
      </c>
      <c r="AW262">
        <v>1093</v>
      </c>
      <c r="AY262" s="24"/>
      <c r="AZ262">
        <v>371000129</v>
      </c>
      <c r="BA262">
        <v>378443698</v>
      </c>
      <c r="BB262">
        <v>375999995</v>
      </c>
      <c r="BC262">
        <v>2454</v>
      </c>
      <c r="BD262">
        <v>1718</v>
      </c>
      <c r="BF262" s="24"/>
      <c r="BG262">
        <v>24897</v>
      </c>
      <c r="BH262">
        <v>24900</v>
      </c>
      <c r="BI262">
        <v>24897</v>
      </c>
      <c r="BJ262">
        <v>3904009</v>
      </c>
      <c r="BK262">
        <v>214</v>
      </c>
      <c r="BM262" s="24"/>
      <c r="BN262">
        <v>6103029</v>
      </c>
      <c r="BO262">
        <v>6137000</v>
      </c>
      <c r="BP262">
        <v>6103517</v>
      </c>
      <c r="BQ262">
        <v>8896</v>
      </c>
      <c r="BR262">
        <v>305</v>
      </c>
      <c r="BT262" s="24"/>
      <c r="BU262">
        <v>2105</v>
      </c>
      <c r="BV262">
        <v>2143</v>
      </c>
      <c r="BW262">
        <v>2111</v>
      </c>
      <c r="BX262">
        <v>24538067</v>
      </c>
      <c r="BY262">
        <v>262</v>
      </c>
      <c r="CA262" s="24"/>
      <c r="CB262">
        <v>480</v>
      </c>
      <c r="CC262">
        <v>489</v>
      </c>
      <c r="CD262">
        <v>489</v>
      </c>
      <c r="CE262">
        <v>54874250</v>
      </c>
      <c r="CF262">
        <v>235</v>
      </c>
      <c r="CH262" s="24"/>
      <c r="CI262">
        <v>22064</v>
      </c>
      <c r="CJ262">
        <v>22064</v>
      </c>
      <c r="CK262">
        <v>22064</v>
      </c>
      <c r="CL262">
        <v>1429987</v>
      </c>
      <c r="CM262">
        <v>141</v>
      </c>
      <c r="CO262" s="24"/>
      <c r="CP262">
        <v>6363</v>
      </c>
      <c r="CQ262">
        <v>6633</v>
      </c>
      <c r="CR262">
        <v>6581</v>
      </c>
      <c r="CS262">
        <v>1032464</v>
      </c>
      <c r="CT262">
        <v>369</v>
      </c>
      <c r="CV262" s="24"/>
      <c r="CW262">
        <v>1305995</v>
      </c>
      <c r="CX262">
        <v>1305997</v>
      </c>
      <c r="CY262">
        <v>1305997</v>
      </c>
      <c r="CZ262">
        <v>10420</v>
      </c>
      <c r="DA262">
        <v>34</v>
      </c>
      <c r="DC262" s="24"/>
      <c r="DD262">
        <v>439</v>
      </c>
      <c r="DE262">
        <v>454</v>
      </c>
      <c r="DF262">
        <v>450</v>
      </c>
      <c r="DG262">
        <v>54004278</v>
      </c>
      <c r="DH262">
        <v>193</v>
      </c>
      <c r="DJ262" s="24"/>
      <c r="DK262">
        <v>32244328</v>
      </c>
      <c r="DL262">
        <v>33870000</v>
      </c>
      <c r="DM262">
        <v>32244330</v>
      </c>
      <c r="DN262">
        <v>272</v>
      </c>
      <c r="DO262">
        <v>83</v>
      </c>
      <c r="DQ262" s="24"/>
      <c r="DR262">
        <v>1320002</v>
      </c>
      <c r="DS262">
        <v>1419499</v>
      </c>
      <c r="DT262">
        <v>1350508</v>
      </c>
      <c r="DU262">
        <v>9562</v>
      </c>
      <c r="DV262">
        <v>221</v>
      </c>
      <c r="DX262" s="24"/>
      <c r="DY262">
        <v>22185085</v>
      </c>
      <c r="DZ262">
        <v>23135001</v>
      </c>
      <c r="EA262">
        <v>23134004</v>
      </c>
      <c r="EB262">
        <v>468</v>
      </c>
      <c r="EC262">
        <v>94</v>
      </c>
      <c r="EE262" s="24"/>
      <c r="EF262">
        <v>180</v>
      </c>
      <c r="EG262">
        <v>193</v>
      </c>
      <c r="EH262">
        <v>188</v>
      </c>
      <c r="EI262">
        <v>120391471</v>
      </c>
      <c r="EJ262">
        <v>203</v>
      </c>
      <c r="EL262" s="24"/>
      <c r="EM262">
        <v>58006</v>
      </c>
      <c r="EN262">
        <v>61998</v>
      </c>
      <c r="EO262">
        <v>59000</v>
      </c>
      <c r="EP262">
        <v>42191</v>
      </c>
      <c r="EQ262">
        <v>612</v>
      </c>
      <c r="ES262" s="24"/>
      <c r="ET262">
        <v>295</v>
      </c>
      <c r="EU262">
        <v>297</v>
      </c>
      <c r="EV262">
        <v>297</v>
      </c>
      <c r="EW262">
        <v>36109716</v>
      </c>
      <c r="EX262">
        <v>558</v>
      </c>
      <c r="EZ262" s="24"/>
      <c r="FA262">
        <v>3135000</v>
      </c>
      <c r="FB262">
        <v>3330995</v>
      </c>
      <c r="FC262">
        <v>3306800</v>
      </c>
      <c r="FD262">
        <v>660</v>
      </c>
      <c r="FE262">
        <v>17</v>
      </c>
      <c r="FG262" s="24"/>
      <c r="FH262">
        <v>6000</v>
      </c>
      <c r="FI262">
        <v>6246</v>
      </c>
      <c r="FJ262">
        <v>6199</v>
      </c>
      <c r="FK262">
        <v>1148682</v>
      </c>
      <c r="FL262">
        <v>366</v>
      </c>
      <c r="FN262" s="24"/>
      <c r="FO262">
        <v>18848</v>
      </c>
      <c r="FP262">
        <v>18848</v>
      </c>
      <c r="FQ262">
        <v>18848</v>
      </c>
      <c r="FR262">
        <v>246827</v>
      </c>
      <c r="FS262">
        <v>108</v>
      </c>
      <c r="FU262" s="24"/>
      <c r="FV262">
        <v>17034</v>
      </c>
      <c r="FW262">
        <v>17061</v>
      </c>
      <c r="FX262">
        <v>17061</v>
      </c>
      <c r="FY262">
        <v>276849</v>
      </c>
      <c r="FZ262">
        <v>1200</v>
      </c>
      <c r="GB262" s="24"/>
      <c r="GC262">
        <v>90001002</v>
      </c>
      <c r="GD262">
        <v>95491999</v>
      </c>
      <c r="GE262">
        <v>92013056</v>
      </c>
      <c r="GF262">
        <v>86</v>
      </c>
      <c r="GG262">
        <v>56</v>
      </c>
      <c r="GI262" s="24"/>
      <c r="GJ262">
        <v>21000000</v>
      </c>
      <c r="GK262">
        <v>21302003</v>
      </c>
      <c r="GL262">
        <v>21301004</v>
      </c>
      <c r="GM262">
        <v>564</v>
      </c>
      <c r="GN262">
        <v>105</v>
      </c>
      <c r="GP262" s="24"/>
      <c r="GQ262">
        <v>106</v>
      </c>
      <c r="GR262">
        <v>111</v>
      </c>
      <c r="GS262">
        <v>111</v>
      </c>
      <c r="GT262">
        <v>114164142</v>
      </c>
      <c r="GU262">
        <v>151</v>
      </c>
      <c r="GW262" s="24"/>
      <c r="GX262">
        <v>435</v>
      </c>
      <c r="GY262">
        <v>435</v>
      </c>
      <c r="GZ262">
        <v>435</v>
      </c>
      <c r="HA262">
        <v>33857880</v>
      </c>
      <c r="HB262">
        <v>214</v>
      </c>
      <c r="HD262" s="24"/>
      <c r="HE262">
        <v>5404</v>
      </c>
      <c r="HF262">
        <v>5574</v>
      </c>
      <c r="HG262">
        <v>5547</v>
      </c>
      <c r="HH262">
        <v>14494107</v>
      </c>
      <c r="HI262">
        <v>292</v>
      </c>
      <c r="HK262" s="24"/>
      <c r="HL262">
        <v>86200000</v>
      </c>
      <c r="HM262">
        <v>95864966</v>
      </c>
      <c r="HN262">
        <v>89736842</v>
      </c>
      <c r="HO262">
        <v>89</v>
      </c>
      <c r="HP262">
        <v>56</v>
      </c>
      <c r="HR262" s="24"/>
      <c r="HS262">
        <v>7838</v>
      </c>
      <c r="HT262">
        <v>8245</v>
      </c>
      <c r="HU262">
        <v>8000</v>
      </c>
      <c r="HV262">
        <v>836176</v>
      </c>
      <c r="HW262">
        <v>157</v>
      </c>
      <c r="HY262" s="24"/>
      <c r="HZ262">
        <v>6800</v>
      </c>
      <c r="IA262">
        <v>6946</v>
      </c>
      <c r="IB262">
        <v>6894</v>
      </c>
      <c r="IC262">
        <v>1668999</v>
      </c>
      <c r="ID262">
        <v>391</v>
      </c>
      <c r="IF262" s="24"/>
      <c r="IG262">
        <v>2978</v>
      </c>
      <c r="IH262">
        <v>2979</v>
      </c>
      <c r="II262">
        <v>2978</v>
      </c>
      <c r="IJ262">
        <v>1113713</v>
      </c>
      <c r="IK262">
        <v>135</v>
      </c>
      <c r="IM262" s="24"/>
      <c r="IN262">
        <v>88600406</v>
      </c>
      <c r="IO262">
        <v>93897000</v>
      </c>
      <c r="IP262">
        <v>92044621</v>
      </c>
      <c r="IQ262">
        <v>54</v>
      </c>
      <c r="IR262">
        <v>43</v>
      </c>
      <c r="IT262" s="24"/>
      <c r="IU262">
        <v>7469</v>
      </c>
      <c r="IV262">
        <v>7579</v>
      </c>
      <c r="IW262">
        <v>7499</v>
      </c>
      <c r="IX262">
        <v>1364618</v>
      </c>
      <c r="IY262">
        <v>157</v>
      </c>
      <c r="JA262" s="24"/>
      <c r="JB262">
        <v>89011000</v>
      </c>
      <c r="JC262">
        <v>93696500</v>
      </c>
      <c r="JD262">
        <v>91150125</v>
      </c>
      <c r="JE262">
        <v>76</v>
      </c>
      <c r="JF262">
        <v>43</v>
      </c>
      <c r="JH262" s="24"/>
      <c r="JI262">
        <v>91000001</v>
      </c>
      <c r="JJ262">
        <v>94989966</v>
      </c>
      <c r="JK262">
        <v>93246497</v>
      </c>
      <c r="JL262">
        <v>36</v>
      </c>
      <c r="JM262">
        <v>29</v>
      </c>
      <c r="JO262" s="24"/>
      <c r="JP262">
        <v>137</v>
      </c>
      <c r="JQ262">
        <v>141</v>
      </c>
      <c r="JR262">
        <v>138</v>
      </c>
      <c r="JS262">
        <v>103297527</v>
      </c>
      <c r="JT262">
        <v>145</v>
      </c>
      <c r="JV262" s="24"/>
      <c r="JW262">
        <v>91</v>
      </c>
      <c r="JX262">
        <v>93</v>
      </c>
      <c r="JY262">
        <v>92</v>
      </c>
      <c r="JZ262">
        <v>88501227</v>
      </c>
      <c r="KA262">
        <v>102</v>
      </c>
      <c r="KC262" s="24"/>
      <c r="KD262">
        <v>19</v>
      </c>
      <c r="KE262">
        <v>22</v>
      </c>
      <c r="KF262">
        <v>20</v>
      </c>
      <c r="KG262">
        <v>45015967</v>
      </c>
      <c r="KH262">
        <v>353</v>
      </c>
      <c r="KJ262" s="24"/>
      <c r="KK262">
        <v>92</v>
      </c>
      <c r="KL262">
        <v>92</v>
      </c>
      <c r="KM262">
        <v>92</v>
      </c>
      <c r="KN262">
        <v>101415259</v>
      </c>
      <c r="KO262">
        <v>128</v>
      </c>
      <c r="KQ262" s="24"/>
      <c r="KR262">
        <v>127303</v>
      </c>
      <c r="KS262">
        <v>133000</v>
      </c>
      <c r="KT262">
        <v>127310</v>
      </c>
      <c r="KU262">
        <v>61201</v>
      </c>
      <c r="KV262">
        <v>616</v>
      </c>
      <c r="KX262" s="24"/>
      <c r="KY262">
        <v>554</v>
      </c>
      <c r="KZ262">
        <v>554</v>
      </c>
      <c r="LA262">
        <v>554</v>
      </c>
      <c r="LB262">
        <v>4982797</v>
      </c>
      <c r="LC262">
        <v>193</v>
      </c>
      <c r="LE262" s="24"/>
      <c r="LF262">
        <v>194100</v>
      </c>
      <c r="LG262">
        <v>194330</v>
      </c>
      <c r="LH262">
        <v>194250</v>
      </c>
      <c r="LI262">
        <v>131896</v>
      </c>
      <c r="LJ262">
        <v>864</v>
      </c>
      <c r="LL262" s="24"/>
      <c r="LM262">
        <v>80378</v>
      </c>
      <c r="LN262">
        <v>80401</v>
      </c>
      <c r="LO262">
        <v>80385</v>
      </c>
      <c r="LP262">
        <v>264848</v>
      </c>
      <c r="LQ262">
        <v>1247</v>
      </c>
      <c r="LS262" s="24"/>
      <c r="LT262">
        <v>462</v>
      </c>
      <c r="LU262">
        <v>474</v>
      </c>
      <c r="LV262">
        <v>473</v>
      </c>
      <c r="LW262">
        <v>84988636</v>
      </c>
      <c r="LX262">
        <v>368</v>
      </c>
      <c r="LZ262" s="24"/>
      <c r="MA262">
        <v>98053</v>
      </c>
      <c r="MB262">
        <v>99998</v>
      </c>
      <c r="MC262">
        <v>99998</v>
      </c>
      <c r="MD262">
        <v>625131</v>
      </c>
      <c r="ME262">
        <v>58</v>
      </c>
    </row>
    <row r="263" spans="2:343" x14ac:dyDescent="0.25">
      <c r="B263" s="24"/>
      <c r="C263">
        <v>3</v>
      </c>
      <c r="D263">
        <v>3</v>
      </c>
      <c r="E263">
        <v>3</v>
      </c>
      <c r="F263">
        <v>24805669109</v>
      </c>
      <c r="G263">
        <v>2397</v>
      </c>
      <c r="I263" s="24"/>
      <c r="J263">
        <v>4</v>
      </c>
      <c r="K263">
        <v>4</v>
      </c>
      <c r="L263">
        <v>4</v>
      </c>
      <c r="M263">
        <v>5996864449</v>
      </c>
      <c r="N263">
        <v>1763</v>
      </c>
      <c r="P263" s="24"/>
      <c r="Q263">
        <v>28</v>
      </c>
      <c r="R263">
        <v>29</v>
      </c>
      <c r="S263">
        <v>29</v>
      </c>
      <c r="T263">
        <v>1556845288</v>
      </c>
      <c r="U263">
        <v>1627</v>
      </c>
      <c r="W263" s="24"/>
      <c r="X263">
        <v>61</v>
      </c>
      <c r="Y263">
        <v>62</v>
      </c>
      <c r="Z263">
        <v>61</v>
      </c>
      <c r="AA263">
        <v>396298241</v>
      </c>
      <c r="AB263">
        <v>1335</v>
      </c>
      <c r="AD263" s="24"/>
      <c r="AE263">
        <v>383</v>
      </c>
      <c r="AF263">
        <v>391</v>
      </c>
      <c r="AG263">
        <v>384</v>
      </c>
      <c r="AH263">
        <v>86852547</v>
      </c>
      <c r="AI263">
        <v>1410</v>
      </c>
      <c r="AK263" s="24"/>
      <c r="AL263">
        <v>708</v>
      </c>
      <c r="AM263">
        <v>719</v>
      </c>
      <c r="AN263">
        <v>718</v>
      </c>
      <c r="AO263">
        <v>36186869</v>
      </c>
      <c r="AP263">
        <v>1157</v>
      </c>
      <c r="AR263" s="24"/>
      <c r="AS263">
        <v>2634</v>
      </c>
      <c r="AT263">
        <v>2709</v>
      </c>
      <c r="AU263">
        <v>2652</v>
      </c>
      <c r="AV263">
        <v>14759491</v>
      </c>
      <c r="AW263">
        <v>1094</v>
      </c>
      <c r="AY263" s="24"/>
      <c r="AZ263">
        <v>371000200</v>
      </c>
      <c r="BA263">
        <v>378748000</v>
      </c>
      <c r="BB263">
        <v>375505506</v>
      </c>
      <c r="BC263">
        <v>2596</v>
      </c>
      <c r="BD263">
        <v>1693</v>
      </c>
      <c r="BF263" s="24"/>
      <c r="BG263">
        <v>24897</v>
      </c>
      <c r="BH263">
        <v>25400</v>
      </c>
      <c r="BI263">
        <v>24897</v>
      </c>
      <c r="BJ263">
        <v>4485896</v>
      </c>
      <c r="BK263">
        <v>247</v>
      </c>
      <c r="BM263" s="24"/>
      <c r="BN263">
        <v>6138000</v>
      </c>
      <c r="BO263">
        <v>6138015</v>
      </c>
      <c r="BP263">
        <v>6138005</v>
      </c>
      <c r="BQ263">
        <v>9433</v>
      </c>
      <c r="BR263">
        <v>272</v>
      </c>
      <c r="BT263" s="24"/>
      <c r="BU263">
        <v>2142</v>
      </c>
      <c r="BV263">
        <v>2144</v>
      </c>
      <c r="BW263">
        <v>2144</v>
      </c>
      <c r="BX263">
        <v>15960355</v>
      </c>
      <c r="BY263">
        <v>201</v>
      </c>
      <c r="CA263" s="24"/>
      <c r="CB263">
        <v>489</v>
      </c>
      <c r="CC263">
        <v>489</v>
      </c>
      <c r="CD263">
        <v>489</v>
      </c>
      <c r="CE263">
        <v>74489636</v>
      </c>
      <c r="CF263">
        <v>260</v>
      </c>
      <c r="CH263" s="24"/>
      <c r="CI263">
        <v>22065</v>
      </c>
      <c r="CJ263">
        <v>22070</v>
      </c>
      <c r="CK263">
        <v>22070</v>
      </c>
      <c r="CL263">
        <v>1641647</v>
      </c>
      <c r="CM263">
        <v>181</v>
      </c>
      <c r="CO263" s="24"/>
      <c r="CP263">
        <v>6581</v>
      </c>
      <c r="CQ263">
        <v>6603</v>
      </c>
      <c r="CR263">
        <v>6602</v>
      </c>
      <c r="CS263">
        <v>894972</v>
      </c>
      <c r="CT263">
        <v>327</v>
      </c>
      <c r="CV263" s="24"/>
      <c r="CW263">
        <v>1317995</v>
      </c>
      <c r="CX263">
        <v>1317997</v>
      </c>
      <c r="CY263">
        <v>1317997</v>
      </c>
      <c r="CZ263">
        <v>7654</v>
      </c>
      <c r="DA263">
        <v>34</v>
      </c>
      <c r="DC263" s="24"/>
      <c r="DD263">
        <v>421</v>
      </c>
      <c r="DE263">
        <v>435</v>
      </c>
      <c r="DF263">
        <v>434</v>
      </c>
      <c r="DG263">
        <v>44512293</v>
      </c>
      <c r="DH263">
        <v>182</v>
      </c>
      <c r="DJ263" s="24"/>
      <c r="DK263">
        <v>32254378</v>
      </c>
      <c r="DL263">
        <v>33000009</v>
      </c>
      <c r="DM263">
        <v>33000000</v>
      </c>
      <c r="DN263">
        <v>265</v>
      </c>
      <c r="DO263">
        <v>73</v>
      </c>
      <c r="DQ263" s="24"/>
      <c r="DR263">
        <v>1320030</v>
      </c>
      <c r="DS263">
        <v>1429998</v>
      </c>
      <c r="DT263">
        <v>1320034</v>
      </c>
      <c r="DU263">
        <v>5565</v>
      </c>
      <c r="DV263">
        <v>196</v>
      </c>
      <c r="DX263" s="24"/>
      <c r="DY263">
        <v>22189668</v>
      </c>
      <c r="DZ263">
        <v>23400000</v>
      </c>
      <c r="EA263">
        <v>22199700</v>
      </c>
      <c r="EB263">
        <v>304</v>
      </c>
      <c r="EC263">
        <v>73</v>
      </c>
      <c r="EE263" s="24"/>
      <c r="EF263">
        <v>181</v>
      </c>
      <c r="EG263">
        <v>193</v>
      </c>
      <c r="EH263">
        <v>192</v>
      </c>
      <c r="EI263">
        <v>100205669</v>
      </c>
      <c r="EJ263">
        <v>164</v>
      </c>
      <c r="EL263" s="24"/>
      <c r="EM263">
        <v>58007</v>
      </c>
      <c r="EN263">
        <v>58007</v>
      </c>
      <c r="EO263">
        <v>58007</v>
      </c>
      <c r="EP263">
        <v>83599</v>
      </c>
      <c r="EQ263">
        <v>670</v>
      </c>
      <c r="ES263" s="24"/>
      <c r="ET263">
        <v>297</v>
      </c>
      <c r="EU263">
        <v>299</v>
      </c>
      <c r="EV263">
        <v>299</v>
      </c>
      <c r="EW263">
        <v>26019719</v>
      </c>
      <c r="EX263">
        <v>527</v>
      </c>
      <c r="EZ263" s="24"/>
      <c r="FA263">
        <v>3185002</v>
      </c>
      <c r="FB263">
        <v>3304993</v>
      </c>
      <c r="FC263">
        <v>3304993</v>
      </c>
      <c r="FD263">
        <v>1645</v>
      </c>
      <c r="FE263">
        <v>18</v>
      </c>
      <c r="FG263" s="24"/>
      <c r="FH263">
        <v>6125</v>
      </c>
      <c r="FI263">
        <v>6397</v>
      </c>
      <c r="FJ263">
        <v>6377</v>
      </c>
      <c r="FK263">
        <v>1307885</v>
      </c>
      <c r="FL263">
        <v>389</v>
      </c>
      <c r="FN263" s="24"/>
      <c r="FO263">
        <v>18840</v>
      </c>
      <c r="FP263">
        <v>18848</v>
      </c>
      <c r="FQ263">
        <v>18848</v>
      </c>
      <c r="FR263">
        <v>273456</v>
      </c>
      <c r="FS263">
        <v>88</v>
      </c>
      <c r="FU263" s="24"/>
      <c r="FV263">
        <v>17062</v>
      </c>
      <c r="FW263">
        <v>17065</v>
      </c>
      <c r="FX263">
        <v>17062</v>
      </c>
      <c r="FY263">
        <v>413141</v>
      </c>
      <c r="FZ263">
        <v>1213</v>
      </c>
      <c r="GB263" s="24"/>
      <c r="GC263">
        <v>90008000</v>
      </c>
      <c r="GD263">
        <v>95344998</v>
      </c>
      <c r="GE263">
        <v>90102008</v>
      </c>
      <c r="GF263">
        <v>120</v>
      </c>
      <c r="GG263">
        <v>86</v>
      </c>
      <c r="GI263" s="24"/>
      <c r="GJ263">
        <v>21100010</v>
      </c>
      <c r="GK263">
        <v>22095999</v>
      </c>
      <c r="GL263">
        <v>21150020</v>
      </c>
      <c r="GM263">
        <v>427</v>
      </c>
      <c r="GN263">
        <v>71</v>
      </c>
      <c r="GP263" s="24"/>
      <c r="GQ263">
        <v>111</v>
      </c>
      <c r="GR263">
        <v>112</v>
      </c>
      <c r="GS263">
        <v>111</v>
      </c>
      <c r="GT263">
        <v>75500541</v>
      </c>
      <c r="GU263">
        <v>98</v>
      </c>
      <c r="GW263" s="24"/>
      <c r="GX263">
        <v>433</v>
      </c>
      <c r="GY263">
        <v>435</v>
      </c>
      <c r="GZ263">
        <v>435</v>
      </c>
      <c r="HA263">
        <v>42678796</v>
      </c>
      <c r="HB263">
        <v>202</v>
      </c>
      <c r="HD263" s="24"/>
      <c r="HE263">
        <v>5406</v>
      </c>
      <c r="HF263">
        <v>5549</v>
      </c>
      <c r="HG263">
        <v>5540</v>
      </c>
      <c r="HH263">
        <v>19191605</v>
      </c>
      <c r="HI263">
        <v>291</v>
      </c>
      <c r="HK263" s="24"/>
      <c r="HL263">
        <v>85415002</v>
      </c>
      <c r="HM263">
        <v>95843000</v>
      </c>
      <c r="HN263">
        <v>91381866</v>
      </c>
      <c r="HO263">
        <v>78</v>
      </c>
      <c r="HP263">
        <v>67</v>
      </c>
      <c r="HR263" s="24"/>
      <c r="HS263">
        <v>8396</v>
      </c>
      <c r="HT263">
        <v>8499</v>
      </c>
      <c r="HU263">
        <v>8400</v>
      </c>
      <c r="HV263">
        <v>662800</v>
      </c>
      <c r="HW263">
        <v>142</v>
      </c>
      <c r="HY263" s="24"/>
      <c r="HZ263">
        <v>6652</v>
      </c>
      <c r="IA263">
        <v>6939</v>
      </c>
      <c r="IB263">
        <v>6939</v>
      </c>
      <c r="IC263">
        <v>1840269</v>
      </c>
      <c r="ID263">
        <v>362</v>
      </c>
      <c r="IF263" s="24"/>
      <c r="IG263">
        <v>2865</v>
      </c>
      <c r="IH263">
        <v>2974</v>
      </c>
      <c r="II263">
        <v>2970</v>
      </c>
      <c r="IJ263">
        <v>2565586</v>
      </c>
      <c r="IK263">
        <v>166</v>
      </c>
      <c r="IM263" s="24"/>
      <c r="IN263">
        <v>91000001</v>
      </c>
      <c r="IO263">
        <v>93884000</v>
      </c>
      <c r="IP263">
        <v>92525997</v>
      </c>
      <c r="IQ263">
        <v>65</v>
      </c>
      <c r="IR263">
        <v>58</v>
      </c>
      <c r="IT263" s="24"/>
      <c r="IU263">
        <v>7425</v>
      </c>
      <c r="IV263">
        <v>7490</v>
      </c>
      <c r="IW263">
        <v>7488</v>
      </c>
      <c r="IX263">
        <v>1369119</v>
      </c>
      <c r="IY263">
        <v>129</v>
      </c>
      <c r="JA263" s="24"/>
      <c r="JB263">
        <v>89102001</v>
      </c>
      <c r="JC263">
        <v>93686000</v>
      </c>
      <c r="JD263">
        <v>92516209</v>
      </c>
      <c r="JE263">
        <v>63</v>
      </c>
      <c r="JF263">
        <v>58</v>
      </c>
      <c r="JH263" s="24"/>
      <c r="JI263">
        <v>88131100</v>
      </c>
      <c r="JJ263">
        <v>93992000</v>
      </c>
      <c r="JK263">
        <v>91886317</v>
      </c>
      <c r="JL263">
        <v>63</v>
      </c>
      <c r="JM263">
        <v>46</v>
      </c>
      <c r="JO263" s="24"/>
      <c r="JP263">
        <v>137</v>
      </c>
      <c r="JQ263">
        <v>155</v>
      </c>
      <c r="JR263">
        <v>141</v>
      </c>
      <c r="JS263">
        <v>146184972</v>
      </c>
      <c r="JT263">
        <v>183</v>
      </c>
      <c r="JV263" s="24"/>
      <c r="JW263">
        <v>90</v>
      </c>
      <c r="JX263">
        <v>93</v>
      </c>
      <c r="JY263">
        <v>92</v>
      </c>
      <c r="JZ263">
        <v>150531491</v>
      </c>
      <c r="KA263">
        <v>102</v>
      </c>
      <c r="KC263" s="24"/>
      <c r="KD263">
        <v>21</v>
      </c>
      <c r="KE263">
        <v>21</v>
      </c>
      <c r="KF263">
        <v>21</v>
      </c>
      <c r="KG263">
        <v>111372124</v>
      </c>
      <c r="KH263">
        <v>298</v>
      </c>
      <c r="KJ263" s="24"/>
      <c r="KK263">
        <v>95</v>
      </c>
      <c r="KL263">
        <v>113</v>
      </c>
      <c r="KM263">
        <v>110</v>
      </c>
      <c r="KN263">
        <v>162871759</v>
      </c>
      <c r="KO263">
        <v>113</v>
      </c>
      <c r="KQ263" s="24"/>
      <c r="KR263">
        <v>127519</v>
      </c>
      <c r="KS263">
        <v>129000</v>
      </c>
      <c r="KT263">
        <v>128002</v>
      </c>
      <c r="KU263">
        <v>70362</v>
      </c>
      <c r="KV263">
        <v>625</v>
      </c>
      <c r="KX263" s="24"/>
      <c r="KY263">
        <v>557</v>
      </c>
      <c r="KZ263">
        <v>581</v>
      </c>
      <c r="LA263">
        <v>563</v>
      </c>
      <c r="LB263">
        <v>7256875</v>
      </c>
      <c r="LC263">
        <v>173</v>
      </c>
      <c r="LE263" s="24"/>
      <c r="LF263">
        <v>194364</v>
      </c>
      <c r="LG263">
        <v>197329</v>
      </c>
      <c r="LH263">
        <v>194366</v>
      </c>
      <c r="LI263">
        <v>127606</v>
      </c>
      <c r="LJ263">
        <v>879</v>
      </c>
      <c r="LL263" s="24"/>
      <c r="LM263">
        <v>78000</v>
      </c>
      <c r="LN263">
        <v>80402</v>
      </c>
      <c r="LO263">
        <v>80401</v>
      </c>
      <c r="LP263">
        <v>534349</v>
      </c>
      <c r="LQ263">
        <v>1311</v>
      </c>
      <c r="LS263" s="24"/>
      <c r="LT263">
        <v>470</v>
      </c>
      <c r="LU263">
        <v>471</v>
      </c>
      <c r="LV263">
        <v>470</v>
      </c>
      <c r="LW263">
        <v>82422880</v>
      </c>
      <c r="LX263">
        <v>323</v>
      </c>
      <c r="LZ263" s="24"/>
      <c r="MA263">
        <v>99999</v>
      </c>
      <c r="MB263">
        <v>101403</v>
      </c>
      <c r="MC263">
        <v>99999</v>
      </c>
      <c r="MD263">
        <v>679801</v>
      </c>
      <c r="ME263">
        <v>65</v>
      </c>
    </row>
    <row r="264" spans="2:343" x14ac:dyDescent="0.25">
      <c r="B264" s="24"/>
      <c r="C264">
        <v>3</v>
      </c>
      <c r="D264">
        <v>3</v>
      </c>
      <c r="E264">
        <v>3</v>
      </c>
      <c r="F264">
        <v>17992398577</v>
      </c>
      <c r="G264">
        <v>2669</v>
      </c>
      <c r="I264" s="24"/>
      <c r="J264">
        <v>4</v>
      </c>
      <c r="K264">
        <v>4</v>
      </c>
      <c r="L264">
        <v>4</v>
      </c>
      <c r="M264">
        <v>5729781019</v>
      </c>
      <c r="N264">
        <v>1981</v>
      </c>
      <c r="P264" s="24"/>
      <c r="Q264">
        <v>28</v>
      </c>
      <c r="R264">
        <v>29</v>
      </c>
      <c r="S264">
        <v>29</v>
      </c>
      <c r="T264">
        <v>1448926413</v>
      </c>
      <c r="U264">
        <v>1864</v>
      </c>
      <c r="W264" s="24"/>
      <c r="X264">
        <v>60</v>
      </c>
      <c r="Y264">
        <v>61</v>
      </c>
      <c r="Z264">
        <v>61</v>
      </c>
      <c r="AA264">
        <v>266004471</v>
      </c>
      <c r="AB264">
        <v>1478</v>
      </c>
      <c r="AD264" s="24"/>
      <c r="AE264">
        <v>386</v>
      </c>
      <c r="AF264">
        <v>391</v>
      </c>
      <c r="AG264">
        <v>390</v>
      </c>
      <c r="AH264">
        <v>93517762</v>
      </c>
      <c r="AI264">
        <v>1524</v>
      </c>
      <c r="AK264" s="24"/>
      <c r="AL264">
        <v>712</v>
      </c>
      <c r="AM264">
        <v>723</v>
      </c>
      <c r="AN264">
        <v>718</v>
      </c>
      <c r="AO264">
        <v>24485783</v>
      </c>
      <c r="AP264">
        <v>1248</v>
      </c>
      <c r="AR264" s="24"/>
      <c r="AS264">
        <v>2630</v>
      </c>
      <c r="AT264">
        <v>2701</v>
      </c>
      <c r="AU264">
        <v>2698</v>
      </c>
      <c r="AV264">
        <v>10203857</v>
      </c>
      <c r="AW264">
        <v>1221</v>
      </c>
      <c r="AY264" s="24"/>
      <c r="AZ264">
        <v>369250001</v>
      </c>
      <c r="BA264">
        <v>376155997</v>
      </c>
      <c r="BB264">
        <v>370536001</v>
      </c>
      <c r="BC264">
        <v>2656</v>
      </c>
      <c r="BD264">
        <v>1789</v>
      </c>
      <c r="BF264" s="24"/>
      <c r="BG264">
        <v>24897</v>
      </c>
      <c r="BH264">
        <v>24898</v>
      </c>
      <c r="BI264">
        <v>24897</v>
      </c>
      <c r="BJ264">
        <v>1120604</v>
      </c>
      <c r="BK264">
        <v>200</v>
      </c>
      <c r="BM264" s="24"/>
      <c r="BN264">
        <v>6138005</v>
      </c>
      <c r="BO264">
        <v>6289000</v>
      </c>
      <c r="BP264">
        <v>6138005</v>
      </c>
      <c r="BQ264">
        <v>12692</v>
      </c>
      <c r="BR264">
        <v>392</v>
      </c>
      <c r="BT264" s="24"/>
      <c r="BU264">
        <v>2100</v>
      </c>
      <c r="BV264">
        <v>2142</v>
      </c>
      <c r="BW264">
        <v>2138</v>
      </c>
      <c r="BX264">
        <v>23603102</v>
      </c>
      <c r="BY264">
        <v>229</v>
      </c>
      <c r="CA264" s="24"/>
      <c r="CB264">
        <v>488</v>
      </c>
      <c r="CC264">
        <v>488</v>
      </c>
      <c r="CD264">
        <v>488</v>
      </c>
      <c r="CE264">
        <v>61679332</v>
      </c>
      <c r="CF264">
        <v>248</v>
      </c>
      <c r="CH264" s="24"/>
      <c r="CI264">
        <v>22065</v>
      </c>
      <c r="CJ264">
        <v>22100</v>
      </c>
      <c r="CK264">
        <v>22065</v>
      </c>
      <c r="CL264">
        <v>2390493</v>
      </c>
      <c r="CM264">
        <v>196</v>
      </c>
      <c r="CO264" s="24"/>
      <c r="CP264">
        <v>6650</v>
      </c>
      <c r="CQ264">
        <v>6785</v>
      </c>
      <c r="CR264">
        <v>6778</v>
      </c>
      <c r="CS264">
        <v>957163</v>
      </c>
      <c r="CT264">
        <v>403</v>
      </c>
      <c r="CV264" s="24"/>
      <c r="CW264">
        <v>1317990</v>
      </c>
      <c r="CX264">
        <v>1317997</v>
      </c>
      <c r="CY264">
        <v>1317996</v>
      </c>
      <c r="CZ264">
        <v>11693</v>
      </c>
      <c r="DA264">
        <v>59</v>
      </c>
      <c r="DC264" s="24"/>
      <c r="DD264">
        <v>411</v>
      </c>
      <c r="DE264">
        <v>435</v>
      </c>
      <c r="DF264">
        <v>435</v>
      </c>
      <c r="DG264">
        <v>39233788</v>
      </c>
      <c r="DH264">
        <v>225</v>
      </c>
      <c r="DJ264" s="24"/>
      <c r="DK264">
        <v>33000004</v>
      </c>
      <c r="DL264">
        <v>33000013</v>
      </c>
      <c r="DM264">
        <v>33000004</v>
      </c>
      <c r="DN264">
        <v>325</v>
      </c>
      <c r="DO264">
        <v>82</v>
      </c>
      <c r="DQ264" s="24"/>
      <c r="DR264">
        <v>1360001</v>
      </c>
      <c r="DS264">
        <v>1437391</v>
      </c>
      <c r="DT264">
        <v>1370050</v>
      </c>
      <c r="DU264">
        <v>10464</v>
      </c>
      <c r="DV264">
        <v>222</v>
      </c>
      <c r="DX264" s="24"/>
      <c r="DY264">
        <v>22201001</v>
      </c>
      <c r="DZ264">
        <v>23260000</v>
      </c>
      <c r="EA264">
        <v>22201202</v>
      </c>
      <c r="EB264">
        <v>455</v>
      </c>
      <c r="EC264">
        <v>108</v>
      </c>
      <c r="EE264" s="24"/>
      <c r="EF264">
        <v>185</v>
      </c>
      <c r="EG264">
        <v>189</v>
      </c>
      <c r="EH264">
        <v>189</v>
      </c>
      <c r="EI264">
        <v>88342919</v>
      </c>
      <c r="EJ264">
        <v>178</v>
      </c>
      <c r="EL264" s="24"/>
      <c r="EM264">
        <v>58311</v>
      </c>
      <c r="EN264">
        <v>58313</v>
      </c>
      <c r="EO264">
        <v>58313</v>
      </c>
      <c r="EP264">
        <v>82355</v>
      </c>
      <c r="EQ264">
        <v>682</v>
      </c>
      <c r="ES264" s="24"/>
      <c r="ET264">
        <v>287</v>
      </c>
      <c r="EU264">
        <v>296</v>
      </c>
      <c r="EV264">
        <v>288</v>
      </c>
      <c r="EW264">
        <v>56916294</v>
      </c>
      <c r="EX264">
        <v>562</v>
      </c>
      <c r="EZ264" s="24"/>
      <c r="FA264">
        <v>3250896</v>
      </c>
      <c r="FB264">
        <v>3315000</v>
      </c>
      <c r="FC264">
        <v>3304993</v>
      </c>
      <c r="FD264">
        <v>2899</v>
      </c>
      <c r="FE264">
        <v>36</v>
      </c>
      <c r="FG264" s="24"/>
      <c r="FH264">
        <v>6202</v>
      </c>
      <c r="FI264">
        <v>6649</v>
      </c>
      <c r="FJ264">
        <v>6639</v>
      </c>
      <c r="FK264">
        <v>1392000</v>
      </c>
      <c r="FL264">
        <v>420</v>
      </c>
      <c r="FN264" s="24"/>
      <c r="FO264">
        <v>18812</v>
      </c>
      <c r="FP264">
        <v>19200</v>
      </c>
      <c r="FQ264">
        <v>19199</v>
      </c>
      <c r="FR264">
        <v>214998</v>
      </c>
      <c r="FS264">
        <v>94</v>
      </c>
      <c r="FU264" s="24"/>
      <c r="FV264">
        <v>16753</v>
      </c>
      <c r="FW264">
        <v>16995</v>
      </c>
      <c r="FX264">
        <v>16755</v>
      </c>
      <c r="FY264">
        <v>500140</v>
      </c>
      <c r="FZ264">
        <v>1289</v>
      </c>
      <c r="GB264" s="24"/>
      <c r="GC264">
        <v>90109000</v>
      </c>
      <c r="GD264">
        <v>92999990</v>
      </c>
      <c r="GE264">
        <v>92060779</v>
      </c>
      <c r="GF264">
        <v>74</v>
      </c>
      <c r="GG264">
        <v>59</v>
      </c>
      <c r="GI264" s="24"/>
      <c r="GJ264">
        <v>21350019</v>
      </c>
      <c r="GK264">
        <v>21988999</v>
      </c>
      <c r="GL264">
        <v>21350019</v>
      </c>
      <c r="GM264">
        <v>529</v>
      </c>
      <c r="GN264">
        <v>83</v>
      </c>
      <c r="GP264" s="24"/>
      <c r="GQ264">
        <v>108</v>
      </c>
      <c r="GR264">
        <v>113</v>
      </c>
      <c r="GS264">
        <v>109</v>
      </c>
      <c r="GT264">
        <v>143387699</v>
      </c>
      <c r="GU264">
        <v>168</v>
      </c>
      <c r="GW264" s="24"/>
      <c r="GX264">
        <v>427</v>
      </c>
      <c r="GY264">
        <v>452</v>
      </c>
      <c r="GZ264">
        <v>430</v>
      </c>
      <c r="HA264">
        <v>50391543</v>
      </c>
      <c r="HB264">
        <v>235</v>
      </c>
      <c r="HD264" s="24"/>
      <c r="HE264">
        <v>5350</v>
      </c>
      <c r="HF264">
        <v>5418</v>
      </c>
      <c r="HG264">
        <v>5417</v>
      </c>
      <c r="HH264">
        <v>14732533</v>
      </c>
      <c r="HI264">
        <v>274</v>
      </c>
      <c r="HK264" s="24"/>
      <c r="HL264">
        <v>87000001</v>
      </c>
      <c r="HM264">
        <v>95829000</v>
      </c>
      <c r="HN264">
        <v>93758124</v>
      </c>
      <c r="HO264">
        <v>52</v>
      </c>
      <c r="HP264">
        <v>50</v>
      </c>
      <c r="HR264" s="24"/>
      <c r="HS264">
        <v>7766</v>
      </c>
      <c r="HT264">
        <v>8580</v>
      </c>
      <c r="HU264">
        <v>8199</v>
      </c>
      <c r="HV264">
        <v>515541</v>
      </c>
      <c r="HW264">
        <v>155</v>
      </c>
      <c r="HY264" s="24"/>
      <c r="HZ264">
        <v>6701</v>
      </c>
      <c r="IA264">
        <v>6939</v>
      </c>
      <c r="IB264">
        <v>6929</v>
      </c>
      <c r="IC264">
        <v>1622072</v>
      </c>
      <c r="ID264">
        <v>425</v>
      </c>
      <c r="IF264" s="24"/>
      <c r="IG264">
        <v>2855</v>
      </c>
      <c r="IH264">
        <v>2970</v>
      </c>
      <c r="II264">
        <v>2959</v>
      </c>
      <c r="IJ264">
        <v>1632990</v>
      </c>
      <c r="IK264">
        <v>131</v>
      </c>
      <c r="IM264" s="24"/>
      <c r="IN264">
        <v>89102143</v>
      </c>
      <c r="IO264">
        <v>93877000</v>
      </c>
      <c r="IP264">
        <v>92149087</v>
      </c>
      <c r="IQ264">
        <v>66</v>
      </c>
      <c r="IR264">
        <v>56</v>
      </c>
      <c r="IT264" s="24"/>
      <c r="IU264">
        <v>7300</v>
      </c>
      <c r="IV264">
        <v>7392</v>
      </c>
      <c r="IW264">
        <v>7392</v>
      </c>
      <c r="IX264">
        <v>1537841</v>
      </c>
      <c r="IY264">
        <v>164</v>
      </c>
      <c r="JA264" s="24"/>
      <c r="JB264">
        <v>90002001</v>
      </c>
      <c r="JC264">
        <v>94848000</v>
      </c>
      <c r="JD264">
        <v>92441452</v>
      </c>
      <c r="JE264">
        <v>71</v>
      </c>
      <c r="JF264">
        <v>57</v>
      </c>
      <c r="JH264" s="24"/>
      <c r="JI264">
        <v>88142000</v>
      </c>
      <c r="JJ264">
        <v>93981000</v>
      </c>
      <c r="JK264">
        <v>92191305</v>
      </c>
      <c r="JL264">
        <v>57</v>
      </c>
      <c r="JM264">
        <v>49</v>
      </c>
      <c r="JO264" s="24"/>
      <c r="JP264">
        <v>143</v>
      </c>
      <c r="JQ264">
        <v>173</v>
      </c>
      <c r="JR264">
        <v>149</v>
      </c>
      <c r="JS264">
        <v>76779044</v>
      </c>
      <c r="JT264">
        <v>108</v>
      </c>
      <c r="JV264" s="24"/>
      <c r="JW264">
        <v>92</v>
      </c>
      <c r="JX264">
        <v>93</v>
      </c>
      <c r="JY264">
        <v>92</v>
      </c>
      <c r="JZ264">
        <v>112706933</v>
      </c>
      <c r="KA264">
        <v>106</v>
      </c>
      <c r="KC264" s="24"/>
      <c r="KD264">
        <v>20</v>
      </c>
      <c r="KE264">
        <v>22</v>
      </c>
      <c r="KF264">
        <v>21</v>
      </c>
      <c r="KG264">
        <v>42981579</v>
      </c>
      <c r="KH264">
        <v>317</v>
      </c>
      <c r="KJ264" s="24"/>
      <c r="KK264">
        <v>107</v>
      </c>
      <c r="KL264">
        <v>113</v>
      </c>
      <c r="KM264">
        <v>108</v>
      </c>
      <c r="KN264">
        <v>83340082</v>
      </c>
      <c r="KO264">
        <v>136</v>
      </c>
      <c r="KQ264" s="24"/>
      <c r="KR264">
        <v>128001</v>
      </c>
      <c r="KS264">
        <v>128003</v>
      </c>
      <c r="KT264">
        <v>128002</v>
      </c>
      <c r="KU264">
        <v>67299</v>
      </c>
      <c r="KV264">
        <v>667</v>
      </c>
      <c r="KX264" s="24"/>
      <c r="KY264">
        <v>591</v>
      </c>
      <c r="KZ264">
        <v>623</v>
      </c>
      <c r="LA264">
        <v>622</v>
      </c>
      <c r="LB264">
        <v>6468134</v>
      </c>
      <c r="LC264">
        <v>183</v>
      </c>
      <c r="LE264" s="24"/>
      <c r="LF264">
        <v>188005</v>
      </c>
      <c r="LG264">
        <v>194364</v>
      </c>
      <c r="LH264">
        <v>188005</v>
      </c>
      <c r="LI264">
        <v>135688</v>
      </c>
      <c r="LJ264">
        <v>925</v>
      </c>
      <c r="LL264" s="24"/>
      <c r="LM264">
        <v>76076</v>
      </c>
      <c r="LN264">
        <v>76501</v>
      </c>
      <c r="LO264">
        <v>76076</v>
      </c>
      <c r="LP264">
        <v>422432</v>
      </c>
      <c r="LQ264">
        <v>1302</v>
      </c>
      <c r="LS264" s="24"/>
      <c r="LT264">
        <v>462</v>
      </c>
      <c r="LU264">
        <v>471</v>
      </c>
      <c r="LV264">
        <v>470</v>
      </c>
      <c r="LW264">
        <v>93728323</v>
      </c>
      <c r="LX264">
        <v>373</v>
      </c>
      <c r="LZ264" s="24"/>
      <c r="MA264">
        <v>101403</v>
      </c>
      <c r="MB264">
        <v>101403</v>
      </c>
      <c r="MC264">
        <v>101403</v>
      </c>
      <c r="MD264">
        <v>759220</v>
      </c>
      <c r="ME264">
        <v>74</v>
      </c>
    </row>
    <row r="265" spans="2:343" x14ac:dyDescent="0.25">
      <c r="B265" s="24"/>
      <c r="C265">
        <v>3</v>
      </c>
      <c r="D265">
        <v>3</v>
      </c>
      <c r="E265">
        <v>3</v>
      </c>
      <c r="F265">
        <v>26589241339</v>
      </c>
      <c r="G265">
        <v>3070</v>
      </c>
      <c r="I265" s="24"/>
      <c r="J265">
        <v>4</v>
      </c>
      <c r="K265">
        <v>4</v>
      </c>
      <c r="L265">
        <v>4</v>
      </c>
      <c r="M265">
        <v>7234901473</v>
      </c>
      <c r="N265">
        <v>2296</v>
      </c>
      <c r="P265" s="24"/>
      <c r="Q265">
        <v>28</v>
      </c>
      <c r="R265">
        <v>29</v>
      </c>
      <c r="S265">
        <v>28</v>
      </c>
      <c r="T265">
        <v>2581841607</v>
      </c>
      <c r="U265">
        <v>2187</v>
      </c>
      <c r="W265" s="24"/>
      <c r="X265">
        <v>61</v>
      </c>
      <c r="Y265">
        <v>62</v>
      </c>
      <c r="Z265">
        <v>61</v>
      </c>
      <c r="AA265">
        <v>523609897</v>
      </c>
      <c r="AB265">
        <v>1653</v>
      </c>
      <c r="AD265" s="24"/>
      <c r="AE265">
        <v>385</v>
      </c>
      <c r="AF265">
        <v>394</v>
      </c>
      <c r="AG265">
        <v>390</v>
      </c>
      <c r="AH265">
        <v>125348433</v>
      </c>
      <c r="AI265">
        <v>1657</v>
      </c>
      <c r="AK265" s="24"/>
      <c r="AL265">
        <v>711</v>
      </c>
      <c r="AM265">
        <v>723</v>
      </c>
      <c r="AN265">
        <v>714</v>
      </c>
      <c r="AO265">
        <v>33109595</v>
      </c>
      <c r="AP265">
        <v>1420</v>
      </c>
      <c r="AR265" s="24"/>
      <c r="AS265">
        <v>2620</v>
      </c>
      <c r="AT265">
        <v>2706</v>
      </c>
      <c r="AU265">
        <v>2642</v>
      </c>
      <c r="AV265">
        <v>20197797</v>
      </c>
      <c r="AW265">
        <v>1451</v>
      </c>
      <c r="AY265" s="24"/>
      <c r="AZ265">
        <v>368000101</v>
      </c>
      <c r="BA265">
        <v>374126000</v>
      </c>
      <c r="BB265">
        <v>371500009</v>
      </c>
      <c r="BC265">
        <v>2580</v>
      </c>
      <c r="BD265">
        <v>1825</v>
      </c>
      <c r="BF265" s="24"/>
      <c r="BG265">
        <v>24900</v>
      </c>
      <c r="BH265">
        <v>24901</v>
      </c>
      <c r="BI265">
        <v>24900</v>
      </c>
      <c r="BJ265">
        <v>3845309</v>
      </c>
      <c r="BK265">
        <v>281</v>
      </c>
      <c r="BM265" s="24"/>
      <c r="BN265">
        <v>6100000</v>
      </c>
      <c r="BO265">
        <v>6105004</v>
      </c>
      <c r="BP265">
        <v>6104001</v>
      </c>
      <c r="BQ265">
        <v>10733</v>
      </c>
      <c r="BR265">
        <v>334</v>
      </c>
      <c r="BT265" s="24"/>
      <c r="BU265">
        <v>2135</v>
      </c>
      <c r="BV265">
        <v>2135</v>
      </c>
      <c r="BW265">
        <v>2135</v>
      </c>
      <c r="BX265">
        <v>25055709</v>
      </c>
      <c r="BY265">
        <v>256</v>
      </c>
      <c r="CA265" s="24"/>
      <c r="CB265">
        <v>472</v>
      </c>
      <c r="CC265">
        <v>486</v>
      </c>
      <c r="CD265">
        <v>476</v>
      </c>
      <c r="CE265">
        <v>85557268</v>
      </c>
      <c r="CF265">
        <v>322</v>
      </c>
      <c r="CH265" s="24"/>
      <c r="CI265">
        <v>22066</v>
      </c>
      <c r="CJ265">
        <v>22067</v>
      </c>
      <c r="CK265">
        <v>22066</v>
      </c>
      <c r="CL265">
        <v>1304309</v>
      </c>
      <c r="CM265">
        <v>210</v>
      </c>
      <c r="CO265" s="24"/>
      <c r="CP265">
        <v>6531</v>
      </c>
      <c r="CQ265">
        <v>6888</v>
      </c>
      <c r="CR265">
        <v>6532</v>
      </c>
      <c r="CS265">
        <v>1478314</v>
      </c>
      <c r="CT265">
        <v>409</v>
      </c>
      <c r="CV265" s="24"/>
      <c r="CW265">
        <v>1301004</v>
      </c>
      <c r="CX265">
        <v>1370994</v>
      </c>
      <c r="CY265">
        <v>1335000</v>
      </c>
      <c r="CZ265">
        <v>12678</v>
      </c>
      <c r="DA265">
        <v>48</v>
      </c>
      <c r="DC265" s="24"/>
      <c r="DD265">
        <v>422</v>
      </c>
      <c r="DE265">
        <v>472</v>
      </c>
      <c r="DF265">
        <v>446</v>
      </c>
      <c r="DG265">
        <v>52309793</v>
      </c>
      <c r="DH265">
        <v>239</v>
      </c>
      <c r="DJ265" s="24"/>
      <c r="DK265">
        <v>32255002</v>
      </c>
      <c r="DL265">
        <v>33255000</v>
      </c>
      <c r="DM265">
        <v>32255010</v>
      </c>
      <c r="DN265">
        <v>422</v>
      </c>
      <c r="DO265">
        <v>111</v>
      </c>
      <c r="DQ265" s="24"/>
      <c r="DR265">
        <v>1400003</v>
      </c>
      <c r="DS265">
        <v>1400008</v>
      </c>
      <c r="DT265">
        <v>1400004</v>
      </c>
      <c r="DU265">
        <v>9022</v>
      </c>
      <c r="DV265">
        <v>223</v>
      </c>
      <c r="DX265" s="24"/>
      <c r="DY265">
        <v>22201202</v>
      </c>
      <c r="DZ265">
        <v>23174999</v>
      </c>
      <c r="EA265">
        <v>22201212</v>
      </c>
      <c r="EB265">
        <v>477</v>
      </c>
      <c r="EC265">
        <v>105</v>
      </c>
      <c r="EE265" s="24"/>
      <c r="EF265">
        <v>182</v>
      </c>
      <c r="EG265">
        <v>189</v>
      </c>
      <c r="EH265">
        <v>188</v>
      </c>
      <c r="EI265">
        <v>68823614</v>
      </c>
      <c r="EJ265">
        <v>181</v>
      </c>
      <c r="EL265" s="24"/>
      <c r="EM265">
        <v>58006</v>
      </c>
      <c r="EN265">
        <v>58320</v>
      </c>
      <c r="EO265">
        <v>58007</v>
      </c>
      <c r="EP265">
        <v>69849</v>
      </c>
      <c r="EQ265">
        <v>785</v>
      </c>
      <c r="ES265" s="24"/>
      <c r="ET265">
        <v>295</v>
      </c>
      <c r="EU265">
        <v>299</v>
      </c>
      <c r="EV265">
        <v>295</v>
      </c>
      <c r="EW265">
        <v>30986143</v>
      </c>
      <c r="EX265">
        <v>607</v>
      </c>
      <c r="EZ265" s="24"/>
      <c r="FA265">
        <v>3187000</v>
      </c>
      <c r="FB265">
        <v>3329998</v>
      </c>
      <c r="FC265">
        <v>3316552</v>
      </c>
      <c r="FD265">
        <v>2049</v>
      </c>
      <c r="FE265">
        <v>26</v>
      </c>
      <c r="FG265" s="24"/>
      <c r="FH265">
        <v>6215</v>
      </c>
      <c r="FI265">
        <v>6489</v>
      </c>
      <c r="FJ265">
        <v>6220</v>
      </c>
      <c r="FK265">
        <v>1968227</v>
      </c>
      <c r="FL265">
        <v>444</v>
      </c>
      <c r="FN265" s="24"/>
      <c r="FO265">
        <v>19997</v>
      </c>
      <c r="FP265">
        <v>22010</v>
      </c>
      <c r="FQ265">
        <v>20451</v>
      </c>
      <c r="FR265">
        <v>630457</v>
      </c>
      <c r="FS265">
        <v>88</v>
      </c>
      <c r="FU265" s="24"/>
      <c r="FV265">
        <v>15763</v>
      </c>
      <c r="FW265">
        <v>15952</v>
      </c>
      <c r="FX265">
        <v>15900</v>
      </c>
      <c r="FY265">
        <v>388863</v>
      </c>
      <c r="FZ265">
        <v>1484</v>
      </c>
      <c r="GB265" s="24"/>
      <c r="GC265">
        <v>90109006</v>
      </c>
      <c r="GD265">
        <v>92997000</v>
      </c>
      <c r="GE265">
        <v>92976499</v>
      </c>
      <c r="GF265">
        <v>118</v>
      </c>
      <c r="GG265">
        <v>80</v>
      </c>
      <c r="GI265" s="24"/>
      <c r="GJ265">
        <v>20500016</v>
      </c>
      <c r="GK265">
        <v>20500017</v>
      </c>
      <c r="GL265">
        <v>20500017</v>
      </c>
      <c r="GM265">
        <v>580</v>
      </c>
      <c r="GN265">
        <v>103</v>
      </c>
      <c r="GP265" s="24"/>
      <c r="GQ265">
        <v>105</v>
      </c>
      <c r="GR265">
        <v>109</v>
      </c>
      <c r="GS265">
        <v>106</v>
      </c>
      <c r="GT265">
        <v>181026368</v>
      </c>
      <c r="GU265">
        <v>167</v>
      </c>
      <c r="GW265" s="24"/>
      <c r="GX265">
        <v>438</v>
      </c>
      <c r="GY265">
        <v>451</v>
      </c>
      <c r="GZ265">
        <v>451</v>
      </c>
      <c r="HA265">
        <v>43363084</v>
      </c>
      <c r="HB265">
        <v>261</v>
      </c>
      <c r="HD265" s="24"/>
      <c r="HE265">
        <v>5351</v>
      </c>
      <c r="HF265">
        <v>5417</v>
      </c>
      <c r="HG265">
        <v>5405</v>
      </c>
      <c r="HH265">
        <v>28114936</v>
      </c>
      <c r="HI265">
        <v>318</v>
      </c>
      <c r="HK265" s="24"/>
      <c r="HL265">
        <v>87961112</v>
      </c>
      <c r="HM265">
        <v>95822998</v>
      </c>
      <c r="HN265">
        <v>92184622</v>
      </c>
      <c r="HO265">
        <v>100</v>
      </c>
      <c r="HP265">
        <v>74</v>
      </c>
      <c r="HR265" s="24"/>
      <c r="HS265">
        <v>7901</v>
      </c>
      <c r="HT265">
        <v>8499</v>
      </c>
      <c r="HU265">
        <v>8300</v>
      </c>
      <c r="HV265">
        <v>1382171</v>
      </c>
      <c r="HW265">
        <v>230</v>
      </c>
      <c r="HY265" s="24"/>
      <c r="HZ265">
        <v>6594</v>
      </c>
      <c r="IA265">
        <v>6930</v>
      </c>
      <c r="IB265">
        <v>6799</v>
      </c>
      <c r="IC265">
        <v>2087442</v>
      </c>
      <c r="ID265">
        <v>434</v>
      </c>
      <c r="IF265" s="24"/>
      <c r="IG265">
        <v>2949</v>
      </c>
      <c r="IH265">
        <v>2949</v>
      </c>
      <c r="II265">
        <v>2949</v>
      </c>
      <c r="IJ265">
        <v>1534420</v>
      </c>
      <c r="IK265">
        <v>137</v>
      </c>
      <c r="IM265" s="24"/>
      <c r="IN265">
        <v>89109973</v>
      </c>
      <c r="IO265">
        <v>93873000</v>
      </c>
      <c r="IP265">
        <v>92057918</v>
      </c>
      <c r="IQ265">
        <v>99</v>
      </c>
      <c r="IR265">
        <v>80</v>
      </c>
      <c r="IT265" s="24"/>
      <c r="IU265">
        <v>7300</v>
      </c>
      <c r="IV265">
        <v>7350</v>
      </c>
      <c r="IW265">
        <v>7349</v>
      </c>
      <c r="IX265">
        <v>1342361</v>
      </c>
      <c r="IY265">
        <v>150</v>
      </c>
      <c r="JA265" s="24"/>
      <c r="JB265">
        <v>90105103</v>
      </c>
      <c r="JC265">
        <v>94848896</v>
      </c>
      <c r="JD265">
        <v>91105003</v>
      </c>
      <c r="JE265">
        <v>149</v>
      </c>
      <c r="JF265">
        <v>107</v>
      </c>
      <c r="JH265" s="24"/>
      <c r="JI265">
        <v>88154000</v>
      </c>
      <c r="JJ265">
        <v>94989966</v>
      </c>
      <c r="JK265">
        <v>91999441</v>
      </c>
      <c r="JL265">
        <v>77</v>
      </c>
      <c r="JM265">
        <v>56</v>
      </c>
      <c r="JO265" s="24"/>
      <c r="JP265">
        <v>149</v>
      </c>
      <c r="JQ265">
        <v>159</v>
      </c>
      <c r="JR265">
        <v>150</v>
      </c>
      <c r="JS265">
        <v>114792390</v>
      </c>
      <c r="JT265">
        <v>176</v>
      </c>
      <c r="JV265" s="24"/>
      <c r="JW265">
        <v>88</v>
      </c>
      <c r="JX265">
        <v>93</v>
      </c>
      <c r="JY265">
        <v>90</v>
      </c>
      <c r="JZ265">
        <v>113523065</v>
      </c>
      <c r="KA265">
        <v>122</v>
      </c>
      <c r="KC265" s="24"/>
      <c r="KD265">
        <v>20</v>
      </c>
      <c r="KE265">
        <v>22</v>
      </c>
      <c r="KF265">
        <v>22</v>
      </c>
      <c r="KG265">
        <v>42482262</v>
      </c>
      <c r="KH265">
        <v>334</v>
      </c>
      <c r="KJ265" s="24"/>
      <c r="KK265">
        <v>108</v>
      </c>
      <c r="KL265">
        <v>111</v>
      </c>
      <c r="KM265">
        <v>108</v>
      </c>
      <c r="KN265">
        <v>103787826</v>
      </c>
      <c r="KO265">
        <v>114</v>
      </c>
      <c r="KQ265" s="24"/>
      <c r="KR265">
        <v>128000</v>
      </c>
      <c r="KS265">
        <v>128003</v>
      </c>
      <c r="KT265">
        <v>128001</v>
      </c>
      <c r="KU265">
        <v>59559</v>
      </c>
      <c r="KV265">
        <v>752</v>
      </c>
      <c r="KX265" s="24"/>
      <c r="KY265">
        <v>620</v>
      </c>
      <c r="KZ265">
        <v>622</v>
      </c>
      <c r="LA265">
        <v>621</v>
      </c>
      <c r="LB265">
        <v>5166631</v>
      </c>
      <c r="LC265">
        <v>188</v>
      </c>
      <c r="LE265" s="24"/>
      <c r="LF265">
        <v>189643</v>
      </c>
      <c r="LG265">
        <v>191994</v>
      </c>
      <c r="LH265">
        <v>190000</v>
      </c>
      <c r="LI265">
        <v>143817</v>
      </c>
      <c r="LJ265">
        <v>1095</v>
      </c>
      <c r="LL265" s="24"/>
      <c r="LM265">
        <v>76078</v>
      </c>
      <c r="LN265">
        <v>76105</v>
      </c>
      <c r="LO265">
        <v>76087</v>
      </c>
      <c r="LP265">
        <v>364424</v>
      </c>
      <c r="LQ265">
        <v>1516</v>
      </c>
      <c r="LS265" s="24"/>
      <c r="LT265">
        <v>457</v>
      </c>
      <c r="LU265">
        <v>469</v>
      </c>
      <c r="LV265">
        <v>468</v>
      </c>
      <c r="LW265">
        <v>110463850</v>
      </c>
      <c r="LX265">
        <v>468</v>
      </c>
      <c r="LZ265" s="24"/>
      <c r="MA265">
        <v>99500</v>
      </c>
      <c r="MB265">
        <v>101403</v>
      </c>
      <c r="MC265">
        <v>100000</v>
      </c>
      <c r="MD265">
        <v>1298033</v>
      </c>
      <c r="ME265">
        <v>89</v>
      </c>
    </row>
    <row r="266" spans="2:343" x14ac:dyDescent="0.25">
      <c r="B266" s="24"/>
      <c r="C266">
        <v>3</v>
      </c>
      <c r="D266">
        <v>3</v>
      </c>
      <c r="E266">
        <v>3</v>
      </c>
      <c r="F266">
        <v>18707090880</v>
      </c>
      <c r="G266">
        <v>2385</v>
      </c>
      <c r="I266" s="24"/>
      <c r="J266">
        <v>4</v>
      </c>
      <c r="K266">
        <v>4</v>
      </c>
      <c r="L266">
        <v>4</v>
      </c>
      <c r="M266">
        <v>4838709155</v>
      </c>
      <c r="N266">
        <v>1760</v>
      </c>
      <c r="P266" s="24"/>
      <c r="Q266">
        <v>28</v>
      </c>
      <c r="R266">
        <v>28</v>
      </c>
      <c r="S266">
        <v>28</v>
      </c>
      <c r="T266">
        <v>1208674252</v>
      </c>
      <c r="U266">
        <v>1566</v>
      </c>
      <c r="W266" s="24"/>
      <c r="X266">
        <v>60</v>
      </c>
      <c r="Y266">
        <v>62</v>
      </c>
      <c r="Z266">
        <v>62</v>
      </c>
      <c r="AA266">
        <v>266383870</v>
      </c>
      <c r="AB266">
        <v>1274</v>
      </c>
      <c r="AD266" s="24"/>
      <c r="AE266">
        <v>376</v>
      </c>
      <c r="AF266">
        <v>391</v>
      </c>
      <c r="AG266">
        <v>391</v>
      </c>
      <c r="AH266">
        <v>103991662</v>
      </c>
      <c r="AI266">
        <v>1314</v>
      </c>
      <c r="AK266" s="24"/>
      <c r="AL266">
        <v>708</v>
      </c>
      <c r="AM266">
        <v>723</v>
      </c>
      <c r="AN266">
        <v>715</v>
      </c>
      <c r="AO266">
        <v>31057404</v>
      </c>
      <c r="AP266">
        <v>1098</v>
      </c>
      <c r="AR266" s="24"/>
      <c r="AS266">
        <v>2564</v>
      </c>
      <c r="AT266">
        <v>2670</v>
      </c>
      <c r="AU266">
        <v>2610</v>
      </c>
      <c r="AV266">
        <v>9878788</v>
      </c>
      <c r="AW266">
        <v>1019</v>
      </c>
      <c r="AY266" s="24"/>
      <c r="AZ266">
        <v>372172055</v>
      </c>
      <c r="BA266">
        <v>378158999</v>
      </c>
      <c r="BB266">
        <v>377000000</v>
      </c>
      <c r="BC266">
        <v>2478</v>
      </c>
      <c r="BD266">
        <v>1693</v>
      </c>
      <c r="BF266" s="24"/>
      <c r="BG266">
        <v>24901</v>
      </c>
      <c r="BH266">
        <v>25013</v>
      </c>
      <c r="BI266">
        <v>24917</v>
      </c>
      <c r="BJ266">
        <v>4454328</v>
      </c>
      <c r="BK266">
        <v>235</v>
      </c>
      <c r="BM266" s="24"/>
      <c r="BN266">
        <v>6008000</v>
      </c>
      <c r="BO266">
        <v>6290000</v>
      </c>
      <c r="BP266">
        <v>6236997</v>
      </c>
      <c r="BQ266">
        <v>11092</v>
      </c>
      <c r="BR266">
        <v>344</v>
      </c>
      <c r="BT266" s="24"/>
      <c r="BU266">
        <v>2129</v>
      </c>
      <c r="BV266">
        <v>2141</v>
      </c>
      <c r="BW266">
        <v>2141</v>
      </c>
      <c r="BX266">
        <v>20752981</v>
      </c>
      <c r="BY266">
        <v>234</v>
      </c>
      <c r="CA266" s="24"/>
      <c r="CB266">
        <v>480</v>
      </c>
      <c r="CC266">
        <v>483</v>
      </c>
      <c r="CD266">
        <v>482</v>
      </c>
      <c r="CE266">
        <v>67044390</v>
      </c>
      <c r="CF266">
        <v>273</v>
      </c>
      <c r="CH266" s="24"/>
      <c r="CI266">
        <v>22081</v>
      </c>
      <c r="CJ266">
        <v>22097</v>
      </c>
      <c r="CK266">
        <v>22089</v>
      </c>
      <c r="CL266">
        <v>535947</v>
      </c>
      <c r="CM266">
        <v>132</v>
      </c>
      <c r="CO266" s="24"/>
      <c r="CP266">
        <v>6376</v>
      </c>
      <c r="CQ266">
        <v>6799</v>
      </c>
      <c r="CR266">
        <v>6793</v>
      </c>
      <c r="CS266">
        <v>1613879</v>
      </c>
      <c r="CT266">
        <v>420</v>
      </c>
      <c r="CV266" s="24"/>
      <c r="CW266">
        <v>1300082</v>
      </c>
      <c r="CX266">
        <v>1369997</v>
      </c>
      <c r="CY266">
        <v>1369997</v>
      </c>
      <c r="CZ266">
        <v>7892</v>
      </c>
      <c r="DA266">
        <v>38</v>
      </c>
      <c r="DC266" s="24"/>
      <c r="DD266">
        <v>455</v>
      </c>
      <c r="DE266">
        <v>483</v>
      </c>
      <c r="DF266">
        <v>482</v>
      </c>
      <c r="DG266">
        <v>59489366</v>
      </c>
      <c r="DH266">
        <v>198</v>
      </c>
      <c r="DJ266" s="24"/>
      <c r="DK266">
        <v>30217559</v>
      </c>
      <c r="DL266">
        <v>30600008</v>
      </c>
      <c r="DM266">
        <v>30500000</v>
      </c>
      <c r="DN266">
        <v>369</v>
      </c>
      <c r="DO266">
        <v>85</v>
      </c>
      <c r="DQ266" s="24"/>
      <c r="DR266">
        <v>1400019</v>
      </c>
      <c r="DS266">
        <v>1496999</v>
      </c>
      <c r="DT266">
        <v>1400100</v>
      </c>
      <c r="DU266">
        <v>9012</v>
      </c>
      <c r="DV266">
        <v>216</v>
      </c>
      <c r="DX266" s="24"/>
      <c r="DY266">
        <v>22209070</v>
      </c>
      <c r="DZ266">
        <v>23175000</v>
      </c>
      <c r="EA266">
        <v>22210009</v>
      </c>
      <c r="EB266">
        <v>458</v>
      </c>
      <c r="EC266">
        <v>115</v>
      </c>
      <c r="EE266" s="24"/>
      <c r="EF266">
        <v>182</v>
      </c>
      <c r="EG266">
        <v>191</v>
      </c>
      <c r="EH266">
        <v>189</v>
      </c>
      <c r="EI266">
        <v>98896981</v>
      </c>
      <c r="EJ266">
        <v>176</v>
      </c>
      <c r="EL266" s="24"/>
      <c r="EM266">
        <v>52005</v>
      </c>
      <c r="EN266">
        <v>55004</v>
      </c>
      <c r="EO266">
        <v>53508</v>
      </c>
      <c r="EP266">
        <v>89780</v>
      </c>
      <c r="EQ266">
        <v>662</v>
      </c>
      <c r="ES266" s="24"/>
      <c r="ET266">
        <v>288</v>
      </c>
      <c r="EU266">
        <v>308</v>
      </c>
      <c r="EV266">
        <v>290</v>
      </c>
      <c r="EW266">
        <v>46749816</v>
      </c>
      <c r="EX266">
        <v>521</v>
      </c>
      <c r="EZ266" s="24"/>
      <c r="FA266">
        <v>3324768</v>
      </c>
      <c r="FB266">
        <v>3324768</v>
      </c>
      <c r="FC266">
        <v>3324768</v>
      </c>
      <c r="FD266">
        <v>1484</v>
      </c>
      <c r="FE266">
        <v>17</v>
      </c>
      <c r="FG266" s="24"/>
      <c r="FH266">
        <v>6226</v>
      </c>
      <c r="FI266">
        <v>6423</v>
      </c>
      <c r="FJ266">
        <v>6418</v>
      </c>
      <c r="FK266">
        <v>2088709</v>
      </c>
      <c r="FL266">
        <v>453</v>
      </c>
      <c r="FN266" s="24"/>
      <c r="FO266">
        <v>20500</v>
      </c>
      <c r="FP266">
        <v>22592</v>
      </c>
      <c r="FQ266">
        <v>22591</v>
      </c>
      <c r="FR266">
        <v>311861</v>
      </c>
      <c r="FS266">
        <v>68</v>
      </c>
      <c r="FU266" s="24"/>
      <c r="FV266">
        <v>15802</v>
      </c>
      <c r="FW266">
        <v>15803</v>
      </c>
      <c r="FX266">
        <v>15802</v>
      </c>
      <c r="FY266">
        <v>374175</v>
      </c>
      <c r="FZ266">
        <v>1244</v>
      </c>
      <c r="GB266" s="24"/>
      <c r="GC266">
        <v>90103001</v>
      </c>
      <c r="GD266">
        <v>95277995</v>
      </c>
      <c r="GE266">
        <v>90103108</v>
      </c>
      <c r="GF266">
        <v>122</v>
      </c>
      <c r="GG266">
        <v>78</v>
      </c>
      <c r="GI266" s="24"/>
      <c r="GJ266">
        <v>20502004</v>
      </c>
      <c r="GK266">
        <v>21000000</v>
      </c>
      <c r="GL266">
        <v>20502005</v>
      </c>
      <c r="GM266">
        <v>490</v>
      </c>
      <c r="GN266">
        <v>66</v>
      </c>
      <c r="GP266" s="24"/>
      <c r="GQ266">
        <v>108</v>
      </c>
      <c r="GR266">
        <v>110</v>
      </c>
      <c r="GS266">
        <v>108</v>
      </c>
      <c r="GT266">
        <v>90600587</v>
      </c>
      <c r="GU266">
        <v>121</v>
      </c>
      <c r="GW266" s="24"/>
      <c r="GX266">
        <v>453</v>
      </c>
      <c r="GY266">
        <v>453</v>
      </c>
      <c r="GZ266">
        <v>453</v>
      </c>
      <c r="HA266">
        <v>69275424</v>
      </c>
      <c r="HB266">
        <v>235</v>
      </c>
      <c r="HD266" s="24"/>
      <c r="HE266">
        <v>5417</v>
      </c>
      <c r="HF266">
        <v>5417</v>
      </c>
      <c r="HG266">
        <v>5417</v>
      </c>
      <c r="HH266">
        <v>12036630</v>
      </c>
      <c r="HI266">
        <v>266</v>
      </c>
      <c r="HK266" s="24"/>
      <c r="HL266">
        <v>88000019</v>
      </c>
      <c r="HM266">
        <v>95818967</v>
      </c>
      <c r="HN266">
        <v>92371746</v>
      </c>
      <c r="HO266">
        <v>94</v>
      </c>
      <c r="HP266">
        <v>68</v>
      </c>
      <c r="HR266" s="24"/>
      <c r="HS266">
        <v>8499</v>
      </c>
      <c r="HT266">
        <v>8598</v>
      </c>
      <c r="HU266">
        <v>8598</v>
      </c>
      <c r="HV266">
        <v>902375</v>
      </c>
      <c r="HW266">
        <v>170</v>
      </c>
      <c r="HY266" s="24"/>
      <c r="HZ266">
        <v>6694</v>
      </c>
      <c r="IA266">
        <v>6800</v>
      </c>
      <c r="IB266">
        <v>6745</v>
      </c>
      <c r="IC266">
        <v>2082369</v>
      </c>
      <c r="ID266">
        <v>425</v>
      </c>
      <c r="IF266" s="24"/>
      <c r="IG266">
        <v>2948</v>
      </c>
      <c r="IH266">
        <v>2964</v>
      </c>
      <c r="II266">
        <v>2949</v>
      </c>
      <c r="IJ266">
        <v>1701719</v>
      </c>
      <c r="IK266">
        <v>125</v>
      </c>
      <c r="IM266" s="24"/>
      <c r="IN266">
        <v>89109971</v>
      </c>
      <c r="IO266">
        <v>93868875</v>
      </c>
      <c r="IP266">
        <v>91166292</v>
      </c>
      <c r="IQ266">
        <v>97</v>
      </c>
      <c r="IR266">
        <v>70</v>
      </c>
      <c r="IT266" s="24"/>
      <c r="IU266">
        <v>7107</v>
      </c>
      <c r="IV266">
        <v>7391</v>
      </c>
      <c r="IW266">
        <v>7300</v>
      </c>
      <c r="IX266">
        <v>884383</v>
      </c>
      <c r="IY266">
        <v>127</v>
      </c>
      <c r="JA266" s="24"/>
      <c r="JB266">
        <v>90105000</v>
      </c>
      <c r="JC266">
        <v>93999999</v>
      </c>
      <c r="JD266">
        <v>90106405</v>
      </c>
      <c r="JE266">
        <v>131</v>
      </c>
      <c r="JF266">
        <v>73</v>
      </c>
      <c r="JH266" s="24"/>
      <c r="JI266">
        <v>90000201</v>
      </c>
      <c r="JJ266">
        <v>95811000</v>
      </c>
      <c r="JK266">
        <v>93265586</v>
      </c>
      <c r="JL266">
        <v>53</v>
      </c>
      <c r="JM266">
        <v>45</v>
      </c>
      <c r="JO266" s="24"/>
      <c r="JP266">
        <v>149</v>
      </c>
      <c r="JQ266">
        <v>156</v>
      </c>
      <c r="JR266">
        <v>156</v>
      </c>
      <c r="JS266">
        <v>51519311</v>
      </c>
      <c r="JT266">
        <v>94</v>
      </c>
      <c r="JV266" s="24"/>
      <c r="JW266">
        <v>93</v>
      </c>
      <c r="JX266">
        <v>93</v>
      </c>
      <c r="JY266">
        <v>93</v>
      </c>
      <c r="JZ266">
        <v>87800897</v>
      </c>
      <c r="KA266">
        <v>91</v>
      </c>
      <c r="KC266" s="24"/>
      <c r="KD266">
        <v>20</v>
      </c>
      <c r="KE266">
        <v>22</v>
      </c>
      <c r="KF266">
        <v>21</v>
      </c>
      <c r="KG266">
        <v>49531835</v>
      </c>
      <c r="KH266">
        <v>319</v>
      </c>
      <c r="KJ266" s="24"/>
      <c r="KK266">
        <v>107</v>
      </c>
      <c r="KL266">
        <v>110</v>
      </c>
      <c r="KM266">
        <v>108</v>
      </c>
      <c r="KN266">
        <v>131188097</v>
      </c>
      <c r="KO266">
        <v>136</v>
      </c>
      <c r="KQ266" s="24"/>
      <c r="KR266">
        <v>128003</v>
      </c>
      <c r="KS266">
        <v>128003</v>
      </c>
      <c r="KT266">
        <v>128003</v>
      </c>
      <c r="KU266">
        <v>69916</v>
      </c>
      <c r="KV266">
        <v>617</v>
      </c>
      <c r="KX266" s="24"/>
      <c r="KY266">
        <v>630</v>
      </c>
      <c r="KZ266">
        <v>631</v>
      </c>
      <c r="LA266">
        <v>630</v>
      </c>
      <c r="LB266">
        <v>4981817</v>
      </c>
      <c r="LC266">
        <v>189</v>
      </c>
      <c r="LE266" s="24"/>
      <c r="LF266">
        <v>189751</v>
      </c>
      <c r="LG266">
        <v>189751</v>
      </c>
      <c r="LH266">
        <v>189751</v>
      </c>
      <c r="LI266">
        <v>131509</v>
      </c>
      <c r="LJ266">
        <v>880</v>
      </c>
      <c r="LL266" s="24"/>
      <c r="LM266">
        <v>76078</v>
      </c>
      <c r="LN266">
        <v>76078</v>
      </c>
      <c r="LO266">
        <v>76078</v>
      </c>
      <c r="LP266">
        <v>372701</v>
      </c>
      <c r="LQ266">
        <v>1283</v>
      </c>
      <c r="LS266" s="24"/>
      <c r="LT266">
        <v>467</v>
      </c>
      <c r="LU266">
        <v>467</v>
      </c>
      <c r="LV266">
        <v>467</v>
      </c>
      <c r="LW266">
        <v>96615474</v>
      </c>
      <c r="LX266">
        <v>361</v>
      </c>
      <c r="LZ266" s="24"/>
      <c r="MA266">
        <v>104619</v>
      </c>
      <c r="MB266">
        <v>105560</v>
      </c>
      <c r="MC266">
        <v>104621</v>
      </c>
      <c r="MD266">
        <v>860134</v>
      </c>
      <c r="ME266">
        <v>92</v>
      </c>
    </row>
    <row r="267" spans="2:343" x14ac:dyDescent="0.25">
      <c r="B267" s="24"/>
      <c r="C267">
        <v>3</v>
      </c>
      <c r="D267">
        <v>3</v>
      </c>
      <c r="E267">
        <v>3</v>
      </c>
      <c r="F267">
        <v>25706220266</v>
      </c>
      <c r="G267">
        <v>2297</v>
      </c>
      <c r="I267" s="24"/>
      <c r="J267">
        <v>4</v>
      </c>
      <c r="K267">
        <v>4</v>
      </c>
      <c r="L267">
        <v>4</v>
      </c>
      <c r="M267">
        <v>4712574993</v>
      </c>
      <c r="N267">
        <v>1665</v>
      </c>
      <c r="P267" s="24"/>
      <c r="Q267">
        <v>28</v>
      </c>
      <c r="R267">
        <v>29</v>
      </c>
      <c r="S267">
        <v>28</v>
      </c>
      <c r="T267">
        <v>1392082162</v>
      </c>
      <c r="U267">
        <v>1480</v>
      </c>
      <c r="W267" s="24"/>
      <c r="X267">
        <v>61</v>
      </c>
      <c r="Y267">
        <v>63</v>
      </c>
      <c r="Z267">
        <v>62</v>
      </c>
      <c r="AA267">
        <v>367424243</v>
      </c>
      <c r="AB267">
        <v>1213</v>
      </c>
      <c r="AD267" s="24"/>
      <c r="AE267">
        <v>376</v>
      </c>
      <c r="AF267">
        <v>391</v>
      </c>
      <c r="AG267">
        <v>386</v>
      </c>
      <c r="AH267">
        <v>135039675</v>
      </c>
      <c r="AI267">
        <v>1316</v>
      </c>
      <c r="AK267" s="24"/>
      <c r="AL267">
        <v>718</v>
      </c>
      <c r="AM267">
        <v>723</v>
      </c>
      <c r="AN267">
        <v>718</v>
      </c>
      <c r="AO267">
        <v>34368092</v>
      </c>
      <c r="AP267">
        <v>994</v>
      </c>
      <c r="AR267" s="24"/>
      <c r="AS267">
        <v>2576</v>
      </c>
      <c r="AT267">
        <v>2678</v>
      </c>
      <c r="AU267">
        <v>2675</v>
      </c>
      <c r="AV267">
        <v>11676698</v>
      </c>
      <c r="AW267">
        <v>1025</v>
      </c>
      <c r="AY267" s="24"/>
      <c r="AZ267">
        <v>374850018</v>
      </c>
      <c r="BA267">
        <v>381380000</v>
      </c>
      <c r="BB267">
        <v>379900132</v>
      </c>
      <c r="BC267">
        <v>2168</v>
      </c>
      <c r="BD267">
        <v>1516</v>
      </c>
      <c r="BF267" s="24"/>
      <c r="BG267">
        <v>25018</v>
      </c>
      <c r="BH267">
        <v>25071</v>
      </c>
      <c r="BI267">
        <v>25018</v>
      </c>
      <c r="BJ267">
        <v>4980379</v>
      </c>
      <c r="BK267">
        <v>256</v>
      </c>
      <c r="BM267" s="24"/>
      <c r="BN267">
        <v>6100804</v>
      </c>
      <c r="BO267">
        <v>6425000</v>
      </c>
      <c r="BP267">
        <v>6104000</v>
      </c>
      <c r="BQ267">
        <v>10269</v>
      </c>
      <c r="BR267">
        <v>314</v>
      </c>
      <c r="BT267" s="24"/>
      <c r="BU267">
        <v>2141</v>
      </c>
      <c r="BV267">
        <v>2141</v>
      </c>
      <c r="BW267">
        <v>2141</v>
      </c>
      <c r="BX267">
        <v>16355773</v>
      </c>
      <c r="BY267">
        <v>214</v>
      </c>
      <c r="CA267" s="24"/>
      <c r="CB267">
        <v>481</v>
      </c>
      <c r="CC267">
        <v>482</v>
      </c>
      <c r="CD267">
        <v>482</v>
      </c>
      <c r="CE267">
        <v>53400703</v>
      </c>
      <c r="CF267">
        <v>234</v>
      </c>
      <c r="CH267" s="24"/>
      <c r="CI267">
        <v>22801</v>
      </c>
      <c r="CJ267">
        <v>23000</v>
      </c>
      <c r="CK267">
        <v>22801</v>
      </c>
      <c r="CL267">
        <v>903639</v>
      </c>
      <c r="CM267">
        <v>174</v>
      </c>
      <c r="CO267" s="24"/>
      <c r="CP267">
        <v>6500</v>
      </c>
      <c r="CQ267">
        <v>6799</v>
      </c>
      <c r="CR267">
        <v>6797</v>
      </c>
      <c r="CS267">
        <v>1007002</v>
      </c>
      <c r="CT267">
        <v>356</v>
      </c>
      <c r="CV267" s="24"/>
      <c r="CW267">
        <v>1367079</v>
      </c>
      <c r="CX267">
        <v>1369967</v>
      </c>
      <c r="CY267">
        <v>1369966</v>
      </c>
      <c r="CZ267">
        <v>8398</v>
      </c>
      <c r="DA267">
        <v>41</v>
      </c>
      <c r="DC267" s="24"/>
      <c r="DD267">
        <v>484</v>
      </c>
      <c r="DE267">
        <v>489</v>
      </c>
      <c r="DF267">
        <v>484</v>
      </c>
      <c r="DG267">
        <v>51507532</v>
      </c>
      <c r="DH267">
        <v>145</v>
      </c>
      <c r="DJ267" s="24"/>
      <c r="DK267">
        <v>31400004</v>
      </c>
      <c r="DL267">
        <v>31400009</v>
      </c>
      <c r="DM267">
        <v>31400008</v>
      </c>
      <c r="DN267">
        <v>138</v>
      </c>
      <c r="DO267">
        <v>47</v>
      </c>
      <c r="DQ267" s="24"/>
      <c r="DR267">
        <v>1360010</v>
      </c>
      <c r="DS267">
        <v>1401002</v>
      </c>
      <c r="DT267">
        <v>1400004</v>
      </c>
      <c r="DU267">
        <v>5917</v>
      </c>
      <c r="DV267">
        <v>191</v>
      </c>
      <c r="DX267" s="24"/>
      <c r="DY267">
        <v>22209074</v>
      </c>
      <c r="DZ267">
        <v>22210068</v>
      </c>
      <c r="EA267">
        <v>22210059</v>
      </c>
      <c r="EB267">
        <v>484</v>
      </c>
      <c r="EC267">
        <v>82</v>
      </c>
      <c r="EE267" s="24"/>
      <c r="EF267">
        <v>182</v>
      </c>
      <c r="EG267">
        <v>192</v>
      </c>
      <c r="EH267">
        <v>183</v>
      </c>
      <c r="EI267">
        <v>93006471</v>
      </c>
      <c r="EJ267">
        <v>182</v>
      </c>
      <c r="EL267" s="24"/>
      <c r="EM267">
        <v>53019</v>
      </c>
      <c r="EN267">
        <v>56001</v>
      </c>
      <c r="EO267">
        <v>56000</v>
      </c>
      <c r="EP267">
        <v>49105</v>
      </c>
      <c r="EQ267">
        <v>613</v>
      </c>
      <c r="ES267" s="24"/>
      <c r="ET267">
        <v>286</v>
      </c>
      <c r="EU267">
        <v>302</v>
      </c>
      <c r="EV267">
        <v>287</v>
      </c>
      <c r="EW267">
        <v>57188166</v>
      </c>
      <c r="EX267">
        <v>536</v>
      </c>
      <c r="EZ267" s="24"/>
      <c r="FA267">
        <v>3324700</v>
      </c>
      <c r="FB267">
        <v>3400000</v>
      </c>
      <c r="FC267">
        <v>3329999</v>
      </c>
      <c r="FD267">
        <v>1199</v>
      </c>
      <c r="FE267">
        <v>22</v>
      </c>
      <c r="FG267" s="24"/>
      <c r="FH267">
        <v>6300</v>
      </c>
      <c r="FI267">
        <v>6649</v>
      </c>
      <c r="FJ267">
        <v>6597</v>
      </c>
      <c r="FK267">
        <v>1214996</v>
      </c>
      <c r="FL267">
        <v>378</v>
      </c>
      <c r="FN267" s="24"/>
      <c r="FO267">
        <v>20501</v>
      </c>
      <c r="FP267">
        <v>20501</v>
      </c>
      <c r="FQ267">
        <v>20501</v>
      </c>
      <c r="FR267">
        <v>215335</v>
      </c>
      <c r="FS267">
        <v>88</v>
      </c>
      <c r="FU267" s="24"/>
      <c r="FV267">
        <v>15801</v>
      </c>
      <c r="FW267">
        <v>16201</v>
      </c>
      <c r="FX267">
        <v>16000</v>
      </c>
      <c r="FY267">
        <v>417392</v>
      </c>
      <c r="FZ267">
        <v>1218</v>
      </c>
      <c r="GB267" s="24"/>
      <c r="GC267">
        <v>89722002</v>
      </c>
      <c r="GD267">
        <v>95225000</v>
      </c>
      <c r="GE267">
        <v>91872324</v>
      </c>
      <c r="GF267">
        <v>82</v>
      </c>
      <c r="GG267">
        <v>56</v>
      </c>
      <c r="GI267" s="24"/>
      <c r="GJ267">
        <v>20802024</v>
      </c>
      <c r="GK267">
        <v>21500000</v>
      </c>
      <c r="GL267">
        <v>20802024</v>
      </c>
      <c r="GM267">
        <v>469</v>
      </c>
      <c r="GN267">
        <v>76</v>
      </c>
      <c r="GP267" s="24"/>
      <c r="GQ267">
        <v>105</v>
      </c>
      <c r="GR267">
        <v>108</v>
      </c>
      <c r="GS267">
        <v>108</v>
      </c>
      <c r="GT267">
        <v>107939869</v>
      </c>
      <c r="GU267">
        <v>144</v>
      </c>
      <c r="GW267" s="24"/>
      <c r="GX267">
        <v>431</v>
      </c>
      <c r="GY267">
        <v>459</v>
      </c>
      <c r="GZ267">
        <v>447</v>
      </c>
      <c r="HA267">
        <v>70580597</v>
      </c>
      <c r="HB267">
        <v>250</v>
      </c>
      <c r="HD267" s="24"/>
      <c r="HE267">
        <v>5309</v>
      </c>
      <c r="HF267">
        <v>5417</v>
      </c>
      <c r="HG267">
        <v>5399</v>
      </c>
      <c r="HH267">
        <v>18773678</v>
      </c>
      <c r="HI267">
        <v>293</v>
      </c>
      <c r="HK267" s="24"/>
      <c r="HL267">
        <v>90001103</v>
      </c>
      <c r="HM267">
        <v>95799999</v>
      </c>
      <c r="HN267">
        <v>92377825</v>
      </c>
      <c r="HO267">
        <v>80</v>
      </c>
      <c r="HP267">
        <v>48</v>
      </c>
      <c r="HR267" s="24"/>
      <c r="HS267">
        <v>7944</v>
      </c>
      <c r="HT267">
        <v>8649</v>
      </c>
      <c r="HU267">
        <v>8199</v>
      </c>
      <c r="HV267">
        <v>400430</v>
      </c>
      <c r="HW267">
        <v>129</v>
      </c>
      <c r="HY267" s="24"/>
      <c r="HZ267">
        <v>7139</v>
      </c>
      <c r="IA267">
        <v>7299</v>
      </c>
      <c r="IB267">
        <v>7200</v>
      </c>
      <c r="IC267">
        <v>1469526</v>
      </c>
      <c r="ID267">
        <v>389</v>
      </c>
      <c r="IF267" s="24"/>
      <c r="IG267">
        <v>2963</v>
      </c>
      <c r="IH267">
        <v>2973</v>
      </c>
      <c r="II267">
        <v>2964</v>
      </c>
      <c r="IJ267">
        <v>1196564</v>
      </c>
      <c r="IK267">
        <v>138</v>
      </c>
      <c r="IM267" s="24"/>
      <c r="IN267">
        <v>91000005</v>
      </c>
      <c r="IO267">
        <v>93835500</v>
      </c>
      <c r="IP267">
        <v>92391545</v>
      </c>
      <c r="IQ267">
        <v>65</v>
      </c>
      <c r="IR267">
        <v>52</v>
      </c>
      <c r="IT267" s="24"/>
      <c r="IU267">
        <v>7391</v>
      </c>
      <c r="IV267">
        <v>7391</v>
      </c>
      <c r="IW267">
        <v>7391</v>
      </c>
      <c r="IX267">
        <v>673375</v>
      </c>
      <c r="IY267">
        <v>112</v>
      </c>
      <c r="JA267" s="24"/>
      <c r="JB267">
        <v>89135919</v>
      </c>
      <c r="JC267">
        <v>93998999</v>
      </c>
      <c r="JD267">
        <v>91792306</v>
      </c>
      <c r="JE267">
        <v>84</v>
      </c>
      <c r="JF267">
        <v>60</v>
      </c>
      <c r="JH267" s="24"/>
      <c r="JI267">
        <v>90187100</v>
      </c>
      <c r="JJ267">
        <v>95999997</v>
      </c>
      <c r="JK267">
        <v>93473112</v>
      </c>
      <c r="JL267">
        <v>43</v>
      </c>
      <c r="JM267">
        <v>33</v>
      </c>
      <c r="JO267" s="24"/>
      <c r="JP267">
        <v>156</v>
      </c>
      <c r="JQ267">
        <v>169</v>
      </c>
      <c r="JR267">
        <v>169</v>
      </c>
      <c r="JS267">
        <v>70833584</v>
      </c>
      <c r="JT267">
        <v>129</v>
      </c>
      <c r="JV267" s="24"/>
      <c r="JW267">
        <v>93</v>
      </c>
      <c r="JX267">
        <v>95</v>
      </c>
      <c r="JY267">
        <v>94</v>
      </c>
      <c r="JZ267">
        <v>155211342</v>
      </c>
      <c r="KA267">
        <v>97</v>
      </c>
      <c r="KC267" s="24"/>
      <c r="KD267">
        <v>20</v>
      </c>
      <c r="KE267">
        <v>21</v>
      </c>
      <c r="KF267">
        <v>20</v>
      </c>
      <c r="KG267">
        <v>55076812</v>
      </c>
      <c r="KH267">
        <v>305</v>
      </c>
      <c r="KJ267" s="24"/>
      <c r="KK267">
        <v>106</v>
      </c>
      <c r="KL267">
        <v>109</v>
      </c>
      <c r="KM267">
        <v>107</v>
      </c>
      <c r="KN267">
        <v>107211850</v>
      </c>
      <c r="KO267">
        <v>117</v>
      </c>
      <c r="KQ267" s="24"/>
      <c r="KR267">
        <v>115161</v>
      </c>
      <c r="KS267">
        <v>127949</v>
      </c>
      <c r="KT267">
        <v>115203</v>
      </c>
      <c r="KU267">
        <v>61995</v>
      </c>
      <c r="KV267">
        <v>603</v>
      </c>
      <c r="KX267" s="24"/>
      <c r="KY267">
        <v>601</v>
      </c>
      <c r="KZ267">
        <v>631</v>
      </c>
      <c r="LA267">
        <v>631</v>
      </c>
      <c r="LB267">
        <v>6576171</v>
      </c>
      <c r="LC267">
        <v>194</v>
      </c>
      <c r="LE267" s="24"/>
      <c r="LF267">
        <v>189755</v>
      </c>
      <c r="LG267">
        <v>198470</v>
      </c>
      <c r="LH267">
        <v>189800</v>
      </c>
      <c r="LI267">
        <v>160727</v>
      </c>
      <c r="LJ267">
        <v>846</v>
      </c>
      <c r="LL267" s="24"/>
      <c r="LM267">
        <v>70005</v>
      </c>
      <c r="LN267">
        <v>71106</v>
      </c>
      <c r="LO267">
        <v>71026</v>
      </c>
      <c r="LP267">
        <v>280785</v>
      </c>
      <c r="LQ267">
        <v>1180</v>
      </c>
      <c r="LS267" s="24"/>
      <c r="LT267">
        <v>452</v>
      </c>
      <c r="LU267">
        <v>466</v>
      </c>
      <c r="LV267">
        <v>465</v>
      </c>
      <c r="LW267">
        <v>74646809</v>
      </c>
      <c r="LX267">
        <v>327</v>
      </c>
      <c r="LZ267" s="24"/>
      <c r="MA267">
        <v>101000</v>
      </c>
      <c r="MB267">
        <v>106999</v>
      </c>
      <c r="MC267">
        <v>103000</v>
      </c>
      <c r="MD267">
        <v>1184867</v>
      </c>
      <c r="ME267">
        <v>102</v>
      </c>
    </row>
    <row r="268" spans="2:343" x14ac:dyDescent="0.25">
      <c r="B268" s="24"/>
      <c r="C268">
        <v>3</v>
      </c>
      <c r="D268">
        <v>3</v>
      </c>
      <c r="E268">
        <v>3</v>
      </c>
      <c r="F268">
        <v>23408282574</v>
      </c>
      <c r="G268">
        <v>2331</v>
      </c>
      <c r="I268" s="24"/>
      <c r="J268">
        <v>4</v>
      </c>
      <c r="K268">
        <v>4</v>
      </c>
      <c r="L268">
        <v>4</v>
      </c>
      <c r="M268">
        <v>5312358624</v>
      </c>
      <c r="N268">
        <v>1641</v>
      </c>
      <c r="P268" s="24"/>
      <c r="Q268">
        <v>29</v>
      </c>
      <c r="R268">
        <v>29</v>
      </c>
      <c r="S268">
        <v>29</v>
      </c>
      <c r="T268">
        <v>1412219215</v>
      </c>
      <c r="U268">
        <v>1508</v>
      </c>
      <c r="W268" s="24"/>
      <c r="X268">
        <v>61</v>
      </c>
      <c r="Y268">
        <v>62</v>
      </c>
      <c r="Z268">
        <v>62</v>
      </c>
      <c r="AA268">
        <v>334061492</v>
      </c>
      <c r="AB268">
        <v>1170</v>
      </c>
      <c r="AD268" s="24"/>
      <c r="AE268">
        <v>385</v>
      </c>
      <c r="AF268">
        <v>392</v>
      </c>
      <c r="AG268">
        <v>391</v>
      </c>
      <c r="AH268">
        <v>55293443</v>
      </c>
      <c r="AI268">
        <v>1257</v>
      </c>
      <c r="AK268" s="24"/>
      <c r="AL268">
        <v>712</v>
      </c>
      <c r="AM268">
        <v>722</v>
      </c>
      <c r="AN268">
        <v>720</v>
      </c>
      <c r="AO268">
        <v>22791363</v>
      </c>
      <c r="AP268">
        <v>1011</v>
      </c>
      <c r="AR268" s="24"/>
      <c r="AS268">
        <v>2612</v>
      </c>
      <c r="AT268">
        <v>2707</v>
      </c>
      <c r="AU268">
        <v>2615</v>
      </c>
      <c r="AV268">
        <v>10844705</v>
      </c>
      <c r="AW268">
        <v>959</v>
      </c>
      <c r="AY268" s="24"/>
      <c r="AZ268">
        <v>378000000</v>
      </c>
      <c r="BA268">
        <v>386309000</v>
      </c>
      <c r="BB268">
        <v>380000000</v>
      </c>
      <c r="BC268">
        <v>2614</v>
      </c>
      <c r="BD268">
        <v>1674</v>
      </c>
      <c r="BF268" s="24"/>
      <c r="BG268">
        <v>25023</v>
      </c>
      <c r="BH268">
        <v>25031</v>
      </c>
      <c r="BI268">
        <v>25029</v>
      </c>
      <c r="BJ268">
        <v>4153662</v>
      </c>
      <c r="BK268">
        <v>237</v>
      </c>
      <c r="BM268" s="24"/>
      <c r="BN268">
        <v>6200000</v>
      </c>
      <c r="BO268">
        <v>6399000</v>
      </c>
      <c r="BP268">
        <v>6299999</v>
      </c>
      <c r="BQ268">
        <v>13564</v>
      </c>
      <c r="BR268">
        <v>341</v>
      </c>
      <c r="BT268" s="24"/>
      <c r="BU268">
        <v>2139</v>
      </c>
      <c r="BV268">
        <v>2141</v>
      </c>
      <c r="BW268">
        <v>2140</v>
      </c>
      <c r="BX268">
        <v>22318476</v>
      </c>
      <c r="BY268">
        <v>207</v>
      </c>
      <c r="CA268" s="24"/>
      <c r="CB268">
        <v>481</v>
      </c>
      <c r="CC268">
        <v>481</v>
      </c>
      <c r="CD268">
        <v>481</v>
      </c>
      <c r="CE268">
        <v>40949081</v>
      </c>
      <c r="CF268">
        <v>215</v>
      </c>
      <c r="CH268" s="24"/>
      <c r="CI268">
        <v>23000</v>
      </c>
      <c r="CJ268">
        <v>23000</v>
      </c>
      <c r="CK268">
        <v>23000</v>
      </c>
      <c r="CL268">
        <v>1701427</v>
      </c>
      <c r="CM268">
        <v>163</v>
      </c>
      <c r="CO268" s="24"/>
      <c r="CP268">
        <v>6799</v>
      </c>
      <c r="CQ268">
        <v>6900</v>
      </c>
      <c r="CR268">
        <v>6899</v>
      </c>
      <c r="CS268">
        <v>775416</v>
      </c>
      <c r="CT268">
        <v>302</v>
      </c>
      <c r="CV268" s="24"/>
      <c r="CW268">
        <v>1369496</v>
      </c>
      <c r="CX268">
        <v>1369497</v>
      </c>
      <c r="CY268">
        <v>1369496</v>
      </c>
      <c r="CZ268">
        <v>15373</v>
      </c>
      <c r="DA268">
        <v>50</v>
      </c>
      <c r="DC268" s="24"/>
      <c r="DD268">
        <v>488</v>
      </c>
      <c r="DE268">
        <v>494</v>
      </c>
      <c r="DF268">
        <v>490</v>
      </c>
      <c r="DG268">
        <v>18588077</v>
      </c>
      <c r="DH268">
        <v>122</v>
      </c>
      <c r="DJ268" s="24"/>
      <c r="DK268">
        <v>32400006</v>
      </c>
      <c r="DL268">
        <v>33000000</v>
      </c>
      <c r="DM268">
        <v>32500002</v>
      </c>
      <c r="DN268">
        <v>315</v>
      </c>
      <c r="DO268">
        <v>66</v>
      </c>
      <c r="DQ268" s="24"/>
      <c r="DR268">
        <v>1330000</v>
      </c>
      <c r="DS268">
        <v>1400000</v>
      </c>
      <c r="DT268">
        <v>1360002</v>
      </c>
      <c r="DU268">
        <v>10906</v>
      </c>
      <c r="DV268">
        <v>196</v>
      </c>
      <c r="DX268" s="24"/>
      <c r="DY268">
        <v>22210059</v>
      </c>
      <c r="DZ268">
        <v>22950000</v>
      </c>
      <c r="EA268">
        <v>22212058</v>
      </c>
      <c r="EB268">
        <v>729</v>
      </c>
      <c r="EC268">
        <v>126</v>
      </c>
      <c r="EE268" s="24"/>
      <c r="EF268">
        <v>183</v>
      </c>
      <c r="EG268">
        <v>191</v>
      </c>
      <c r="EH268">
        <v>186</v>
      </c>
      <c r="EI268">
        <v>80922570</v>
      </c>
      <c r="EJ268">
        <v>189</v>
      </c>
      <c r="EL268" s="24"/>
      <c r="EM268">
        <v>58803</v>
      </c>
      <c r="EN268">
        <v>60379</v>
      </c>
      <c r="EO268">
        <v>59550</v>
      </c>
      <c r="EP268">
        <v>121869</v>
      </c>
      <c r="EQ268">
        <v>627</v>
      </c>
      <c r="ES268" s="24"/>
      <c r="ET268">
        <v>300</v>
      </c>
      <c r="EU268">
        <v>301</v>
      </c>
      <c r="EV268">
        <v>301</v>
      </c>
      <c r="EW268">
        <v>22069471</v>
      </c>
      <c r="EX268">
        <v>427</v>
      </c>
      <c r="EZ268" s="24"/>
      <c r="FA268">
        <v>3190002</v>
      </c>
      <c r="FB268">
        <v>3403999</v>
      </c>
      <c r="FC268">
        <v>3399999</v>
      </c>
      <c r="FD268">
        <v>1776</v>
      </c>
      <c r="FE268">
        <v>27</v>
      </c>
      <c r="FG268" s="24"/>
      <c r="FH268">
        <v>6356</v>
      </c>
      <c r="FI268">
        <v>6650</v>
      </c>
      <c r="FJ268">
        <v>6650</v>
      </c>
      <c r="FK268">
        <v>1174430</v>
      </c>
      <c r="FL268">
        <v>353</v>
      </c>
      <c r="FN268" s="24"/>
      <c r="FO268">
        <v>19501</v>
      </c>
      <c r="FP268">
        <v>22514</v>
      </c>
      <c r="FQ268">
        <v>22513</v>
      </c>
      <c r="FR268">
        <v>127887</v>
      </c>
      <c r="FS268">
        <v>77</v>
      </c>
      <c r="FU268" s="24"/>
      <c r="FV268">
        <v>15823</v>
      </c>
      <c r="FW268">
        <v>16111</v>
      </c>
      <c r="FX268">
        <v>15836</v>
      </c>
      <c r="FY268">
        <v>300113</v>
      </c>
      <c r="FZ268">
        <v>1084</v>
      </c>
      <c r="GB268" s="24"/>
      <c r="GC268">
        <v>89509127</v>
      </c>
      <c r="GD268">
        <v>95187000</v>
      </c>
      <c r="GE268">
        <v>92974059</v>
      </c>
      <c r="GF268">
        <v>50</v>
      </c>
      <c r="GG268">
        <v>34</v>
      </c>
      <c r="GI268" s="24"/>
      <c r="GJ268">
        <v>21222222</v>
      </c>
      <c r="GK268">
        <v>21887999</v>
      </c>
      <c r="GL268">
        <v>21500000</v>
      </c>
      <c r="GM268">
        <v>902</v>
      </c>
      <c r="GN268">
        <v>106</v>
      </c>
      <c r="GP268" s="24"/>
      <c r="GQ268">
        <v>106</v>
      </c>
      <c r="GR268">
        <v>112</v>
      </c>
      <c r="GS268">
        <v>111</v>
      </c>
      <c r="GT268">
        <v>131821488</v>
      </c>
      <c r="GU268">
        <v>119</v>
      </c>
      <c r="GW268" s="24"/>
      <c r="GX268">
        <v>436</v>
      </c>
      <c r="GY268">
        <v>463</v>
      </c>
      <c r="GZ268">
        <v>462</v>
      </c>
      <c r="HA268">
        <v>47508543</v>
      </c>
      <c r="HB268">
        <v>165</v>
      </c>
      <c r="HD268" s="24"/>
      <c r="HE268">
        <v>5307</v>
      </c>
      <c r="HF268">
        <v>5401</v>
      </c>
      <c r="HG268">
        <v>5399</v>
      </c>
      <c r="HH268">
        <v>14106921</v>
      </c>
      <c r="HI268">
        <v>225</v>
      </c>
      <c r="HK268" s="24"/>
      <c r="HL268">
        <v>90015000</v>
      </c>
      <c r="HM268">
        <v>90025000</v>
      </c>
      <c r="HN268">
        <v>90017000</v>
      </c>
      <c r="HO268">
        <v>152</v>
      </c>
      <c r="HP268">
        <v>64</v>
      </c>
      <c r="HR268" s="24"/>
      <c r="HS268">
        <v>8199</v>
      </c>
      <c r="HT268">
        <v>8299</v>
      </c>
      <c r="HU268">
        <v>8291</v>
      </c>
      <c r="HV268">
        <v>612745</v>
      </c>
      <c r="HW268">
        <v>128</v>
      </c>
      <c r="HY268" s="24"/>
      <c r="HZ268">
        <v>6811</v>
      </c>
      <c r="IA268">
        <v>7299</v>
      </c>
      <c r="IB268">
        <v>7285</v>
      </c>
      <c r="IC268">
        <v>1405642</v>
      </c>
      <c r="ID268">
        <v>337</v>
      </c>
      <c r="IF268" s="24"/>
      <c r="IG268">
        <v>2973</v>
      </c>
      <c r="IH268">
        <v>2973</v>
      </c>
      <c r="II268">
        <v>2973</v>
      </c>
      <c r="IJ268">
        <v>985660</v>
      </c>
      <c r="IK268">
        <v>126</v>
      </c>
      <c r="IM268" s="24"/>
      <c r="IN268">
        <v>89139000</v>
      </c>
      <c r="IO268">
        <v>93823000</v>
      </c>
      <c r="IP268">
        <v>91999999</v>
      </c>
      <c r="IQ268">
        <v>102</v>
      </c>
      <c r="IR268">
        <v>48</v>
      </c>
      <c r="IT268" s="24"/>
      <c r="IU268">
        <v>7391</v>
      </c>
      <c r="IV268">
        <v>7391</v>
      </c>
      <c r="IW268">
        <v>7391</v>
      </c>
      <c r="IX268">
        <v>1080371</v>
      </c>
      <c r="IY268">
        <v>146</v>
      </c>
      <c r="JA268" s="24"/>
      <c r="JB268">
        <v>90000001</v>
      </c>
      <c r="JC268">
        <v>93991000</v>
      </c>
      <c r="JD268">
        <v>91759406</v>
      </c>
      <c r="JE268">
        <v>89</v>
      </c>
      <c r="JF268">
        <v>54</v>
      </c>
      <c r="JH268" s="24"/>
      <c r="JI268">
        <v>90218000</v>
      </c>
      <c r="JJ268">
        <v>90224000</v>
      </c>
      <c r="JK268">
        <v>90221000</v>
      </c>
      <c r="JL268">
        <v>110</v>
      </c>
      <c r="JM268">
        <v>42</v>
      </c>
      <c r="JO268" s="24"/>
      <c r="JP268">
        <v>157</v>
      </c>
      <c r="JQ268">
        <v>170</v>
      </c>
      <c r="JR268">
        <v>168</v>
      </c>
      <c r="JS268">
        <v>55845159</v>
      </c>
      <c r="JT268">
        <v>106</v>
      </c>
      <c r="JV268" s="24"/>
      <c r="JW268">
        <v>93</v>
      </c>
      <c r="JX268">
        <v>97</v>
      </c>
      <c r="JY268">
        <v>93</v>
      </c>
      <c r="JZ268">
        <v>88085956</v>
      </c>
      <c r="KA268">
        <v>92</v>
      </c>
      <c r="KC268" s="24"/>
      <c r="KD268">
        <v>20</v>
      </c>
      <c r="KE268">
        <v>21</v>
      </c>
      <c r="KF268">
        <v>21</v>
      </c>
      <c r="KG268">
        <v>33713645</v>
      </c>
      <c r="KH268">
        <v>236</v>
      </c>
      <c r="KJ268" s="24"/>
      <c r="KK268">
        <v>104</v>
      </c>
      <c r="KL268">
        <v>109</v>
      </c>
      <c r="KM268">
        <v>104</v>
      </c>
      <c r="KN268">
        <v>117487503</v>
      </c>
      <c r="KO268">
        <v>101</v>
      </c>
      <c r="KQ268" s="24"/>
      <c r="KR268">
        <v>121002</v>
      </c>
      <c r="KS268">
        <v>128202</v>
      </c>
      <c r="KT268">
        <v>121205</v>
      </c>
      <c r="KU268">
        <v>53287</v>
      </c>
      <c r="KV268">
        <v>593</v>
      </c>
      <c r="KX268" s="24"/>
      <c r="KY268">
        <v>603</v>
      </c>
      <c r="KZ268">
        <v>631</v>
      </c>
      <c r="LA268">
        <v>631</v>
      </c>
      <c r="LB268">
        <v>4045074</v>
      </c>
      <c r="LC268">
        <v>130</v>
      </c>
      <c r="LE268" s="24"/>
      <c r="LF268">
        <v>190059</v>
      </c>
      <c r="LG268">
        <v>192001</v>
      </c>
      <c r="LH268">
        <v>192000</v>
      </c>
      <c r="LI268">
        <v>123812</v>
      </c>
      <c r="LJ268">
        <v>846</v>
      </c>
      <c r="LL268" s="24"/>
      <c r="LM268">
        <v>73007</v>
      </c>
      <c r="LN268">
        <v>74325</v>
      </c>
      <c r="LO268">
        <v>73667</v>
      </c>
      <c r="LP268">
        <v>423237</v>
      </c>
      <c r="LQ268">
        <v>1178</v>
      </c>
      <c r="LS268" s="24"/>
      <c r="LT268">
        <v>464</v>
      </c>
      <c r="LU268">
        <v>465</v>
      </c>
      <c r="LV268">
        <v>464</v>
      </c>
      <c r="LW268">
        <v>84620616</v>
      </c>
      <c r="LX268">
        <v>308</v>
      </c>
      <c r="LZ268" s="24"/>
      <c r="MA268">
        <v>100102</v>
      </c>
      <c r="MB268">
        <v>105997</v>
      </c>
      <c r="MC268">
        <v>105994</v>
      </c>
      <c r="MD268">
        <v>722847</v>
      </c>
      <c r="ME268">
        <v>89</v>
      </c>
    </row>
    <row r="269" spans="2:343" x14ac:dyDescent="0.25">
      <c r="B269" s="24"/>
      <c r="C269">
        <v>3</v>
      </c>
      <c r="D269">
        <v>3</v>
      </c>
      <c r="E269">
        <v>3</v>
      </c>
      <c r="F269">
        <v>26037367322</v>
      </c>
      <c r="G269">
        <v>2230</v>
      </c>
      <c r="I269" s="24"/>
      <c r="J269">
        <v>4</v>
      </c>
      <c r="K269">
        <v>4</v>
      </c>
      <c r="L269">
        <v>4</v>
      </c>
      <c r="M269">
        <v>5056419661</v>
      </c>
      <c r="N269">
        <v>1658</v>
      </c>
      <c r="P269" s="24"/>
      <c r="Q269">
        <v>29</v>
      </c>
      <c r="R269">
        <v>29</v>
      </c>
      <c r="S269">
        <v>29</v>
      </c>
      <c r="T269">
        <v>1528173178</v>
      </c>
      <c r="U269">
        <v>1505</v>
      </c>
      <c r="W269" s="24"/>
      <c r="X269">
        <v>61</v>
      </c>
      <c r="Y269">
        <v>62</v>
      </c>
      <c r="Z269">
        <v>62</v>
      </c>
      <c r="AA269">
        <v>339813626</v>
      </c>
      <c r="AB269">
        <v>1249</v>
      </c>
      <c r="AD269" s="24"/>
      <c r="AE269">
        <v>392</v>
      </c>
      <c r="AF269">
        <v>393</v>
      </c>
      <c r="AG269">
        <v>392</v>
      </c>
      <c r="AH269">
        <v>93490662</v>
      </c>
      <c r="AI269">
        <v>1255</v>
      </c>
      <c r="AK269" s="24"/>
      <c r="AL269">
        <v>710</v>
      </c>
      <c r="AM269">
        <v>716</v>
      </c>
      <c r="AN269">
        <v>711</v>
      </c>
      <c r="AO269">
        <v>32399341</v>
      </c>
      <c r="AP269">
        <v>1068</v>
      </c>
      <c r="AR269" s="24"/>
      <c r="AS269">
        <v>2630</v>
      </c>
      <c r="AT269">
        <v>2702</v>
      </c>
      <c r="AU269">
        <v>2700</v>
      </c>
      <c r="AV269">
        <v>10485820</v>
      </c>
      <c r="AW269">
        <v>992</v>
      </c>
      <c r="AY269" s="24"/>
      <c r="AZ269">
        <v>378325000</v>
      </c>
      <c r="BA269">
        <v>385398998</v>
      </c>
      <c r="BB269">
        <v>383750000</v>
      </c>
      <c r="BC269">
        <v>2471</v>
      </c>
      <c r="BD269">
        <v>1629</v>
      </c>
      <c r="BF269" s="24"/>
      <c r="BG269">
        <v>25030</v>
      </c>
      <c r="BH269">
        <v>25031</v>
      </c>
      <c r="BI269">
        <v>25031</v>
      </c>
      <c r="BJ269">
        <v>3373443</v>
      </c>
      <c r="BK269">
        <v>216</v>
      </c>
      <c r="BM269" s="24"/>
      <c r="BN269">
        <v>6154056</v>
      </c>
      <c r="BO269">
        <v>6250000</v>
      </c>
      <c r="BP269">
        <v>6200000</v>
      </c>
      <c r="BQ269">
        <v>9213</v>
      </c>
      <c r="BR269">
        <v>265</v>
      </c>
      <c r="BT269" s="24"/>
      <c r="BU269">
        <v>2213</v>
      </c>
      <c r="BV269">
        <v>2299</v>
      </c>
      <c r="BW269">
        <v>2298</v>
      </c>
      <c r="BX269">
        <v>12587634</v>
      </c>
      <c r="BY269">
        <v>173</v>
      </c>
      <c r="CA269" s="24"/>
      <c r="CB269">
        <v>480</v>
      </c>
      <c r="CC269">
        <v>481</v>
      </c>
      <c r="CD269">
        <v>480</v>
      </c>
      <c r="CE269">
        <v>53101048</v>
      </c>
      <c r="CF269">
        <v>254</v>
      </c>
      <c r="CH269" s="24"/>
      <c r="CI269">
        <v>23000</v>
      </c>
      <c r="CJ269">
        <v>23001</v>
      </c>
      <c r="CK269">
        <v>23000</v>
      </c>
      <c r="CL269">
        <v>1420860</v>
      </c>
      <c r="CM269">
        <v>190</v>
      </c>
      <c r="CO269" s="24"/>
      <c r="CP269">
        <v>6618</v>
      </c>
      <c r="CQ269">
        <v>7097</v>
      </c>
      <c r="CR269">
        <v>7000</v>
      </c>
      <c r="CS269">
        <v>871806</v>
      </c>
      <c r="CT269">
        <v>324</v>
      </c>
      <c r="CV269" s="24"/>
      <c r="CW269">
        <v>1300907</v>
      </c>
      <c r="CX269">
        <v>1349000</v>
      </c>
      <c r="CY269">
        <v>1348999</v>
      </c>
      <c r="CZ269">
        <v>10164</v>
      </c>
      <c r="DA269">
        <v>28</v>
      </c>
      <c r="DC269" s="24"/>
      <c r="DD269">
        <v>476</v>
      </c>
      <c r="DE269">
        <v>485</v>
      </c>
      <c r="DF269">
        <v>477</v>
      </c>
      <c r="DG269">
        <v>45877438</v>
      </c>
      <c r="DH269">
        <v>202</v>
      </c>
      <c r="DJ269" s="24"/>
      <c r="DK269">
        <v>33000010</v>
      </c>
      <c r="DL269">
        <v>33100000</v>
      </c>
      <c r="DM269">
        <v>33100000</v>
      </c>
      <c r="DN269">
        <v>274</v>
      </c>
      <c r="DO269">
        <v>58</v>
      </c>
      <c r="DQ269" s="24"/>
      <c r="DR269">
        <v>1310022</v>
      </c>
      <c r="DS269">
        <v>1394999</v>
      </c>
      <c r="DT269">
        <v>1310023</v>
      </c>
      <c r="DU269">
        <v>9292</v>
      </c>
      <c r="DV269">
        <v>213</v>
      </c>
      <c r="DX269" s="24"/>
      <c r="DY269">
        <v>21026013</v>
      </c>
      <c r="DZ269">
        <v>21948999</v>
      </c>
      <c r="EA269">
        <v>21039001</v>
      </c>
      <c r="EB269">
        <v>425</v>
      </c>
      <c r="EC269">
        <v>93</v>
      </c>
      <c r="EE269" s="24"/>
      <c r="EF269">
        <v>185</v>
      </c>
      <c r="EG269">
        <v>192</v>
      </c>
      <c r="EH269">
        <v>186</v>
      </c>
      <c r="EI269">
        <v>71696237</v>
      </c>
      <c r="EJ269">
        <v>161</v>
      </c>
      <c r="EL269" s="24"/>
      <c r="EM269">
        <v>56500</v>
      </c>
      <c r="EN269">
        <v>58502</v>
      </c>
      <c r="EO269">
        <v>56504</v>
      </c>
      <c r="EP269">
        <v>72859</v>
      </c>
      <c r="EQ269">
        <v>611</v>
      </c>
      <c r="ES269" s="24"/>
      <c r="ET269">
        <v>291</v>
      </c>
      <c r="EU269">
        <v>300</v>
      </c>
      <c r="EV269">
        <v>300</v>
      </c>
      <c r="EW269">
        <v>23221645</v>
      </c>
      <c r="EX269">
        <v>495</v>
      </c>
      <c r="EZ269" s="24"/>
      <c r="FA269">
        <v>3300001</v>
      </c>
      <c r="FB269">
        <v>3600000</v>
      </c>
      <c r="FC269">
        <v>3300001</v>
      </c>
      <c r="FD269">
        <v>580</v>
      </c>
      <c r="FE269">
        <v>16</v>
      </c>
      <c r="FG269" s="24"/>
      <c r="FH269">
        <v>6355</v>
      </c>
      <c r="FI269">
        <v>6488</v>
      </c>
      <c r="FJ269">
        <v>6487</v>
      </c>
      <c r="FK269">
        <v>1166037</v>
      </c>
      <c r="FL269">
        <v>330</v>
      </c>
      <c r="FN269" s="24"/>
      <c r="FO269">
        <v>19698</v>
      </c>
      <c r="FP269">
        <v>22513</v>
      </c>
      <c r="FQ269">
        <v>22411</v>
      </c>
      <c r="FR269">
        <v>90935</v>
      </c>
      <c r="FS269">
        <v>59</v>
      </c>
      <c r="FU269" s="24"/>
      <c r="FV269">
        <v>15841</v>
      </c>
      <c r="FW269">
        <v>16889</v>
      </c>
      <c r="FX269">
        <v>15848</v>
      </c>
      <c r="FY269">
        <v>605879</v>
      </c>
      <c r="FZ269">
        <v>1134</v>
      </c>
      <c r="GB269" s="24"/>
      <c r="GC269">
        <v>89509130</v>
      </c>
      <c r="GD269">
        <v>93985997</v>
      </c>
      <c r="GE269">
        <v>89509135</v>
      </c>
      <c r="GF269">
        <v>103</v>
      </c>
      <c r="GG269">
        <v>63</v>
      </c>
      <c r="GI269" s="24"/>
      <c r="GJ269">
        <v>20802058</v>
      </c>
      <c r="GK269">
        <v>21288889</v>
      </c>
      <c r="GL269">
        <v>20888894</v>
      </c>
      <c r="GM269">
        <v>444</v>
      </c>
      <c r="GN269">
        <v>84</v>
      </c>
      <c r="GP269" s="24"/>
      <c r="GQ269">
        <v>106</v>
      </c>
      <c r="GR269">
        <v>112</v>
      </c>
      <c r="GS269">
        <v>112</v>
      </c>
      <c r="GT269">
        <v>98673460</v>
      </c>
      <c r="GU269">
        <v>105</v>
      </c>
      <c r="GW269" s="24"/>
      <c r="GX269">
        <v>432</v>
      </c>
      <c r="GY269">
        <v>444</v>
      </c>
      <c r="GZ269">
        <v>435</v>
      </c>
      <c r="HA269">
        <v>57317160</v>
      </c>
      <c r="HB269">
        <v>231</v>
      </c>
      <c r="HD269" s="24"/>
      <c r="HE269">
        <v>5306</v>
      </c>
      <c r="HF269">
        <v>5399</v>
      </c>
      <c r="HG269">
        <v>5310</v>
      </c>
      <c r="HH269">
        <v>16017269</v>
      </c>
      <c r="HI269">
        <v>266</v>
      </c>
      <c r="HK269" s="24"/>
      <c r="HL269">
        <v>90001236</v>
      </c>
      <c r="HM269">
        <v>93988999</v>
      </c>
      <c r="HN269">
        <v>92871993</v>
      </c>
      <c r="HO269">
        <v>58</v>
      </c>
      <c r="HP269">
        <v>50</v>
      </c>
      <c r="HR269" s="24"/>
      <c r="HS269">
        <v>8100</v>
      </c>
      <c r="HT269">
        <v>8640</v>
      </c>
      <c r="HU269">
        <v>8399</v>
      </c>
      <c r="HV269">
        <v>752127</v>
      </c>
      <c r="HW269">
        <v>150</v>
      </c>
      <c r="HY269" s="24"/>
      <c r="HZ269">
        <v>6819</v>
      </c>
      <c r="IA269">
        <v>7298</v>
      </c>
      <c r="IB269">
        <v>7111</v>
      </c>
      <c r="IC269">
        <v>1656629</v>
      </c>
      <c r="ID269">
        <v>365</v>
      </c>
      <c r="IF269" s="24"/>
      <c r="IG269">
        <v>2892</v>
      </c>
      <c r="IH269">
        <v>2973</v>
      </c>
      <c r="II269">
        <v>2952</v>
      </c>
      <c r="IJ269">
        <v>1203639</v>
      </c>
      <c r="IK269">
        <v>125</v>
      </c>
      <c r="IM269" s="24"/>
      <c r="IN269">
        <v>89153611</v>
      </c>
      <c r="IO269">
        <v>93000000</v>
      </c>
      <c r="IP269">
        <v>91339083</v>
      </c>
      <c r="IQ269">
        <v>79</v>
      </c>
      <c r="IR269">
        <v>50</v>
      </c>
      <c r="IT269" s="24"/>
      <c r="IU269">
        <v>7345</v>
      </c>
      <c r="IV269">
        <v>7392</v>
      </c>
      <c r="IW269">
        <v>7392</v>
      </c>
      <c r="IX269">
        <v>926566</v>
      </c>
      <c r="IY269">
        <v>119</v>
      </c>
      <c r="JA269" s="24"/>
      <c r="JB269">
        <v>89139003</v>
      </c>
      <c r="JC269">
        <v>93786000</v>
      </c>
      <c r="JD269">
        <v>91634733</v>
      </c>
      <c r="JE269">
        <v>81</v>
      </c>
      <c r="JF269">
        <v>55</v>
      </c>
      <c r="JH269" s="24"/>
      <c r="JI269">
        <v>90196000</v>
      </c>
      <c r="JJ269">
        <v>96228985</v>
      </c>
      <c r="JK269">
        <v>90548691</v>
      </c>
      <c r="JL269">
        <v>100</v>
      </c>
      <c r="JM269">
        <v>61</v>
      </c>
      <c r="JO269" s="24"/>
      <c r="JP269">
        <v>159</v>
      </c>
      <c r="JQ269">
        <v>165</v>
      </c>
      <c r="JR269">
        <v>159</v>
      </c>
      <c r="JS269">
        <v>70881820</v>
      </c>
      <c r="JT269">
        <v>106</v>
      </c>
      <c r="JV269" s="24"/>
      <c r="JW269">
        <v>90</v>
      </c>
      <c r="JX269">
        <v>97</v>
      </c>
      <c r="JY269">
        <v>93</v>
      </c>
      <c r="JZ269">
        <v>83837585</v>
      </c>
      <c r="KA269">
        <v>89</v>
      </c>
      <c r="KC269" s="24"/>
      <c r="KD269">
        <v>20</v>
      </c>
      <c r="KE269">
        <v>21</v>
      </c>
      <c r="KF269">
        <v>20</v>
      </c>
      <c r="KG269">
        <v>53150712</v>
      </c>
      <c r="KH269">
        <v>264</v>
      </c>
      <c r="KJ269" s="24"/>
      <c r="KK269">
        <v>104</v>
      </c>
      <c r="KL269">
        <v>108</v>
      </c>
      <c r="KM269">
        <v>104</v>
      </c>
      <c r="KN269">
        <v>105284568</v>
      </c>
      <c r="KO269">
        <v>102</v>
      </c>
      <c r="KQ269" s="24"/>
      <c r="KR269">
        <v>127505</v>
      </c>
      <c r="KS269">
        <v>132799</v>
      </c>
      <c r="KT269">
        <v>127510</v>
      </c>
      <c r="KU269">
        <v>86312</v>
      </c>
      <c r="KV269">
        <v>637</v>
      </c>
      <c r="KX269" s="24"/>
      <c r="KY269">
        <v>615</v>
      </c>
      <c r="KZ269">
        <v>631</v>
      </c>
      <c r="LA269">
        <v>629</v>
      </c>
      <c r="LB269">
        <v>4082043</v>
      </c>
      <c r="LC269">
        <v>134</v>
      </c>
      <c r="LE269" s="24"/>
      <c r="LF269">
        <v>189752</v>
      </c>
      <c r="LG269">
        <v>197748</v>
      </c>
      <c r="LH269">
        <v>189756</v>
      </c>
      <c r="LI269">
        <v>268700</v>
      </c>
      <c r="LJ269">
        <v>861</v>
      </c>
      <c r="LL269" s="24"/>
      <c r="LM269">
        <v>73029</v>
      </c>
      <c r="LN269">
        <v>75502</v>
      </c>
      <c r="LO269">
        <v>74400</v>
      </c>
      <c r="LP269">
        <v>370454</v>
      </c>
      <c r="LQ269">
        <v>1179</v>
      </c>
      <c r="LS269" s="24"/>
      <c r="LT269">
        <v>462</v>
      </c>
      <c r="LU269">
        <v>464</v>
      </c>
      <c r="LV269">
        <v>464</v>
      </c>
      <c r="LW269">
        <v>63182765</v>
      </c>
      <c r="LX269">
        <v>320</v>
      </c>
      <c r="LZ269" s="24"/>
      <c r="MA269">
        <v>102008</v>
      </c>
      <c r="MB269">
        <v>105654</v>
      </c>
      <c r="MC269">
        <v>104000</v>
      </c>
      <c r="MD269">
        <v>690230</v>
      </c>
      <c r="ME269">
        <v>59</v>
      </c>
    </row>
    <row r="270" spans="2:343" x14ac:dyDescent="0.25">
      <c r="B270" s="24"/>
      <c r="C270">
        <v>3</v>
      </c>
      <c r="D270">
        <v>3</v>
      </c>
      <c r="E270">
        <v>3</v>
      </c>
      <c r="F270">
        <v>22887866077</v>
      </c>
      <c r="G270">
        <v>2264</v>
      </c>
      <c r="I270" s="24"/>
      <c r="J270">
        <v>4</v>
      </c>
      <c r="K270">
        <v>4</v>
      </c>
      <c r="L270">
        <v>4</v>
      </c>
      <c r="M270">
        <v>3062811913</v>
      </c>
      <c r="N270">
        <v>1630</v>
      </c>
      <c r="P270" s="24"/>
      <c r="Q270">
        <v>28</v>
      </c>
      <c r="R270">
        <v>29</v>
      </c>
      <c r="S270">
        <v>29</v>
      </c>
      <c r="T270">
        <v>884491729</v>
      </c>
      <c r="U270">
        <v>1486</v>
      </c>
      <c r="W270" s="24"/>
      <c r="X270">
        <v>60</v>
      </c>
      <c r="Y270">
        <v>61</v>
      </c>
      <c r="Z270">
        <v>61</v>
      </c>
      <c r="AA270">
        <v>181699144</v>
      </c>
      <c r="AB270">
        <v>1182</v>
      </c>
      <c r="AD270" s="24"/>
      <c r="AE270">
        <v>380</v>
      </c>
      <c r="AF270">
        <v>391</v>
      </c>
      <c r="AG270">
        <v>387</v>
      </c>
      <c r="AH270">
        <v>56191283</v>
      </c>
      <c r="AI270">
        <v>1212</v>
      </c>
      <c r="AK270" s="24"/>
      <c r="AL270">
        <v>707</v>
      </c>
      <c r="AM270">
        <v>716</v>
      </c>
      <c r="AN270">
        <v>709</v>
      </c>
      <c r="AO270">
        <v>23444343</v>
      </c>
      <c r="AP270">
        <v>1011</v>
      </c>
      <c r="AR270" s="24"/>
      <c r="AS270">
        <v>2621</v>
      </c>
      <c r="AT270">
        <v>2698</v>
      </c>
      <c r="AU270">
        <v>2623</v>
      </c>
      <c r="AV270">
        <v>11421485</v>
      </c>
      <c r="AW270">
        <v>1040</v>
      </c>
      <c r="AY270" s="24"/>
      <c r="AZ270">
        <v>379810020</v>
      </c>
      <c r="BA270">
        <v>385750000</v>
      </c>
      <c r="BB270">
        <v>384786000</v>
      </c>
      <c r="BC270">
        <v>2395</v>
      </c>
      <c r="BD270">
        <v>1650</v>
      </c>
      <c r="BF270" s="24"/>
      <c r="BG270">
        <v>25035</v>
      </c>
      <c r="BH270">
        <v>25201</v>
      </c>
      <c r="BI270">
        <v>25200</v>
      </c>
      <c r="BJ270">
        <v>4779607</v>
      </c>
      <c r="BK270">
        <v>204</v>
      </c>
      <c r="BM270" s="24"/>
      <c r="BN270">
        <v>6155066</v>
      </c>
      <c r="BO270">
        <v>6300002</v>
      </c>
      <c r="BP270">
        <v>6160000</v>
      </c>
      <c r="BQ270">
        <v>12250</v>
      </c>
      <c r="BR270">
        <v>311</v>
      </c>
      <c r="BT270" s="24"/>
      <c r="BU270">
        <v>2173</v>
      </c>
      <c r="BV270">
        <v>2249</v>
      </c>
      <c r="BW270">
        <v>2249</v>
      </c>
      <c r="BX270">
        <v>19079077</v>
      </c>
      <c r="BY270">
        <v>264</v>
      </c>
      <c r="CA270" s="24"/>
      <c r="CB270">
        <v>475</v>
      </c>
      <c r="CC270">
        <v>480</v>
      </c>
      <c r="CD270">
        <v>479</v>
      </c>
      <c r="CE270">
        <v>84395518</v>
      </c>
      <c r="CF270">
        <v>247</v>
      </c>
      <c r="CH270" s="24"/>
      <c r="CI270">
        <v>23006</v>
      </c>
      <c r="CJ270">
        <v>23006</v>
      </c>
      <c r="CK270">
        <v>23006</v>
      </c>
      <c r="CL270">
        <v>2429256</v>
      </c>
      <c r="CM270">
        <v>159</v>
      </c>
      <c r="CO270" s="24"/>
      <c r="CP270">
        <v>6701</v>
      </c>
      <c r="CQ270">
        <v>7094</v>
      </c>
      <c r="CR270">
        <v>6801</v>
      </c>
      <c r="CS270">
        <v>1210432</v>
      </c>
      <c r="CT270">
        <v>308</v>
      </c>
      <c r="CV270" s="24"/>
      <c r="CW270">
        <v>1300930</v>
      </c>
      <c r="CX270">
        <v>1349000</v>
      </c>
      <c r="CY270">
        <v>1348999</v>
      </c>
      <c r="CZ270">
        <v>9455</v>
      </c>
      <c r="DA270">
        <v>41</v>
      </c>
      <c r="DC270" s="24"/>
      <c r="DD270">
        <v>456</v>
      </c>
      <c r="DE270">
        <v>474</v>
      </c>
      <c r="DF270">
        <v>471</v>
      </c>
      <c r="DG270">
        <v>42806612</v>
      </c>
      <c r="DH270">
        <v>164</v>
      </c>
      <c r="DJ270" s="24"/>
      <c r="DK270">
        <v>33000010</v>
      </c>
      <c r="DL270">
        <v>33000010</v>
      </c>
      <c r="DM270">
        <v>33000010</v>
      </c>
      <c r="DN270">
        <v>157</v>
      </c>
      <c r="DO270">
        <v>45</v>
      </c>
      <c r="DQ270" s="24"/>
      <c r="DR270">
        <v>1311058</v>
      </c>
      <c r="DS270">
        <v>1443788</v>
      </c>
      <c r="DT270">
        <v>1400004</v>
      </c>
      <c r="DU270">
        <v>5756</v>
      </c>
      <c r="DV270">
        <v>178</v>
      </c>
      <c r="DX270" s="24"/>
      <c r="DY270">
        <v>21470122</v>
      </c>
      <c r="DZ270">
        <v>22539002</v>
      </c>
      <c r="EA270">
        <v>21900009</v>
      </c>
      <c r="EB270">
        <v>408</v>
      </c>
      <c r="EC270">
        <v>101</v>
      </c>
      <c r="EE270" s="24"/>
      <c r="EF270">
        <v>185</v>
      </c>
      <c r="EG270">
        <v>189</v>
      </c>
      <c r="EH270">
        <v>188</v>
      </c>
      <c r="EI270">
        <v>76186550</v>
      </c>
      <c r="EJ270">
        <v>153</v>
      </c>
      <c r="EL270" s="24"/>
      <c r="EM270">
        <v>56001</v>
      </c>
      <c r="EN270">
        <v>59000</v>
      </c>
      <c r="EO270">
        <v>56013</v>
      </c>
      <c r="EP270">
        <v>56568</v>
      </c>
      <c r="EQ270">
        <v>604</v>
      </c>
      <c r="ES270" s="24"/>
      <c r="ET270">
        <v>291</v>
      </c>
      <c r="EU270">
        <v>298</v>
      </c>
      <c r="EV270">
        <v>298</v>
      </c>
      <c r="EW270">
        <v>26325321</v>
      </c>
      <c r="EX270">
        <v>519</v>
      </c>
      <c r="EZ270" s="24"/>
      <c r="FA270">
        <v>3615999</v>
      </c>
      <c r="FB270">
        <v>3616189</v>
      </c>
      <c r="FC270">
        <v>3615999</v>
      </c>
      <c r="FD270">
        <v>1083</v>
      </c>
      <c r="FE270">
        <v>21</v>
      </c>
      <c r="FG270" s="24"/>
      <c r="FH270">
        <v>6223</v>
      </c>
      <c r="FI270">
        <v>6487</v>
      </c>
      <c r="FJ270">
        <v>6486</v>
      </c>
      <c r="FK270">
        <v>1202918</v>
      </c>
      <c r="FL270">
        <v>344</v>
      </c>
      <c r="FN270" s="24"/>
      <c r="FO270">
        <v>22149</v>
      </c>
      <c r="FP270">
        <v>22298</v>
      </c>
      <c r="FQ270">
        <v>22195</v>
      </c>
      <c r="FR270">
        <v>37792</v>
      </c>
      <c r="FS270">
        <v>54</v>
      </c>
      <c r="FU270" s="24"/>
      <c r="FV270">
        <v>16002</v>
      </c>
      <c r="FW270">
        <v>16322</v>
      </c>
      <c r="FX270">
        <v>16006</v>
      </c>
      <c r="FY270">
        <v>309679</v>
      </c>
      <c r="FZ270">
        <v>1077</v>
      </c>
      <c r="GB270" s="24"/>
      <c r="GC270">
        <v>90000000</v>
      </c>
      <c r="GD270">
        <v>93966000</v>
      </c>
      <c r="GE270">
        <v>91261061</v>
      </c>
      <c r="GF270">
        <v>70</v>
      </c>
      <c r="GG270">
        <v>53</v>
      </c>
      <c r="GI270" s="24"/>
      <c r="GJ270">
        <v>20802058</v>
      </c>
      <c r="GK270">
        <v>21105555</v>
      </c>
      <c r="GL270">
        <v>20808891</v>
      </c>
      <c r="GM270">
        <v>389</v>
      </c>
      <c r="GN270">
        <v>69</v>
      </c>
      <c r="GP270" s="24"/>
      <c r="GQ270">
        <v>112</v>
      </c>
      <c r="GR270">
        <v>117</v>
      </c>
      <c r="GS270">
        <v>117</v>
      </c>
      <c r="GT270">
        <v>88983200</v>
      </c>
      <c r="GU270">
        <v>93</v>
      </c>
      <c r="GW270" s="24"/>
      <c r="GX270">
        <v>384</v>
      </c>
      <c r="GY270">
        <v>425</v>
      </c>
      <c r="GZ270">
        <v>425</v>
      </c>
      <c r="HA270">
        <v>46675403</v>
      </c>
      <c r="HB270">
        <v>191</v>
      </c>
      <c r="HD270" s="24"/>
      <c r="HE270">
        <v>5300</v>
      </c>
      <c r="HF270">
        <v>5396</v>
      </c>
      <c r="HG270">
        <v>5394</v>
      </c>
      <c r="HH270">
        <v>11122618</v>
      </c>
      <c r="HI270">
        <v>258</v>
      </c>
      <c r="HK270" s="24"/>
      <c r="HL270">
        <v>90001229</v>
      </c>
      <c r="HM270">
        <v>93748991</v>
      </c>
      <c r="HN270">
        <v>90200000</v>
      </c>
      <c r="HO270">
        <v>125</v>
      </c>
      <c r="HP270">
        <v>74</v>
      </c>
      <c r="HR270" s="24"/>
      <c r="HS270">
        <v>8299</v>
      </c>
      <c r="HT270">
        <v>8897</v>
      </c>
      <c r="HU270">
        <v>8648</v>
      </c>
      <c r="HV270">
        <v>844524</v>
      </c>
      <c r="HW270">
        <v>199</v>
      </c>
      <c r="HY270" s="24"/>
      <c r="HZ270">
        <v>6901</v>
      </c>
      <c r="IA270">
        <v>7650</v>
      </c>
      <c r="IB270">
        <v>7498</v>
      </c>
      <c r="IC270">
        <v>1358105</v>
      </c>
      <c r="ID270">
        <v>358</v>
      </c>
      <c r="IF270" s="24"/>
      <c r="IG270">
        <v>2973</v>
      </c>
      <c r="IH270">
        <v>2979</v>
      </c>
      <c r="II270">
        <v>2973</v>
      </c>
      <c r="IJ270">
        <v>1662239</v>
      </c>
      <c r="IK270">
        <v>133</v>
      </c>
      <c r="IM270" s="24"/>
      <c r="IN270">
        <v>90000000</v>
      </c>
      <c r="IO270">
        <v>93788000</v>
      </c>
      <c r="IP270">
        <v>92168628</v>
      </c>
      <c r="IQ270">
        <v>78</v>
      </c>
      <c r="IR270">
        <v>55</v>
      </c>
      <c r="IT270" s="24"/>
      <c r="IU270">
        <v>7368</v>
      </c>
      <c r="IV270">
        <v>7369</v>
      </c>
      <c r="IW270">
        <v>7369</v>
      </c>
      <c r="IX270">
        <v>1231871</v>
      </c>
      <c r="IY270">
        <v>129</v>
      </c>
      <c r="JA270" s="24"/>
      <c r="JB270">
        <v>89149000</v>
      </c>
      <c r="JC270">
        <v>93744500</v>
      </c>
      <c r="JD270">
        <v>90000000</v>
      </c>
      <c r="JE270">
        <v>105</v>
      </c>
      <c r="JF270">
        <v>69</v>
      </c>
      <c r="JH270" s="24"/>
      <c r="JI270">
        <v>88171005</v>
      </c>
      <c r="JJ270">
        <v>96211998</v>
      </c>
      <c r="JK270">
        <v>89833819</v>
      </c>
      <c r="JL270">
        <v>48</v>
      </c>
      <c r="JM270">
        <v>33</v>
      </c>
      <c r="JO270" s="24"/>
      <c r="JP270">
        <v>151</v>
      </c>
      <c r="JQ270">
        <v>156</v>
      </c>
      <c r="JR270">
        <v>152</v>
      </c>
      <c r="JS270">
        <v>82245334</v>
      </c>
      <c r="JT270">
        <v>115</v>
      </c>
      <c r="JV270" s="24"/>
      <c r="JW270">
        <v>93</v>
      </c>
      <c r="JX270">
        <v>97</v>
      </c>
      <c r="JY270">
        <v>93</v>
      </c>
      <c r="JZ270">
        <v>132201656</v>
      </c>
      <c r="KA270">
        <v>92</v>
      </c>
      <c r="KC270" s="24"/>
      <c r="KD270">
        <v>20</v>
      </c>
      <c r="KE270">
        <v>21</v>
      </c>
      <c r="KF270">
        <v>21</v>
      </c>
      <c r="KG270">
        <v>58751177</v>
      </c>
      <c r="KH270">
        <v>312</v>
      </c>
      <c r="KJ270" s="24"/>
      <c r="KK270">
        <v>108</v>
      </c>
      <c r="KL270">
        <v>109</v>
      </c>
      <c r="KM270">
        <v>108</v>
      </c>
      <c r="KN270">
        <v>140208535</v>
      </c>
      <c r="KO270">
        <v>140</v>
      </c>
      <c r="KQ270" s="24"/>
      <c r="KR270">
        <v>124000</v>
      </c>
      <c r="KS270">
        <v>132999</v>
      </c>
      <c r="KT270">
        <v>124006</v>
      </c>
      <c r="KU270">
        <v>60965</v>
      </c>
      <c r="KV270">
        <v>570</v>
      </c>
      <c r="KX270" s="24"/>
      <c r="KY270">
        <v>631</v>
      </c>
      <c r="KZ270">
        <v>631</v>
      </c>
      <c r="LA270">
        <v>631</v>
      </c>
      <c r="LB270">
        <v>10389189</v>
      </c>
      <c r="LC270">
        <v>176</v>
      </c>
      <c r="LE270" s="24"/>
      <c r="LF270">
        <v>185500</v>
      </c>
      <c r="LG270">
        <v>185505</v>
      </c>
      <c r="LH270">
        <v>185501</v>
      </c>
      <c r="LI270">
        <v>167641</v>
      </c>
      <c r="LJ270">
        <v>805</v>
      </c>
      <c r="LL270" s="24"/>
      <c r="LM270">
        <v>73500</v>
      </c>
      <c r="LN270">
        <v>73510</v>
      </c>
      <c r="LO270">
        <v>73503</v>
      </c>
      <c r="LP270">
        <v>312883</v>
      </c>
      <c r="LQ270">
        <v>1155</v>
      </c>
      <c r="LS270" s="24"/>
      <c r="LT270">
        <v>453</v>
      </c>
      <c r="LU270">
        <v>462</v>
      </c>
      <c r="LV270">
        <v>460</v>
      </c>
      <c r="LW270">
        <v>82733587</v>
      </c>
      <c r="LX270">
        <v>324</v>
      </c>
      <c r="LZ270" s="24"/>
      <c r="MA270">
        <v>102003</v>
      </c>
      <c r="MB270">
        <v>104954</v>
      </c>
      <c r="MC270">
        <v>102008</v>
      </c>
      <c r="MD270">
        <v>589407</v>
      </c>
      <c r="ME270">
        <v>60</v>
      </c>
    </row>
    <row r="271" spans="2:343" x14ac:dyDescent="0.25">
      <c r="B271" s="24"/>
      <c r="C271">
        <v>3</v>
      </c>
      <c r="D271">
        <v>3</v>
      </c>
      <c r="E271">
        <v>3</v>
      </c>
      <c r="F271">
        <v>22950768727</v>
      </c>
      <c r="G271">
        <v>2686</v>
      </c>
      <c r="I271" s="24"/>
      <c r="J271">
        <v>4</v>
      </c>
      <c r="K271">
        <v>4</v>
      </c>
      <c r="L271">
        <v>4</v>
      </c>
      <c r="M271">
        <v>4329484703</v>
      </c>
      <c r="N271">
        <v>1976</v>
      </c>
      <c r="P271" s="24"/>
      <c r="Q271">
        <v>28</v>
      </c>
      <c r="R271">
        <v>29</v>
      </c>
      <c r="S271">
        <v>29</v>
      </c>
      <c r="T271">
        <v>1550535393</v>
      </c>
      <c r="U271">
        <v>1813</v>
      </c>
      <c r="W271" s="24"/>
      <c r="X271">
        <v>60</v>
      </c>
      <c r="Y271">
        <v>62</v>
      </c>
      <c r="Z271">
        <v>61</v>
      </c>
      <c r="AA271">
        <v>296930157</v>
      </c>
      <c r="AB271">
        <v>1436</v>
      </c>
      <c r="AD271" s="24"/>
      <c r="AE271">
        <v>386</v>
      </c>
      <c r="AF271">
        <v>390</v>
      </c>
      <c r="AG271">
        <v>390</v>
      </c>
      <c r="AH271">
        <v>66008491</v>
      </c>
      <c r="AI271">
        <v>1519</v>
      </c>
      <c r="AK271" s="24"/>
      <c r="AL271">
        <v>710</v>
      </c>
      <c r="AM271">
        <v>715</v>
      </c>
      <c r="AN271">
        <v>715</v>
      </c>
      <c r="AO271">
        <v>34004015</v>
      </c>
      <c r="AP271">
        <v>1267</v>
      </c>
      <c r="AR271" s="24"/>
      <c r="AS271">
        <v>2611</v>
      </c>
      <c r="AT271">
        <v>2696</v>
      </c>
      <c r="AU271">
        <v>2695</v>
      </c>
      <c r="AV271">
        <v>11294567</v>
      </c>
      <c r="AW271">
        <v>1223</v>
      </c>
      <c r="AY271" s="24"/>
      <c r="AZ271">
        <v>377771005</v>
      </c>
      <c r="BA271">
        <v>383156942</v>
      </c>
      <c r="BB271">
        <v>381999992</v>
      </c>
      <c r="BC271">
        <v>2802</v>
      </c>
      <c r="BD271">
        <v>1804</v>
      </c>
      <c r="BF271" s="24"/>
      <c r="BG271">
        <v>25035</v>
      </c>
      <c r="BH271">
        <v>25035</v>
      </c>
      <c r="BI271">
        <v>25035</v>
      </c>
      <c r="BJ271">
        <v>1721880</v>
      </c>
      <c r="BK271">
        <v>210</v>
      </c>
      <c r="BM271" s="24"/>
      <c r="BN271">
        <v>6155068</v>
      </c>
      <c r="BO271">
        <v>6250120</v>
      </c>
      <c r="BP271">
        <v>6200000</v>
      </c>
      <c r="BQ271">
        <v>9307</v>
      </c>
      <c r="BR271">
        <v>320</v>
      </c>
      <c r="BT271" s="24"/>
      <c r="BU271">
        <v>2177</v>
      </c>
      <c r="BV271">
        <v>2249</v>
      </c>
      <c r="BW271">
        <v>2224</v>
      </c>
      <c r="BX271">
        <v>48041385</v>
      </c>
      <c r="BY271">
        <v>340</v>
      </c>
      <c r="CA271" s="24"/>
      <c r="CB271">
        <v>451</v>
      </c>
      <c r="CC271">
        <v>473</v>
      </c>
      <c r="CD271">
        <v>471</v>
      </c>
      <c r="CE271">
        <v>65521919</v>
      </c>
      <c r="CF271">
        <v>278</v>
      </c>
      <c r="CH271" s="24"/>
      <c r="CI271">
        <v>23001</v>
      </c>
      <c r="CJ271">
        <v>24000</v>
      </c>
      <c r="CK271">
        <v>23001</v>
      </c>
      <c r="CL271">
        <v>1336734</v>
      </c>
      <c r="CM271">
        <v>162</v>
      </c>
      <c r="CO271" s="24"/>
      <c r="CP271">
        <v>6705</v>
      </c>
      <c r="CQ271">
        <v>6999</v>
      </c>
      <c r="CR271">
        <v>6998</v>
      </c>
      <c r="CS271">
        <v>1325853</v>
      </c>
      <c r="CT271">
        <v>376</v>
      </c>
      <c r="CV271" s="24"/>
      <c r="CW271">
        <v>1300930</v>
      </c>
      <c r="CX271">
        <v>1344000</v>
      </c>
      <c r="CY271">
        <v>1343998</v>
      </c>
      <c r="CZ271">
        <v>8006</v>
      </c>
      <c r="DA271">
        <v>40</v>
      </c>
      <c r="DC271" s="24"/>
      <c r="DD271">
        <v>468</v>
      </c>
      <c r="DE271">
        <v>471</v>
      </c>
      <c r="DF271">
        <v>468</v>
      </c>
      <c r="DG271">
        <v>30541798</v>
      </c>
      <c r="DH271">
        <v>172</v>
      </c>
      <c r="DJ271" s="24"/>
      <c r="DK271">
        <v>31400049</v>
      </c>
      <c r="DL271">
        <v>31411120</v>
      </c>
      <c r="DM271">
        <v>31411118</v>
      </c>
      <c r="DN271">
        <v>343</v>
      </c>
      <c r="DO271">
        <v>71</v>
      </c>
      <c r="DQ271" s="24"/>
      <c r="DR271">
        <v>1009880</v>
      </c>
      <c r="DS271">
        <v>1400000</v>
      </c>
      <c r="DT271">
        <v>1300000</v>
      </c>
      <c r="DU271">
        <v>8152</v>
      </c>
      <c r="DV271">
        <v>237</v>
      </c>
      <c r="DX271" s="24"/>
      <c r="DY271">
        <v>21900101</v>
      </c>
      <c r="DZ271">
        <v>22264551</v>
      </c>
      <c r="EA271">
        <v>21900102</v>
      </c>
      <c r="EB271">
        <v>387</v>
      </c>
      <c r="EC271">
        <v>107</v>
      </c>
      <c r="EE271" s="24"/>
      <c r="EF271">
        <v>186</v>
      </c>
      <c r="EG271">
        <v>197</v>
      </c>
      <c r="EH271">
        <v>193</v>
      </c>
      <c r="EI271">
        <v>111103762</v>
      </c>
      <c r="EJ271">
        <v>222</v>
      </c>
      <c r="EL271" s="24"/>
      <c r="EM271">
        <v>56208</v>
      </c>
      <c r="EN271">
        <v>56427</v>
      </c>
      <c r="EO271">
        <v>56422</v>
      </c>
      <c r="EP271">
        <v>74011</v>
      </c>
      <c r="EQ271">
        <v>721</v>
      </c>
      <c r="ES271" s="24"/>
      <c r="ET271">
        <v>281</v>
      </c>
      <c r="EU271">
        <v>298</v>
      </c>
      <c r="EV271">
        <v>298</v>
      </c>
      <c r="EW271">
        <v>49572783</v>
      </c>
      <c r="EX271">
        <v>566</v>
      </c>
      <c r="EZ271" s="24"/>
      <c r="FA271">
        <v>3410011</v>
      </c>
      <c r="FB271">
        <v>3616187</v>
      </c>
      <c r="FC271">
        <v>3616187</v>
      </c>
      <c r="FD271">
        <v>1162</v>
      </c>
      <c r="FE271">
        <v>19</v>
      </c>
      <c r="FG271" s="24"/>
      <c r="FH271">
        <v>6200</v>
      </c>
      <c r="FI271">
        <v>6494</v>
      </c>
      <c r="FJ271">
        <v>6469</v>
      </c>
      <c r="FK271">
        <v>1718719</v>
      </c>
      <c r="FL271">
        <v>436</v>
      </c>
      <c r="FN271" s="24"/>
      <c r="FO271">
        <v>19788</v>
      </c>
      <c r="FP271">
        <v>22045</v>
      </c>
      <c r="FQ271">
        <v>20999</v>
      </c>
      <c r="FR271">
        <v>217278</v>
      </c>
      <c r="FS271">
        <v>92</v>
      </c>
      <c r="FU271" s="24"/>
      <c r="FV271">
        <v>16413</v>
      </c>
      <c r="FW271">
        <v>16939</v>
      </c>
      <c r="FX271">
        <v>16420</v>
      </c>
      <c r="FY271">
        <v>421942</v>
      </c>
      <c r="FZ271">
        <v>1349</v>
      </c>
      <c r="GB271" s="24"/>
      <c r="GC271">
        <v>87120109</v>
      </c>
      <c r="GD271">
        <v>89518004</v>
      </c>
      <c r="GE271">
        <v>89518000</v>
      </c>
      <c r="GF271">
        <v>167</v>
      </c>
      <c r="GG271">
        <v>89</v>
      </c>
      <c r="GI271" s="24"/>
      <c r="GJ271">
        <v>19050000</v>
      </c>
      <c r="GK271">
        <v>21215555</v>
      </c>
      <c r="GL271">
        <v>20802058</v>
      </c>
      <c r="GM271">
        <v>636</v>
      </c>
      <c r="GN271">
        <v>98</v>
      </c>
      <c r="GP271" s="24"/>
      <c r="GQ271">
        <v>117</v>
      </c>
      <c r="GR271">
        <v>130</v>
      </c>
      <c r="GS271">
        <v>123</v>
      </c>
      <c r="GT271">
        <v>251746302</v>
      </c>
      <c r="GU271">
        <v>158</v>
      </c>
      <c r="GW271" s="24"/>
      <c r="GX271">
        <v>414</v>
      </c>
      <c r="GY271">
        <v>439</v>
      </c>
      <c r="GZ271">
        <v>431</v>
      </c>
      <c r="HA271">
        <v>50221141</v>
      </c>
      <c r="HB271">
        <v>258</v>
      </c>
      <c r="HD271" s="24"/>
      <c r="HE271">
        <v>5206</v>
      </c>
      <c r="HF271">
        <v>5393</v>
      </c>
      <c r="HG271">
        <v>5391</v>
      </c>
      <c r="HH271">
        <v>16677453</v>
      </c>
      <c r="HI271">
        <v>299</v>
      </c>
      <c r="HK271" s="24"/>
      <c r="HL271">
        <v>88227000</v>
      </c>
      <c r="HM271">
        <v>93748491</v>
      </c>
      <c r="HN271">
        <v>90922323</v>
      </c>
      <c r="HO271">
        <v>79</v>
      </c>
      <c r="HP271">
        <v>55</v>
      </c>
      <c r="HR271" s="24"/>
      <c r="HS271">
        <v>8103</v>
      </c>
      <c r="HT271">
        <v>9099</v>
      </c>
      <c r="HU271">
        <v>8994</v>
      </c>
      <c r="HV271">
        <v>701087</v>
      </c>
      <c r="HW271">
        <v>149</v>
      </c>
      <c r="HY271" s="24"/>
      <c r="HZ271">
        <v>7597</v>
      </c>
      <c r="IA271">
        <v>7780</v>
      </c>
      <c r="IB271">
        <v>7652</v>
      </c>
      <c r="IC271">
        <v>2258051</v>
      </c>
      <c r="ID271">
        <v>453</v>
      </c>
      <c r="IF271" s="24"/>
      <c r="IG271">
        <v>2979</v>
      </c>
      <c r="IH271">
        <v>3000</v>
      </c>
      <c r="II271">
        <v>2979</v>
      </c>
      <c r="IJ271">
        <v>2740768</v>
      </c>
      <c r="IK271">
        <v>143</v>
      </c>
      <c r="IM271" s="24"/>
      <c r="IN271">
        <v>89139000</v>
      </c>
      <c r="IO271">
        <v>93784499</v>
      </c>
      <c r="IP271">
        <v>91368067</v>
      </c>
      <c r="IQ271">
        <v>87</v>
      </c>
      <c r="IR271">
        <v>62</v>
      </c>
      <c r="IT271" s="24"/>
      <c r="IU271">
        <v>7345</v>
      </c>
      <c r="IV271">
        <v>7575</v>
      </c>
      <c r="IW271">
        <v>7393</v>
      </c>
      <c r="IX271">
        <v>1607029</v>
      </c>
      <c r="IY271">
        <v>157</v>
      </c>
      <c r="JA271" s="24"/>
      <c r="JB271">
        <v>89122221</v>
      </c>
      <c r="JC271">
        <v>93783000</v>
      </c>
      <c r="JD271">
        <v>90568313</v>
      </c>
      <c r="JE271">
        <v>98</v>
      </c>
      <c r="JF271">
        <v>70</v>
      </c>
      <c r="JH271" s="24"/>
      <c r="JI271">
        <v>88172100</v>
      </c>
      <c r="JJ271">
        <v>94997999</v>
      </c>
      <c r="JK271">
        <v>91413575</v>
      </c>
      <c r="JL271">
        <v>47</v>
      </c>
      <c r="JM271">
        <v>38</v>
      </c>
      <c r="JO271" s="24"/>
      <c r="JP271">
        <v>145</v>
      </c>
      <c r="JQ271">
        <v>151</v>
      </c>
      <c r="JR271">
        <v>151</v>
      </c>
      <c r="JS271">
        <v>135307002</v>
      </c>
      <c r="JT271">
        <v>137</v>
      </c>
      <c r="JV271" s="24"/>
      <c r="JW271">
        <v>93</v>
      </c>
      <c r="JX271">
        <v>97</v>
      </c>
      <c r="JY271">
        <v>93</v>
      </c>
      <c r="JZ271">
        <v>180733197</v>
      </c>
      <c r="KA271">
        <v>142</v>
      </c>
      <c r="KC271" s="24"/>
      <c r="KD271">
        <v>20</v>
      </c>
      <c r="KE271">
        <v>21</v>
      </c>
      <c r="KF271">
        <v>21</v>
      </c>
      <c r="KG271">
        <v>59478629</v>
      </c>
      <c r="KH271">
        <v>357</v>
      </c>
      <c r="KJ271" s="24"/>
      <c r="KK271">
        <v>106</v>
      </c>
      <c r="KL271">
        <v>115</v>
      </c>
      <c r="KM271">
        <v>111</v>
      </c>
      <c r="KN271">
        <v>217137014</v>
      </c>
      <c r="KO271">
        <v>123</v>
      </c>
      <c r="KQ271" s="24"/>
      <c r="KR271">
        <v>125152</v>
      </c>
      <c r="KS271">
        <v>131000</v>
      </c>
      <c r="KT271">
        <v>125294</v>
      </c>
      <c r="KU271">
        <v>68616</v>
      </c>
      <c r="KV271">
        <v>689</v>
      </c>
      <c r="KX271" s="24"/>
      <c r="KY271">
        <v>649</v>
      </c>
      <c r="KZ271">
        <v>649</v>
      </c>
      <c r="LA271">
        <v>649</v>
      </c>
      <c r="LB271">
        <v>4514858</v>
      </c>
      <c r="LC271">
        <v>177</v>
      </c>
      <c r="LE271" s="24"/>
      <c r="LF271">
        <v>184982</v>
      </c>
      <c r="LG271">
        <v>197746</v>
      </c>
      <c r="LH271">
        <v>186206</v>
      </c>
      <c r="LI271">
        <v>128038</v>
      </c>
      <c r="LJ271">
        <v>1032</v>
      </c>
      <c r="LL271" s="24"/>
      <c r="LM271">
        <v>74025</v>
      </c>
      <c r="LN271">
        <v>74042</v>
      </c>
      <c r="LO271">
        <v>74042</v>
      </c>
      <c r="LP271">
        <v>495282</v>
      </c>
      <c r="LQ271">
        <v>1403</v>
      </c>
      <c r="LS271" s="24"/>
      <c r="LT271">
        <v>461</v>
      </c>
      <c r="LU271">
        <v>462</v>
      </c>
      <c r="LV271">
        <v>461</v>
      </c>
      <c r="LW271">
        <v>93311251</v>
      </c>
      <c r="LX271">
        <v>328</v>
      </c>
      <c r="LZ271" s="24"/>
      <c r="MA271">
        <v>101504</v>
      </c>
      <c r="MB271">
        <v>105244</v>
      </c>
      <c r="MC271">
        <v>103999</v>
      </c>
      <c r="MD271">
        <v>1062494</v>
      </c>
      <c r="ME271">
        <v>90</v>
      </c>
    </row>
    <row r="272" spans="2:343" x14ac:dyDescent="0.25">
      <c r="B272" s="24"/>
      <c r="C272">
        <v>3</v>
      </c>
      <c r="D272">
        <v>3</v>
      </c>
      <c r="E272">
        <v>3</v>
      </c>
      <c r="F272">
        <v>28265346614</v>
      </c>
      <c r="G272">
        <v>2817</v>
      </c>
      <c r="I272" s="24"/>
      <c r="J272">
        <v>4</v>
      </c>
      <c r="K272">
        <v>4</v>
      </c>
      <c r="L272">
        <v>4</v>
      </c>
      <c r="M272">
        <v>5719604811</v>
      </c>
      <c r="N272">
        <v>2001</v>
      </c>
      <c r="P272" s="24"/>
      <c r="Q272">
        <v>29</v>
      </c>
      <c r="R272">
        <v>29</v>
      </c>
      <c r="S272">
        <v>29</v>
      </c>
      <c r="T272">
        <v>2157726499</v>
      </c>
      <c r="U272">
        <v>1889</v>
      </c>
      <c r="W272" s="24"/>
      <c r="X272">
        <v>61</v>
      </c>
      <c r="Y272">
        <v>62</v>
      </c>
      <c r="Z272">
        <v>62</v>
      </c>
      <c r="AA272">
        <v>412514327</v>
      </c>
      <c r="AB272">
        <v>1521</v>
      </c>
      <c r="AD272" s="24"/>
      <c r="AE272">
        <v>386</v>
      </c>
      <c r="AF272">
        <v>390</v>
      </c>
      <c r="AG272">
        <v>387</v>
      </c>
      <c r="AH272">
        <v>131842504</v>
      </c>
      <c r="AI272">
        <v>1606</v>
      </c>
      <c r="AK272" s="24"/>
      <c r="AL272">
        <v>700</v>
      </c>
      <c r="AM272">
        <v>716</v>
      </c>
      <c r="AN272">
        <v>714</v>
      </c>
      <c r="AO272">
        <v>32490826</v>
      </c>
      <c r="AP272">
        <v>1312</v>
      </c>
      <c r="AR272" s="24"/>
      <c r="AS272">
        <v>2618</v>
      </c>
      <c r="AT272">
        <v>2695</v>
      </c>
      <c r="AU272">
        <v>2693</v>
      </c>
      <c r="AV272">
        <v>17692197</v>
      </c>
      <c r="AW272">
        <v>1318</v>
      </c>
      <c r="AY272" s="24"/>
      <c r="AZ272">
        <v>378056059</v>
      </c>
      <c r="BA272">
        <v>383699999</v>
      </c>
      <c r="BB272">
        <v>382399935</v>
      </c>
      <c r="BC272">
        <v>2425</v>
      </c>
      <c r="BD272">
        <v>1643</v>
      </c>
      <c r="BF272" s="24"/>
      <c r="BG272">
        <v>25036</v>
      </c>
      <c r="BH272">
        <v>25100</v>
      </c>
      <c r="BI272">
        <v>25036</v>
      </c>
      <c r="BJ272">
        <v>2733206</v>
      </c>
      <c r="BK272">
        <v>211</v>
      </c>
      <c r="BM272" s="24"/>
      <c r="BN272">
        <v>6250119</v>
      </c>
      <c r="BO272">
        <v>6355000</v>
      </c>
      <c r="BP272">
        <v>6301222</v>
      </c>
      <c r="BQ272">
        <v>13047</v>
      </c>
      <c r="BR272">
        <v>334</v>
      </c>
      <c r="BT272" s="24"/>
      <c r="BU272">
        <v>2103</v>
      </c>
      <c r="BV272">
        <v>2238</v>
      </c>
      <c r="BW272">
        <v>2160</v>
      </c>
      <c r="BX272">
        <v>25817691</v>
      </c>
      <c r="BY272">
        <v>260</v>
      </c>
      <c r="CA272" s="24"/>
      <c r="CB272">
        <v>460</v>
      </c>
      <c r="CC272">
        <v>469</v>
      </c>
      <c r="CD272">
        <v>464</v>
      </c>
      <c r="CE272">
        <v>63499559</v>
      </c>
      <c r="CF272">
        <v>261</v>
      </c>
      <c r="CH272" s="24"/>
      <c r="CI272">
        <v>23002</v>
      </c>
      <c r="CJ272">
        <v>23002</v>
      </c>
      <c r="CK272">
        <v>23002</v>
      </c>
      <c r="CL272">
        <v>1477062</v>
      </c>
      <c r="CM272">
        <v>179</v>
      </c>
      <c r="CO272" s="24"/>
      <c r="CP272">
        <v>7000</v>
      </c>
      <c r="CQ272">
        <v>7228</v>
      </c>
      <c r="CR272">
        <v>7195</v>
      </c>
      <c r="CS272">
        <v>1257686</v>
      </c>
      <c r="CT272">
        <v>387</v>
      </c>
      <c r="CV272" s="24"/>
      <c r="CW272">
        <v>1340081</v>
      </c>
      <c r="CX272">
        <v>1343998</v>
      </c>
      <c r="CY272">
        <v>1343998</v>
      </c>
      <c r="CZ272">
        <v>11065</v>
      </c>
      <c r="DA272">
        <v>40</v>
      </c>
      <c r="DC272" s="24"/>
      <c r="DD272">
        <v>452</v>
      </c>
      <c r="DE272">
        <v>465</v>
      </c>
      <c r="DF272">
        <v>461</v>
      </c>
      <c r="DG272">
        <v>23673500</v>
      </c>
      <c r="DH272">
        <v>163</v>
      </c>
      <c r="DJ272" s="24"/>
      <c r="DK272">
        <v>31711112</v>
      </c>
      <c r="DL272">
        <v>31811111</v>
      </c>
      <c r="DM272">
        <v>31711112</v>
      </c>
      <c r="DN272">
        <v>359</v>
      </c>
      <c r="DO272">
        <v>82</v>
      </c>
      <c r="DQ272" s="24"/>
      <c r="DR272">
        <v>1250055</v>
      </c>
      <c r="DS272">
        <v>1350005</v>
      </c>
      <c r="DT272">
        <v>1250056</v>
      </c>
      <c r="DU272">
        <v>9821</v>
      </c>
      <c r="DV272">
        <v>240</v>
      </c>
      <c r="DX272" s="24"/>
      <c r="DY272">
        <v>21900106</v>
      </c>
      <c r="DZ272">
        <v>22501111</v>
      </c>
      <c r="EA272">
        <v>21900270</v>
      </c>
      <c r="EB272">
        <v>489</v>
      </c>
      <c r="EC272">
        <v>115</v>
      </c>
      <c r="EE272" s="24"/>
      <c r="EF272">
        <v>186</v>
      </c>
      <c r="EG272">
        <v>202</v>
      </c>
      <c r="EH272">
        <v>188</v>
      </c>
      <c r="EI272">
        <v>89636159</v>
      </c>
      <c r="EJ272">
        <v>162</v>
      </c>
      <c r="EL272" s="24"/>
      <c r="EM272">
        <v>56001</v>
      </c>
      <c r="EN272">
        <v>57948</v>
      </c>
      <c r="EO272">
        <v>56002</v>
      </c>
      <c r="EP272">
        <v>86483</v>
      </c>
      <c r="EQ272">
        <v>771</v>
      </c>
      <c r="ES272" s="24"/>
      <c r="ET272">
        <v>285</v>
      </c>
      <c r="EU272">
        <v>298</v>
      </c>
      <c r="EV272">
        <v>298</v>
      </c>
      <c r="EW272">
        <v>48505318</v>
      </c>
      <c r="EX272">
        <v>541</v>
      </c>
      <c r="EZ272" s="24"/>
      <c r="FA272">
        <v>3450000</v>
      </c>
      <c r="FB272">
        <v>3590000</v>
      </c>
      <c r="FC272">
        <v>3590000</v>
      </c>
      <c r="FD272">
        <v>1406</v>
      </c>
      <c r="FE272">
        <v>22</v>
      </c>
      <c r="FG272" s="24"/>
      <c r="FH272">
        <v>6301</v>
      </c>
      <c r="FI272">
        <v>6496</v>
      </c>
      <c r="FJ272">
        <v>6489</v>
      </c>
      <c r="FK272">
        <v>1764392</v>
      </c>
      <c r="FL272">
        <v>425</v>
      </c>
      <c r="FN272" s="24"/>
      <c r="FO272">
        <v>19936</v>
      </c>
      <c r="FP272">
        <v>21699</v>
      </c>
      <c r="FQ272">
        <v>21684</v>
      </c>
      <c r="FR272">
        <v>110172</v>
      </c>
      <c r="FS272">
        <v>66</v>
      </c>
      <c r="FU272" s="24"/>
      <c r="FV272">
        <v>15861</v>
      </c>
      <c r="FW272">
        <v>16501</v>
      </c>
      <c r="FX272">
        <v>16425</v>
      </c>
      <c r="FY272">
        <v>429841</v>
      </c>
      <c r="FZ272">
        <v>1431</v>
      </c>
      <c r="GB272" s="24"/>
      <c r="GC272">
        <v>85000019</v>
      </c>
      <c r="GD272">
        <v>93443399</v>
      </c>
      <c r="GE272">
        <v>88777879</v>
      </c>
      <c r="GF272">
        <v>79</v>
      </c>
      <c r="GG272">
        <v>59</v>
      </c>
      <c r="GI272" s="24"/>
      <c r="GJ272">
        <v>19600111</v>
      </c>
      <c r="GK272">
        <v>21050007</v>
      </c>
      <c r="GL272">
        <v>19600113</v>
      </c>
      <c r="GM272">
        <v>505</v>
      </c>
      <c r="GN272">
        <v>105</v>
      </c>
      <c r="GP272" s="24"/>
      <c r="GQ272">
        <v>120</v>
      </c>
      <c r="GR272">
        <v>124</v>
      </c>
      <c r="GS272">
        <v>121</v>
      </c>
      <c r="GT272">
        <v>217294446</v>
      </c>
      <c r="GU272">
        <v>173</v>
      </c>
      <c r="GW272" s="24"/>
      <c r="GX272">
        <v>413</v>
      </c>
      <c r="GY272">
        <v>429</v>
      </c>
      <c r="GZ272">
        <v>424</v>
      </c>
      <c r="HA272">
        <v>25035609</v>
      </c>
      <c r="HB272">
        <v>169</v>
      </c>
      <c r="HD272" s="24"/>
      <c r="HE272">
        <v>5207</v>
      </c>
      <c r="HF272">
        <v>5347</v>
      </c>
      <c r="HG272">
        <v>5250</v>
      </c>
      <c r="HH272">
        <v>18214962</v>
      </c>
      <c r="HI272">
        <v>300</v>
      </c>
      <c r="HK272" s="24"/>
      <c r="HL272">
        <v>88226056</v>
      </c>
      <c r="HM272">
        <v>91999993</v>
      </c>
      <c r="HN272">
        <v>90509813</v>
      </c>
      <c r="HO272">
        <v>85</v>
      </c>
      <c r="HP272">
        <v>68</v>
      </c>
      <c r="HR272" s="24"/>
      <c r="HS272">
        <v>8997</v>
      </c>
      <c r="HT272">
        <v>9289</v>
      </c>
      <c r="HU272">
        <v>9000</v>
      </c>
      <c r="HV272">
        <v>839831</v>
      </c>
      <c r="HW272">
        <v>179</v>
      </c>
      <c r="HY272" s="24"/>
      <c r="HZ272">
        <v>7406</v>
      </c>
      <c r="IA272">
        <v>8049</v>
      </c>
      <c r="IB272">
        <v>7898</v>
      </c>
      <c r="IC272">
        <v>2016364</v>
      </c>
      <c r="ID272">
        <v>436</v>
      </c>
      <c r="IF272" s="24"/>
      <c r="IG272">
        <v>3007</v>
      </c>
      <c r="IH272">
        <v>3595</v>
      </c>
      <c r="II272">
        <v>3100</v>
      </c>
      <c r="IJ272">
        <v>1799703</v>
      </c>
      <c r="IK272">
        <v>117</v>
      </c>
      <c r="IM272" s="24"/>
      <c r="IN272">
        <v>89141340</v>
      </c>
      <c r="IO272">
        <v>93774499</v>
      </c>
      <c r="IP272">
        <v>91171218</v>
      </c>
      <c r="IQ272">
        <v>72</v>
      </c>
      <c r="IR272">
        <v>57</v>
      </c>
      <c r="IT272" s="24"/>
      <c r="IU272">
        <v>7371</v>
      </c>
      <c r="IV272">
        <v>7499</v>
      </c>
      <c r="IW272">
        <v>7450</v>
      </c>
      <c r="IX272">
        <v>936736</v>
      </c>
      <c r="IY272">
        <v>117</v>
      </c>
      <c r="JA272" s="24"/>
      <c r="JB272">
        <v>89122223</v>
      </c>
      <c r="JC272">
        <v>93781996</v>
      </c>
      <c r="JD272">
        <v>90428003</v>
      </c>
      <c r="JE272">
        <v>85</v>
      </c>
      <c r="JF272">
        <v>67</v>
      </c>
      <c r="JH272" s="24"/>
      <c r="JI272">
        <v>89005001</v>
      </c>
      <c r="JJ272">
        <v>92972979</v>
      </c>
      <c r="JK272">
        <v>90153559</v>
      </c>
      <c r="JL272">
        <v>71</v>
      </c>
      <c r="JM272">
        <v>43</v>
      </c>
      <c r="JO272" s="24"/>
      <c r="JP272">
        <v>133</v>
      </c>
      <c r="JQ272">
        <v>157</v>
      </c>
      <c r="JR272">
        <v>149</v>
      </c>
      <c r="JS272">
        <v>114181836</v>
      </c>
      <c r="JT272">
        <v>121</v>
      </c>
      <c r="JV272" s="24"/>
      <c r="JW272">
        <v>93</v>
      </c>
      <c r="JX272">
        <v>96</v>
      </c>
      <c r="JY272">
        <v>95</v>
      </c>
      <c r="JZ272">
        <v>62558036</v>
      </c>
      <c r="KA272">
        <v>86</v>
      </c>
      <c r="KC272" s="24"/>
      <c r="KD272">
        <v>20</v>
      </c>
      <c r="KE272">
        <v>22</v>
      </c>
      <c r="KF272">
        <v>22</v>
      </c>
      <c r="KG272">
        <v>52409889</v>
      </c>
      <c r="KH272">
        <v>349</v>
      </c>
      <c r="KJ272" s="24"/>
      <c r="KK272">
        <v>116</v>
      </c>
      <c r="KL272">
        <v>135</v>
      </c>
      <c r="KM272">
        <v>116</v>
      </c>
      <c r="KN272">
        <v>91859802</v>
      </c>
      <c r="KO272">
        <v>107</v>
      </c>
      <c r="KQ272" s="24"/>
      <c r="KR272">
        <v>123999</v>
      </c>
      <c r="KS272">
        <v>125293</v>
      </c>
      <c r="KT272">
        <v>125226</v>
      </c>
      <c r="KU272">
        <v>98762</v>
      </c>
      <c r="KV272">
        <v>693</v>
      </c>
      <c r="KX272" s="24"/>
      <c r="KY272">
        <v>641</v>
      </c>
      <c r="KZ272">
        <v>648</v>
      </c>
      <c r="LA272">
        <v>648</v>
      </c>
      <c r="LB272">
        <v>5668464</v>
      </c>
      <c r="LC272">
        <v>164</v>
      </c>
      <c r="LE272" s="24"/>
      <c r="LF272">
        <v>186500</v>
      </c>
      <c r="LG272">
        <v>186503</v>
      </c>
      <c r="LH272">
        <v>186503</v>
      </c>
      <c r="LI272">
        <v>123563</v>
      </c>
      <c r="LJ272">
        <v>1012</v>
      </c>
      <c r="LL272" s="24"/>
      <c r="LM272">
        <v>74500</v>
      </c>
      <c r="LN272">
        <v>74505</v>
      </c>
      <c r="LO272">
        <v>74504</v>
      </c>
      <c r="LP272">
        <v>342306</v>
      </c>
      <c r="LQ272">
        <v>1428</v>
      </c>
      <c r="LS272" s="24"/>
      <c r="LT272">
        <v>458</v>
      </c>
      <c r="LU272">
        <v>461</v>
      </c>
      <c r="LV272">
        <v>460</v>
      </c>
      <c r="LW272">
        <v>102586008</v>
      </c>
      <c r="LX272">
        <v>358</v>
      </c>
      <c r="LZ272" s="24"/>
      <c r="MA272">
        <v>100502</v>
      </c>
      <c r="MB272">
        <v>104997</v>
      </c>
      <c r="MC272">
        <v>102000</v>
      </c>
      <c r="MD272">
        <v>993996</v>
      </c>
      <c r="ME272">
        <v>85</v>
      </c>
    </row>
    <row r="273" spans="2:343" x14ac:dyDescent="0.25">
      <c r="B273" s="24"/>
      <c r="C273">
        <v>3</v>
      </c>
      <c r="D273">
        <v>3</v>
      </c>
      <c r="E273">
        <v>3</v>
      </c>
      <c r="F273">
        <v>23632781434</v>
      </c>
      <c r="G273">
        <v>2323</v>
      </c>
      <c r="I273" s="24"/>
      <c r="J273">
        <v>4</v>
      </c>
      <c r="K273">
        <v>4</v>
      </c>
      <c r="L273">
        <v>4</v>
      </c>
      <c r="M273">
        <v>4356305267</v>
      </c>
      <c r="N273">
        <v>1668</v>
      </c>
      <c r="P273" s="24"/>
      <c r="Q273">
        <v>28</v>
      </c>
      <c r="R273">
        <v>29</v>
      </c>
      <c r="S273">
        <v>29</v>
      </c>
      <c r="T273">
        <v>1154314345</v>
      </c>
      <c r="U273">
        <v>1510</v>
      </c>
      <c r="W273" s="24"/>
      <c r="X273">
        <v>61</v>
      </c>
      <c r="Y273">
        <v>62</v>
      </c>
      <c r="Z273">
        <v>62</v>
      </c>
      <c r="AA273">
        <v>247896675</v>
      </c>
      <c r="AB273">
        <v>1222</v>
      </c>
      <c r="AD273" s="24"/>
      <c r="AE273">
        <v>386</v>
      </c>
      <c r="AF273">
        <v>393</v>
      </c>
      <c r="AG273">
        <v>391</v>
      </c>
      <c r="AH273">
        <v>86097367</v>
      </c>
      <c r="AI273">
        <v>1294</v>
      </c>
      <c r="AK273" s="24"/>
      <c r="AL273">
        <v>703</v>
      </c>
      <c r="AM273">
        <v>715</v>
      </c>
      <c r="AN273">
        <v>704</v>
      </c>
      <c r="AO273">
        <v>27796819</v>
      </c>
      <c r="AP273">
        <v>1086</v>
      </c>
      <c r="AR273" s="24"/>
      <c r="AS273">
        <v>2633</v>
      </c>
      <c r="AT273">
        <v>2706</v>
      </c>
      <c r="AU273">
        <v>2698</v>
      </c>
      <c r="AV273">
        <v>14322002</v>
      </c>
      <c r="AW273">
        <v>1075</v>
      </c>
      <c r="AY273" s="24"/>
      <c r="AZ273">
        <v>380251001</v>
      </c>
      <c r="BA273">
        <v>387300000</v>
      </c>
      <c r="BB273">
        <v>384499500</v>
      </c>
      <c r="BC273">
        <v>2381</v>
      </c>
      <c r="BD273">
        <v>1580</v>
      </c>
      <c r="BF273" s="24"/>
      <c r="BG273">
        <v>23401</v>
      </c>
      <c r="BH273">
        <v>25035</v>
      </c>
      <c r="BI273">
        <v>23800</v>
      </c>
      <c r="BJ273">
        <v>3287765</v>
      </c>
      <c r="BK273">
        <v>230</v>
      </c>
      <c r="BM273" s="24"/>
      <c r="BN273">
        <v>6260034</v>
      </c>
      <c r="BO273">
        <v>6399998</v>
      </c>
      <c r="BP273">
        <v>6260060</v>
      </c>
      <c r="BQ273">
        <v>9107</v>
      </c>
      <c r="BR273">
        <v>302</v>
      </c>
      <c r="BT273" s="24"/>
      <c r="BU273">
        <v>2068</v>
      </c>
      <c r="BV273">
        <v>2234</v>
      </c>
      <c r="BW273">
        <v>2228</v>
      </c>
      <c r="BX273">
        <v>12548329</v>
      </c>
      <c r="BY273">
        <v>183</v>
      </c>
      <c r="CA273" s="24"/>
      <c r="CB273">
        <v>455</v>
      </c>
      <c r="CC273">
        <v>458</v>
      </c>
      <c r="CD273">
        <v>456</v>
      </c>
      <c r="CE273">
        <v>61268258</v>
      </c>
      <c r="CF273">
        <v>230</v>
      </c>
      <c r="CH273" s="24"/>
      <c r="CI273">
        <v>23003</v>
      </c>
      <c r="CJ273">
        <v>23003</v>
      </c>
      <c r="CK273">
        <v>23003</v>
      </c>
      <c r="CL273">
        <v>1248966</v>
      </c>
      <c r="CM273">
        <v>180</v>
      </c>
      <c r="CO273" s="24"/>
      <c r="CP273">
        <v>6803</v>
      </c>
      <c r="CQ273">
        <v>7199</v>
      </c>
      <c r="CR273">
        <v>7079</v>
      </c>
      <c r="CS273">
        <v>1124989</v>
      </c>
      <c r="CT273">
        <v>340</v>
      </c>
      <c r="CV273" s="24"/>
      <c r="CW273">
        <v>1260000</v>
      </c>
      <c r="CX273">
        <v>1340999</v>
      </c>
      <c r="CY273">
        <v>1340996</v>
      </c>
      <c r="CZ273">
        <v>6054</v>
      </c>
      <c r="DA273">
        <v>25</v>
      </c>
      <c r="DC273" s="24"/>
      <c r="DD273">
        <v>445</v>
      </c>
      <c r="DE273">
        <v>455</v>
      </c>
      <c r="DF273">
        <v>453</v>
      </c>
      <c r="DG273">
        <v>27285417</v>
      </c>
      <c r="DH273">
        <v>160</v>
      </c>
      <c r="DJ273" s="24"/>
      <c r="DK273">
        <v>31601002</v>
      </c>
      <c r="DL273">
        <v>31700001</v>
      </c>
      <c r="DM273">
        <v>31700000</v>
      </c>
      <c r="DN273">
        <v>362</v>
      </c>
      <c r="DO273">
        <v>82</v>
      </c>
      <c r="DQ273" s="24"/>
      <c r="DR273">
        <v>1395998</v>
      </c>
      <c r="DS273">
        <v>1450000</v>
      </c>
      <c r="DT273">
        <v>1444999</v>
      </c>
      <c r="DU273">
        <v>9341</v>
      </c>
      <c r="DV273">
        <v>216</v>
      </c>
      <c r="DX273" s="24"/>
      <c r="DY273">
        <v>21030334</v>
      </c>
      <c r="DZ273">
        <v>22399999</v>
      </c>
      <c r="EA273">
        <v>22026088</v>
      </c>
      <c r="EB273">
        <v>399</v>
      </c>
      <c r="EC273">
        <v>88</v>
      </c>
      <c r="EE273" s="24"/>
      <c r="EF273">
        <v>188</v>
      </c>
      <c r="EG273">
        <v>199</v>
      </c>
      <c r="EH273">
        <v>189</v>
      </c>
      <c r="EI273">
        <v>69261758</v>
      </c>
      <c r="EJ273">
        <v>131</v>
      </c>
      <c r="EL273" s="24"/>
      <c r="EM273">
        <v>53512</v>
      </c>
      <c r="EN273">
        <v>56001</v>
      </c>
      <c r="EO273">
        <v>56001</v>
      </c>
      <c r="EP273">
        <v>77007</v>
      </c>
      <c r="EQ273">
        <v>617</v>
      </c>
      <c r="ES273" s="24"/>
      <c r="ET273">
        <v>297</v>
      </c>
      <c r="EU273">
        <v>301</v>
      </c>
      <c r="EV273">
        <v>299</v>
      </c>
      <c r="EW273">
        <v>29261560</v>
      </c>
      <c r="EX273">
        <v>488</v>
      </c>
      <c r="EZ273" s="24"/>
      <c r="FA273">
        <v>3440002</v>
      </c>
      <c r="FB273">
        <v>3604999</v>
      </c>
      <c r="FC273">
        <v>3460000</v>
      </c>
      <c r="FD273">
        <v>1799</v>
      </c>
      <c r="FE273">
        <v>19</v>
      </c>
      <c r="FG273" s="24"/>
      <c r="FH273">
        <v>6239</v>
      </c>
      <c r="FI273">
        <v>6597</v>
      </c>
      <c r="FJ273">
        <v>6596</v>
      </c>
      <c r="FK273">
        <v>1569760</v>
      </c>
      <c r="FL273">
        <v>390</v>
      </c>
      <c r="FN273" s="24"/>
      <c r="FO273">
        <v>19796</v>
      </c>
      <c r="FP273">
        <v>21550</v>
      </c>
      <c r="FQ273">
        <v>19940</v>
      </c>
      <c r="FR273">
        <v>606635</v>
      </c>
      <c r="FS273">
        <v>106</v>
      </c>
      <c r="FU273" s="24"/>
      <c r="FV273">
        <v>15861</v>
      </c>
      <c r="FW273">
        <v>15866</v>
      </c>
      <c r="FX273">
        <v>15865</v>
      </c>
      <c r="FY273">
        <v>277787</v>
      </c>
      <c r="FZ273">
        <v>1133</v>
      </c>
      <c r="GB273" s="24"/>
      <c r="GC273">
        <v>86000106</v>
      </c>
      <c r="GD273">
        <v>91243999</v>
      </c>
      <c r="GE273">
        <v>88646704</v>
      </c>
      <c r="GF273">
        <v>73</v>
      </c>
      <c r="GG273">
        <v>54</v>
      </c>
      <c r="GI273" s="24"/>
      <c r="GJ273">
        <v>20000004</v>
      </c>
      <c r="GK273">
        <v>21550000</v>
      </c>
      <c r="GL273">
        <v>20999999</v>
      </c>
      <c r="GM273">
        <v>330</v>
      </c>
      <c r="GN273">
        <v>66</v>
      </c>
      <c r="GP273" s="24"/>
      <c r="GQ273">
        <v>112</v>
      </c>
      <c r="GR273">
        <v>121</v>
      </c>
      <c r="GS273">
        <v>118</v>
      </c>
      <c r="GT273">
        <v>121588149</v>
      </c>
      <c r="GU273">
        <v>128</v>
      </c>
      <c r="GW273" s="24"/>
      <c r="GX273">
        <v>412</v>
      </c>
      <c r="GY273">
        <v>414</v>
      </c>
      <c r="GZ273">
        <v>413</v>
      </c>
      <c r="HA273">
        <v>51475958</v>
      </c>
      <c r="HB273">
        <v>213</v>
      </c>
      <c r="HD273" s="24"/>
      <c r="HE273">
        <v>5298</v>
      </c>
      <c r="HF273">
        <v>5391</v>
      </c>
      <c r="HG273">
        <v>5298</v>
      </c>
      <c r="HH273">
        <v>17396353</v>
      </c>
      <c r="HI273">
        <v>281</v>
      </c>
      <c r="HK273" s="24"/>
      <c r="HL273">
        <v>87987001</v>
      </c>
      <c r="HM273">
        <v>89000000</v>
      </c>
      <c r="HN273">
        <v>88226042</v>
      </c>
      <c r="HO273">
        <v>120</v>
      </c>
      <c r="HP273">
        <v>60</v>
      </c>
      <c r="HR273" s="24"/>
      <c r="HS273">
        <v>8500</v>
      </c>
      <c r="HT273">
        <v>9498</v>
      </c>
      <c r="HU273">
        <v>9200</v>
      </c>
      <c r="HV273">
        <v>727184</v>
      </c>
      <c r="HW273">
        <v>127</v>
      </c>
      <c r="HY273" s="24"/>
      <c r="HZ273">
        <v>7503</v>
      </c>
      <c r="IA273">
        <v>7900</v>
      </c>
      <c r="IB273">
        <v>7890</v>
      </c>
      <c r="IC273">
        <v>1726188</v>
      </c>
      <c r="ID273">
        <v>419</v>
      </c>
      <c r="IF273" s="24"/>
      <c r="IG273">
        <v>3078</v>
      </c>
      <c r="IH273">
        <v>3277</v>
      </c>
      <c r="II273">
        <v>3177</v>
      </c>
      <c r="IJ273">
        <v>1276597</v>
      </c>
      <c r="IK273">
        <v>115</v>
      </c>
      <c r="IM273" s="24"/>
      <c r="IN273">
        <v>89142008</v>
      </c>
      <c r="IO273">
        <v>93399000</v>
      </c>
      <c r="IP273">
        <v>90997924</v>
      </c>
      <c r="IQ273">
        <v>81</v>
      </c>
      <c r="IR273">
        <v>66</v>
      </c>
      <c r="IT273" s="24"/>
      <c r="IU273">
        <v>7346</v>
      </c>
      <c r="IV273">
        <v>7449</v>
      </c>
      <c r="IW273">
        <v>7347</v>
      </c>
      <c r="IX273">
        <v>1289479</v>
      </c>
      <c r="IY273">
        <v>142</v>
      </c>
      <c r="JA273" s="24"/>
      <c r="JB273">
        <v>88311194</v>
      </c>
      <c r="JC273">
        <v>93699999</v>
      </c>
      <c r="JD273">
        <v>90192528</v>
      </c>
      <c r="JE273">
        <v>69</v>
      </c>
      <c r="JF273">
        <v>61</v>
      </c>
      <c r="JH273" s="24"/>
      <c r="JI273">
        <v>89005002</v>
      </c>
      <c r="JJ273">
        <v>91982989</v>
      </c>
      <c r="JK273">
        <v>89843102</v>
      </c>
      <c r="JL273">
        <v>72</v>
      </c>
      <c r="JM273">
        <v>40</v>
      </c>
      <c r="JO273" s="24"/>
      <c r="JP273">
        <v>147</v>
      </c>
      <c r="JQ273">
        <v>157</v>
      </c>
      <c r="JR273">
        <v>149</v>
      </c>
      <c r="JS273">
        <v>359474964</v>
      </c>
      <c r="JT273">
        <v>161</v>
      </c>
      <c r="JV273" s="24"/>
      <c r="JW273">
        <v>91</v>
      </c>
      <c r="JX273">
        <v>93</v>
      </c>
      <c r="JY273">
        <v>92</v>
      </c>
      <c r="JZ273">
        <v>110079949</v>
      </c>
      <c r="KA273">
        <v>93</v>
      </c>
      <c r="KC273" s="24"/>
      <c r="KD273">
        <v>21</v>
      </c>
      <c r="KE273">
        <v>22</v>
      </c>
      <c r="KF273">
        <v>22</v>
      </c>
      <c r="KG273">
        <v>41812631</v>
      </c>
      <c r="KH273">
        <v>334</v>
      </c>
      <c r="KJ273" s="24"/>
      <c r="KK273">
        <v>118</v>
      </c>
      <c r="KL273">
        <v>118</v>
      </c>
      <c r="KM273">
        <v>118</v>
      </c>
      <c r="KN273">
        <v>209702228</v>
      </c>
      <c r="KO273">
        <v>173</v>
      </c>
      <c r="KQ273" s="24"/>
      <c r="KR273">
        <v>121000</v>
      </c>
      <c r="KS273">
        <v>122001</v>
      </c>
      <c r="KT273">
        <v>121211</v>
      </c>
      <c r="KU273">
        <v>93266</v>
      </c>
      <c r="KV273">
        <v>614</v>
      </c>
      <c r="KX273" s="24"/>
      <c r="KY273">
        <v>632</v>
      </c>
      <c r="KZ273">
        <v>647</v>
      </c>
      <c r="LA273">
        <v>633</v>
      </c>
      <c r="LB273">
        <v>6768569</v>
      </c>
      <c r="LC273">
        <v>175</v>
      </c>
      <c r="LE273" s="24"/>
      <c r="LF273">
        <v>185002</v>
      </c>
      <c r="LG273">
        <v>187000</v>
      </c>
      <c r="LH273">
        <v>185006</v>
      </c>
      <c r="LI273">
        <v>253714</v>
      </c>
      <c r="LJ273">
        <v>875</v>
      </c>
      <c r="LL273" s="24"/>
      <c r="LM273">
        <v>74101</v>
      </c>
      <c r="LN273">
        <v>74814</v>
      </c>
      <c r="LO273">
        <v>74811</v>
      </c>
      <c r="LP273">
        <v>341851</v>
      </c>
      <c r="LQ273">
        <v>1251</v>
      </c>
      <c r="LS273" s="24"/>
      <c r="LT273">
        <v>459</v>
      </c>
      <c r="LU273">
        <v>462</v>
      </c>
      <c r="LV273">
        <v>461</v>
      </c>
      <c r="LW273">
        <v>83765503</v>
      </c>
      <c r="LX273">
        <v>335</v>
      </c>
      <c r="LZ273" s="24"/>
      <c r="MA273">
        <v>100581</v>
      </c>
      <c r="MB273">
        <v>104999</v>
      </c>
      <c r="MC273">
        <v>101000</v>
      </c>
      <c r="MD273">
        <v>706651</v>
      </c>
      <c r="ME273">
        <v>72</v>
      </c>
    </row>
    <row r="274" spans="2:343" x14ac:dyDescent="0.25">
      <c r="B274" s="24"/>
      <c r="C274">
        <v>3</v>
      </c>
      <c r="D274">
        <v>3</v>
      </c>
      <c r="E274">
        <v>3</v>
      </c>
      <c r="F274">
        <v>34842009652</v>
      </c>
      <c r="G274">
        <v>2295</v>
      </c>
      <c r="I274" s="24"/>
      <c r="J274">
        <v>4</v>
      </c>
      <c r="K274">
        <v>4</v>
      </c>
      <c r="L274">
        <v>4</v>
      </c>
      <c r="M274">
        <v>6768584616</v>
      </c>
      <c r="N274">
        <v>1609</v>
      </c>
      <c r="P274" s="24"/>
      <c r="Q274">
        <v>28</v>
      </c>
      <c r="R274">
        <v>29</v>
      </c>
      <c r="S274">
        <v>29</v>
      </c>
      <c r="T274">
        <v>1368247472</v>
      </c>
      <c r="U274">
        <v>1405</v>
      </c>
      <c r="W274" s="24"/>
      <c r="X274">
        <v>61</v>
      </c>
      <c r="Y274">
        <v>61</v>
      </c>
      <c r="Z274">
        <v>61</v>
      </c>
      <c r="AA274">
        <v>492809674</v>
      </c>
      <c r="AB274">
        <v>1194</v>
      </c>
      <c r="AD274" s="24"/>
      <c r="AE274">
        <v>392</v>
      </c>
      <c r="AF274">
        <v>392</v>
      </c>
      <c r="AG274">
        <v>392</v>
      </c>
      <c r="AH274">
        <v>154183243</v>
      </c>
      <c r="AI274">
        <v>1214</v>
      </c>
      <c r="AK274" s="24"/>
      <c r="AL274">
        <v>698</v>
      </c>
      <c r="AM274">
        <v>714</v>
      </c>
      <c r="AN274">
        <v>709</v>
      </c>
      <c r="AO274">
        <v>38890732</v>
      </c>
      <c r="AP274">
        <v>1091</v>
      </c>
      <c r="AR274" s="24"/>
      <c r="AS274">
        <v>2633</v>
      </c>
      <c r="AT274">
        <v>2705</v>
      </c>
      <c r="AU274">
        <v>2677</v>
      </c>
      <c r="AV274">
        <v>13442691</v>
      </c>
      <c r="AW274">
        <v>1016</v>
      </c>
      <c r="AY274" s="24"/>
      <c r="AZ274">
        <v>382000000</v>
      </c>
      <c r="BA274">
        <v>388997995</v>
      </c>
      <c r="BB274">
        <v>385179907</v>
      </c>
      <c r="BC274">
        <v>2328</v>
      </c>
      <c r="BD274">
        <v>1589</v>
      </c>
      <c r="BF274" s="24"/>
      <c r="BG274">
        <v>23475</v>
      </c>
      <c r="BH274">
        <v>23689</v>
      </c>
      <c r="BI274">
        <v>23478</v>
      </c>
      <c r="BJ274">
        <v>3553814</v>
      </c>
      <c r="BK274">
        <v>250</v>
      </c>
      <c r="BM274" s="24"/>
      <c r="BN274">
        <v>6275061</v>
      </c>
      <c r="BO274">
        <v>6276000</v>
      </c>
      <c r="BP274">
        <v>6275068</v>
      </c>
      <c r="BQ274">
        <v>13274</v>
      </c>
      <c r="BR274">
        <v>325</v>
      </c>
      <c r="BT274" s="24"/>
      <c r="BU274">
        <v>2110</v>
      </c>
      <c r="BV274">
        <v>2197</v>
      </c>
      <c r="BW274">
        <v>2181</v>
      </c>
      <c r="BX274">
        <v>18175418</v>
      </c>
      <c r="BY274">
        <v>218</v>
      </c>
      <c r="CA274" s="24"/>
      <c r="CB274">
        <v>455</v>
      </c>
      <c r="CC274">
        <v>456</v>
      </c>
      <c r="CD274">
        <v>455</v>
      </c>
      <c r="CE274">
        <v>62500418</v>
      </c>
      <c r="CF274">
        <v>271</v>
      </c>
      <c r="CH274" s="24"/>
      <c r="CI274">
        <v>23003</v>
      </c>
      <c r="CJ274">
        <v>23003</v>
      </c>
      <c r="CK274">
        <v>23003</v>
      </c>
      <c r="CL274">
        <v>526765</v>
      </c>
      <c r="CM274">
        <v>143</v>
      </c>
      <c r="CO274" s="24"/>
      <c r="CP274">
        <v>6803</v>
      </c>
      <c r="CQ274">
        <v>7169</v>
      </c>
      <c r="CR274">
        <v>7149</v>
      </c>
      <c r="CS274">
        <v>1017282</v>
      </c>
      <c r="CT274">
        <v>300</v>
      </c>
      <c r="CV274" s="24"/>
      <c r="CW274">
        <v>1320889</v>
      </c>
      <c r="CX274">
        <v>1320889</v>
      </c>
      <c r="CY274">
        <v>1320889</v>
      </c>
      <c r="CZ274">
        <v>10368</v>
      </c>
      <c r="DA274">
        <v>36</v>
      </c>
      <c r="DC274" s="24"/>
      <c r="DD274">
        <v>455</v>
      </c>
      <c r="DE274">
        <v>464</v>
      </c>
      <c r="DF274">
        <v>464</v>
      </c>
      <c r="DG274">
        <v>26184480</v>
      </c>
      <c r="DH274">
        <v>151</v>
      </c>
      <c r="DJ274" s="24"/>
      <c r="DK274">
        <v>30800110</v>
      </c>
      <c r="DL274">
        <v>31601000</v>
      </c>
      <c r="DM274">
        <v>30800222</v>
      </c>
      <c r="DN274">
        <v>368</v>
      </c>
      <c r="DO274">
        <v>71</v>
      </c>
      <c r="DQ274" s="24"/>
      <c r="DR274">
        <v>1400898</v>
      </c>
      <c r="DS274">
        <v>1419999</v>
      </c>
      <c r="DT274">
        <v>1419999</v>
      </c>
      <c r="DU274">
        <v>6839</v>
      </c>
      <c r="DV274">
        <v>181</v>
      </c>
      <c r="DX274" s="24"/>
      <c r="DY274">
        <v>21055157</v>
      </c>
      <c r="DZ274">
        <v>22200000</v>
      </c>
      <c r="EA274">
        <v>22000000</v>
      </c>
      <c r="EB274">
        <v>530</v>
      </c>
      <c r="EC274">
        <v>112</v>
      </c>
      <c r="EE274" s="24"/>
      <c r="EF274">
        <v>189</v>
      </c>
      <c r="EG274">
        <v>193</v>
      </c>
      <c r="EH274">
        <v>189</v>
      </c>
      <c r="EI274">
        <v>71723793</v>
      </c>
      <c r="EJ274">
        <v>155</v>
      </c>
      <c r="EL274" s="24"/>
      <c r="EM274">
        <v>53515</v>
      </c>
      <c r="EN274">
        <v>54000</v>
      </c>
      <c r="EO274">
        <v>53519</v>
      </c>
      <c r="EP274">
        <v>63398</v>
      </c>
      <c r="EQ274">
        <v>565</v>
      </c>
      <c r="ES274" s="24"/>
      <c r="ET274">
        <v>285</v>
      </c>
      <c r="EU274">
        <v>301</v>
      </c>
      <c r="EV274">
        <v>300</v>
      </c>
      <c r="EW274">
        <v>32919797</v>
      </c>
      <c r="EX274">
        <v>495</v>
      </c>
      <c r="EZ274" s="24"/>
      <c r="FA274">
        <v>3604610</v>
      </c>
      <c r="FB274">
        <v>3604999</v>
      </c>
      <c r="FC274">
        <v>3604610</v>
      </c>
      <c r="FD274">
        <v>2433</v>
      </c>
      <c r="FE274">
        <v>32</v>
      </c>
      <c r="FG274" s="24"/>
      <c r="FH274">
        <v>6250</v>
      </c>
      <c r="FI274">
        <v>6650</v>
      </c>
      <c r="FJ274">
        <v>6597</v>
      </c>
      <c r="FK274">
        <v>1249343</v>
      </c>
      <c r="FL274">
        <v>345</v>
      </c>
      <c r="FN274" s="24"/>
      <c r="FO274">
        <v>19788</v>
      </c>
      <c r="FP274">
        <v>21000</v>
      </c>
      <c r="FQ274">
        <v>19788</v>
      </c>
      <c r="FR274">
        <v>213624</v>
      </c>
      <c r="FS274">
        <v>75</v>
      </c>
      <c r="FU274" s="24"/>
      <c r="FV274">
        <v>15861</v>
      </c>
      <c r="FW274">
        <v>15865</v>
      </c>
      <c r="FX274">
        <v>15863</v>
      </c>
      <c r="FY274">
        <v>323067</v>
      </c>
      <c r="FZ274">
        <v>1099</v>
      </c>
      <c r="GB274" s="24"/>
      <c r="GC274">
        <v>88999967</v>
      </c>
      <c r="GD274">
        <v>91244997</v>
      </c>
      <c r="GE274">
        <v>88999968</v>
      </c>
      <c r="GF274">
        <v>102</v>
      </c>
      <c r="GG274">
        <v>73</v>
      </c>
      <c r="GI274" s="24"/>
      <c r="GJ274">
        <v>20102339</v>
      </c>
      <c r="GK274">
        <v>21549999</v>
      </c>
      <c r="GL274">
        <v>20103002</v>
      </c>
      <c r="GM274">
        <v>455</v>
      </c>
      <c r="GN274">
        <v>96</v>
      </c>
      <c r="GP274" s="24"/>
      <c r="GQ274">
        <v>115</v>
      </c>
      <c r="GR274">
        <v>118</v>
      </c>
      <c r="GS274">
        <v>116</v>
      </c>
      <c r="GT274">
        <v>84856805</v>
      </c>
      <c r="GU274">
        <v>126</v>
      </c>
      <c r="GW274" s="24"/>
      <c r="GX274">
        <v>409</v>
      </c>
      <c r="GY274">
        <v>414</v>
      </c>
      <c r="GZ274">
        <v>410</v>
      </c>
      <c r="HA274">
        <v>56065422</v>
      </c>
      <c r="HB274">
        <v>214</v>
      </c>
      <c r="HD274" s="24"/>
      <c r="HE274">
        <v>5275</v>
      </c>
      <c r="HF274">
        <v>5389</v>
      </c>
      <c r="HG274">
        <v>5389</v>
      </c>
      <c r="HH274">
        <v>15573507</v>
      </c>
      <c r="HI274">
        <v>251</v>
      </c>
      <c r="HK274" s="24"/>
      <c r="HL274">
        <v>87927327</v>
      </c>
      <c r="HM274">
        <v>91897976</v>
      </c>
      <c r="HN274">
        <v>91098649</v>
      </c>
      <c r="HO274">
        <v>80</v>
      </c>
      <c r="HP274">
        <v>60</v>
      </c>
      <c r="HR274" s="24"/>
      <c r="HS274">
        <v>8500</v>
      </c>
      <c r="HT274">
        <v>9137</v>
      </c>
      <c r="HU274">
        <v>8500</v>
      </c>
      <c r="HV274">
        <v>635358</v>
      </c>
      <c r="HW274">
        <v>142</v>
      </c>
      <c r="HY274" s="24"/>
      <c r="HZ274">
        <v>7408</v>
      </c>
      <c r="IA274">
        <v>8046</v>
      </c>
      <c r="IB274">
        <v>7729</v>
      </c>
      <c r="IC274">
        <v>1708888</v>
      </c>
      <c r="ID274">
        <v>398</v>
      </c>
      <c r="IF274" s="24"/>
      <c r="IG274">
        <v>3101</v>
      </c>
      <c r="IH274">
        <v>3449</v>
      </c>
      <c r="II274">
        <v>3448</v>
      </c>
      <c r="IJ274">
        <v>1185165</v>
      </c>
      <c r="IK274">
        <v>130</v>
      </c>
      <c r="IM274" s="24"/>
      <c r="IN274">
        <v>89142013</v>
      </c>
      <c r="IO274">
        <v>93271500</v>
      </c>
      <c r="IP274">
        <v>91927856</v>
      </c>
      <c r="IQ274">
        <v>68</v>
      </c>
      <c r="IR274">
        <v>56</v>
      </c>
      <c r="IT274" s="24"/>
      <c r="IU274">
        <v>7149</v>
      </c>
      <c r="IV274">
        <v>7398</v>
      </c>
      <c r="IW274">
        <v>7330</v>
      </c>
      <c r="IX274">
        <v>1057680</v>
      </c>
      <c r="IY274">
        <v>132</v>
      </c>
      <c r="JA274" s="24"/>
      <c r="JB274">
        <v>86005697</v>
      </c>
      <c r="JC274">
        <v>93781976</v>
      </c>
      <c r="JD274">
        <v>91576399</v>
      </c>
      <c r="JE274">
        <v>69</v>
      </c>
      <c r="JF274">
        <v>64</v>
      </c>
      <c r="JH274" s="24"/>
      <c r="JI274">
        <v>89003000</v>
      </c>
      <c r="JJ274">
        <v>91499997</v>
      </c>
      <c r="JK274">
        <v>90511127</v>
      </c>
      <c r="JL274">
        <v>52</v>
      </c>
      <c r="JM274">
        <v>41</v>
      </c>
      <c r="JO274" s="24"/>
      <c r="JP274">
        <v>161</v>
      </c>
      <c r="JQ274">
        <v>194</v>
      </c>
      <c r="JR274">
        <v>162</v>
      </c>
      <c r="JS274">
        <v>61095025</v>
      </c>
      <c r="JT274">
        <v>96</v>
      </c>
      <c r="JV274" s="24"/>
      <c r="JW274">
        <v>87</v>
      </c>
      <c r="JX274">
        <v>91</v>
      </c>
      <c r="JY274">
        <v>90</v>
      </c>
      <c r="JZ274">
        <v>138518209</v>
      </c>
      <c r="KA274">
        <v>110</v>
      </c>
      <c r="KC274" s="24"/>
      <c r="KD274">
        <v>22</v>
      </c>
      <c r="KE274">
        <v>23</v>
      </c>
      <c r="KF274">
        <v>22</v>
      </c>
      <c r="KG274">
        <v>54180837</v>
      </c>
      <c r="KH274">
        <v>309</v>
      </c>
      <c r="KJ274" s="24"/>
      <c r="KK274">
        <v>101</v>
      </c>
      <c r="KL274">
        <v>111</v>
      </c>
      <c r="KM274">
        <v>108</v>
      </c>
      <c r="KN274">
        <v>113149863</v>
      </c>
      <c r="KO274">
        <v>122</v>
      </c>
      <c r="KQ274" s="24"/>
      <c r="KR274">
        <v>120003</v>
      </c>
      <c r="KS274">
        <v>125895</v>
      </c>
      <c r="KT274">
        <v>120012</v>
      </c>
      <c r="KU274">
        <v>65477</v>
      </c>
      <c r="KV274">
        <v>583</v>
      </c>
      <c r="KX274" s="24"/>
      <c r="KY274">
        <v>629</v>
      </c>
      <c r="KZ274">
        <v>647</v>
      </c>
      <c r="LA274">
        <v>647</v>
      </c>
      <c r="LB274">
        <v>3676749</v>
      </c>
      <c r="LC274">
        <v>146</v>
      </c>
      <c r="LE274" s="24"/>
      <c r="LF274">
        <v>185004</v>
      </c>
      <c r="LG274">
        <v>189999</v>
      </c>
      <c r="LH274">
        <v>185005</v>
      </c>
      <c r="LI274">
        <v>126223</v>
      </c>
      <c r="LJ274">
        <v>829</v>
      </c>
      <c r="LL274" s="24"/>
      <c r="LM274">
        <v>71027</v>
      </c>
      <c r="LN274">
        <v>74101</v>
      </c>
      <c r="LO274">
        <v>73036</v>
      </c>
      <c r="LP274">
        <v>317569</v>
      </c>
      <c r="LQ274">
        <v>1174</v>
      </c>
      <c r="LS274" s="24"/>
      <c r="LT274">
        <v>453</v>
      </c>
      <c r="LU274">
        <v>464</v>
      </c>
      <c r="LV274">
        <v>464</v>
      </c>
      <c r="LW274">
        <v>82200591</v>
      </c>
      <c r="LX274">
        <v>329</v>
      </c>
      <c r="LZ274" s="24"/>
      <c r="MA274">
        <v>100000</v>
      </c>
      <c r="MB274">
        <v>103995</v>
      </c>
      <c r="MC274">
        <v>102500</v>
      </c>
      <c r="MD274">
        <v>896739</v>
      </c>
      <c r="ME274">
        <v>75</v>
      </c>
    </row>
    <row r="275" spans="2:343" x14ac:dyDescent="0.25">
      <c r="B275" s="24"/>
      <c r="C275">
        <v>3</v>
      </c>
      <c r="D275">
        <v>3</v>
      </c>
      <c r="E275">
        <v>3</v>
      </c>
      <c r="F275">
        <v>22702653864</v>
      </c>
      <c r="G275">
        <v>2234</v>
      </c>
      <c r="I275" s="24"/>
      <c r="J275">
        <v>4</v>
      </c>
      <c r="K275">
        <v>4</v>
      </c>
      <c r="L275">
        <v>4</v>
      </c>
      <c r="M275">
        <v>5690529957</v>
      </c>
      <c r="N275">
        <v>1580</v>
      </c>
      <c r="P275" s="24"/>
      <c r="Q275">
        <v>29</v>
      </c>
      <c r="R275">
        <v>29</v>
      </c>
      <c r="S275">
        <v>29</v>
      </c>
      <c r="T275">
        <v>1632690493</v>
      </c>
      <c r="U275">
        <v>1459</v>
      </c>
      <c r="W275" s="24"/>
      <c r="X275">
        <v>61</v>
      </c>
      <c r="Y275">
        <v>61</v>
      </c>
      <c r="Z275">
        <v>61</v>
      </c>
      <c r="AA275">
        <v>350659726</v>
      </c>
      <c r="AB275">
        <v>1159</v>
      </c>
      <c r="AD275" s="24"/>
      <c r="AE275">
        <v>386</v>
      </c>
      <c r="AF275">
        <v>390</v>
      </c>
      <c r="AG275">
        <v>389</v>
      </c>
      <c r="AH275">
        <v>83556834</v>
      </c>
      <c r="AI275">
        <v>1202</v>
      </c>
      <c r="AK275" s="24"/>
      <c r="AL275">
        <v>705</v>
      </c>
      <c r="AM275">
        <v>713</v>
      </c>
      <c r="AN275">
        <v>706</v>
      </c>
      <c r="AO275">
        <v>26176302</v>
      </c>
      <c r="AP275">
        <v>990</v>
      </c>
      <c r="AR275" s="24"/>
      <c r="AS275">
        <v>2676</v>
      </c>
      <c r="AT275">
        <v>2697</v>
      </c>
      <c r="AU275">
        <v>2692</v>
      </c>
      <c r="AV275">
        <v>8882815</v>
      </c>
      <c r="AW275">
        <v>969</v>
      </c>
      <c r="AY275" s="24"/>
      <c r="AZ275">
        <v>386000000</v>
      </c>
      <c r="BA275">
        <v>391499999</v>
      </c>
      <c r="BB275">
        <v>389700000</v>
      </c>
      <c r="BC275">
        <v>2469</v>
      </c>
      <c r="BD275">
        <v>1692</v>
      </c>
      <c r="BF275" s="24"/>
      <c r="BG275">
        <v>23709</v>
      </c>
      <c r="BH275">
        <v>23920</v>
      </c>
      <c r="BI275">
        <v>23862</v>
      </c>
      <c r="BJ275">
        <v>2989848</v>
      </c>
      <c r="BK275">
        <v>218</v>
      </c>
      <c r="BM275" s="24"/>
      <c r="BN275">
        <v>6275071</v>
      </c>
      <c r="BO275">
        <v>6398991</v>
      </c>
      <c r="BP275">
        <v>6290070</v>
      </c>
      <c r="BQ275">
        <v>12013</v>
      </c>
      <c r="BR275">
        <v>342</v>
      </c>
      <c r="BT275" s="24"/>
      <c r="BU275">
        <v>2075</v>
      </c>
      <c r="BV275">
        <v>2146</v>
      </c>
      <c r="BW275">
        <v>2132</v>
      </c>
      <c r="BX275">
        <v>21383972</v>
      </c>
      <c r="BY275">
        <v>246</v>
      </c>
      <c r="CA275" s="24"/>
      <c r="CB275">
        <v>445</v>
      </c>
      <c r="CC275">
        <v>456</v>
      </c>
      <c r="CD275">
        <v>456</v>
      </c>
      <c r="CE275">
        <v>41620251</v>
      </c>
      <c r="CF275">
        <v>206</v>
      </c>
      <c r="CH275" s="24"/>
      <c r="CI275">
        <v>23003</v>
      </c>
      <c r="CJ275">
        <v>23004</v>
      </c>
      <c r="CK275">
        <v>23004</v>
      </c>
      <c r="CL275">
        <v>3452627</v>
      </c>
      <c r="CM275">
        <v>199</v>
      </c>
      <c r="CO275" s="24"/>
      <c r="CP275">
        <v>6805</v>
      </c>
      <c r="CQ275">
        <v>7169</v>
      </c>
      <c r="CR275">
        <v>6999</v>
      </c>
      <c r="CS275">
        <v>882438</v>
      </c>
      <c r="CT275">
        <v>304</v>
      </c>
      <c r="CV275" s="24"/>
      <c r="CW275">
        <v>1270000</v>
      </c>
      <c r="CX275">
        <v>1320496</v>
      </c>
      <c r="CY275">
        <v>1320496</v>
      </c>
      <c r="CZ275">
        <v>9801</v>
      </c>
      <c r="DA275">
        <v>26</v>
      </c>
      <c r="DC275" s="24"/>
      <c r="DD275">
        <v>454</v>
      </c>
      <c r="DE275">
        <v>489</v>
      </c>
      <c r="DF275">
        <v>470</v>
      </c>
      <c r="DG275">
        <v>26353326</v>
      </c>
      <c r="DH275">
        <v>149</v>
      </c>
      <c r="DJ275" s="24"/>
      <c r="DK275">
        <v>30704004</v>
      </c>
      <c r="DL275">
        <v>31999998</v>
      </c>
      <c r="DM275">
        <v>30800210</v>
      </c>
      <c r="DN275">
        <v>269</v>
      </c>
      <c r="DO275">
        <v>65</v>
      </c>
      <c r="DQ275" s="24"/>
      <c r="DR275">
        <v>1290100</v>
      </c>
      <c r="DS275">
        <v>1449999</v>
      </c>
      <c r="DT275">
        <v>1365080</v>
      </c>
      <c r="DU275">
        <v>7556</v>
      </c>
      <c r="DV275">
        <v>195</v>
      </c>
      <c r="DX275" s="24"/>
      <c r="DY275">
        <v>21151092</v>
      </c>
      <c r="DZ275">
        <v>22888886</v>
      </c>
      <c r="EA275">
        <v>21456789</v>
      </c>
      <c r="EB275">
        <v>610</v>
      </c>
      <c r="EC275">
        <v>110</v>
      </c>
      <c r="EE275" s="24"/>
      <c r="EF275">
        <v>187</v>
      </c>
      <c r="EG275">
        <v>192</v>
      </c>
      <c r="EH275">
        <v>188</v>
      </c>
      <c r="EI275">
        <v>66903604</v>
      </c>
      <c r="EJ275">
        <v>152</v>
      </c>
      <c r="EL275" s="24"/>
      <c r="EM275">
        <v>54002</v>
      </c>
      <c r="EN275">
        <v>54003</v>
      </c>
      <c r="EO275">
        <v>54002</v>
      </c>
      <c r="EP275">
        <v>97388</v>
      </c>
      <c r="EQ275">
        <v>627</v>
      </c>
      <c r="ES275" s="24"/>
      <c r="ET275">
        <v>286</v>
      </c>
      <c r="EU275">
        <v>297</v>
      </c>
      <c r="EV275">
        <v>295</v>
      </c>
      <c r="EW275">
        <v>44986465</v>
      </c>
      <c r="EX275">
        <v>518</v>
      </c>
      <c r="EZ275" s="24"/>
      <c r="FA275">
        <v>3440005</v>
      </c>
      <c r="FB275">
        <v>3699987</v>
      </c>
      <c r="FC275">
        <v>3440806</v>
      </c>
      <c r="FD275">
        <v>1286</v>
      </c>
      <c r="FE275">
        <v>23</v>
      </c>
      <c r="FG275" s="24"/>
      <c r="FH275">
        <v>6650</v>
      </c>
      <c r="FI275">
        <v>6650</v>
      </c>
      <c r="FJ275">
        <v>6650</v>
      </c>
      <c r="FK275">
        <v>3687963</v>
      </c>
      <c r="FL275">
        <v>372</v>
      </c>
      <c r="FN275" s="24"/>
      <c r="FO275">
        <v>18506</v>
      </c>
      <c r="FP275">
        <v>19787</v>
      </c>
      <c r="FQ275">
        <v>18506</v>
      </c>
      <c r="FR275">
        <v>240203</v>
      </c>
      <c r="FS275">
        <v>88</v>
      </c>
      <c r="FU275" s="24"/>
      <c r="FV275">
        <v>15250</v>
      </c>
      <c r="FW275">
        <v>15866</v>
      </c>
      <c r="FX275">
        <v>15865</v>
      </c>
      <c r="FY275">
        <v>443180</v>
      </c>
      <c r="FZ275">
        <v>1126</v>
      </c>
      <c r="GB275" s="24"/>
      <c r="GC275">
        <v>0</v>
      </c>
      <c r="GD275">
        <v>88000430</v>
      </c>
      <c r="GE275">
        <v>85499140</v>
      </c>
      <c r="GF275">
        <v>73</v>
      </c>
      <c r="GG275">
        <v>51</v>
      </c>
      <c r="GI275" s="24"/>
      <c r="GJ275">
        <v>20202340</v>
      </c>
      <c r="GK275">
        <v>20203345</v>
      </c>
      <c r="GL275">
        <v>20202344</v>
      </c>
      <c r="GM275">
        <v>458</v>
      </c>
      <c r="GN275">
        <v>77</v>
      </c>
      <c r="GP275" s="24"/>
      <c r="GQ275">
        <v>113</v>
      </c>
      <c r="GR275">
        <v>116</v>
      </c>
      <c r="GS275">
        <v>113</v>
      </c>
      <c r="GT275">
        <v>102334129</v>
      </c>
      <c r="GU275">
        <v>112</v>
      </c>
      <c r="GW275" s="24"/>
      <c r="GX275">
        <v>419</v>
      </c>
      <c r="GY275">
        <v>424</v>
      </c>
      <c r="GZ275">
        <v>424</v>
      </c>
      <c r="HA275">
        <v>28644068</v>
      </c>
      <c r="HB275">
        <v>192</v>
      </c>
      <c r="HD275" s="24"/>
      <c r="HE275">
        <v>5275</v>
      </c>
      <c r="HF275">
        <v>5383</v>
      </c>
      <c r="HG275">
        <v>5358</v>
      </c>
      <c r="HH275">
        <v>10428605</v>
      </c>
      <c r="HI275">
        <v>247</v>
      </c>
      <c r="HK275" s="24"/>
      <c r="HL275">
        <v>87125010</v>
      </c>
      <c r="HM275">
        <v>87999999</v>
      </c>
      <c r="HN275">
        <v>87936000</v>
      </c>
      <c r="HO275">
        <v>186</v>
      </c>
      <c r="HP275">
        <v>92</v>
      </c>
      <c r="HR275" s="24"/>
      <c r="HS275">
        <v>8108</v>
      </c>
      <c r="HT275">
        <v>8600</v>
      </c>
      <c r="HU275">
        <v>8597</v>
      </c>
      <c r="HV275">
        <v>957663</v>
      </c>
      <c r="HW275">
        <v>194</v>
      </c>
      <c r="HY275" s="24"/>
      <c r="HZ275">
        <v>7552</v>
      </c>
      <c r="IA275">
        <v>7848</v>
      </c>
      <c r="IB275">
        <v>7839</v>
      </c>
      <c r="IC275">
        <v>1874041</v>
      </c>
      <c r="ID275">
        <v>395</v>
      </c>
      <c r="IF275" s="24"/>
      <c r="IG275">
        <v>3129</v>
      </c>
      <c r="IH275">
        <v>3443</v>
      </c>
      <c r="II275">
        <v>3441</v>
      </c>
      <c r="IJ275">
        <v>844222</v>
      </c>
      <c r="IK275">
        <v>114</v>
      </c>
      <c r="IM275" s="24"/>
      <c r="IN275">
        <v>87000003</v>
      </c>
      <c r="IO275">
        <v>89154000</v>
      </c>
      <c r="IP275">
        <v>88994994</v>
      </c>
      <c r="IQ275">
        <v>137</v>
      </c>
      <c r="IR275">
        <v>71</v>
      </c>
      <c r="IT275" s="24"/>
      <c r="IU275">
        <v>7149</v>
      </c>
      <c r="IV275">
        <v>7394</v>
      </c>
      <c r="IW275">
        <v>7149</v>
      </c>
      <c r="IX275">
        <v>1633450</v>
      </c>
      <c r="IY275">
        <v>156</v>
      </c>
      <c r="JA275" s="24"/>
      <c r="JB275">
        <v>86005700</v>
      </c>
      <c r="JC275">
        <v>88993991</v>
      </c>
      <c r="JD275">
        <v>86007001</v>
      </c>
      <c r="JE275">
        <v>197</v>
      </c>
      <c r="JF275">
        <v>94</v>
      </c>
      <c r="JH275" s="24"/>
      <c r="JI275">
        <v>88181000</v>
      </c>
      <c r="JJ275">
        <v>91399999</v>
      </c>
      <c r="JK275">
        <v>89470779</v>
      </c>
      <c r="JL275">
        <v>50</v>
      </c>
      <c r="JM275">
        <v>36</v>
      </c>
      <c r="JO275" s="24"/>
      <c r="JP275">
        <v>134</v>
      </c>
      <c r="JQ275">
        <v>160</v>
      </c>
      <c r="JR275">
        <v>157</v>
      </c>
      <c r="JS275">
        <v>86186902</v>
      </c>
      <c r="JT275">
        <v>142</v>
      </c>
      <c r="JV275" s="24"/>
      <c r="JW275">
        <v>87</v>
      </c>
      <c r="JX275">
        <v>91</v>
      </c>
      <c r="JY275">
        <v>91</v>
      </c>
      <c r="JZ275">
        <v>114723783</v>
      </c>
      <c r="KA275">
        <v>109</v>
      </c>
      <c r="KC275" s="24"/>
      <c r="KD275">
        <v>21</v>
      </c>
      <c r="KE275">
        <v>22</v>
      </c>
      <c r="KF275">
        <v>22</v>
      </c>
      <c r="KG275">
        <v>63323870</v>
      </c>
      <c r="KH275">
        <v>282</v>
      </c>
      <c r="KJ275" s="24"/>
      <c r="KK275">
        <v>101</v>
      </c>
      <c r="KL275">
        <v>104</v>
      </c>
      <c r="KM275">
        <v>101</v>
      </c>
      <c r="KN275">
        <v>144693716</v>
      </c>
      <c r="KO275">
        <v>149</v>
      </c>
      <c r="KQ275" s="24"/>
      <c r="KR275">
        <v>116510</v>
      </c>
      <c r="KS275">
        <v>122003</v>
      </c>
      <c r="KT275">
        <v>121002</v>
      </c>
      <c r="KU275">
        <v>96525</v>
      </c>
      <c r="KV275">
        <v>552</v>
      </c>
      <c r="KX275" s="24"/>
      <c r="KY275">
        <v>627</v>
      </c>
      <c r="KZ275">
        <v>646</v>
      </c>
      <c r="LA275">
        <v>642</v>
      </c>
      <c r="LB275">
        <v>3470391</v>
      </c>
      <c r="LC275">
        <v>172</v>
      </c>
      <c r="LE275" s="24"/>
      <c r="LF275">
        <v>185005</v>
      </c>
      <c r="LG275">
        <v>189795</v>
      </c>
      <c r="LH275">
        <v>185009</v>
      </c>
      <c r="LI275">
        <v>190667</v>
      </c>
      <c r="LJ275">
        <v>856</v>
      </c>
      <c r="LL275" s="24"/>
      <c r="LM275">
        <v>71030</v>
      </c>
      <c r="LN275">
        <v>71050</v>
      </c>
      <c r="LO275">
        <v>71030</v>
      </c>
      <c r="LP275">
        <v>449858</v>
      </c>
      <c r="LQ275">
        <v>1213</v>
      </c>
      <c r="LS275" s="24"/>
      <c r="LT275">
        <v>467</v>
      </c>
      <c r="LU275">
        <v>488</v>
      </c>
      <c r="LV275">
        <v>478</v>
      </c>
      <c r="LW275">
        <v>74194134</v>
      </c>
      <c r="LX275">
        <v>327</v>
      </c>
      <c r="LZ275" s="24"/>
      <c r="MA275">
        <v>101000</v>
      </c>
      <c r="MB275">
        <v>103994</v>
      </c>
      <c r="MC275">
        <v>103994</v>
      </c>
      <c r="MD275">
        <v>687075</v>
      </c>
      <c r="ME275">
        <v>66</v>
      </c>
    </row>
    <row r="276" spans="2:343" x14ac:dyDescent="0.25">
      <c r="B276" s="24"/>
      <c r="C276">
        <v>3</v>
      </c>
      <c r="D276">
        <v>3</v>
      </c>
      <c r="E276">
        <v>3</v>
      </c>
      <c r="F276">
        <v>26749793344</v>
      </c>
      <c r="G276">
        <v>1693</v>
      </c>
      <c r="I276" s="24"/>
      <c r="J276">
        <v>4</v>
      </c>
      <c r="K276">
        <v>4</v>
      </c>
      <c r="L276">
        <v>4</v>
      </c>
      <c r="M276">
        <v>4947908859</v>
      </c>
      <c r="N276">
        <v>1245</v>
      </c>
      <c r="P276" s="24"/>
      <c r="Q276">
        <v>29</v>
      </c>
      <c r="R276">
        <v>29</v>
      </c>
      <c r="S276">
        <v>29</v>
      </c>
      <c r="T276">
        <v>1385835084</v>
      </c>
      <c r="U276">
        <v>1133</v>
      </c>
      <c r="W276" s="24"/>
      <c r="X276">
        <v>61</v>
      </c>
      <c r="Y276">
        <v>61</v>
      </c>
      <c r="Z276">
        <v>61</v>
      </c>
      <c r="AA276">
        <v>262584156</v>
      </c>
      <c r="AB276">
        <v>934</v>
      </c>
      <c r="AD276" s="24"/>
      <c r="AE276">
        <v>381</v>
      </c>
      <c r="AF276">
        <v>385</v>
      </c>
      <c r="AG276">
        <v>385</v>
      </c>
      <c r="AH276">
        <v>68993645</v>
      </c>
      <c r="AI276">
        <v>936</v>
      </c>
      <c r="AK276" s="24"/>
      <c r="AL276">
        <v>705</v>
      </c>
      <c r="AM276">
        <v>713</v>
      </c>
      <c r="AN276">
        <v>713</v>
      </c>
      <c r="AO276">
        <v>31401640</v>
      </c>
      <c r="AP276">
        <v>780</v>
      </c>
      <c r="AR276" s="24"/>
      <c r="AS276">
        <v>2679</v>
      </c>
      <c r="AT276">
        <v>2704</v>
      </c>
      <c r="AU276">
        <v>2699</v>
      </c>
      <c r="AV276">
        <v>8405271</v>
      </c>
      <c r="AW276">
        <v>797</v>
      </c>
      <c r="AY276" s="24"/>
      <c r="AZ276">
        <v>384120053</v>
      </c>
      <c r="BA276">
        <v>393488998</v>
      </c>
      <c r="BB276">
        <v>389120010</v>
      </c>
      <c r="BC276">
        <v>2074</v>
      </c>
      <c r="BD276">
        <v>1467</v>
      </c>
      <c r="BF276" s="24"/>
      <c r="BG276">
        <v>23996</v>
      </c>
      <c r="BH276">
        <v>24000</v>
      </c>
      <c r="BI276">
        <v>24000</v>
      </c>
      <c r="BJ276">
        <v>2478030</v>
      </c>
      <c r="BK276">
        <v>188</v>
      </c>
      <c r="BM276" s="24"/>
      <c r="BN276">
        <v>6295028</v>
      </c>
      <c r="BO276">
        <v>6295081</v>
      </c>
      <c r="BP276">
        <v>6295028</v>
      </c>
      <c r="BQ276">
        <v>9891</v>
      </c>
      <c r="BR276">
        <v>257</v>
      </c>
      <c r="BT276" s="24"/>
      <c r="BU276">
        <v>2146</v>
      </c>
      <c r="BV276">
        <v>2147</v>
      </c>
      <c r="BW276">
        <v>2146</v>
      </c>
      <c r="BX276">
        <v>24150485</v>
      </c>
      <c r="BY276">
        <v>192</v>
      </c>
      <c r="CA276" s="24"/>
      <c r="CB276">
        <v>455</v>
      </c>
      <c r="CC276">
        <v>456</v>
      </c>
      <c r="CD276">
        <v>456</v>
      </c>
      <c r="CE276">
        <v>58964988</v>
      </c>
      <c r="CF276">
        <v>196</v>
      </c>
      <c r="CH276" s="24"/>
      <c r="CI276">
        <v>22480</v>
      </c>
      <c r="CJ276">
        <v>22600</v>
      </c>
      <c r="CK276">
        <v>22500</v>
      </c>
      <c r="CL276">
        <v>323021</v>
      </c>
      <c r="CM276">
        <v>103</v>
      </c>
      <c r="CO276" s="24"/>
      <c r="CP276">
        <v>6807</v>
      </c>
      <c r="CQ276">
        <v>7228</v>
      </c>
      <c r="CR276">
        <v>7210</v>
      </c>
      <c r="CS276">
        <v>854337</v>
      </c>
      <c r="CT276">
        <v>279</v>
      </c>
      <c r="CV276" s="24"/>
      <c r="CW276">
        <v>1314000</v>
      </c>
      <c r="CX276">
        <v>1319899</v>
      </c>
      <c r="CY276">
        <v>1314000</v>
      </c>
      <c r="CZ276">
        <v>3885</v>
      </c>
      <c r="DA276">
        <v>18</v>
      </c>
      <c r="DC276" s="24"/>
      <c r="DD276">
        <v>446</v>
      </c>
      <c r="DE276">
        <v>488</v>
      </c>
      <c r="DF276">
        <v>471</v>
      </c>
      <c r="DG276">
        <v>41773241</v>
      </c>
      <c r="DH276">
        <v>144</v>
      </c>
      <c r="DJ276" s="24"/>
      <c r="DK276">
        <v>30906111</v>
      </c>
      <c r="DL276">
        <v>30906111</v>
      </c>
      <c r="DM276">
        <v>30906111</v>
      </c>
      <c r="DN276">
        <v>164</v>
      </c>
      <c r="DO276">
        <v>45</v>
      </c>
      <c r="DQ276" s="24"/>
      <c r="DR276">
        <v>1305111</v>
      </c>
      <c r="DS276">
        <v>1444999</v>
      </c>
      <c r="DT276">
        <v>1350000</v>
      </c>
      <c r="DU276">
        <v>3737</v>
      </c>
      <c r="DV276">
        <v>141</v>
      </c>
      <c r="DX276" s="24"/>
      <c r="DY276">
        <v>21457200</v>
      </c>
      <c r="DZ276">
        <v>22999989</v>
      </c>
      <c r="EA276">
        <v>22794999</v>
      </c>
      <c r="EB276">
        <v>229</v>
      </c>
      <c r="EC276">
        <v>49</v>
      </c>
      <c r="EE276" s="24"/>
      <c r="EF276">
        <v>187</v>
      </c>
      <c r="EG276">
        <v>190</v>
      </c>
      <c r="EH276">
        <v>190</v>
      </c>
      <c r="EI276">
        <v>70650102</v>
      </c>
      <c r="EJ276">
        <v>140</v>
      </c>
      <c r="EL276" s="24"/>
      <c r="EM276">
        <v>52000</v>
      </c>
      <c r="EN276">
        <v>53601</v>
      </c>
      <c r="EO276">
        <v>53507</v>
      </c>
      <c r="EP276">
        <v>88926</v>
      </c>
      <c r="EQ276">
        <v>451</v>
      </c>
      <c r="ES276" s="24"/>
      <c r="ET276">
        <v>295</v>
      </c>
      <c r="EU276">
        <v>296</v>
      </c>
      <c r="EV276">
        <v>295</v>
      </c>
      <c r="EW276">
        <v>34892954</v>
      </c>
      <c r="EX276">
        <v>407</v>
      </c>
      <c r="EZ276" s="24"/>
      <c r="FA276">
        <v>3730000</v>
      </c>
      <c r="FB276">
        <v>3730000</v>
      </c>
      <c r="FC276">
        <v>3730000</v>
      </c>
      <c r="FD276">
        <v>1180</v>
      </c>
      <c r="FE276">
        <v>21</v>
      </c>
      <c r="FG276" s="24"/>
      <c r="FH276">
        <v>6500</v>
      </c>
      <c r="FI276">
        <v>7317</v>
      </c>
      <c r="FJ276">
        <v>7101</v>
      </c>
      <c r="FK276">
        <v>1451408</v>
      </c>
      <c r="FL276">
        <v>318</v>
      </c>
      <c r="FN276" s="24"/>
      <c r="FO276">
        <v>18000</v>
      </c>
      <c r="FP276">
        <v>18000</v>
      </c>
      <c r="FQ276">
        <v>18000</v>
      </c>
      <c r="FR276">
        <v>580644</v>
      </c>
      <c r="FS276">
        <v>85</v>
      </c>
      <c r="FU276" s="24"/>
      <c r="FV276">
        <v>14604</v>
      </c>
      <c r="FW276">
        <v>14626</v>
      </c>
      <c r="FX276">
        <v>14604</v>
      </c>
      <c r="FY276">
        <v>268283</v>
      </c>
      <c r="FZ276">
        <v>854</v>
      </c>
      <c r="GB276" s="24"/>
      <c r="GC276">
        <v>87000410</v>
      </c>
      <c r="GD276">
        <v>90799997</v>
      </c>
      <c r="GE276">
        <v>90645770</v>
      </c>
      <c r="GF276">
        <v>45</v>
      </c>
      <c r="GG276">
        <v>41</v>
      </c>
      <c r="GI276" s="24"/>
      <c r="GJ276">
        <v>20105111</v>
      </c>
      <c r="GK276">
        <v>20205000</v>
      </c>
      <c r="GL276">
        <v>20203000</v>
      </c>
      <c r="GM276">
        <v>579</v>
      </c>
      <c r="GN276">
        <v>70</v>
      </c>
      <c r="GP276" s="24"/>
      <c r="GQ276">
        <v>114</v>
      </c>
      <c r="GR276">
        <v>115</v>
      </c>
      <c r="GS276">
        <v>115</v>
      </c>
      <c r="GT276">
        <v>131073721</v>
      </c>
      <c r="GU276">
        <v>109</v>
      </c>
      <c r="GW276" s="24"/>
      <c r="GX276">
        <v>435</v>
      </c>
      <c r="GY276">
        <v>437</v>
      </c>
      <c r="GZ276">
        <v>437</v>
      </c>
      <c r="HA276">
        <v>25799356</v>
      </c>
      <c r="HB276">
        <v>164</v>
      </c>
      <c r="HD276" s="24"/>
      <c r="HE276">
        <v>5270</v>
      </c>
      <c r="HF276">
        <v>5355</v>
      </c>
      <c r="HG276">
        <v>5351</v>
      </c>
      <c r="HH276">
        <v>12515322</v>
      </c>
      <c r="HI276">
        <v>196</v>
      </c>
      <c r="HK276" s="24"/>
      <c r="HL276">
        <v>85426000</v>
      </c>
      <c r="HM276">
        <v>89850998</v>
      </c>
      <c r="HN276">
        <v>88927501</v>
      </c>
      <c r="HO276">
        <v>60</v>
      </c>
      <c r="HP276">
        <v>55</v>
      </c>
      <c r="HR276" s="24"/>
      <c r="HS276">
        <v>8300</v>
      </c>
      <c r="HT276">
        <v>9198</v>
      </c>
      <c r="HU276">
        <v>8898</v>
      </c>
      <c r="HV276">
        <v>511411</v>
      </c>
      <c r="HW276">
        <v>101</v>
      </c>
      <c r="HY276" s="24"/>
      <c r="HZ276">
        <v>7553</v>
      </c>
      <c r="IA276">
        <v>7839</v>
      </c>
      <c r="IB276">
        <v>7832</v>
      </c>
      <c r="IC276">
        <v>1532503</v>
      </c>
      <c r="ID276">
        <v>322</v>
      </c>
      <c r="IF276" s="24"/>
      <c r="IG276">
        <v>3422</v>
      </c>
      <c r="IH276">
        <v>3424</v>
      </c>
      <c r="II276">
        <v>3424</v>
      </c>
      <c r="IJ276">
        <v>1175231</v>
      </c>
      <c r="IK276">
        <v>126</v>
      </c>
      <c r="IM276" s="24"/>
      <c r="IN276">
        <v>88994994</v>
      </c>
      <c r="IO276">
        <v>93259995</v>
      </c>
      <c r="IP276">
        <v>89153783</v>
      </c>
      <c r="IQ276">
        <v>90</v>
      </c>
      <c r="IR276">
        <v>65</v>
      </c>
      <c r="IT276" s="24"/>
      <c r="IU276">
        <v>7391</v>
      </c>
      <c r="IV276">
        <v>7391</v>
      </c>
      <c r="IW276">
        <v>7391</v>
      </c>
      <c r="IX276">
        <v>1197525</v>
      </c>
      <c r="IY276">
        <v>124</v>
      </c>
      <c r="JA276" s="24"/>
      <c r="JB276">
        <v>88993991</v>
      </c>
      <c r="JC276">
        <v>93779000</v>
      </c>
      <c r="JD276">
        <v>90958839</v>
      </c>
      <c r="JE276">
        <v>70</v>
      </c>
      <c r="JF276">
        <v>58</v>
      </c>
      <c r="JH276" s="24"/>
      <c r="JI276">
        <v>88132200</v>
      </c>
      <c r="JJ276">
        <v>91396000</v>
      </c>
      <c r="JK276">
        <v>89941241</v>
      </c>
      <c r="JL276">
        <v>34</v>
      </c>
      <c r="JM276">
        <v>31</v>
      </c>
      <c r="JO276" s="24"/>
      <c r="JP276">
        <v>124</v>
      </c>
      <c r="JQ276">
        <v>125</v>
      </c>
      <c r="JR276">
        <v>125</v>
      </c>
      <c r="JS276">
        <v>94197860</v>
      </c>
      <c r="JT276">
        <v>99</v>
      </c>
      <c r="JV276" s="24"/>
      <c r="JW276">
        <v>86</v>
      </c>
      <c r="JX276">
        <v>91</v>
      </c>
      <c r="JY276">
        <v>89</v>
      </c>
      <c r="JZ276">
        <v>68521990</v>
      </c>
      <c r="KA276">
        <v>79</v>
      </c>
      <c r="KC276" s="24"/>
      <c r="KD276">
        <v>21</v>
      </c>
      <c r="KE276">
        <v>22</v>
      </c>
      <c r="KF276">
        <v>22</v>
      </c>
      <c r="KG276">
        <v>33960784</v>
      </c>
      <c r="KH276">
        <v>247</v>
      </c>
      <c r="KJ276" s="24"/>
      <c r="KK276">
        <v>100</v>
      </c>
      <c r="KL276">
        <v>104</v>
      </c>
      <c r="KM276">
        <v>104</v>
      </c>
      <c r="KN276">
        <v>101165444</v>
      </c>
      <c r="KO276">
        <v>107</v>
      </c>
      <c r="KQ276" s="24"/>
      <c r="KR276">
        <v>120000</v>
      </c>
      <c r="KS276">
        <v>122400</v>
      </c>
      <c r="KT276">
        <v>122400</v>
      </c>
      <c r="KU276">
        <v>85770</v>
      </c>
      <c r="KV276">
        <v>421</v>
      </c>
      <c r="KX276" s="24"/>
      <c r="KY276">
        <v>585</v>
      </c>
      <c r="KZ276">
        <v>645</v>
      </c>
      <c r="LA276">
        <v>625</v>
      </c>
      <c r="LB276">
        <v>5555176</v>
      </c>
      <c r="LC276">
        <v>150</v>
      </c>
      <c r="LE276" s="24"/>
      <c r="LF276">
        <v>185002</v>
      </c>
      <c r="LG276">
        <v>189011</v>
      </c>
      <c r="LH276">
        <v>185011</v>
      </c>
      <c r="LI276">
        <v>138417</v>
      </c>
      <c r="LJ276">
        <v>629</v>
      </c>
      <c r="LL276" s="24"/>
      <c r="LM276">
        <v>69059</v>
      </c>
      <c r="LN276">
        <v>69250</v>
      </c>
      <c r="LO276">
        <v>69250</v>
      </c>
      <c r="LP276">
        <v>493547</v>
      </c>
      <c r="LQ276">
        <v>902</v>
      </c>
      <c r="LS276" s="24"/>
      <c r="LT276">
        <v>458</v>
      </c>
      <c r="LU276">
        <v>469</v>
      </c>
      <c r="LV276">
        <v>469</v>
      </c>
      <c r="LW276">
        <v>68801610</v>
      </c>
      <c r="LX276">
        <v>331</v>
      </c>
      <c r="LZ276" s="24"/>
      <c r="MA276">
        <v>100007</v>
      </c>
      <c r="MB276">
        <v>103994</v>
      </c>
      <c r="MC276">
        <v>100007</v>
      </c>
      <c r="MD276">
        <v>759456</v>
      </c>
      <c r="ME276">
        <v>73</v>
      </c>
    </row>
    <row r="277" spans="2:343" x14ac:dyDescent="0.25">
      <c r="B277" s="24"/>
      <c r="C277">
        <v>3</v>
      </c>
      <c r="D277">
        <v>3</v>
      </c>
      <c r="E277">
        <v>3</v>
      </c>
      <c r="F277">
        <v>28484667808</v>
      </c>
      <c r="G277">
        <v>2090</v>
      </c>
      <c r="I277" s="24"/>
      <c r="J277">
        <v>4</v>
      </c>
      <c r="K277">
        <v>4</v>
      </c>
      <c r="L277">
        <v>4</v>
      </c>
      <c r="M277">
        <v>5978895911</v>
      </c>
      <c r="N277">
        <v>1568</v>
      </c>
      <c r="P277" s="24"/>
      <c r="Q277">
        <v>29</v>
      </c>
      <c r="R277">
        <v>29</v>
      </c>
      <c r="S277">
        <v>29</v>
      </c>
      <c r="T277">
        <v>1357898657</v>
      </c>
      <c r="U277">
        <v>1377</v>
      </c>
      <c r="W277" s="24"/>
      <c r="X277">
        <v>61</v>
      </c>
      <c r="Y277">
        <v>61</v>
      </c>
      <c r="Z277">
        <v>61</v>
      </c>
      <c r="AA277">
        <v>366302394</v>
      </c>
      <c r="AB277">
        <v>1099</v>
      </c>
      <c r="AD277" s="24"/>
      <c r="AE277">
        <v>384</v>
      </c>
      <c r="AF277">
        <v>384</v>
      </c>
      <c r="AG277">
        <v>384</v>
      </c>
      <c r="AH277">
        <v>77616929</v>
      </c>
      <c r="AI277">
        <v>1148</v>
      </c>
      <c r="AK277" s="24"/>
      <c r="AL277">
        <v>708</v>
      </c>
      <c r="AM277">
        <v>712</v>
      </c>
      <c r="AN277">
        <v>710</v>
      </c>
      <c r="AO277">
        <v>43052092</v>
      </c>
      <c r="AP277">
        <v>961</v>
      </c>
      <c r="AR277" s="24"/>
      <c r="AS277">
        <v>2683</v>
      </c>
      <c r="AT277">
        <v>2787</v>
      </c>
      <c r="AU277">
        <v>2720</v>
      </c>
      <c r="AV277">
        <v>13213223</v>
      </c>
      <c r="AW277">
        <v>933</v>
      </c>
      <c r="AY277" s="24"/>
      <c r="AZ277">
        <v>375747008</v>
      </c>
      <c r="BA277">
        <v>386750000</v>
      </c>
      <c r="BB277">
        <v>380500001</v>
      </c>
      <c r="BC277">
        <v>2923</v>
      </c>
      <c r="BD277">
        <v>1810</v>
      </c>
      <c r="BF277" s="24"/>
      <c r="BG277">
        <v>24010</v>
      </c>
      <c r="BH277">
        <v>24100</v>
      </c>
      <c r="BI277">
        <v>24010</v>
      </c>
      <c r="BJ277">
        <v>4915969</v>
      </c>
      <c r="BK277">
        <v>225</v>
      </c>
      <c r="BM277" s="24"/>
      <c r="BN277">
        <v>6156089</v>
      </c>
      <c r="BO277">
        <v>6438988</v>
      </c>
      <c r="BP277">
        <v>6222000</v>
      </c>
      <c r="BQ277">
        <v>10625</v>
      </c>
      <c r="BR277">
        <v>298</v>
      </c>
      <c r="BT277" s="24"/>
      <c r="BU277">
        <v>2070</v>
      </c>
      <c r="BV277">
        <v>2133</v>
      </c>
      <c r="BW277">
        <v>2080</v>
      </c>
      <c r="BX277">
        <v>35171088</v>
      </c>
      <c r="BY277">
        <v>214</v>
      </c>
      <c r="CA277" s="24"/>
      <c r="CB277">
        <v>455</v>
      </c>
      <c r="CC277">
        <v>456</v>
      </c>
      <c r="CD277">
        <v>455</v>
      </c>
      <c r="CE277">
        <v>43685146</v>
      </c>
      <c r="CF277">
        <v>220</v>
      </c>
      <c r="CH277" s="24"/>
      <c r="CI277">
        <v>22500</v>
      </c>
      <c r="CJ277">
        <v>22502</v>
      </c>
      <c r="CK277">
        <v>22501</v>
      </c>
      <c r="CL277">
        <v>751889</v>
      </c>
      <c r="CM277">
        <v>138</v>
      </c>
      <c r="CO277" s="24"/>
      <c r="CP277">
        <v>6900</v>
      </c>
      <c r="CQ277">
        <v>7227</v>
      </c>
      <c r="CR277">
        <v>7227</v>
      </c>
      <c r="CS277">
        <v>704150</v>
      </c>
      <c r="CT277">
        <v>281</v>
      </c>
      <c r="CV277" s="24"/>
      <c r="CW277">
        <v>1268000</v>
      </c>
      <c r="CX277">
        <v>1312498</v>
      </c>
      <c r="CY277">
        <v>1268001</v>
      </c>
      <c r="CZ277">
        <v>11002</v>
      </c>
      <c r="DA277">
        <v>33</v>
      </c>
      <c r="DC277" s="24"/>
      <c r="DD277">
        <v>454</v>
      </c>
      <c r="DE277">
        <v>465</v>
      </c>
      <c r="DF277">
        <v>464</v>
      </c>
      <c r="DG277">
        <v>42183114</v>
      </c>
      <c r="DH277">
        <v>177</v>
      </c>
      <c r="DJ277" s="24"/>
      <c r="DK277">
        <v>31100001</v>
      </c>
      <c r="DL277">
        <v>31949999</v>
      </c>
      <c r="DM277">
        <v>31196111</v>
      </c>
      <c r="DN277">
        <v>158</v>
      </c>
      <c r="DO277">
        <v>65</v>
      </c>
      <c r="DQ277" s="24"/>
      <c r="DR277">
        <v>1305089</v>
      </c>
      <c r="DS277">
        <v>1429999</v>
      </c>
      <c r="DT277">
        <v>1305116</v>
      </c>
      <c r="DU277">
        <v>6455</v>
      </c>
      <c r="DV277">
        <v>164</v>
      </c>
      <c r="DX277" s="24"/>
      <c r="DY277">
        <v>21502002</v>
      </c>
      <c r="DZ277">
        <v>23247999</v>
      </c>
      <c r="EA277">
        <v>23049000</v>
      </c>
      <c r="EB277">
        <v>637</v>
      </c>
      <c r="EC277">
        <v>124</v>
      </c>
      <c r="EE277" s="24"/>
      <c r="EF277">
        <v>183</v>
      </c>
      <c r="EG277">
        <v>189</v>
      </c>
      <c r="EH277">
        <v>187</v>
      </c>
      <c r="EI277">
        <v>76239689</v>
      </c>
      <c r="EJ277">
        <v>151</v>
      </c>
      <c r="EL277" s="24"/>
      <c r="EM277">
        <v>46016</v>
      </c>
      <c r="EN277">
        <v>54996</v>
      </c>
      <c r="EO277">
        <v>50000</v>
      </c>
      <c r="EP277">
        <v>75493</v>
      </c>
      <c r="EQ277">
        <v>555</v>
      </c>
      <c r="ES277" s="24"/>
      <c r="ET277">
        <v>288</v>
      </c>
      <c r="EU277">
        <v>298</v>
      </c>
      <c r="EV277">
        <v>297</v>
      </c>
      <c r="EW277">
        <v>26617523</v>
      </c>
      <c r="EX277">
        <v>492</v>
      </c>
      <c r="EZ277" s="24"/>
      <c r="FA277">
        <v>3440910</v>
      </c>
      <c r="FB277">
        <v>3440910</v>
      </c>
      <c r="FC277">
        <v>3440910</v>
      </c>
      <c r="FD277">
        <v>898</v>
      </c>
      <c r="FE277">
        <v>11</v>
      </c>
      <c r="FG277" s="24"/>
      <c r="FH277">
        <v>6451</v>
      </c>
      <c r="FI277">
        <v>7179</v>
      </c>
      <c r="FJ277">
        <v>7000</v>
      </c>
      <c r="FK277">
        <v>1285722</v>
      </c>
      <c r="FL277">
        <v>379</v>
      </c>
      <c r="FN277" s="24"/>
      <c r="FO277">
        <v>18500</v>
      </c>
      <c r="FP277">
        <v>19992</v>
      </c>
      <c r="FQ277">
        <v>19799</v>
      </c>
      <c r="FR277">
        <v>181336</v>
      </c>
      <c r="FS277">
        <v>77</v>
      </c>
      <c r="FU277" s="24"/>
      <c r="FV277">
        <v>14508</v>
      </c>
      <c r="FW277">
        <v>15000</v>
      </c>
      <c r="FX277">
        <v>14605</v>
      </c>
      <c r="FY277">
        <v>261534</v>
      </c>
      <c r="FZ277">
        <v>995</v>
      </c>
      <c r="GB277" s="24"/>
      <c r="GC277">
        <v>87208012</v>
      </c>
      <c r="GD277">
        <v>93409000</v>
      </c>
      <c r="GE277">
        <v>90604126</v>
      </c>
      <c r="GF277">
        <v>70</v>
      </c>
      <c r="GG277">
        <v>63</v>
      </c>
      <c r="GI277" s="24"/>
      <c r="GJ277">
        <v>20020021</v>
      </c>
      <c r="GK277">
        <v>20023001</v>
      </c>
      <c r="GL277">
        <v>20023001</v>
      </c>
      <c r="GM277">
        <v>381</v>
      </c>
      <c r="GN277">
        <v>50</v>
      </c>
      <c r="GP277" s="24"/>
      <c r="GQ277">
        <v>115</v>
      </c>
      <c r="GR277">
        <v>116</v>
      </c>
      <c r="GS277">
        <v>115</v>
      </c>
      <c r="GT277">
        <v>110863805</v>
      </c>
      <c r="GU277">
        <v>103</v>
      </c>
      <c r="GW277" s="24"/>
      <c r="GX277">
        <v>416</v>
      </c>
      <c r="GY277">
        <v>436</v>
      </c>
      <c r="GZ277">
        <v>434</v>
      </c>
      <c r="HA277">
        <v>38888770</v>
      </c>
      <c r="HB277">
        <v>224</v>
      </c>
      <c r="HD277" s="24"/>
      <c r="HE277">
        <v>5248</v>
      </c>
      <c r="HF277">
        <v>5321</v>
      </c>
      <c r="HG277">
        <v>5261</v>
      </c>
      <c r="HH277">
        <v>19948048</v>
      </c>
      <c r="HI277">
        <v>238</v>
      </c>
      <c r="HK277" s="24"/>
      <c r="HL277">
        <v>85526001</v>
      </c>
      <c r="HM277">
        <v>89851098</v>
      </c>
      <c r="HN277">
        <v>87208012</v>
      </c>
      <c r="HO277">
        <v>122</v>
      </c>
      <c r="HP277">
        <v>81</v>
      </c>
      <c r="HR277" s="24"/>
      <c r="HS277">
        <v>8401</v>
      </c>
      <c r="HT277">
        <v>8899</v>
      </c>
      <c r="HU277">
        <v>8402</v>
      </c>
      <c r="HV277">
        <v>930967</v>
      </c>
      <c r="HW277">
        <v>168</v>
      </c>
      <c r="HY277" s="24"/>
      <c r="HZ277">
        <v>7426</v>
      </c>
      <c r="IA277">
        <v>7699</v>
      </c>
      <c r="IB277">
        <v>7697</v>
      </c>
      <c r="IC277">
        <v>1514797</v>
      </c>
      <c r="ID277">
        <v>379</v>
      </c>
      <c r="IF277" s="24"/>
      <c r="IG277">
        <v>3313</v>
      </c>
      <c r="IH277">
        <v>3420</v>
      </c>
      <c r="II277">
        <v>3420</v>
      </c>
      <c r="IJ277">
        <v>1154567</v>
      </c>
      <c r="IK277">
        <v>108</v>
      </c>
      <c r="IM277" s="24"/>
      <c r="IN277">
        <v>85401150</v>
      </c>
      <c r="IO277">
        <v>93237498</v>
      </c>
      <c r="IP277">
        <v>90283275</v>
      </c>
      <c r="IQ277">
        <v>84</v>
      </c>
      <c r="IR277">
        <v>70</v>
      </c>
      <c r="IT277" s="24"/>
      <c r="IU277">
        <v>7392</v>
      </c>
      <c r="IV277">
        <v>7400</v>
      </c>
      <c r="IW277">
        <v>7392</v>
      </c>
      <c r="IX277">
        <v>566186</v>
      </c>
      <c r="IY277">
        <v>97</v>
      </c>
      <c r="JA277" s="24"/>
      <c r="JB277">
        <v>85704816</v>
      </c>
      <c r="JC277">
        <v>93777999</v>
      </c>
      <c r="JD277">
        <v>92893739</v>
      </c>
      <c r="JE277">
        <v>70</v>
      </c>
      <c r="JF277">
        <v>65</v>
      </c>
      <c r="JH277" s="24"/>
      <c r="JI277">
        <v>88308008</v>
      </c>
      <c r="JJ277">
        <v>91393999</v>
      </c>
      <c r="JK277">
        <v>90416721</v>
      </c>
      <c r="JL277">
        <v>52</v>
      </c>
      <c r="JM277">
        <v>46</v>
      </c>
      <c r="JO277" s="24"/>
      <c r="JP277">
        <v>130</v>
      </c>
      <c r="JQ277">
        <v>135</v>
      </c>
      <c r="JR277">
        <v>135</v>
      </c>
      <c r="JS277">
        <v>152280197</v>
      </c>
      <c r="JT277">
        <v>115</v>
      </c>
      <c r="JV277" s="24"/>
      <c r="JW277">
        <v>84</v>
      </c>
      <c r="JX277">
        <v>86</v>
      </c>
      <c r="JY277">
        <v>84</v>
      </c>
      <c r="JZ277">
        <v>189267961</v>
      </c>
      <c r="KA277">
        <v>93</v>
      </c>
      <c r="KC277" s="24"/>
      <c r="KD277">
        <v>21</v>
      </c>
      <c r="KE277">
        <v>23</v>
      </c>
      <c r="KF277">
        <v>22</v>
      </c>
      <c r="KG277">
        <v>33619974</v>
      </c>
      <c r="KH277">
        <v>272</v>
      </c>
      <c r="KJ277" s="24"/>
      <c r="KK277">
        <v>100</v>
      </c>
      <c r="KL277">
        <v>104</v>
      </c>
      <c r="KM277">
        <v>104</v>
      </c>
      <c r="KN277">
        <v>142694608</v>
      </c>
      <c r="KO277">
        <v>133</v>
      </c>
      <c r="KQ277" s="24"/>
      <c r="KR277">
        <v>116602</v>
      </c>
      <c r="KS277">
        <v>120000</v>
      </c>
      <c r="KT277">
        <v>117000</v>
      </c>
      <c r="KU277">
        <v>58850</v>
      </c>
      <c r="KV277">
        <v>517</v>
      </c>
      <c r="KX277" s="24"/>
      <c r="KY277">
        <v>645</v>
      </c>
      <c r="KZ277">
        <v>645</v>
      </c>
      <c r="LA277">
        <v>645</v>
      </c>
      <c r="LB277">
        <v>11170224</v>
      </c>
      <c r="LC277">
        <v>148</v>
      </c>
      <c r="LE277" s="24"/>
      <c r="LF277">
        <v>182601</v>
      </c>
      <c r="LG277">
        <v>183000</v>
      </c>
      <c r="LH277">
        <v>182700</v>
      </c>
      <c r="LI277">
        <v>86973</v>
      </c>
      <c r="LJ277">
        <v>736</v>
      </c>
      <c r="LL277" s="24"/>
      <c r="LM277">
        <v>69046</v>
      </c>
      <c r="LN277">
        <v>69053</v>
      </c>
      <c r="LO277">
        <v>69050</v>
      </c>
      <c r="LP277">
        <v>253268</v>
      </c>
      <c r="LQ277">
        <v>1102</v>
      </c>
      <c r="LS277" s="24"/>
      <c r="LT277">
        <v>465</v>
      </c>
      <c r="LU277">
        <v>469</v>
      </c>
      <c r="LV277">
        <v>465</v>
      </c>
      <c r="LW277">
        <v>57312789</v>
      </c>
      <c r="LX277">
        <v>277</v>
      </c>
      <c r="LZ277" s="24"/>
      <c r="MA277">
        <v>100000</v>
      </c>
      <c r="MB277">
        <v>101000</v>
      </c>
      <c r="MC277">
        <v>100000</v>
      </c>
      <c r="MD277">
        <v>1025610</v>
      </c>
      <c r="ME277">
        <v>75</v>
      </c>
    </row>
    <row r="278" spans="2:343" x14ac:dyDescent="0.25">
      <c r="B278" s="24"/>
      <c r="C278">
        <v>3</v>
      </c>
      <c r="D278">
        <v>3</v>
      </c>
      <c r="E278">
        <v>3</v>
      </c>
      <c r="F278">
        <v>22267253881</v>
      </c>
      <c r="G278">
        <v>2569</v>
      </c>
      <c r="I278" s="24"/>
      <c r="J278">
        <v>4</v>
      </c>
      <c r="K278">
        <v>4</v>
      </c>
      <c r="L278">
        <v>4</v>
      </c>
      <c r="M278">
        <v>4538902954</v>
      </c>
      <c r="N278">
        <v>1790</v>
      </c>
      <c r="P278" s="24"/>
      <c r="Q278">
        <v>29</v>
      </c>
      <c r="R278">
        <v>29</v>
      </c>
      <c r="S278">
        <v>29</v>
      </c>
      <c r="T278">
        <v>1605178342</v>
      </c>
      <c r="U278">
        <v>1684</v>
      </c>
      <c r="W278" s="24"/>
      <c r="X278">
        <v>60</v>
      </c>
      <c r="Y278">
        <v>61</v>
      </c>
      <c r="Z278">
        <v>60</v>
      </c>
      <c r="AA278">
        <v>414326545</v>
      </c>
      <c r="AB278">
        <v>1380</v>
      </c>
      <c r="AD278" s="24"/>
      <c r="AE278">
        <v>380</v>
      </c>
      <c r="AF278">
        <v>391</v>
      </c>
      <c r="AG278">
        <v>389</v>
      </c>
      <c r="AH278">
        <v>117192898</v>
      </c>
      <c r="AI278">
        <v>1387</v>
      </c>
      <c r="AK278" s="24"/>
      <c r="AL278">
        <v>705</v>
      </c>
      <c r="AM278">
        <v>713</v>
      </c>
      <c r="AN278">
        <v>712</v>
      </c>
      <c r="AO278">
        <v>35298273</v>
      </c>
      <c r="AP278">
        <v>1111</v>
      </c>
      <c r="AR278" s="24"/>
      <c r="AS278">
        <v>2735</v>
      </c>
      <c r="AT278">
        <v>2969</v>
      </c>
      <c r="AU278">
        <v>2753</v>
      </c>
      <c r="AV278">
        <v>11201880</v>
      </c>
      <c r="AW278">
        <v>1140</v>
      </c>
      <c r="AY278" s="24"/>
      <c r="AZ278">
        <v>364502004</v>
      </c>
      <c r="BA278">
        <v>371587999</v>
      </c>
      <c r="BB278">
        <v>366000001</v>
      </c>
      <c r="BC278">
        <v>3678</v>
      </c>
      <c r="BD278">
        <v>2255</v>
      </c>
      <c r="BF278" s="24"/>
      <c r="BG278">
        <v>24109</v>
      </c>
      <c r="BH278">
        <v>24210</v>
      </c>
      <c r="BI278">
        <v>24206</v>
      </c>
      <c r="BJ278">
        <v>2343945</v>
      </c>
      <c r="BK278">
        <v>239</v>
      </c>
      <c r="BM278" s="24"/>
      <c r="BN278">
        <v>6171004</v>
      </c>
      <c r="BO278">
        <v>6375007</v>
      </c>
      <c r="BP278">
        <v>6208000</v>
      </c>
      <c r="BQ278">
        <v>13580</v>
      </c>
      <c r="BR278">
        <v>362</v>
      </c>
      <c r="BT278" s="24"/>
      <c r="BU278">
        <v>2055</v>
      </c>
      <c r="BV278">
        <v>2126</v>
      </c>
      <c r="BW278">
        <v>2126</v>
      </c>
      <c r="BX278">
        <v>30461140</v>
      </c>
      <c r="BY278">
        <v>284</v>
      </c>
      <c r="CA278" s="24"/>
      <c r="CB278">
        <v>453</v>
      </c>
      <c r="CC278">
        <v>454</v>
      </c>
      <c r="CD278">
        <v>453</v>
      </c>
      <c r="CE278">
        <v>74592667</v>
      </c>
      <c r="CF278">
        <v>266</v>
      </c>
      <c r="CH278" s="24"/>
      <c r="CI278">
        <v>22607</v>
      </c>
      <c r="CJ278">
        <v>22608</v>
      </c>
      <c r="CK278">
        <v>22607</v>
      </c>
      <c r="CL278">
        <v>3507976</v>
      </c>
      <c r="CM278">
        <v>267</v>
      </c>
      <c r="CO278" s="24"/>
      <c r="CP278">
        <v>6807</v>
      </c>
      <c r="CQ278">
        <v>7227</v>
      </c>
      <c r="CR278">
        <v>7200</v>
      </c>
      <c r="CS278">
        <v>1279019</v>
      </c>
      <c r="CT278">
        <v>383</v>
      </c>
      <c r="CV278" s="24"/>
      <c r="CW278">
        <v>1270000</v>
      </c>
      <c r="CX278">
        <v>1298999</v>
      </c>
      <c r="CY278">
        <v>1298999</v>
      </c>
      <c r="CZ278">
        <v>12722</v>
      </c>
      <c r="DA278">
        <v>40</v>
      </c>
      <c r="DC278" s="24"/>
      <c r="DD278">
        <v>441</v>
      </c>
      <c r="DE278">
        <v>454</v>
      </c>
      <c r="DF278">
        <v>452</v>
      </c>
      <c r="DG278">
        <v>41768618</v>
      </c>
      <c r="DH278">
        <v>195</v>
      </c>
      <c r="DJ278" s="24"/>
      <c r="DK278">
        <v>31800100</v>
      </c>
      <c r="DL278">
        <v>33678999</v>
      </c>
      <c r="DM278">
        <v>32310003</v>
      </c>
      <c r="DN278">
        <v>289</v>
      </c>
      <c r="DO278">
        <v>93</v>
      </c>
      <c r="DQ278" s="24"/>
      <c r="DR278">
        <v>1256671</v>
      </c>
      <c r="DS278">
        <v>1429995</v>
      </c>
      <c r="DT278">
        <v>1336666</v>
      </c>
      <c r="DU278">
        <v>10889</v>
      </c>
      <c r="DV278">
        <v>232</v>
      </c>
      <c r="DX278" s="24"/>
      <c r="DY278">
        <v>21510667</v>
      </c>
      <c r="DZ278">
        <v>21520733</v>
      </c>
      <c r="EA278">
        <v>21520732</v>
      </c>
      <c r="EB278">
        <v>257</v>
      </c>
      <c r="EC278">
        <v>60</v>
      </c>
      <c r="EE278" s="24"/>
      <c r="EF278">
        <v>182</v>
      </c>
      <c r="EG278">
        <v>187</v>
      </c>
      <c r="EH278">
        <v>186</v>
      </c>
      <c r="EI278">
        <v>77773549</v>
      </c>
      <c r="EJ278">
        <v>142</v>
      </c>
      <c r="EL278" s="24"/>
      <c r="EM278">
        <v>49000</v>
      </c>
      <c r="EN278">
        <v>54999</v>
      </c>
      <c r="EO278">
        <v>52009</v>
      </c>
      <c r="EP278">
        <v>191372</v>
      </c>
      <c r="EQ278">
        <v>749</v>
      </c>
      <c r="ES278" s="24"/>
      <c r="ET278">
        <v>288</v>
      </c>
      <c r="EU278">
        <v>300</v>
      </c>
      <c r="EV278">
        <v>300</v>
      </c>
      <c r="EW278">
        <v>49962749</v>
      </c>
      <c r="EX278">
        <v>617</v>
      </c>
      <c r="EZ278" s="24"/>
      <c r="FA278">
        <v>3440912</v>
      </c>
      <c r="FB278">
        <v>3724998</v>
      </c>
      <c r="FC278">
        <v>3723005</v>
      </c>
      <c r="FD278">
        <v>2495</v>
      </c>
      <c r="FE278">
        <v>34</v>
      </c>
      <c r="FG278" s="24"/>
      <c r="FH278">
        <v>6699</v>
      </c>
      <c r="FI278">
        <v>7189</v>
      </c>
      <c r="FJ278">
        <v>6999</v>
      </c>
      <c r="FK278">
        <v>1597128</v>
      </c>
      <c r="FL278">
        <v>481</v>
      </c>
      <c r="FN278" s="24"/>
      <c r="FO278">
        <v>17950</v>
      </c>
      <c r="FP278">
        <v>19299</v>
      </c>
      <c r="FQ278">
        <v>18750</v>
      </c>
      <c r="FR278">
        <v>179794</v>
      </c>
      <c r="FS278">
        <v>87</v>
      </c>
      <c r="FU278" s="24"/>
      <c r="FV278">
        <v>15001</v>
      </c>
      <c r="FW278">
        <v>15222</v>
      </c>
      <c r="FX278">
        <v>15210</v>
      </c>
      <c r="FY278">
        <v>330233</v>
      </c>
      <c r="FZ278">
        <v>1309</v>
      </c>
      <c r="GB278" s="24"/>
      <c r="GC278">
        <v>85124003</v>
      </c>
      <c r="GD278">
        <v>90207003</v>
      </c>
      <c r="GE278">
        <v>87208130</v>
      </c>
      <c r="GF278">
        <v>117</v>
      </c>
      <c r="GG278">
        <v>81</v>
      </c>
      <c r="GI278" s="24"/>
      <c r="GJ278">
        <v>19111222</v>
      </c>
      <c r="GK278">
        <v>19911111</v>
      </c>
      <c r="GL278">
        <v>19201111</v>
      </c>
      <c r="GM278">
        <v>443</v>
      </c>
      <c r="GN278">
        <v>81</v>
      </c>
      <c r="GP278" s="24"/>
      <c r="GQ278">
        <v>114</v>
      </c>
      <c r="GR278">
        <v>118</v>
      </c>
      <c r="GS278">
        <v>116</v>
      </c>
      <c r="GT278">
        <v>126909837</v>
      </c>
      <c r="GU278">
        <v>138</v>
      </c>
      <c r="GW278" s="24"/>
      <c r="GX278">
        <v>418</v>
      </c>
      <c r="GY278">
        <v>432</v>
      </c>
      <c r="GZ278">
        <v>424</v>
      </c>
      <c r="HA278">
        <v>54095049</v>
      </c>
      <c r="HB278">
        <v>219</v>
      </c>
      <c r="HD278" s="24"/>
      <c r="HE278">
        <v>5112</v>
      </c>
      <c r="HF278">
        <v>5243</v>
      </c>
      <c r="HG278">
        <v>5233</v>
      </c>
      <c r="HH278">
        <v>26281338</v>
      </c>
      <c r="HI278">
        <v>327</v>
      </c>
      <c r="HK278" s="24"/>
      <c r="HL278">
        <v>85525001</v>
      </c>
      <c r="HM278">
        <v>89851097</v>
      </c>
      <c r="HN278">
        <v>87208021</v>
      </c>
      <c r="HO278">
        <v>135</v>
      </c>
      <c r="HP278">
        <v>84</v>
      </c>
      <c r="HR278" s="24"/>
      <c r="HS278">
        <v>8406</v>
      </c>
      <c r="HT278">
        <v>9133</v>
      </c>
      <c r="HU278">
        <v>8999</v>
      </c>
      <c r="HV278">
        <v>938965</v>
      </c>
      <c r="HW278">
        <v>226</v>
      </c>
      <c r="HY278" s="24"/>
      <c r="HZ278">
        <v>7425</v>
      </c>
      <c r="IA278">
        <v>7835</v>
      </c>
      <c r="IB278">
        <v>7699</v>
      </c>
      <c r="IC278">
        <v>2098394</v>
      </c>
      <c r="ID278">
        <v>516</v>
      </c>
      <c r="IF278" s="24"/>
      <c r="IG278">
        <v>3317</v>
      </c>
      <c r="IH278">
        <v>3415</v>
      </c>
      <c r="II278">
        <v>3317</v>
      </c>
      <c r="IJ278">
        <v>2629036</v>
      </c>
      <c r="IK278">
        <v>171</v>
      </c>
      <c r="IM278" s="24"/>
      <c r="IN278">
        <v>85712000</v>
      </c>
      <c r="IO278">
        <v>92235999</v>
      </c>
      <c r="IP278">
        <v>88296657</v>
      </c>
      <c r="IQ278">
        <v>93</v>
      </c>
      <c r="IR278">
        <v>73</v>
      </c>
      <c r="IT278" s="24"/>
      <c r="IU278">
        <v>7493</v>
      </c>
      <c r="IV278">
        <v>7493</v>
      </c>
      <c r="IW278">
        <v>7493</v>
      </c>
      <c r="IX278">
        <v>959600</v>
      </c>
      <c r="IY278">
        <v>132</v>
      </c>
      <c r="JA278" s="24"/>
      <c r="JB278">
        <v>85909120</v>
      </c>
      <c r="JC278">
        <v>94399996</v>
      </c>
      <c r="JD278">
        <v>90042006</v>
      </c>
      <c r="JE278">
        <v>153</v>
      </c>
      <c r="JF278">
        <v>106</v>
      </c>
      <c r="JH278" s="24"/>
      <c r="JI278">
        <v>88100240</v>
      </c>
      <c r="JJ278">
        <v>92361317</v>
      </c>
      <c r="JK278">
        <v>89067192</v>
      </c>
      <c r="JL278">
        <v>91</v>
      </c>
      <c r="JM278">
        <v>70</v>
      </c>
      <c r="JO278" s="24"/>
      <c r="JP278">
        <v>120</v>
      </c>
      <c r="JQ278">
        <v>136</v>
      </c>
      <c r="JR278">
        <v>124</v>
      </c>
      <c r="JS278">
        <v>130546389</v>
      </c>
      <c r="JT278">
        <v>163</v>
      </c>
      <c r="JV278" s="24"/>
      <c r="JW278">
        <v>78</v>
      </c>
      <c r="JX278">
        <v>83</v>
      </c>
      <c r="JY278">
        <v>81</v>
      </c>
      <c r="JZ278">
        <v>147577844</v>
      </c>
      <c r="KA278">
        <v>113</v>
      </c>
      <c r="KC278" s="24"/>
      <c r="KD278">
        <v>21</v>
      </c>
      <c r="KE278">
        <v>22</v>
      </c>
      <c r="KF278">
        <v>22</v>
      </c>
      <c r="KG278">
        <v>54655224</v>
      </c>
      <c r="KH278">
        <v>341</v>
      </c>
      <c r="KJ278" s="24"/>
      <c r="KK278">
        <v>98</v>
      </c>
      <c r="KL278">
        <v>106</v>
      </c>
      <c r="KM278">
        <v>106</v>
      </c>
      <c r="KN278">
        <v>113904683</v>
      </c>
      <c r="KO278">
        <v>129</v>
      </c>
      <c r="KQ278" s="24"/>
      <c r="KR278">
        <v>116604</v>
      </c>
      <c r="KS278">
        <v>120100</v>
      </c>
      <c r="KT278">
        <v>119003</v>
      </c>
      <c r="KU278">
        <v>111321</v>
      </c>
      <c r="KV278">
        <v>654</v>
      </c>
      <c r="KX278" s="24"/>
      <c r="KY278">
        <v>794</v>
      </c>
      <c r="KZ278">
        <v>848</v>
      </c>
      <c r="LA278">
        <v>840</v>
      </c>
      <c r="LB278">
        <v>7606133</v>
      </c>
      <c r="LC278">
        <v>185</v>
      </c>
      <c r="LE278" s="24"/>
      <c r="LF278">
        <v>182600</v>
      </c>
      <c r="LG278">
        <v>183000</v>
      </c>
      <c r="LH278">
        <v>182608</v>
      </c>
      <c r="LI278">
        <v>128847</v>
      </c>
      <c r="LJ278">
        <v>899</v>
      </c>
      <c r="LL278" s="24"/>
      <c r="LM278">
        <v>69058</v>
      </c>
      <c r="LN278">
        <v>71000</v>
      </c>
      <c r="LO278">
        <v>70821</v>
      </c>
      <c r="LP278">
        <v>494309</v>
      </c>
      <c r="LQ278">
        <v>1385</v>
      </c>
      <c r="LS278" s="24"/>
      <c r="LT278">
        <v>464</v>
      </c>
      <c r="LU278">
        <v>469</v>
      </c>
      <c r="LV278">
        <v>469</v>
      </c>
      <c r="LW278">
        <v>119902821</v>
      </c>
      <c r="LX278">
        <v>376</v>
      </c>
      <c r="LZ278" s="24"/>
      <c r="MA278">
        <v>100000</v>
      </c>
      <c r="MB278">
        <v>101988</v>
      </c>
      <c r="MC278">
        <v>101000</v>
      </c>
      <c r="MD278">
        <v>852002</v>
      </c>
      <c r="ME278">
        <v>80</v>
      </c>
    </row>
    <row r="279" spans="2:343" x14ac:dyDescent="0.25">
      <c r="B279" s="24"/>
      <c r="C279">
        <v>3</v>
      </c>
      <c r="D279">
        <v>3</v>
      </c>
      <c r="E279">
        <v>3</v>
      </c>
      <c r="F279">
        <v>28427957475</v>
      </c>
      <c r="G279">
        <v>2728</v>
      </c>
      <c r="I279" s="24"/>
      <c r="J279">
        <v>4</v>
      </c>
      <c r="K279">
        <v>4</v>
      </c>
      <c r="L279">
        <v>4</v>
      </c>
      <c r="M279">
        <v>8358514733</v>
      </c>
      <c r="N279">
        <v>2020</v>
      </c>
      <c r="P279" s="24"/>
      <c r="Q279">
        <v>29</v>
      </c>
      <c r="R279">
        <v>31</v>
      </c>
      <c r="S279">
        <v>30</v>
      </c>
      <c r="T279">
        <v>2358380295</v>
      </c>
      <c r="U279">
        <v>1842</v>
      </c>
      <c r="W279" s="24"/>
      <c r="X279">
        <v>61</v>
      </c>
      <c r="Y279">
        <v>61</v>
      </c>
      <c r="Z279">
        <v>61</v>
      </c>
      <c r="AA279">
        <v>492168427</v>
      </c>
      <c r="AB279">
        <v>1453</v>
      </c>
      <c r="AD279" s="24"/>
      <c r="AE279">
        <v>387</v>
      </c>
      <c r="AF279">
        <v>391</v>
      </c>
      <c r="AG279">
        <v>391</v>
      </c>
      <c r="AH279">
        <v>142708979</v>
      </c>
      <c r="AI279">
        <v>1553</v>
      </c>
      <c r="AK279" s="24"/>
      <c r="AL279">
        <v>703</v>
      </c>
      <c r="AM279">
        <v>713</v>
      </c>
      <c r="AN279">
        <v>709</v>
      </c>
      <c r="AO279">
        <v>34606308</v>
      </c>
      <c r="AP279">
        <v>1244</v>
      </c>
      <c r="AR279" s="24"/>
      <c r="AS279">
        <v>2735</v>
      </c>
      <c r="AT279">
        <v>2864</v>
      </c>
      <c r="AU279">
        <v>2775</v>
      </c>
      <c r="AV279">
        <v>16302523</v>
      </c>
      <c r="AW279">
        <v>1295</v>
      </c>
      <c r="AY279" s="24"/>
      <c r="AZ279">
        <v>363500000</v>
      </c>
      <c r="BA279">
        <v>369999898</v>
      </c>
      <c r="BB279">
        <v>367527000</v>
      </c>
      <c r="BC279">
        <v>3179</v>
      </c>
      <c r="BD279">
        <v>2144</v>
      </c>
      <c r="BF279" s="24"/>
      <c r="BG279">
        <v>24306</v>
      </c>
      <c r="BH279">
        <v>24506</v>
      </c>
      <c r="BI279">
        <v>24412</v>
      </c>
      <c r="BJ279">
        <v>2771749</v>
      </c>
      <c r="BK279">
        <v>261</v>
      </c>
      <c r="BM279" s="24"/>
      <c r="BN279">
        <v>6172008</v>
      </c>
      <c r="BO279">
        <v>6500000</v>
      </c>
      <c r="BP279">
        <v>6253171</v>
      </c>
      <c r="BQ279">
        <v>12469</v>
      </c>
      <c r="BR279">
        <v>311</v>
      </c>
      <c r="BT279" s="24"/>
      <c r="BU279">
        <v>2051</v>
      </c>
      <c r="BV279">
        <v>2108</v>
      </c>
      <c r="BW279">
        <v>2104</v>
      </c>
      <c r="BX279">
        <v>21025708</v>
      </c>
      <c r="BY279">
        <v>256</v>
      </c>
      <c r="CA279" s="24"/>
      <c r="CB279">
        <v>441</v>
      </c>
      <c r="CC279">
        <v>454</v>
      </c>
      <c r="CD279">
        <v>454</v>
      </c>
      <c r="CE279">
        <v>92917511</v>
      </c>
      <c r="CF279">
        <v>313</v>
      </c>
      <c r="CH279" s="24"/>
      <c r="CI279">
        <v>22609</v>
      </c>
      <c r="CJ279">
        <v>22611</v>
      </c>
      <c r="CK279">
        <v>22609</v>
      </c>
      <c r="CL279">
        <v>1801665</v>
      </c>
      <c r="CM279">
        <v>213</v>
      </c>
      <c r="CO279" s="24"/>
      <c r="CP279">
        <v>6807</v>
      </c>
      <c r="CQ279">
        <v>7204</v>
      </c>
      <c r="CR279">
        <v>7199</v>
      </c>
      <c r="CS279">
        <v>1396280</v>
      </c>
      <c r="CT279">
        <v>420</v>
      </c>
      <c r="CV279" s="24"/>
      <c r="CW279">
        <v>1296999</v>
      </c>
      <c r="CX279">
        <v>1298799</v>
      </c>
      <c r="CY279">
        <v>1296999</v>
      </c>
      <c r="CZ279">
        <v>12365</v>
      </c>
      <c r="DA279">
        <v>38</v>
      </c>
      <c r="DC279" s="24"/>
      <c r="DD279">
        <v>449</v>
      </c>
      <c r="DE279">
        <v>452</v>
      </c>
      <c r="DF279">
        <v>451</v>
      </c>
      <c r="DG279">
        <v>52277045</v>
      </c>
      <c r="DH279">
        <v>212</v>
      </c>
      <c r="DJ279" s="24"/>
      <c r="DK279">
        <v>32600003</v>
      </c>
      <c r="DL279">
        <v>33499885</v>
      </c>
      <c r="DM279">
        <v>32609999</v>
      </c>
      <c r="DN279">
        <v>445</v>
      </c>
      <c r="DO279">
        <v>98</v>
      </c>
      <c r="DQ279" s="24"/>
      <c r="DR279">
        <v>1300002</v>
      </c>
      <c r="DS279">
        <v>1404005</v>
      </c>
      <c r="DT279">
        <v>1300017</v>
      </c>
      <c r="DU279">
        <v>5384</v>
      </c>
      <c r="DV279">
        <v>226</v>
      </c>
      <c r="DX279" s="24"/>
      <c r="DY279">
        <v>21543869</v>
      </c>
      <c r="DZ279">
        <v>22999999</v>
      </c>
      <c r="EA279">
        <v>21543901</v>
      </c>
      <c r="EB279">
        <v>316</v>
      </c>
      <c r="EC279">
        <v>103</v>
      </c>
      <c r="EE279" s="24"/>
      <c r="EF279">
        <v>184</v>
      </c>
      <c r="EG279">
        <v>187</v>
      </c>
      <c r="EH279">
        <v>184</v>
      </c>
      <c r="EI279">
        <v>96621266</v>
      </c>
      <c r="EJ279">
        <v>214</v>
      </c>
      <c r="EL279" s="24"/>
      <c r="EM279">
        <v>50001</v>
      </c>
      <c r="EN279">
        <v>51001</v>
      </c>
      <c r="EO279">
        <v>50002</v>
      </c>
      <c r="EP279">
        <v>123794</v>
      </c>
      <c r="EQ279">
        <v>762</v>
      </c>
      <c r="ES279" s="24"/>
      <c r="ET279">
        <v>280</v>
      </c>
      <c r="EU279">
        <v>299</v>
      </c>
      <c r="EV279">
        <v>288</v>
      </c>
      <c r="EW279">
        <v>76543865</v>
      </c>
      <c r="EX279">
        <v>685</v>
      </c>
      <c r="EZ279" s="24"/>
      <c r="FA279">
        <v>3721999</v>
      </c>
      <c r="FB279">
        <v>3721999</v>
      </c>
      <c r="FC279">
        <v>3721999</v>
      </c>
      <c r="FD279">
        <v>856</v>
      </c>
      <c r="FE279">
        <v>11</v>
      </c>
      <c r="FG279" s="24"/>
      <c r="FH279">
        <v>6632</v>
      </c>
      <c r="FI279">
        <v>7447</v>
      </c>
      <c r="FJ279">
        <v>7294</v>
      </c>
      <c r="FK279">
        <v>1674921</v>
      </c>
      <c r="FL279">
        <v>512</v>
      </c>
      <c r="FN279" s="24"/>
      <c r="FO279">
        <v>17956</v>
      </c>
      <c r="FP279">
        <v>19149</v>
      </c>
      <c r="FQ279">
        <v>17956</v>
      </c>
      <c r="FR279">
        <v>151374</v>
      </c>
      <c r="FS279">
        <v>99</v>
      </c>
      <c r="FU279" s="24"/>
      <c r="FV279">
        <v>14518</v>
      </c>
      <c r="FW279">
        <v>15218</v>
      </c>
      <c r="FX279">
        <v>15209</v>
      </c>
      <c r="FY279">
        <v>505096</v>
      </c>
      <c r="FZ279">
        <v>1439</v>
      </c>
      <c r="GB279" s="24"/>
      <c r="GC279">
        <v>90207499</v>
      </c>
      <c r="GD279">
        <v>93406899</v>
      </c>
      <c r="GE279">
        <v>90987188</v>
      </c>
      <c r="GF279">
        <v>60</v>
      </c>
      <c r="GG279">
        <v>55</v>
      </c>
      <c r="GI279" s="24"/>
      <c r="GJ279">
        <v>19126000</v>
      </c>
      <c r="GK279">
        <v>20599999</v>
      </c>
      <c r="GL279">
        <v>20000000</v>
      </c>
      <c r="GM279">
        <v>349</v>
      </c>
      <c r="GN279">
        <v>81</v>
      </c>
      <c r="GP279" s="24"/>
      <c r="GQ279">
        <v>114</v>
      </c>
      <c r="GR279">
        <v>118</v>
      </c>
      <c r="GS279">
        <v>114</v>
      </c>
      <c r="GT279">
        <v>144390034</v>
      </c>
      <c r="GU279">
        <v>126</v>
      </c>
      <c r="GW279" s="24"/>
      <c r="GX279">
        <v>415</v>
      </c>
      <c r="GY279">
        <v>428</v>
      </c>
      <c r="GZ279">
        <v>426</v>
      </c>
      <c r="HA279">
        <v>43080467</v>
      </c>
      <c r="HB279">
        <v>270</v>
      </c>
      <c r="HD279" s="24"/>
      <c r="HE279">
        <v>5085</v>
      </c>
      <c r="HF279">
        <v>5228</v>
      </c>
      <c r="HG279">
        <v>5220</v>
      </c>
      <c r="HH279">
        <v>15652890</v>
      </c>
      <c r="HI279">
        <v>272</v>
      </c>
      <c r="HK279" s="24"/>
      <c r="HL279">
        <v>89499999</v>
      </c>
      <c r="HM279">
        <v>91747999</v>
      </c>
      <c r="HN279">
        <v>90785132</v>
      </c>
      <c r="HO279">
        <v>66</v>
      </c>
      <c r="HP279">
        <v>59</v>
      </c>
      <c r="HR279" s="24"/>
      <c r="HS279">
        <v>8450</v>
      </c>
      <c r="HT279">
        <v>9092</v>
      </c>
      <c r="HU279">
        <v>8999</v>
      </c>
      <c r="HV279">
        <v>855071</v>
      </c>
      <c r="HW279">
        <v>159</v>
      </c>
      <c r="HY279" s="24"/>
      <c r="HZ279">
        <v>7511</v>
      </c>
      <c r="IA279">
        <v>7823</v>
      </c>
      <c r="IB279">
        <v>7799</v>
      </c>
      <c r="IC279">
        <v>2198378</v>
      </c>
      <c r="ID279">
        <v>494</v>
      </c>
      <c r="IF279" s="24"/>
      <c r="IG279">
        <v>3318</v>
      </c>
      <c r="IH279">
        <v>3411</v>
      </c>
      <c r="II279">
        <v>3409</v>
      </c>
      <c r="IJ279">
        <v>1135438</v>
      </c>
      <c r="IK279">
        <v>160</v>
      </c>
      <c r="IM279" s="24"/>
      <c r="IN279">
        <v>90999997</v>
      </c>
      <c r="IO279">
        <v>93228000</v>
      </c>
      <c r="IP279">
        <v>91934151</v>
      </c>
      <c r="IQ279">
        <v>60</v>
      </c>
      <c r="IR279">
        <v>52</v>
      </c>
      <c r="IT279" s="24"/>
      <c r="IU279">
        <v>7349</v>
      </c>
      <c r="IV279">
        <v>7493</v>
      </c>
      <c r="IW279">
        <v>7481</v>
      </c>
      <c r="IX279">
        <v>1594657</v>
      </c>
      <c r="IY279">
        <v>175</v>
      </c>
      <c r="JA279" s="24"/>
      <c r="JB279">
        <v>87000153</v>
      </c>
      <c r="JC279">
        <v>94399583</v>
      </c>
      <c r="JD279">
        <v>93269546</v>
      </c>
      <c r="JE279">
        <v>56</v>
      </c>
      <c r="JF279">
        <v>53</v>
      </c>
      <c r="JH279" s="24"/>
      <c r="JI279">
        <v>87000121</v>
      </c>
      <c r="JJ279">
        <v>92971734</v>
      </c>
      <c r="JK279">
        <v>91084268</v>
      </c>
      <c r="JL279">
        <v>39</v>
      </c>
      <c r="JM279">
        <v>33</v>
      </c>
      <c r="JO279" s="24"/>
      <c r="JP279">
        <v>114</v>
      </c>
      <c r="JQ279">
        <v>120</v>
      </c>
      <c r="JR279">
        <v>117</v>
      </c>
      <c r="JS279">
        <v>214744347</v>
      </c>
      <c r="JT279">
        <v>192</v>
      </c>
      <c r="JV279" s="24"/>
      <c r="JW279">
        <v>79</v>
      </c>
      <c r="JX279">
        <v>83</v>
      </c>
      <c r="JY279">
        <v>83</v>
      </c>
      <c r="JZ279">
        <v>130878189</v>
      </c>
      <c r="KA279">
        <v>137</v>
      </c>
      <c r="KC279" s="24"/>
      <c r="KD279">
        <v>21</v>
      </c>
      <c r="KE279">
        <v>23</v>
      </c>
      <c r="KF279">
        <v>22</v>
      </c>
      <c r="KG279">
        <v>97281641</v>
      </c>
      <c r="KH279">
        <v>396</v>
      </c>
      <c r="KJ279" s="24"/>
      <c r="KK279">
        <v>101</v>
      </c>
      <c r="KL279">
        <v>106</v>
      </c>
      <c r="KM279">
        <v>106</v>
      </c>
      <c r="KN279">
        <v>77766002</v>
      </c>
      <c r="KO279">
        <v>126</v>
      </c>
      <c r="KQ279" s="24"/>
      <c r="KR279">
        <v>119000</v>
      </c>
      <c r="KS279">
        <v>119000</v>
      </c>
      <c r="KT279">
        <v>119000</v>
      </c>
      <c r="KU279">
        <v>99131</v>
      </c>
      <c r="KV279">
        <v>751</v>
      </c>
      <c r="KX279" s="24"/>
      <c r="KY279">
        <v>710</v>
      </c>
      <c r="KZ279">
        <v>931</v>
      </c>
      <c r="LA279">
        <v>891</v>
      </c>
      <c r="LB279">
        <v>6679438</v>
      </c>
      <c r="LC279">
        <v>177</v>
      </c>
      <c r="LE279" s="24"/>
      <c r="LF279">
        <v>184000</v>
      </c>
      <c r="LG279">
        <v>189888</v>
      </c>
      <c r="LH279">
        <v>184003</v>
      </c>
      <c r="LI279">
        <v>116701</v>
      </c>
      <c r="LJ279">
        <v>981</v>
      </c>
      <c r="LL279" s="24"/>
      <c r="LM279">
        <v>70000</v>
      </c>
      <c r="LN279">
        <v>71000</v>
      </c>
      <c r="LO279">
        <v>70002</v>
      </c>
      <c r="LP279">
        <v>387018</v>
      </c>
      <c r="LQ279">
        <v>1480</v>
      </c>
      <c r="LS279" s="24"/>
      <c r="LT279">
        <v>468</v>
      </c>
      <c r="LU279">
        <v>468</v>
      </c>
      <c r="LV279">
        <v>468</v>
      </c>
      <c r="LW279">
        <v>104566825</v>
      </c>
      <c r="LX279">
        <v>384</v>
      </c>
      <c r="LZ279" s="24"/>
      <c r="MA279">
        <v>99801</v>
      </c>
      <c r="MB279">
        <v>101988</v>
      </c>
      <c r="MC279">
        <v>101988</v>
      </c>
      <c r="MD279">
        <v>1148080</v>
      </c>
      <c r="ME279">
        <v>110</v>
      </c>
    </row>
    <row r="280" spans="2:343" x14ac:dyDescent="0.25">
      <c r="B280" s="24"/>
      <c r="C280">
        <v>3</v>
      </c>
      <c r="D280">
        <v>3</v>
      </c>
      <c r="E280">
        <v>3</v>
      </c>
      <c r="F280">
        <v>30219848903</v>
      </c>
      <c r="G280">
        <v>2564</v>
      </c>
      <c r="I280" s="24"/>
      <c r="J280">
        <v>4</v>
      </c>
      <c r="K280">
        <v>4</v>
      </c>
      <c r="L280">
        <v>4</v>
      </c>
      <c r="M280">
        <v>5029588983</v>
      </c>
      <c r="N280">
        <v>1867</v>
      </c>
      <c r="P280" s="24"/>
      <c r="Q280">
        <v>28</v>
      </c>
      <c r="R280">
        <v>29</v>
      </c>
      <c r="S280">
        <v>29</v>
      </c>
      <c r="T280">
        <v>1813433761</v>
      </c>
      <c r="U280">
        <v>1772</v>
      </c>
      <c r="W280" s="24"/>
      <c r="X280">
        <v>59</v>
      </c>
      <c r="Y280">
        <v>61</v>
      </c>
      <c r="Z280">
        <v>60</v>
      </c>
      <c r="AA280">
        <v>293936341</v>
      </c>
      <c r="AB280">
        <v>1406</v>
      </c>
      <c r="AD280" s="24"/>
      <c r="AE280">
        <v>373</v>
      </c>
      <c r="AF280">
        <v>386</v>
      </c>
      <c r="AG280">
        <v>379</v>
      </c>
      <c r="AH280">
        <v>161978739</v>
      </c>
      <c r="AI280">
        <v>1502</v>
      </c>
      <c r="AK280" s="24"/>
      <c r="AL280">
        <v>703</v>
      </c>
      <c r="AM280">
        <v>711</v>
      </c>
      <c r="AN280">
        <v>709</v>
      </c>
      <c r="AO280">
        <v>36510547</v>
      </c>
      <c r="AP280">
        <v>1265</v>
      </c>
      <c r="AR280" s="24"/>
      <c r="AS280">
        <v>2602</v>
      </c>
      <c r="AT280">
        <v>2725</v>
      </c>
      <c r="AU280">
        <v>2627</v>
      </c>
      <c r="AV280">
        <v>17136230</v>
      </c>
      <c r="AW280">
        <v>1265</v>
      </c>
      <c r="AY280" s="24"/>
      <c r="AZ280">
        <v>363133000</v>
      </c>
      <c r="BA280">
        <v>371045000</v>
      </c>
      <c r="BB280">
        <v>368999999</v>
      </c>
      <c r="BC280">
        <v>2898</v>
      </c>
      <c r="BD280">
        <v>1971</v>
      </c>
      <c r="BF280" s="24"/>
      <c r="BG280">
        <v>24507</v>
      </c>
      <c r="BH280">
        <v>24806</v>
      </c>
      <c r="BI280">
        <v>24507</v>
      </c>
      <c r="BJ280">
        <v>3137270</v>
      </c>
      <c r="BK280">
        <v>206</v>
      </c>
      <c r="BM280" s="24"/>
      <c r="BN280">
        <v>6300000</v>
      </c>
      <c r="BO280">
        <v>6471880</v>
      </c>
      <c r="BP280">
        <v>6350002</v>
      </c>
      <c r="BQ280">
        <v>14010</v>
      </c>
      <c r="BR280">
        <v>363</v>
      </c>
      <c r="BT280" s="24"/>
      <c r="BU280">
        <v>2061</v>
      </c>
      <c r="BV280">
        <v>2082</v>
      </c>
      <c r="BW280">
        <v>2082</v>
      </c>
      <c r="BX280">
        <v>25482363</v>
      </c>
      <c r="BY280">
        <v>274</v>
      </c>
      <c r="CA280" s="24"/>
      <c r="CB280">
        <v>447</v>
      </c>
      <c r="CC280">
        <v>453</v>
      </c>
      <c r="CD280">
        <v>453</v>
      </c>
      <c r="CE280">
        <v>78079211</v>
      </c>
      <c r="CF280">
        <v>292</v>
      </c>
      <c r="CH280" s="24"/>
      <c r="CI280">
        <v>22614</v>
      </c>
      <c r="CJ280">
        <v>22616</v>
      </c>
      <c r="CK280">
        <v>22616</v>
      </c>
      <c r="CL280">
        <v>2006950</v>
      </c>
      <c r="CM280">
        <v>199</v>
      </c>
      <c r="CO280" s="24"/>
      <c r="CP280">
        <v>6999</v>
      </c>
      <c r="CQ280">
        <v>7198</v>
      </c>
      <c r="CR280">
        <v>7169</v>
      </c>
      <c r="CS280">
        <v>1454514</v>
      </c>
      <c r="CT280">
        <v>354</v>
      </c>
      <c r="CV280" s="24"/>
      <c r="CW280">
        <v>1270003</v>
      </c>
      <c r="CX280">
        <v>1328999</v>
      </c>
      <c r="CY280">
        <v>1299900</v>
      </c>
      <c r="CZ280">
        <v>13692</v>
      </c>
      <c r="DA280">
        <v>36</v>
      </c>
      <c r="DC280" s="24"/>
      <c r="DD280">
        <v>453</v>
      </c>
      <c r="DE280">
        <v>459</v>
      </c>
      <c r="DF280">
        <v>454</v>
      </c>
      <c r="DG280">
        <v>32775045</v>
      </c>
      <c r="DH280">
        <v>177</v>
      </c>
      <c r="DJ280" s="24"/>
      <c r="DK280">
        <v>31400000</v>
      </c>
      <c r="DL280">
        <v>33000000</v>
      </c>
      <c r="DM280">
        <v>32609999</v>
      </c>
      <c r="DN280">
        <v>574</v>
      </c>
      <c r="DO280">
        <v>83</v>
      </c>
      <c r="DQ280" s="24"/>
      <c r="DR280">
        <v>1300020</v>
      </c>
      <c r="DS280">
        <v>1350021</v>
      </c>
      <c r="DT280">
        <v>1300022</v>
      </c>
      <c r="DU280">
        <v>7837</v>
      </c>
      <c r="DV280">
        <v>202</v>
      </c>
      <c r="DX280" s="24"/>
      <c r="DY280">
        <v>21546667</v>
      </c>
      <c r="DZ280">
        <v>23000000</v>
      </c>
      <c r="EA280">
        <v>21990000</v>
      </c>
      <c r="EB280">
        <v>654</v>
      </c>
      <c r="EC280">
        <v>122</v>
      </c>
      <c r="EE280" s="24"/>
      <c r="EF280">
        <v>184</v>
      </c>
      <c r="EG280">
        <v>190</v>
      </c>
      <c r="EH280">
        <v>190</v>
      </c>
      <c r="EI280">
        <v>104328853</v>
      </c>
      <c r="EJ280">
        <v>212</v>
      </c>
      <c r="EL280" s="24"/>
      <c r="EM280">
        <v>50304</v>
      </c>
      <c r="EN280">
        <v>50404</v>
      </c>
      <c r="EO280">
        <v>50400</v>
      </c>
      <c r="EP280">
        <v>68246</v>
      </c>
      <c r="EQ280">
        <v>685</v>
      </c>
      <c r="ES280" s="24"/>
      <c r="ET280">
        <v>280</v>
      </c>
      <c r="EU280">
        <v>299</v>
      </c>
      <c r="EV280">
        <v>297</v>
      </c>
      <c r="EW280">
        <v>40521142</v>
      </c>
      <c r="EX280">
        <v>539</v>
      </c>
      <c r="EZ280" s="24"/>
      <c r="FA280">
        <v>3678999</v>
      </c>
      <c r="FB280">
        <v>3679999</v>
      </c>
      <c r="FC280">
        <v>3679000</v>
      </c>
      <c r="FD280">
        <v>1239</v>
      </c>
      <c r="FE280">
        <v>19</v>
      </c>
      <c r="FG280" s="24"/>
      <c r="FH280">
        <v>7042</v>
      </c>
      <c r="FI280">
        <v>7429</v>
      </c>
      <c r="FJ280">
        <v>7399</v>
      </c>
      <c r="FK280">
        <v>2056997</v>
      </c>
      <c r="FL280">
        <v>475</v>
      </c>
      <c r="FN280" s="24"/>
      <c r="FO280">
        <v>18000</v>
      </c>
      <c r="FP280">
        <v>18999</v>
      </c>
      <c r="FQ280">
        <v>18988</v>
      </c>
      <c r="FR280">
        <v>380762</v>
      </c>
      <c r="FS280">
        <v>115</v>
      </c>
      <c r="FU280" s="24"/>
      <c r="FV280">
        <v>14536</v>
      </c>
      <c r="FW280">
        <v>14718</v>
      </c>
      <c r="FX280">
        <v>14540</v>
      </c>
      <c r="FY280">
        <v>330502</v>
      </c>
      <c r="FZ280">
        <v>1284</v>
      </c>
      <c r="GB280" s="24"/>
      <c r="GC280">
        <v>87002370</v>
      </c>
      <c r="GD280">
        <v>93399000</v>
      </c>
      <c r="GE280">
        <v>87002372</v>
      </c>
      <c r="GF280">
        <v>138</v>
      </c>
      <c r="GG280">
        <v>78</v>
      </c>
      <c r="GI280" s="24"/>
      <c r="GJ280">
        <v>19126089</v>
      </c>
      <c r="GK280">
        <v>20599991</v>
      </c>
      <c r="GL280">
        <v>19126102</v>
      </c>
      <c r="GM280">
        <v>492</v>
      </c>
      <c r="GN280">
        <v>107</v>
      </c>
      <c r="GP280" s="24"/>
      <c r="GQ280">
        <v>117</v>
      </c>
      <c r="GR280">
        <v>118</v>
      </c>
      <c r="GS280">
        <v>117</v>
      </c>
      <c r="GT280">
        <v>170217513</v>
      </c>
      <c r="GU280">
        <v>148</v>
      </c>
      <c r="GW280" s="24"/>
      <c r="GX280">
        <v>410</v>
      </c>
      <c r="GY280">
        <v>425</v>
      </c>
      <c r="GZ280">
        <v>425</v>
      </c>
      <c r="HA280">
        <v>64116462</v>
      </c>
      <c r="HB280">
        <v>235</v>
      </c>
      <c r="HD280" s="24"/>
      <c r="HE280">
        <v>5115</v>
      </c>
      <c r="HF280">
        <v>5218</v>
      </c>
      <c r="HG280">
        <v>5216</v>
      </c>
      <c r="HH280">
        <v>23393221</v>
      </c>
      <c r="HI280">
        <v>366</v>
      </c>
      <c r="HK280" s="24"/>
      <c r="HL280">
        <v>87000203</v>
      </c>
      <c r="HM280">
        <v>91747999</v>
      </c>
      <c r="HN280">
        <v>89867765</v>
      </c>
      <c r="HO280">
        <v>97</v>
      </c>
      <c r="HP280">
        <v>66</v>
      </c>
      <c r="HR280" s="24"/>
      <c r="HS280">
        <v>8581</v>
      </c>
      <c r="HT280">
        <v>9049</v>
      </c>
      <c r="HU280">
        <v>8581</v>
      </c>
      <c r="HV280">
        <v>604145</v>
      </c>
      <c r="HW280">
        <v>139</v>
      </c>
      <c r="HY280" s="24"/>
      <c r="HZ280">
        <v>7515</v>
      </c>
      <c r="IA280">
        <v>7823</v>
      </c>
      <c r="IB280">
        <v>7794</v>
      </c>
      <c r="IC280">
        <v>3021931</v>
      </c>
      <c r="ID280">
        <v>492</v>
      </c>
      <c r="IF280" s="24"/>
      <c r="IG280">
        <v>3318</v>
      </c>
      <c r="IH280">
        <v>3405</v>
      </c>
      <c r="II280">
        <v>3404</v>
      </c>
      <c r="IJ280">
        <v>1622695</v>
      </c>
      <c r="IK280">
        <v>142</v>
      </c>
      <c r="IM280" s="24"/>
      <c r="IN280">
        <v>85753005</v>
      </c>
      <c r="IO280">
        <v>93218989</v>
      </c>
      <c r="IP280">
        <v>87208052</v>
      </c>
      <c r="IQ280">
        <v>161</v>
      </c>
      <c r="IR280">
        <v>88</v>
      </c>
      <c r="IT280" s="24"/>
      <c r="IU280">
        <v>7493</v>
      </c>
      <c r="IV280">
        <v>7493</v>
      </c>
      <c r="IW280">
        <v>7493</v>
      </c>
      <c r="IX280">
        <v>1080312</v>
      </c>
      <c r="IY280">
        <v>138</v>
      </c>
      <c r="JA280" s="24"/>
      <c r="JB280">
        <v>87000171</v>
      </c>
      <c r="JC280">
        <v>92495000</v>
      </c>
      <c r="JD280">
        <v>87001168</v>
      </c>
      <c r="JE280">
        <v>164</v>
      </c>
      <c r="JF280">
        <v>87</v>
      </c>
      <c r="JH280" s="24"/>
      <c r="JI280">
        <v>87000650</v>
      </c>
      <c r="JJ280">
        <v>92972000</v>
      </c>
      <c r="JK280">
        <v>92680582</v>
      </c>
      <c r="JL280">
        <v>41</v>
      </c>
      <c r="JM280">
        <v>35</v>
      </c>
      <c r="JO280" s="24"/>
      <c r="JP280">
        <v>110</v>
      </c>
      <c r="JQ280">
        <v>113</v>
      </c>
      <c r="JR280">
        <v>112</v>
      </c>
      <c r="JS280">
        <v>170844923</v>
      </c>
      <c r="JT280">
        <v>141</v>
      </c>
      <c r="JV280" s="24"/>
      <c r="JW280">
        <v>83</v>
      </c>
      <c r="JX280">
        <v>83</v>
      </c>
      <c r="JY280">
        <v>83</v>
      </c>
      <c r="JZ280">
        <v>145614053</v>
      </c>
      <c r="KA280">
        <v>133</v>
      </c>
      <c r="KC280" s="24"/>
      <c r="KD280">
        <v>22</v>
      </c>
      <c r="KE280">
        <v>31</v>
      </c>
      <c r="KF280">
        <v>31</v>
      </c>
      <c r="KG280">
        <v>44532813</v>
      </c>
      <c r="KH280">
        <v>312</v>
      </c>
      <c r="KJ280" s="24"/>
      <c r="KK280">
        <v>106</v>
      </c>
      <c r="KL280">
        <v>123</v>
      </c>
      <c r="KM280">
        <v>114</v>
      </c>
      <c r="KN280">
        <v>154099762</v>
      </c>
      <c r="KO280">
        <v>157</v>
      </c>
      <c r="KQ280" s="24"/>
      <c r="KR280">
        <v>116602</v>
      </c>
      <c r="KS280">
        <v>117002</v>
      </c>
      <c r="KT280">
        <v>116802</v>
      </c>
      <c r="KU280">
        <v>88024</v>
      </c>
      <c r="KV280">
        <v>650</v>
      </c>
      <c r="KX280" s="24"/>
      <c r="KY280">
        <v>705</v>
      </c>
      <c r="KZ280">
        <v>812</v>
      </c>
      <c r="LA280">
        <v>712</v>
      </c>
      <c r="LB280">
        <v>14449159</v>
      </c>
      <c r="LC280">
        <v>260</v>
      </c>
      <c r="LE280" s="24"/>
      <c r="LF280">
        <v>185000</v>
      </c>
      <c r="LG280">
        <v>185200</v>
      </c>
      <c r="LH280">
        <v>185108</v>
      </c>
      <c r="LI280">
        <v>154804</v>
      </c>
      <c r="LJ280">
        <v>980</v>
      </c>
      <c r="LL280" s="24"/>
      <c r="LM280">
        <v>70012</v>
      </c>
      <c r="LN280">
        <v>70204</v>
      </c>
      <c r="LO280">
        <v>70135</v>
      </c>
      <c r="LP280">
        <v>352257</v>
      </c>
      <c r="LQ280">
        <v>1386</v>
      </c>
      <c r="LS280" s="24"/>
      <c r="LT280">
        <v>466</v>
      </c>
      <c r="LU280">
        <v>467</v>
      </c>
      <c r="LV280">
        <v>467</v>
      </c>
      <c r="LW280">
        <v>106163755</v>
      </c>
      <c r="LX280">
        <v>358</v>
      </c>
      <c r="LZ280" s="24"/>
      <c r="MA280">
        <v>98500</v>
      </c>
      <c r="MB280">
        <v>101988</v>
      </c>
      <c r="MC280">
        <v>99555</v>
      </c>
      <c r="MD280">
        <v>1333360</v>
      </c>
      <c r="ME280">
        <v>110</v>
      </c>
    </row>
    <row r="281" spans="2:343" x14ac:dyDescent="0.25">
      <c r="B281" s="24"/>
      <c r="C281">
        <v>3</v>
      </c>
      <c r="D281">
        <v>3</v>
      </c>
      <c r="E281">
        <v>3</v>
      </c>
      <c r="F281">
        <v>16247102351</v>
      </c>
      <c r="G281">
        <v>2172</v>
      </c>
      <c r="I281" s="24"/>
      <c r="J281">
        <v>4</v>
      </c>
      <c r="K281">
        <v>4</v>
      </c>
      <c r="L281">
        <v>4</v>
      </c>
      <c r="M281">
        <v>3493127572</v>
      </c>
      <c r="N281">
        <v>1629</v>
      </c>
      <c r="P281" s="24"/>
      <c r="Q281">
        <v>28</v>
      </c>
      <c r="R281">
        <v>29</v>
      </c>
      <c r="S281">
        <v>29</v>
      </c>
      <c r="T281">
        <v>1530444298</v>
      </c>
      <c r="U281">
        <v>1509</v>
      </c>
      <c r="W281" s="24"/>
      <c r="X281">
        <v>60</v>
      </c>
      <c r="Y281">
        <v>60</v>
      </c>
      <c r="Z281">
        <v>60</v>
      </c>
      <c r="AA281">
        <v>354509064</v>
      </c>
      <c r="AB281">
        <v>1247</v>
      </c>
      <c r="AD281" s="24"/>
      <c r="AE281">
        <v>376</v>
      </c>
      <c r="AF281">
        <v>384</v>
      </c>
      <c r="AG281">
        <v>383</v>
      </c>
      <c r="AH281">
        <v>92320697</v>
      </c>
      <c r="AI281">
        <v>1328</v>
      </c>
      <c r="AK281" s="24"/>
      <c r="AL281">
        <v>703</v>
      </c>
      <c r="AM281">
        <v>714</v>
      </c>
      <c r="AN281">
        <v>714</v>
      </c>
      <c r="AO281">
        <v>37081060</v>
      </c>
      <c r="AP281">
        <v>1112</v>
      </c>
      <c r="AR281" s="24"/>
      <c r="AS281">
        <v>2630</v>
      </c>
      <c r="AT281">
        <v>2720</v>
      </c>
      <c r="AU281">
        <v>2676</v>
      </c>
      <c r="AV281">
        <v>16623799</v>
      </c>
      <c r="AW281">
        <v>1131</v>
      </c>
      <c r="AY281" s="24"/>
      <c r="AZ281">
        <v>363134200</v>
      </c>
      <c r="BA281">
        <v>370790000</v>
      </c>
      <c r="BB281">
        <v>368592999</v>
      </c>
      <c r="BC281">
        <v>2516</v>
      </c>
      <c r="BD281">
        <v>1729</v>
      </c>
      <c r="BF281" s="24"/>
      <c r="BG281">
        <v>24507</v>
      </c>
      <c r="BH281">
        <v>25017</v>
      </c>
      <c r="BI281">
        <v>25017</v>
      </c>
      <c r="BJ281">
        <v>4571269</v>
      </c>
      <c r="BK281">
        <v>229</v>
      </c>
      <c r="BM281" s="24"/>
      <c r="BN281">
        <v>6400000</v>
      </c>
      <c r="BO281">
        <v>6530990</v>
      </c>
      <c r="BP281">
        <v>6451694</v>
      </c>
      <c r="BQ281">
        <v>10522</v>
      </c>
      <c r="BR281">
        <v>295</v>
      </c>
      <c r="BT281" s="24"/>
      <c r="BU281">
        <v>2100</v>
      </c>
      <c r="BV281">
        <v>2101</v>
      </c>
      <c r="BW281">
        <v>2101</v>
      </c>
      <c r="BX281">
        <v>20106228</v>
      </c>
      <c r="BY281">
        <v>252</v>
      </c>
      <c r="CA281" s="24"/>
      <c r="CB281">
        <v>436</v>
      </c>
      <c r="CC281">
        <v>447</v>
      </c>
      <c r="CD281">
        <v>447</v>
      </c>
      <c r="CE281">
        <v>63867948</v>
      </c>
      <c r="CF281">
        <v>261</v>
      </c>
      <c r="CH281" s="24"/>
      <c r="CI281">
        <v>22619</v>
      </c>
      <c r="CJ281">
        <v>22700</v>
      </c>
      <c r="CK281">
        <v>22619</v>
      </c>
      <c r="CL281">
        <v>1075227</v>
      </c>
      <c r="CM281">
        <v>173</v>
      </c>
      <c r="CO281" s="24"/>
      <c r="CP281">
        <v>7198</v>
      </c>
      <c r="CQ281">
        <v>7245</v>
      </c>
      <c r="CR281">
        <v>7227</v>
      </c>
      <c r="CS281">
        <v>1273510</v>
      </c>
      <c r="CT281">
        <v>291</v>
      </c>
      <c r="CV281" s="24"/>
      <c r="CW281">
        <v>1328999</v>
      </c>
      <c r="CX281">
        <v>1328999</v>
      </c>
      <c r="CY281">
        <v>1328999</v>
      </c>
      <c r="CZ281">
        <v>8740</v>
      </c>
      <c r="DA281">
        <v>27</v>
      </c>
      <c r="DC281" s="24"/>
      <c r="DD281">
        <v>443</v>
      </c>
      <c r="DE281">
        <v>484</v>
      </c>
      <c r="DF281">
        <v>466</v>
      </c>
      <c r="DG281">
        <v>33318320</v>
      </c>
      <c r="DH281">
        <v>138</v>
      </c>
      <c r="DJ281" s="24"/>
      <c r="DK281">
        <v>31206002</v>
      </c>
      <c r="DL281">
        <v>31223000</v>
      </c>
      <c r="DM281">
        <v>31222222</v>
      </c>
      <c r="DN281">
        <v>671</v>
      </c>
      <c r="DO281">
        <v>77</v>
      </c>
      <c r="DQ281" s="24"/>
      <c r="DR281">
        <v>1300021</v>
      </c>
      <c r="DS281">
        <v>1389999</v>
      </c>
      <c r="DT281">
        <v>1310121</v>
      </c>
      <c r="DU281">
        <v>8102</v>
      </c>
      <c r="DV281">
        <v>206</v>
      </c>
      <c r="DX281" s="24"/>
      <c r="DY281">
        <v>22422000</v>
      </c>
      <c r="DZ281">
        <v>22803004</v>
      </c>
      <c r="EA281">
        <v>22600000</v>
      </c>
      <c r="EB281">
        <v>306</v>
      </c>
      <c r="EC281">
        <v>102</v>
      </c>
      <c r="EE281" s="24"/>
      <c r="EF281">
        <v>179</v>
      </c>
      <c r="EG281">
        <v>190</v>
      </c>
      <c r="EH281">
        <v>190</v>
      </c>
      <c r="EI281">
        <v>94198431</v>
      </c>
      <c r="EJ281">
        <v>214</v>
      </c>
      <c r="EL281" s="24"/>
      <c r="EM281">
        <v>50411</v>
      </c>
      <c r="EN281">
        <v>53999</v>
      </c>
      <c r="EO281">
        <v>50415</v>
      </c>
      <c r="EP281">
        <v>63713</v>
      </c>
      <c r="EQ281">
        <v>608</v>
      </c>
      <c r="ES281" s="24"/>
      <c r="ET281">
        <v>289</v>
      </c>
      <c r="EU281">
        <v>297</v>
      </c>
      <c r="EV281">
        <v>297</v>
      </c>
      <c r="EW281">
        <v>39235945</v>
      </c>
      <c r="EX281">
        <v>501</v>
      </c>
      <c r="EZ281" s="24"/>
      <c r="FA281">
        <v>3650950</v>
      </c>
      <c r="FB281">
        <v>3650950</v>
      </c>
      <c r="FC281">
        <v>3650950</v>
      </c>
      <c r="FD281">
        <v>1467</v>
      </c>
      <c r="FE281">
        <v>20</v>
      </c>
      <c r="FG281" s="24"/>
      <c r="FH281">
        <v>7700</v>
      </c>
      <c r="FI281">
        <v>7997</v>
      </c>
      <c r="FJ281">
        <v>7899</v>
      </c>
      <c r="FK281">
        <v>2310343</v>
      </c>
      <c r="FL281">
        <v>427</v>
      </c>
      <c r="FN281" s="24"/>
      <c r="FO281">
        <v>17000</v>
      </c>
      <c r="FP281">
        <v>18964</v>
      </c>
      <c r="FQ281">
        <v>17999</v>
      </c>
      <c r="FR281">
        <v>256208</v>
      </c>
      <c r="FS281">
        <v>108</v>
      </c>
      <c r="FU281" s="24"/>
      <c r="FV281">
        <v>14725</v>
      </c>
      <c r="FW281">
        <v>15001</v>
      </c>
      <c r="FX281">
        <v>14924</v>
      </c>
      <c r="FY281">
        <v>380482</v>
      </c>
      <c r="FZ281">
        <v>1144</v>
      </c>
      <c r="GB281" s="24"/>
      <c r="GC281">
        <v>88011500</v>
      </c>
      <c r="GD281">
        <v>93385995</v>
      </c>
      <c r="GE281">
        <v>90905816</v>
      </c>
      <c r="GF281">
        <v>100</v>
      </c>
      <c r="GG281">
        <v>80</v>
      </c>
      <c r="GI281" s="24"/>
      <c r="GJ281">
        <v>20000001</v>
      </c>
      <c r="GK281">
        <v>20599995</v>
      </c>
      <c r="GL281">
        <v>20201001</v>
      </c>
      <c r="GM281">
        <v>490</v>
      </c>
      <c r="GN281">
        <v>92</v>
      </c>
      <c r="GP281" s="24"/>
      <c r="GQ281">
        <v>119</v>
      </c>
      <c r="GR281">
        <v>129</v>
      </c>
      <c r="GS281">
        <v>129</v>
      </c>
      <c r="GT281">
        <v>122098255</v>
      </c>
      <c r="GU281">
        <v>125</v>
      </c>
      <c r="GW281" s="24"/>
      <c r="GX281">
        <v>424</v>
      </c>
      <c r="GY281">
        <v>425</v>
      </c>
      <c r="GZ281">
        <v>425</v>
      </c>
      <c r="HA281">
        <v>34492585</v>
      </c>
      <c r="HB281">
        <v>188</v>
      </c>
      <c r="HD281" s="24"/>
      <c r="HE281">
        <v>5017</v>
      </c>
      <c r="HF281">
        <v>5149</v>
      </c>
      <c r="HG281">
        <v>5149</v>
      </c>
      <c r="HH281">
        <v>15180469</v>
      </c>
      <c r="HI281">
        <v>274</v>
      </c>
      <c r="HK281" s="24"/>
      <c r="HL281">
        <v>87009009</v>
      </c>
      <c r="HM281">
        <v>92789497</v>
      </c>
      <c r="HN281">
        <v>90821883</v>
      </c>
      <c r="HO281">
        <v>70</v>
      </c>
      <c r="HP281">
        <v>53</v>
      </c>
      <c r="HR281" s="24"/>
      <c r="HS281">
        <v>8582</v>
      </c>
      <c r="HT281">
        <v>8970</v>
      </c>
      <c r="HU281">
        <v>8582</v>
      </c>
      <c r="HV281">
        <v>412326</v>
      </c>
      <c r="HW281">
        <v>130</v>
      </c>
      <c r="HY281" s="24"/>
      <c r="HZ281">
        <v>7515</v>
      </c>
      <c r="IA281">
        <v>7689</v>
      </c>
      <c r="IB281">
        <v>7666</v>
      </c>
      <c r="IC281">
        <v>1654298</v>
      </c>
      <c r="ID281">
        <v>343</v>
      </c>
      <c r="IF281" s="24"/>
      <c r="IG281">
        <v>3226</v>
      </c>
      <c r="IH281">
        <v>3400</v>
      </c>
      <c r="II281">
        <v>3317</v>
      </c>
      <c r="IJ281">
        <v>2359706</v>
      </c>
      <c r="IK281">
        <v>170</v>
      </c>
      <c r="IM281" s="24"/>
      <c r="IN281">
        <v>85777001</v>
      </c>
      <c r="IO281">
        <v>93214978</v>
      </c>
      <c r="IP281">
        <v>91379162</v>
      </c>
      <c r="IQ281">
        <v>77</v>
      </c>
      <c r="IR281">
        <v>60</v>
      </c>
      <c r="IT281" s="24"/>
      <c r="IU281">
        <v>7402</v>
      </c>
      <c r="IV281">
        <v>7493</v>
      </c>
      <c r="IW281">
        <v>7492</v>
      </c>
      <c r="IX281">
        <v>1303168</v>
      </c>
      <c r="IY281">
        <v>161</v>
      </c>
      <c r="JA281" s="24"/>
      <c r="JB281">
        <v>87119002</v>
      </c>
      <c r="JC281">
        <v>92489999</v>
      </c>
      <c r="JD281">
        <v>90154806</v>
      </c>
      <c r="JE281">
        <v>88</v>
      </c>
      <c r="JF281">
        <v>71</v>
      </c>
      <c r="JH281" s="24"/>
      <c r="JI281">
        <v>87020501</v>
      </c>
      <c r="JJ281">
        <v>92970000</v>
      </c>
      <c r="JK281">
        <v>91885380</v>
      </c>
      <c r="JL281">
        <v>43</v>
      </c>
      <c r="JM281">
        <v>37</v>
      </c>
      <c r="JO281" s="24"/>
      <c r="JP281">
        <v>105</v>
      </c>
      <c r="JQ281">
        <v>110</v>
      </c>
      <c r="JR281">
        <v>110</v>
      </c>
      <c r="JS281">
        <v>211301675</v>
      </c>
      <c r="JT281">
        <v>176</v>
      </c>
      <c r="JV281" s="24"/>
      <c r="JW281">
        <v>83</v>
      </c>
      <c r="JX281">
        <v>83</v>
      </c>
      <c r="JY281">
        <v>83</v>
      </c>
      <c r="JZ281">
        <v>102735986</v>
      </c>
      <c r="KA281">
        <v>114</v>
      </c>
      <c r="KC281" s="24"/>
      <c r="KD281">
        <v>22</v>
      </c>
      <c r="KE281">
        <v>31</v>
      </c>
      <c r="KF281">
        <v>25</v>
      </c>
      <c r="KG281">
        <v>48397109</v>
      </c>
      <c r="KH281">
        <v>283</v>
      </c>
      <c r="KJ281" s="24"/>
      <c r="KK281">
        <v>115</v>
      </c>
      <c r="KL281">
        <v>122</v>
      </c>
      <c r="KM281">
        <v>120</v>
      </c>
      <c r="KN281">
        <v>126859931</v>
      </c>
      <c r="KO281">
        <v>118</v>
      </c>
      <c r="KQ281" s="24"/>
      <c r="KR281">
        <v>116803</v>
      </c>
      <c r="KS281">
        <v>117000</v>
      </c>
      <c r="KT281">
        <v>116804</v>
      </c>
      <c r="KU281">
        <v>43724</v>
      </c>
      <c r="KV281">
        <v>583</v>
      </c>
      <c r="KX281" s="24"/>
      <c r="KY281">
        <v>684</v>
      </c>
      <c r="KZ281">
        <v>809</v>
      </c>
      <c r="LA281">
        <v>690</v>
      </c>
      <c r="LB281">
        <v>6145777</v>
      </c>
      <c r="LC281">
        <v>178</v>
      </c>
      <c r="LE281" s="24"/>
      <c r="LF281">
        <v>185200</v>
      </c>
      <c r="LG281">
        <v>187000</v>
      </c>
      <c r="LH281">
        <v>185200</v>
      </c>
      <c r="LI281">
        <v>70875</v>
      </c>
      <c r="LJ281">
        <v>826</v>
      </c>
      <c r="LL281" s="24"/>
      <c r="LM281">
        <v>70212</v>
      </c>
      <c r="LN281">
        <v>70251</v>
      </c>
      <c r="LO281">
        <v>70219</v>
      </c>
      <c r="LP281">
        <v>335662</v>
      </c>
      <c r="LQ281">
        <v>1164</v>
      </c>
      <c r="LS281" s="24"/>
      <c r="LT281">
        <v>453</v>
      </c>
      <c r="LU281">
        <v>466</v>
      </c>
      <c r="LV281">
        <v>465</v>
      </c>
      <c r="LW281">
        <v>87287643</v>
      </c>
      <c r="LX281">
        <v>316</v>
      </c>
      <c r="LZ281" s="24"/>
      <c r="MA281">
        <v>100000</v>
      </c>
      <c r="MB281">
        <v>101501</v>
      </c>
      <c r="MC281">
        <v>101099</v>
      </c>
      <c r="MD281">
        <v>662817</v>
      </c>
      <c r="ME281">
        <v>57</v>
      </c>
    </row>
    <row r="282" spans="2:343" x14ac:dyDescent="0.25">
      <c r="B282" s="24"/>
      <c r="C282">
        <v>3</v>
      </c>
      <c r="D282">
        <v>3</v>
      </c>
      <c r="E282">
        <v>3</v>
      </c>
      <c r="F282">
        <v>27137815061</v>
      </c>
      <c r="G282">
        <v>2235</v>
      </c>
      <c r="I282" s="24"/>
      <c r="J282">
        <v>4</v>
      </c>
      <c r="K282">
        <v>4</v>
      </c>
      <c r="L282">
        <v>4</v>
      </c>
      <c r="M282">
        <v>4419085351</v>
      </c>
      <c r="N282">
        <v>1610</v>
      </c>
      <c r="P282" s="24"/>
      <c r="Q282">
        <v>28</v>
      </c>
      <c r="R282">
        <v>29</v>
      </c>
      <c r="S282">
        <v>29</v>
      </c>
      <c r="T282">
        <v>1331772858</v>
      </c>
      <c r="U282">
        <v>1445</v>
      </c>
      <c r="W282" s="24"/>
      <c r="X282">
        <v>59</v>
      </c>
      <c r="Y282">
        <v>60</v>
      </c>
      <c r="Z282">
        <v>60</v>
      </c>
      <c r="AA282">
        <v>534538160</v>
      </c>
      <c r="AB282">
        <v>1165</v>
      </c>
      <c r="AD282" s="24"/>
      <c r="AE282">
        <v>381</v>
      </c>
      <c r="AF282">
        <v>383</v>
      </c>
      <c r="AG282">
        <v>383</v>
      </c>
      <c r="AH282">
        <v>83486800</v>
      </c>
      <c r="AI282">
        <v>1271</v>
      </c>
      <c r="AK282" s="24"/>
      <c r="AL282">
        <v>707</v>
      </c>
      <c r="AM282">
        <v>715</v>
      </c>
      <c r="AN282">
        <v>715</v>
      </c>
      <c r="AO282">
        <v>47538171</v>
      </c>
      <c r="AP282">
        <v>1094</v>
      </c>
      <c r="AR282" s="24"/>
      <c r="AS282">
        <v>2640</v>
      </c>
      <c r="AT282">
        <v>2739</v>
      </c>
      <c r="AU282">
        <v>2736</v>
      </c>
      <c r="AV282">
        <v>11696538</v>
      </c>
      <c r="AW282">
        <v>1027</v>
      </c>
      <c r="AY282" s="24"/>
      <c r="AZ282">
        <v>364000000</v>
      </c>
      <c r="BA282">
        <v>370750000</v>
      </c>
      <c r="BB282">
        <v>369799997</v>
      </c>
      <c r="BC282">
        <v>2337</v>
      </c>
      <c r="BD282">
        <v>1629</v>
      </c>
      <c r="BF282" s="24"/>
      <c r="BG282">
        <v>23903</v>
      </c>
      <c r="BH282">
        <v>23904</v>
      </c>
      <c r="BI282">
        <v>23904</v>
      </c>
      <c r="BJ282">
        <v>3133776</v>
      </c>
      <c r="BK282">
        <v>239</v>
      </c>
      <c r="BM282" s="24"/>
      <c r="BN282">
        <v>6460000</v>
      </c>
      <c r="BO282">
        <v>6460001</v>
      </c>
      <c r="BP282">
        <v>6460000</v>
      </c>
      <c r="BQ282">
        <v>9641</v>
      </c>
      <c r="BR282">
        <v>318</v>
      </c>
      <c r="BT282" s="24"/>
      <c r="BU282">
        <v>2098</v>
      </c>
      <c r="BV282">
        <v>2100</v>
      </c>
      <c r="BW282">
        <v>2099</v>
      </c>
      <c r="BX282">
        <v>22628107</v>
      </c>
      <c r="BY282">
        <v>192</v>
      </c>
      <c r="CA282" s="24"/>
      <c r="CB282">
        <v>444</v>
      </c>
      <c r="CC282">
        <v>444</v>
      </c>
      <c r="CD282">
        <v>444</v>
      </c>
      <c r="CE282">
        <v>55919793</v>
      </c>
      <c r="CF282">
        <v>256</v>
      </c>
      <c r="CH282" s="24"/>
      <c r="CI282">
        <v>22701</v>
      </c>
      <c r="CJ282">
        <v>22701</v>
      </c>
      <c r="CK282">
        <v>22701</v>
      </c>
      <c r="CL282">
        <v>2084556</v>
      </c>
      <c r="CM282">
        <v>161</v>
      </c>
      <c r="CO282" s="24"/>
      <c r="CP282">
        <v>7233</v>
      </c>
      <c r="CQ282">
        <v>7249</v>
      </c>
      <c r="CR282">
        <v>7240</v>
      </c>
      <c r="CS282">
        <v>1621412</v>
      </c>
      <c r="CT282">
        <v>319</v>
      </c>
      <c r="CV282" s="24"/>
      <c r="CW282">
        <v>1310000</v>
      </c>
      <c r="CX282">
        <v>1339998</v>
      </c>
      <c r="CY282">
        <v>1328999</v>
      </c>
      <c r="CZ282">
        <v>10622</v>
      </c>
      <c r="DA282">
        <v>49</v>
      </c>
      <c r="DC282" s="24"/>
      <c r="DD282">
        <v>467</v>
      </c>
      <c r="DE282">
        <v>484</v>
      </c>
      <c r="DF282">
        <v>475</v>
      </c>
      <c r="DG282">
        <v>41328770</v>
      </c>
      <c r="DH282">
        <v>180</v>
      </c>
      <c r="DJ282" s="24"/>
      <c r="DK282">
        <v>31223053</v>
      </c>
      <c r="DL282">
        <v>31255002</v>
      </c>
      <c r="DM282">
        <v>31223099</v>
      </c>
      <c r="DN282">
        <v>283</v>
      </c>
      <c r="DO282">
        <v>64</v>
      </c>
      <c r="DQ282" s="24"/>
      <c r="DR282">
        <v>1300623</v>
      </c>
      <c r="DS282">
        <v>1399992</v>
      </c>
      <c r="DT282">
        <v>1300630</v>
      </c>
      <c r="DU282">
        <v>4757</v>
      </c>
      <c r="DV282">
        <v>212</v>
      </c>
      <c r="DX282" s="24"/>
      <c r="DY282">
        <v>22804007</v>
      </c>
      <c r="DZ282">
        <v>23499999</v>
      </c>
      <c r="EA282">
        <v>22806000</v>
      </c>
      <c r="EB282">
        <v>328</v>
      </c>
      <c r="EC282">
        <v>90</v>
      </c>
      <c r="EE282" s="24"/>
      <c r="EF282">
        <v>178</v>
      </c>
      <c r="EG282">
        <v>190</v>
      </c>
      <c r="EH282">
        <v>188</v>
      </c>
      <c r="EI282">
        <v>74230479</v>
      </c>
      <c r="EJ282">
        <v>145</v>
      </c>
      <c r="EL282" s="24"/>
      <c r="EM282">
        <v>51005</v>
      </c>
      <c r="EN282">
        <v>51009</v>
      </c>
      <c r="EO282">
        <v>51009</v>
      </c>
      <c r="EP282">
        <v>45079</v>
      </c>
      <c r="EQ282">
        <v>577</v>
      </c>
      <c r="ES282" s="24"/>
      <c r="ET282">
        <v>287</v>
      </c>
      <c r="EU282">
        <v>297</v>
      </c>
      <c r="EV282">
        <v>288</v>
      </c>
      <c r="EW282">
        <v>46081043</v>
      </c>
      <c r="EX282">
        <v>525</v>
      </c>
      <c r="EZ282" s="24"/>
      <c r="FA282">
        <v>3446005</v>
      </c>
      <c r="FB282">
        <v>3650949</v>
      </c>
      <c r="FC282">
        <v>3650949</v>
      </c>
      <c r="FD282">
        <v>855</v>
      </c>
      <c r="FE282">
        <v>23</v>
      </c>
      <c r="FG282" s="24"/>
      <c r="FH282">
        <v>7521</v>
      </c>
      <c r="FI282">
        <v>7997</v>
      </c>
      <c r="FJ282">
        <v>7749</v>
      </c>
      <c r="FK282">
        <v>2028216</v>
      </c>
      <c r="FL282">
        <v>406</v>
      </c>
      <c r="FN282" s="24"/>
      <c r="FO282">
        <v>16020</v>
      </c>
      <c r="FP282">
        <v>17994</v>
      </c>
      <c r="FQ282">
        <v>17993</v>
      </c>
      <c r="FR282">
        <v>362266</v>
      </c>
      <c r="FS282">
        <v>74</v>
      </c>
      <c r="FU282" s="24"/>
      <c r="FV282">
        <v>15501</v>
      </c>
      <c r="FW282">
        <v>15525</v>
      </c>
      <c r="FX282">
        <v>15507</v>
      </c>
      <c r="FY282">
        <v>317583</v>
      </c>
      <c r="FZ282">
        <v>1134</v>
      </c>
      <c r="GB282" s="24"/>
      <c r="GC282">
        <v>85133004</v>
      </c>
      <c r="GD282">
        <v>92999999</v>
      </c>
      <c r="GE282">
        <v>89576159</v>
      </c>
      <c r="GF282">
        <v>86</v>
      </c>
      <c r="GG282">
        <v>63</v>
      </c>
      <c r="GI282" s="24"/>
      <c r="GJ282">
        <v>20200005</v>
      </c>
      <c r="GK282">
        <v>20702333</v>
      </c>
      <c r="GL282">
        <v>20202000</v>
      </c>
      <c r="GM282">
        <v>638</v>
      </c>
      <c r="GN282">
        <v>102</v>
      </c>
      <c r="GP282" s="24"/>
      <c r="GQ282">
        <v>122</v>
      </c>
      <c r="GR282">
        <v>125</v>
      </c>
      <c r="GS282">
        <v>122</v>
      </c>
      <c r="GT282">
        <v>113677393</v>
      </c>
      <c r="GU282">
        <v>116</v>
      </c>
      <c r="GW282" s="24"/>
      <c r="GX282">
        <v>414</v>
      </c>
      <c r="GY282">
        <v>421</v>
      </c>
      <c r="GZ282">
        <v>421</v>
      </c>
      <c r="HA282">
        <v>38682011</v>
      </c>
      <c r="HB282">
        <v>168</v>
      </c>
      <c r="HD282" s="24"/>
      <c r="HE282">
        <v>5026</v>
      </c>
      <c r="HF282">
        <v>5146</v>
      </c>
      <c r="HG282">
        <v>5146</v>
      </c>
      <c r="HH282">
        <v>14204962</v>
      </c>
      <c r="HI282">
        <v>256</v>
      </c>
      <c r="HK282" s="24"/>
      <c r="HL282">
        <v>87103107</v>
      </c>
      <c r="HM282">
        <v>92997985</v>
      </c>
      <c r="HN282">
        <v>87208121</v>
      </c>
      <c r="HO282">
        <v>104</v>
      </c>
      <c r="HP282">
        <v>64</v>
      </c>
      <c r="HR282" s="24"/>
      <c r="HS282">
        <v>8582</v>
      </c>
      <c r="HT282">
        <v>8700</v>
      </c>
      <c r="HU282">
        <v>8582</v>
      </c>
      <c r="HV282">
        <v>698340</v>
      </c>
      <c r="HW282">
        <v>152</v>
      </c>
      <c r="HY282" s="24"/>
      <c r="HZ282">
        <v>7599</v>
      </c>
      <c r="IA282">
        <v>7692</v>
      </c>
      <c r="IB282">
        <v>7666</v>
      </c>
      <c r="IC282">
        <v>1810919</v>
      </c>
      <c r="ID282">
        <v>413</v>
      </c>
      <c r="IF282" s="24"/>
      <c r="IG282">
        <v>3199</v>
      </c>
      <c r="IH282">
        <v>3327</v>
      </c>
      <c r="II282">
        <v>3326</v>
      </c>
      <c r="IJ282">
        <v>816481</v>
      </c>
      <c r="IK282">
        <v>104</v>
      </c>
      <c r="IM282" s="24"/>
      <c r="IN282">
        <v>85808112</v>
      </c>
      <c r="IO282">
        <v>93099998</v>
      </c>
      <c r="IP282">
        <v>89342146</v>
      </c>
      <c r="IQ282">
        <v>99</v>
      </c>
      <c r="IR282">
        <v>69</v>
      </c>
      <c r="IT282" s="24"/>
      <c r="IU282">
        <v>7343</v>
      </c>
      <c r="IV282">
        <v>7493</v>
      </c>
      <c r="IW282">
        <v>7420</v>
      </c>
      <c r="IX282">
        <v>1379742</v>
      </c>
      <c r="IY282">
        <v>129</v>
      </c>
      <c r="JA282" s="24"/>
      <c r="JB282">
        <v>87289009</v>
      </c>
      <c r="JC282">
        <v>92489975</v>
      </c>
      <c r="JD282">
        <v>87294002</v>
      </c>
      <c r="JE282">
        <v>117</v>
      </c>
      <c r="JF282">
        <v>71</v>
      </c>
      <c r="JH282" s="24"/>
      <c r="JI282">
        <v>87128214</v>
      </c>
      <c r="JJ282">
        <v>92969999</v>
      </c>
      <c r="JK282">
        <v>89956230</v>
      </c>
      <c r="JL282">
        <v>78</v>
      </c>
      <c r="JM282">
        <v>49</v>
      </c>
      <c r="JO282" s="24"/>
      <c r="JP282">
        <v>122</v>
      </c>
      <c r="JQ282">
        <v>124</v>
      </c>
      <c r="JR282">
        <v>123</v>
      </c>
      <c r="JS282">
        <v>116961078</v>
      </c>
      <c r="JT282">
        <v>95</v>
      </c>
      <c r="JV282" s="24"/>
      <c r="JW282">
        <v>83</v>
      </c>
      <c r="JX282">
        <v>84</v>
      </c>
      <c r="JY282">
        <v>83</v>
      </c>
      <c r="JZ282">
        <v>152422084</v>
      </c>
      <c r="KA282">
        <v>89</v>
      </c>
      <c r="KC282" s="24"/>
      <c r="KD282">
        <v>23</v>
      </c>
      <c r="KE282">
        <v>28</v>
      </c>
      <c r="KF282">
        <v>24</v>
      </c>
      <c r="KG282">
        <v>40802896</v>
      </c>
      <c r="KH282">
        <v>286</v>
      </c>
      <c r="KJ282" s="24"/>
      <c r="KK282">
        <v>116</v>
      </c>
      <c r="KL282">
        <v>122</v>
      </c>
      <c r="KM282">
        <v>116</v>
      </c>
      <c r="KN282">
        <v>48497331</v>
      </c>
      <c r="KO282">
        <v>80</v>
      </c>
      <c r="KQ282" s="24"/>
      <c r="KR282">
        <v>116804</v>
      </c>
      <c r="KS282">
        <v>117001</v>
      </c>
      <c r="KT282">
        <v>117000</v>
      </c>
      <c r="KU282">
        <v>80461</v>
      </c>
      <c r="KV282">
        <v>584</v>
      </c>
      <c r="KX282" s="24"/>
      <c r="KY282">
        <v>759</v>
      </c>
      <c r="KZ282">
        <v>780</v>
      </c>
      <c r="LA282">
        <v>764</v>
      </c>
      <c r="LB282">
        <v>4142267</v>
      </c>
      <c r="LC282">
        <v>149</v>
      </c>
      <c r="LE282" s="24"/>
      <c r="LF282">
        <v>185206</v>
      </c>
      <c r="LG282">
        <v>185208</v>
      </c>
      <c r="LH282">
        <v>185208</v>
      </c>
      <c r="LI282">
        <v>103107</v>
      </c>
      <c r="LJ282">
        <v>769</v>
      </c>
      <c r="LL282" s="24"/>
      <c r="LM282">
        <v>70257</v>
      </c>
      <c r="LN282">
        <v>70300</v>
      </c>
      <c r="LO282">
        <v>70276</v>
      </c>
      <c r="LP282">
        <v>316699</v>
      </c>
      <c r="LQ282">
        <v>1133</v>
      </c>
      <c r="LS282" s="24"/>
      <c r="LT282">
        <v>456</v>
      </c>
      <c r="LU282">
        <v>465</v>
      </c>
      <c r="LV282">
        <v>464</v>
      </c>
      <c r="LW282">
        <v>70892028</v>
      </c>
      <c r="LX282">
        <v>307</v>
      </c>
      <c r="LZ282" s="24"/>
      <c r="MA282">
        <v>98002</v>
      </c>
      <c r="MB282">
        <v>100500</v>
      </c>
      <c r="MC282">
        <v>98105</v>
      </c>
      <c r="MD282">
        <v>441441</v>
      </c>
      <c r="ME282">
        <v>63</v>
      </c>
    </row>
    <row r="283" spans="2:343" x14ac:dyDescent="0.25">
      <c r="B283" s="24"/>
      <c r="C283">
        <v>3</v>
      </c>
      <c r="D283">
        <v>3</v>
      </c>
      <c r="E283">
        <v>3</v>
      </c>
      <c r="F283">
        <v>24657449798</v>
      </c>
      <c r="G283">
        <v>2094</v>
      </c>
      <c r="I283" s="24"/>
      <c r="J283">
        <v>4</v>
      </c>
      <c r="K283">
        <v>4</v>
      </c>
      <c r="L283">
        <v>4</v>
      </c>
      <c r="M283">
        <v>5166068118</v>
      </c>
      <c r="N283">
        <v>1583</v>
      </c>
      <c r="P283" s="24"/>
      <c r="Q283">
        <v>29</v>
      </c>
      <c r="R283">
        <v>29</v>
      </c>
      <c r="S283">
        <v>29</v>
      </c>
      <c r="T283">
        <v>1178360110</v>
      </c>
      <c r="U283">
        <v>1499</v>
      </c>
      <c r="W283" s="24"/>
      <c r="X283">
        <v>59</v>
      </c>
      <c r="Y283">
        <v>60</v>
      </c>
      <c r="Z283">
        <v>60</v>
      </c>
      <c r="AA283">
        <v>235020770</v>
      </c>
      <c r="AB283">
        <v>1144</v>
      </c>
      <c r="AD283" s="24"/>
      <c r="AE283">
        <v>383</v>
      </c>
      <c r="AF283">
        <v>384</v>
      </c>
      <c r="AG283">
        <v>384</v>
      </c>
      <c r="AH283">
        <v>93150591</v>
      </c>
      <c r="AI283">
        <v>1225</v>
      </c>
      <c r="AK283" s="24"/>
      <c r="AL283">
        <v>736</v>
      </c>
      <c r="AM283">
        <v>741</v>
      </c>
      <c r="AN283">
        <v>739</v>
      </c>
      <c r="AO283">
        <v>37012542</v>
      </c>
      <c r="AP283">
        <v>1084</v>
      </c>
      <c r="AR283" s="24"/>
      <c r="AS283">
        <v>2653</v>
      </c>
      <c r="AT283">
        <v>2741</v>
      </c>
      <c r="AU283">
        <v>2685</v>
      </c>
      <c r="AV283">
        <v>11196144</v>
      </c>
      <c r="AW283">
        <v>1006</v>
      </c>
      <c r="AY283" s="24"/>
      <c r="AZ283">
        <v>367510500</v>
      </c>
      <c r="BA283">
        <v>374998883</v>
      </c>
      <c r="BB283">
        <v>372500000</v>
      </c>
      <c r="BC283">
        <v>2324</v>
      </c>
      <c r="BD283">
        <v>1582</v>
      </c>
      <c r="BF283" s="24"/>
      <c r="BG283">
        <v>23906</v>
      </c>
      <c r="BH283">
        <v>24011</v>
      </c>
      <c r="BI283">
        <v>24000</v>
      </c>
      <c r="BJ283">
        <v>1994003</v>
      </c>
      <c r="BK283">
        <v>200</v>
      </c>
      <c r="BM283" s="24"/>
      <c r="BN283">
        <v>6400011</v>
      </c>
      <c r="BO283">
        <v>6500000</v>
      </c>
      <c r="BP283">
        <v>6400042</v>
      </c>
      <c r="BQ283">
        <v>9802</v>
      </c>
      <c r="BR283">
        <v>292</v>
      </c>
      <c r="BT283" s="24"/>
      <c r="BU283">
        <v>2099</v>
      </c>
      <c r="BV283">
        <v>2238</v>
      </c>
      <c r="BW283">
        <v>2227</v>
      </c>
      <c r="BX283">
        <v>23286857</v>
      </c>
      <c r="BY283">
        <v>210</v>
      </c>
      <c r="CA283" s="24"/>
      <c r="CB283">
        <v>446</v>
      </c>
      <c r="CC283">
        <v>447</v>
      </c>
      <c r="CD283">
        <v>447</v>
      </c>
      <c r="CE283">
        <v>52278988</v>
      </c>
      <c r="CF283">
        <v>223</v>
      </c>
      <c r="CH283" s="24"/>
      <c r="CI283">
        <v>22701</v>
      </c>
      <c r="CJ283">
        <v>22701</v>
      </c>
      <c r="CK283">
        <v>22701</v>
      </c>
      <c r="CL283">
        <v>2293492</v>
      </c>
      <c r="CM283">
        <v>208</v>
      </c>
      <c r="CO283" s="24"/>
      <c r="CP283">
        <v>7151</v>
      </c>
      <c r="CQ283">
        <v>7300</v>
      </c>
      <c r="CR283">
        <v>7289</v>
      </c>
      <c r="CS283">
        <v>1103636</v>
      </c>
      <c r="CT283">
        <v>340</v>
      </c>
      <c r="CV283" s="24"/>
      <c r="CW283">
        <v>1300000</v>
      </c>
      <c r="CX283">
        <v>1301203</v>
      </c>
      <c r="CY283">
        <v>1300000</v>
      </c>
      <c r="CZ283">
        <v>14802</v>
      </c>
      <c r="DA283">
        <v>50</v>
      </c>
      <c r="DC283" s="24"/>
      <c r="DD283">
        <v>447</v>
      </c>
      <c r="DE283">
        <v>469</v>
      </c>
      <c r="DF283">
        <v>467</v>
      </c>
      <c r="DG283">
        <v>34726360</v>
      </c>
      <c r="DH283">
        <v>158</v>
      </c>
      <c r="DJ283" s="24"/>
      <c r="DK283">
        <v>31255002</v>
      </c>
      <c r="DL283">
        <v>31256000</v>
      </c>
      <c r="DM283">
        <v>31255003</v>
      </c>
      <c r="DN283">
        <v>547</v>
      </c>
      <c r="DO283">
        <v>82</v>
      </c>
      <c r="DQ283" s="24"/>
      <c r="DR283">
        <v>1300630</v>
      </c>
      <c r="DS283">
        <v>1399990</v>
      </c>
      <c r="DT283">
        <v>1300633</v>
      </c>
      <c r="DU283">
        <v>11930</v>
      </c>
      <c r="DV283">
        <v>213</v>
      </c>
      <c r="DX283" s="24"/>
      <c r="DY283">
        <v>22808000</v>
      </c>
      <c r="DZ283">
        <v>23999950</v>
      </c>
      <c r="EA283">
        <v>23206999</v>
      </c>
      <c r="EB283">
        <v>334</v>
      </c>
      <c r="EC283">
        <v>87</v>
      </c>
      <c r="EE283" s="24"/>
      <c r="EF283">
        <v>180</v>
      </c>
      <c r="EG283">
        <v>188</v>
      </c>
      <c r="EH283">
        <v>182</v>
      </c>
      <c r="EI283">
        <v>83103732</v>
      </c>
      <c r="EJ283">
        <v>181</v>
      </c>
      <c r="EL283" s="24"/>
      <c r="EM283">
        <v>52001</v>
      </c>
      <c r="EN283">
        <v>53993</v>
      </c>
      <c r="EO283">
        <v>52005</v>
      </c>
      <c r="EP283">
        <v>55984</v>
      </c>
      <c r="EQ283">
        <v>625</v>
      </c>
      <c r="ES283" s="24"/>
      <c r="ET283">
        <v>287</v>
      </c>
      <c r="EU283">
        <v>297</v>
      </c>
      <c r="EV283">
        <v>296</v>
      </c>
      <c r="EW283">
        <v>36837929</v>
      </c>
      <c r="EX283">
        <v>487</v>
      </c>
      <c r="EZ283" s="24"/>
      <c r="FA283">
        <v>3446005</v>
      </c>
      <c r="FB283">
        <v>3606003</v>
      </c>
      <c r="FC283">
        <v>3448009</v>
      </c>
      <c r="FD283">
        <v>1796</v>
      </c>
      <c r="FE283">
        <v>35</v>
      </c>
      <c r="FG283" s="24"/>
      <c r="FH283">
        <v>7697</v>
      </c>
      <c r="FI283">
        <v>7699</v>
      </c>
      <c r="FJ283">
        <v>7699</v>
      </c>
      <c r="FK283">
        <v>1813998</v>
      </c>
      <c r="FL283">
        <v>399</v>
      </c>
      <c r="FN283" s="24"/>
      <c r="FO283">
        <v>17990</v>
      </c>
      <c r="FP283">
        <v>17991</v>
      </c>
      <c r="FQ283">
        <v>17990</v>
      </c>
      <c r="FR283">
        <v>222082</v>
      </c>
      <c r="FS283">
        <v>79</v>
      </c>
      <c r="FU283" s="24"/>
      <c r="FV283">
        <v>15508</v>
      </c>
      <c r="FW283">
        <v>15600</v>
      </c>
      <c r="FX283">
        <v>15525</v>
      </c>
      <c r="FY283">
        <v>338256</v>
      </c>
      <c r="FZ283">
        <v>1122</v>
      </c>
      <c r="GB283" s="24"/>
      <c r="GC283">
        <v>85468008</v>
      </c>
      <c r="GD283">
        <v>92998000</v>
      </c>
      <c r="GE283">
        <v>89462106</v>
      </c>
      <c r="GF283">
        <v>93</v>
      </c>
      <c r="GG283">
        <v>63</v>
      </c>
      <c r="GI283" s="24"/>
      <c r="GJ283">
        <v>19229907</v>
      </c>
      <c r="GK283">
        <v>20999701</v>
      </c>
      <c r="GL283">
        <v>20500000</v>
      </c>
      <c r="GM283">
        <v>508</v>
      </c>
      <c r="GN283">
        <v>76</v>
      </c>
      <c r="GP283" s="24"/>
      <c r="GQ283">
        <v>121</v>
      </c>
      <c r="GR283">
        <v>125</v>
      </c>
      <c r="GS283">
        <v>125</v>
      </c>
      <c r="GT283">
        <v>101583332</v>
      </c>
      <c r="GU283">
        <v>130</v>
      </c>
      <c r="GW283" s="24"/>
      <c r="GX283">
        <v>403</v>
      </c>
      <c r="GY283">
        <v>419</v>
      </c>
      <c r="GZ283">
        <v>414</v>
      </c>
      <c r="HA283">
        <v>39131575</v>
      </c>
      <c r="HB283">
        <v>218</v>
      </c>
      <c r="HD283" s="24"/>
      <c r="HE283">
        <v>5142</v>
      </c>
      <c r="HF283">
        <v>5143</v>
      </c>
      <c r="HG283">
        <v>5143</v>
      </c>
      <c r="HH283">
        <v>11331114</v>
      </c>
      <c r="HI283">
        <v>203</v>
      </c>
      <c r="HK283" s="24"/>
      <c r="HL283">
        <v>90000001</v>
      </c>
      <c r="HM283">
        <v>92984000</v>
      </c>
      <c r="HN283">
        <v>90000007</v>
      </c>
      <c r="HO283">
        <v>141</v>
      </c>
      <c r="HP283">
        <v>89</v>
      </c>
      <c r="HR283" s="24"/>
      <c r="HS283">
        <v>8117</v>
      </c>
      <c r="HT283">
        <v>8648</v>
      </c>
      <c r="HU283">
        <v>8648</v>
      </c>
      <c r="HV283">
        <v>692938</v>
      </c>
      <c r="HW283">
        <v>143</v>
      </c>
      <c r="HY283" s="24"/>
      <c r="HZ283">
        <v>7551</v>
      </c>
      <c r="IA283">
        <v>7820</v>
      </c>
      <c r="IB283">
        <v>7809</v>
      </c>
      <c r="IC283">
        <v>1629001</v>
      </c>
      <c r="ID283">
        <v>419</v>
      </c>
      <c r="IF283" s="24"/>
      <c r="IG283">
        <v>3102</v>
      </c>
      <c r="IH283">
        <v>3327</v>
      </c>
      <c r="II283">
        <v>3198</v>
      </c>
      <c r="IJ283">
        <v>2140174</v>
      </c>
      <c r="IK283">
        <v>157</v>
      </c>
      <c r="IM283" s="24"/>
      <c r="IN283">
        <v>85901002</v>
      </c>
      <c r="IO283">
        <v>93098997</v>
      </c>
      <c r="IP283">
        <v>90721144</v>
      </c>
      <c r="IQ283">
        <v>64</v>
      </c>
      <c r="IR283">
        <v>54</v>
      </c>
      <c r="IT283" s="24"/>
      <c r="IU283">
        <v>7418</v>
      </c>
      <c r="IV283">
        <v>7450</v>
      </c>
      <c r="IW283">
        <v>7447</v>
      </c>
      <c r="IX283">
        <v>1043605</v>
      </c>
      <c r="IY283">
        <v>106</v>
      </c>
      <c r="JA283" s="24"/>
      <c r="JB283">
        <v>87485009</v>
      </c>
      <c r="JC283">
        <v>92488001</v>
      </c>
      <c r="JD283">
        <v>87488001</v>
      </c>
      <c r="JE283">
        <v>109</v>
      </c>
      <c r="JF283">
        <v>70</v>
      </c>
      <c r="JH283" s="24"/>
      <c r="JI283">
        <v>87139001</v>
      </c>
      <c r="JJ283">
        <v>92969993</v>
      </c>
      <c r="JK283">
        <v>90894475</v>
      </c>
      <c r="JL283">
        <v>45</v>
      </c>
      <c r="JM283">
        <v>38</v>
      </c>
      <c r="JO283" s="24"/>
      <c r="JP283">
        <v>118</v>
      </c>
      <c r="JQ283">
        <v>123</v>
      </c>
      <c r="JR283">
        <v>119</v>
      </c>
      <c r="JS283">
        <v>84813203</v>
      </c>
      <c r="JT283">
        <v>107</v>
      </c>
      <c r="JV283" s="24"/>
      <c r="JW283">
        <v>83</v>
      </c>
      <c r="JX283">
        <v>90</v>
      </c>
      <c r="JY283">
        <v>89</v>
      </c>
      <c r="JZ283">
        <v>103357717</v>
      </c>
      <c r="KA283">
        <v>119</v>
      </c>
      <c r="KC283" s="24"/>
      <c r="KD283">
        <v>24</v>
      </c>
      <c r="KE283">
        <v>24</v>
      </c>
      <c r="KF283">
        <v>24</v>
      </c>
      <c r="KG283">
        <v>58494198</v>
      </c>
      <c r="KH283">
        <v>283</v>
      </c>
      <c r="KJ283" s="24"/>
      <c r="KK283">
        <v>117</v>
      </c>
      <c r="KL283">
        <v>122</v>
      </c>
      <c r="KM283">
        <v>122</v>
      </c>
      <c r="KN283">
        <v>109747893</v>
      </c>
      <c r="KO283">
        <v>132</v>
      </c>
      <c r="KQ283" s="24"/>
      <c r="KR283">
        <v>116803</v>
      </c>
      <c r="KS283">
        <v>117000</v>
      </c>
      <c r="KT283">
        <v>116803</v>
      </c>
      <c r="KU283">
        <v>35453</v>
      </c>
      <c r="KV283">
        <v>547</v>
      </c>
      <c r="KX283" s="24"/>
      <c r="KY283">
        <v>731</v>
      </c>
      <c r="KZ283">
        <v>740</v>
      </c>
      <c r="LA283">
        <v>735</v>
      </c>
      <c r="LB283">
        <v>6830259</v>
      </c>
      <c r="LC283">
        <v>187</v>
      </c>
      <c r="LE283" s="24"/>
      <c r="LF283">
        <v>185209</v>
      </c>
      <c r="LG283">
        <v>186001</v>
      </c>
      <c r="LH283">
        <v>186000</v>
      </c>
      <c r="LI283">
        <v>88768</v>
      </c>
      <c r="LJ283">
        <v>837</v>
      </c>
      <c r="LL283" s="24"/>
      <c r="LM283">
        <v>70280</v>
      </c>
      <c r="LN283">
        <v>70501</v>
      </c>
      <c r="LO283">
        <v>70290</v>
      </c>
      <c r="LP283">
        <v>301190</v>
      </c>
      <c r="LQ283">
        <v>1177</v>
      </c>
      <c r="LS283" s="24"/>
      <c r="LT283">
        <v>459</v>
      </c>
      <c r="LU283">
        <v>462</v>
      </c>
      <c r="LV283">
        <v>461</v>
      </c>
      <c r="LW283">
        <v>90837367</v>
      </c>
      <c r="LX283">
        <v>324</v>
      </c>
      <c r="LZ283" s="24"/>
      <c r="MA283">
        <v>98001</v>
      </c>
      <c r="MB283">
        <v>100499</v>
      </c>
      <c r="MC283">
        <v>100497</v>
      </c>
      <c r="MD283">
        <v>562400</v>
      </c>
      <c r="ME283">
        <v>58</v>
      </c>
    </row>
    <row r="284" spans="2:343" x14ac:dyDescent="0.25">
      <c r="B284" s="24"/>
      <c r="C284">
        <v>3</v>
      </c>
      <c r="D284">
        <v>3</v>
      </c>
      <c r="E284">
        <v>3</v>
      </c>
      <c r="F284">
        <v>19633050447</v>
      </c>
      <c r="G284">
        <v>2006</v>
      </c>
      <c r="I284" s="24"/>
      <c r="J284">
        <v>4</v>
      </c>
      <c r="K284">
        <v>4</v>
      </c>
      <c r="L284">
        <v>4</v>
      </c>
      <c r="M284">
        <v>4860139115</v>
      </c>
      <c r="N284">
        <v>1499</v>
      </c>
      <c r="P284" s="24"/>
      <c r="Q284">
        <v>29</v>
      </c>
      <c r="R284">
        <v>29</v>
      </c>
      <c r="S284">
        <v>29</v>
      </c>
      <c r="T284">
        <v>1668513515</v>
      </c>
      <c r="U284">
        <v>1365</v>
      </c>
      <c r="W284" s="24"/>
      <c r="X284">
        <v>60</v>
      </c>
      <c r="Y284">
        <v>60</v>
      </c>
      <c r="Z284">
        <v>60</v>
      </c>
      <c r="AA284">
        <v>394989764</v>
      </c>
      <c r="AB284">
        <v>1095</v>
      </c>
      <c r="AD284" s="24"/>
      <c r="AE284">
        <v>383</v>
      </c>
      <c r="AF284">
        <v>384</v>
      </c>
      <c r="AG284">
        <v>384</v>
      </c>
      <c r="AH284">
        <v>89635986</v>
      </c>
      <c r="AI284">
        <v>1172</v>
      </c>
      <c r="AK284" s="24"/>
      <c r="AL284">
        <v>729</v>
      </c>
      <c r="AM284">
        <v>762</v>
      </c>
      <c r="AN284">
        <v>735</v>
      </c>
      <c r="AO284">
        <v>33778757</v>
      </c>
      <c r="AP284">
        <v>908</v>
      </c>
      <c r="AR284" s="24"/>
      <c r="AS284">
        <v>2665</v>
      </c>
      <c r="AT284">
        <v>2727</v>
      </c>
      <c r="AU284">
        <v>2670</v>
      </c>
      <c r="AV284">
        <v>12744434</v>
      </c>
      <c r="AW284">
        <v>948</v>
      </c>
      <c r="AY284" s="24"/>
      <c r="AZ284">
        <v>367500000</v>
      </c>
      <c r="BA284">
        <v>373480000</v>
      </c>
      <c r="BB284">
        <v>370000000</v>
      </c>
      <c r="BC284">
        <v>2490</v>
      </c>
      <c r="BD284">
        <v>1812</v>
      </c>
      <c r="BF284" s="24"/>
      <c r="BG284">
        <v>24000</v>
      </c>
      <c r="BH284">
        <v>24309</v>
      </c>
      <c r="BI284">
        <v>24000</v>
      </c>
      <c r="BJ284">
        <v>2374015</v>
      </c>
      <c r="BK284">
        <v>175</v>
      </c>
      <c r="BM284" s="24"/>
      <c r="BN284">
        <v>6400105</v>
      </c>
      <c r="BO284">
        <v>6450065</v>
      </c>
      <c r="BP284">
        <v>6400110</v>
      </c>
      <c r="BQ284">
        <v>11544</v>
      </c>
      <c r="BR284">
        <v>296</v>
      </c>
      <c r="BT284" s="24"/>
      <c r="BU284">
        <v>2175</v>
      </c>
      <c r="BV284">
        <v>2259</v>
      </c>
      <c r="BW284">
        <v>2259</v>
      </c>
      <c r="BX284">
        <v>21966793</v>
      </c>
      <c r="BY284">
        <v>233</v>
      </c>
      <c r="CA284" s="24"/>
      <c r="CB284">
        <v>447</v>
      </c>
      <c r="CC284">
        <v>447</v>
      </c>
      <c r="CD284">
        <v>447</v>
      </c>
      <c r="CE284">
        <v>53069123</v>
      </c>
      <c r="CF284">
        <v>251</v>
      </c>
      <c r="CH284" s="24"/>
      <c r="CI284">
        <v>22701</v>
      </c>
      <c r="CJ284">
        <v>22708</v>
      </c>
      <c r="CK284">
        <v>22708</v>
      </c>
      <c r="CL284">
        <v>1016427</v>
      </c>
      <c r="CM284">
        <v>143</v>
      </c>
      <c r="CO284" s="24"/>
      <c r="CP284">
        <v>7249</v>
      </c>
      <c r="CQ284">
        <v>8186</v>
      </c>
      <c r="CR284">
        <v>8000</v>
      </c>
      <c r="CS284">
        <v>1189263</v>
      </c>
      <c r="CT284">
        <v>338</v>
      </c>
      <c r="CV284" s="24"/>
      <c r="CW284">
        <v>1270000</v>
      </c>
      <c r="CX284">
        <v>1337999</v>
      </c>
      <c r="CY284">
        <v>1300000</v>
      </c>
      <c r="CZ284">
        <v>5629</v>
      </c>
      <c r="DA284">
        <v>18</v>
      </c>
      <c r="DC284" s="24"/>
      <c r="DD284">
        <v>451</v>
      </c>
      <c r="DE284">
        <v>465</v>
      </c>
      <c r="DF284">
        <v>465</v>
      </c>
      <c r="DG284">
        <v>39852074</v>
      </c>
      <c r="DH284">
        <v>205</v>
      </c>
      <c r="DJ284" s="24"/>
      <c r="DK284">
        <v>30300632</v>
      </c>
      <c r="DL284">
        <v>32300300</v>
      </c>
      <c r="DM284">
        <v>31000009</v>
      </c>
      <c r="DN284">
        <v>213</v>
      </c>
      <c r="DO284">
        <v>59</v>
      </c>
      <c r="DQ284" s="24"/>
      <c r="DR284">
        <v>1255257</v>
      </c>
      <c r="DS284">
        <v>1399997</v>
      </c>
      <c r="DT284">
        <v>1280001</v>
      </c>
      <c r="DU284">
        <v>8506</v>
      </c>
      <c r="DV284">
        <v>202</v>
      </c>
      <c r="DX284" s="24"/>
      <c r="DY284">
        <v>22810004</v>
      </c>
      <c r="DZ284">
        <v>24099999</v>
      </c>
      <c r="EA284">
        <v>23000000</v>
      </c>
      <c r="EB284">
        <v>340</v>
      </c>
      <c r="EC284">
        <v>68</v>
      </c>
      <c r="EE284" s="24"/>
      <c r="EF284">
        <v>178</v>
      </c>
      <c r="EG284">
        <v>185</v>
      </c>
      <c r="EH284">
        <v>180</v>
      </c>
      <c r="EI284">
        <v>99962391</v>
      </c>
      <c r="EJ284">
        <v>193</v>
      </c>
      <c r="EL284" s="24"/>
      <c r="EM284">
        <v>53500</v>
      </c>
      <c r="EN284">
        <v>54004</v>
      </c>
      <c r="EO284">
        <v>54001</v>
      </c>
      <c r="EP284">
        <v>45957</v>
      </c>
      <c r="EQ284">
        <v>555</v>
      </c>
      <c r="ES284" s="24"/>
      <c r="ET284">
        <v>294</v>
      </c>
      <c r="EU284">
        <v>297</v>
      </c>
      <c r="EV284">
        <v>297</v>
      </c>
      <c r="EW284">
        <v>32192108</v>
      </c>
      <c r="EX284">
        <v>544</v>
      </c>
      <c r="EZ284" s="24"/>
      <c r="FA284">
        <v>3466018</v>
      </c>
      <c r="FB284">
        <v>3688994</v>
      </c>
      <c r="FC284">
        <v>3466018</v>
      </c>
      <c r="FD284">
        <v>2600</v>
      </c>
      <c r="FE284">
        <v>22</v>
      </c>
      <c r="FG284" s="24"/>
      <c r="FH284">
        <v>7575</v>
      </c>
      <c r="FI284">
        <v>7988</v>
      </c>
      <c r="FJ284">
        <v>7799</v>
      </c>
      <c r="FK284">
        <v>1600250</v>
      </c>
      <c r="FL284">
        <v>431</v>
      </c>
      <c r="FN284" s="24"/>
      <c r="FO284">
        <v>16275</v>
      </c>
      <c r="FP284">
        <v>17887</v>
      </c>
      <c r="FQ284">
        <v>17887</v>
      </c>
      <c r="FR284">
        <v>146461</v>
      </c>
      <c r="FS284">
        <v>64</v>
      </c>
      <c r="FU284" s="24"/>
      <c r="FV284">
        <v>15510</v>
      </c>
      <c r="FW284">
        <v>15514</v>
      </c>
      <c r="FX284">
        <v>15512</v>
      </c>
      <c r="FY284">
        <v>303092</v>
      </c>
      <c r="FZ284">
        <v>1011</v>
      </c>
      <c r="GB284" s="24"/>
      <c r="GC284">
        <v>85262044</v>
      </c>
      <c r="GD284">
        <v>92983944</v>
      </c>
      <c r="GE284">
        <v>90771648</v>
      </c>
      <c r="GF284">
        <v>47</v>
      </c>
      <c r="GG284">
        <v>40</v>
      </c>
      <c r="GI284" s="24"/>
      <c r="GJ284">
        <v>19500050</v>
      </c>
      <c r="GK284">
        <v>21000055</v>
      </c>
      <c r="GL284">
        <v>20000003</v>
      </c>
      <c r="GM284">
        <v>409</v>
      </c>
      <c r="GN284">
        <v>75</v>
      </c>
      <c r="GP284" s="24"/>
      <c r="GQ284">
        <v>118</v>
      </c>
      <c r="GR284">
        <v>120</v>
      </c>
      <c r="GS284">
        <v>119</v>
      </c>
      <c r="GT284">
        <v>99404483</v>
      </c>
      <c r="GU284">
        <v>119</v>
      </c>
      <c r="GW284" s="24"/>
      <c r="GX284">
        <v>400</v>
      </c>
      <c r="GY284">
        <v>413</v>
      </c>
      <c r="GZ284">
        <v>413</v>
      </c>
      <c r="HA284">
        <v>62574325</v>
      </c>
      <c r="HB284">
        <v>275</v>
      </c>
      <c r="HD284" s="24"/>
      <c r="HE284">
        <v>4900</v>
      </c>
      <c r="HF284">
        <v>5099</v>
      </c>
      <c r="HG284">
        <v>4992</v>
      </c>
      <c r="HH284">
        <v>12264107</v>
      </c>
      <c r="HI284">
        <v>255</v>
      </c>
      <c r="HK284" s="24"/>
      <c r="HL284">
        <v>87104227</v>
      </c>
      <c r="HM284">
        <v>92953895</v>
      </c>
      <c r="HN284">
        <v>91409887</v>
      </c>
      <c r="HO284">
        <v>48</v>
      </c>
      <c r="HP284">
        <v>40</v>
      </c>
      <c r="HR284" s="24"/>
      <c r="HS284">
        <v>8117</v>
      </c>
      <c r="HT284">
        <v>8895</v>
      </c>
      <c r="HU284">
        <v>8120</v>
      </c>
      <c r="HV284">
        <v>1363188</v>
      </c>
      <c r="HW284">
        <v>195</v>
      </c>
      <c r="HY284" s="24"/>
      <c r="HZ284">
        <v>7551</v>
      </c>
      <c r="IA284">
        <v>7790</v>
      </c>
      <c r="IB284">
        <v>7787</v>
      </c>
      <c r="IC284">
        <v>2269406</v>
      </c>
      <c r="ID284">
        <v>425</v>
      </c>
      <c r="IF284" s="24"/>
      <c r="IG284">
        <v>3134</v>
      </c>
      <c r="IH284">
        <v>3328</v>
      </c>
      <c r="II284">
        <v>3327</v>
      </c>
      <c r="IJ284">
        <v>1839276</v>
      </c>
      <c r="IK284">
        <v>139</v>
      </c>
      <c r="IM284" s="24"/>
      <c r="IN284">
        <v>86448109</v>
      </c>
      <c r="IO284">
        <v>93097998</v>
      </c>
      <c r="IP284">
        <v>89996618</v>
      </c>
      <c r="IQ284">
        <v>61</v>
      </c>
      <c r="IR284">
        <v>49</v>
      </c>
      <c r="IT284" s="24"/>
      <c r="IU284">
        <v>7399</v>
      </c>
      <c r="IV284">
        <v>7400</v>
      </c>
      <c r="IW284">
        <v>7400</v>
      </c>
      <c r="IX284">
        <v>1109214</v>
      </c>
      <c r="IY284">
        <v>126</v>
      </c>
      <c r="JA284" s="24"/>
      <c r="JB284">
        <v>87485109</v>
      </c>
      <c r="JC284">
        <v>92487969</v>
      </c>
      <c r="JD284">
        <v>90256415</v>
      </c>
      <c r="JE284">
        <v>64</v>
      </c>
      <c r="JF284">
        <v>47</v>
      </c>
      <c r="JH284" s="24"/>
      <c r="JI284">
        <v>87488328</v>
      </c>
      <c r="JJ284">
        <v>92972847</v>
      </c>
      <c r="JK284">
        <v>90035662</v>
      </c>
      <c r="JL284">
        <v>55</v>
      </c>
      <c r="JM284">
        <v>38</v>
      </c>
      <c r="JO284" s="24"/>
      <c r="JP284">
        <v>115</v>
      </c>
      <c r="JQ284">
        <v>119</v>
      </c>
      <c r="JR284">
        <v>117</v>
      </c>
      <c r="JS284">
        <v>112019026</v>
      </c>
      <c r="JT284">
        <v>139</v>
      </c>
      <c r="JV284" s="24"/>
      <c r="JW284">
        <v>85</v>
      </c>
      <c r="JX284">
        <v>87</v>
      </c>
      <c r="JY284">
        <v>85</v>
      </c>
      <c r="JZ284">
        <v>85746882</v>
      </c>
      <c r="KA284">
        <v>110</v>
      </c>
      <c r="KC284" s="24"/>
      <c r="KD284">
        <v>24</v>
      </c>
      <c r="KE284">
        <v>25</v>
      </c>
      <c r="KF284">
        <v>24</v>
      </c>
      <c r="KG284">
        <v>57664450</v>
      </c>
      <c r="KH284">
        <v>317</v>
      </c>
      <c r="KJ284" s="24"/>
      <c r="KK284">
        <v>116</v>
      </c>
      <c r="KL284">
        <v>122</v>
      </c>
      <c r="KM284">
        <v>120</v>
      </c>
      <c r="KN284">
        <v>114262774</v>
      </c>
      <c r="KO284">
        <v>135</v>
      </c>
      <c r="KQ284" s="24"/>
      <c r="KR284">
        <v>116602</v>
      </c>
      <c r="KS284">
        <v>118898</v>
      </c>
      <c r="KT284">
        <v>116604</v>
      </c>
      <c r="KU284">
        <v>54040</v>
      </c>
      <c r="KV284">
        <v>528</v>
      </c>
      <c r="KX284" s="24"/>
      <c r="KY284">
        <v>664</v>
      </c>
      <c r="KZ284">
        <v>752</v>
      </c>
      <c r="LA284">
        <v>752</v>
      </c>
      <c r="LB284">
        <v>4431369</v>
      </c>
      <c r="LC284">
        <v>146</v>
      </c>
      <c r="LE284" s="24"/>
      <c r="LF284">
        <v>185215</v>
      </c>
      <c r="LG284">
        <v>185217</v>
      </c>
      <c r="LH284">
        <v>185215</v>
      </c>
      <c r="LI284">
        <v>67595</v>
      </c>
      <c r="LJ284">
        <v>692</v>
      </c>
      <c r="LL284" s="24"/>
      <c r="LM284">
        <v>70505</v>
      </c>
      <c r="LN284">
        <v>70511</v>
      </c>
      <c r="LO284">
        <v>70508</v>
      </c>
      <c r="LP284">
        <v>310126</v>
      </c>
      <c r="LQ284">
        <v>1063</v>
      </c>
      <c r="LS284" s="24"/>
      <c r="LT284">
        <v>464</v>
      </c>
      <c r="LU284">
        <v>465</v>
      </c>
      <c r="LV284">
        <v>465</v>
      </c>
      <c r="LW284">
        <v>104950030</v>
      </c>
      <c r="LX284">
        <v>350</v>
      </c>
      <c r="LZ284" s="24"/>
      <c r="MA284">
        <v>97200</v>
      </c>
      <c r="MB284">
        <v>100492</v>
      </c>
      <c r="MC284">
        <v>98000</v>
      </c>
      <c r="MD284">
        <v>551178</v>
      </c>
      <c r="ME284">
        <v>64</v>
      </c>
    </row>
    <row r="285" spans="2:343" x14ac:dyDescent="0.25">
      <c r="B285" s="24"/>
      <c r="C285">
        <v>3</v>
      </c>
      <c r="D285">
        <v>3</v>
      </c>
      <c r="E285">
        <v>3</v>
      </c>
      <c r="F285">
        <v>28538267168</v>
      </c>
      <c r="G285">
        <v>2500</v>
      </c>
      <c r="I285" s="24"/>
      <c r="J285">
        <v>4</v>
      </c>
      <c r="K285">
        <v>4</v>
      </c>
      <c r="L285">
        <v>4</v>
      </c>
      <c r="M285">
        <v>6901108942</v>
      </c>
      <c r="N285">
        <v>1801</v>
      </c>
      <c r="P285" s="24"/>
      <c r="Q285">
        <v>29</v>
      </c>
      <c r="R285">
        <v>29</v>
      </c>
      <c r="S285">
        <v>29</v>
      </c>
      <c r="T285">
        <v>1897793305</v>
      </c>
      <c r="U285">
        <v>1575</v>
      </c>
      <c r="W285" s="24"/>
      <c r="X285">
        <v>60</v>
      </c>
      <c r="Y285">
        <v>60</v>
      </c>
      <c r="Z285">
        <v>60</v>
      </c>
      <c r="AA285">
        <v>393136294</v>
      </c>
      <c r="AB285">
        <v>1286</v>
      </c>
      <c r="AD285" s="24"/>
      <c r="AE285">
        <v>384</v>
      </c>
      <c r="AF285">
        <v>385</v>
      </c>
      <c r="AG285">
        <v>385</v>
      </c>
      <c r="AH285">
        <v>122736418</v>
      </c>
      <c r="AI285">
        <v>1381</v>
      </c>
      <c r="AK285" s="24"/>
      <c r="AL285">
        <v>730</v>
      </c>
      <c r="AM285">
        <v>763</v>
      </c>
      <c r="AN285">
        <v>760</v>
      </c>
      <c r="AO285">
        <v>39077206</v>
      </c>
      <c r="AP285">
        <v>1180</v>
      </c>
      <c r="AR285" s="24"/>
      <c r="AS285">
        <v>2615</v>
      </c>
      <c r="AT285">
        <v>2689</v>
      </c>
      <c r="AU285">
        <v>2689</v>
      </c>
      <c r="AV285">
        <v>17297693</v>
      </c>
      <c r="AW285">
        <v>1174</v>
      </c>
      <c r="AY285" s="24"/>
      <c r="AZ285">
        <v>367002000</v>
      </c>
      <c r="BA285">
        <v>373110000</v>
      </c>
      <c r="BB285">
        <v>371439988</v>
      </c>
      <c r="BC285">
        <v>2622</v>
      </c>
      <c r="BD285">
        <v>1804</v>
      </c>
      <c r="BF285" s="24"/>
      <c r="BG285">
        <v>24001</v>
      </c>
      <c r="BH285">
        <v>24001</v>
      </c>
      <c r="BI285">
        <v>24001</v>
      </c>
      <c r="BJ285">
        <v>4601960</v>
      </c>
      <c r="BK285">
        <v>214</v>
      </c>
      <c r="BM285" s="24"/>
      <c r="BN285">
        <v>6400110</v>
      </c>
      <c r="BO285">
        <v>6401000</v>
      </c>
      <c r="BP285">
        <v>6400111</v>
      </c>
      <c r="BQ285">
        <v>15392</v>
      </c>
      <c r="BR285">
        <v>396</v>
      </c>
      <c r="BT285" s="24"/>
      <c r="BU285">
        <v>2144</v>
      </c>
      <c r="BV285">
        <v>2215</v>
      </c>
      <c r="BW285">
        <v>2210</v>
      </c>
      <c r="BX285">
        <v>28919742</v>
      </c>
      <c r="BY285">
        <v>287</v>
      </c>
      <c r="CA285" s="24"/>
      <c r="CB285">
        <v>446</v>
      </c>
      <c r="CC285">
        <v>446</v>
      </c>
      <c r="CD285">
        <v>446</v>
      </c>
      <c r="CE285">
        <v>58711297</v>
      </c>
      <c r="CF285">
        <v>281</v>
      </c>
      <c r="CH285" s="24"/>
      <c r="CI285">
        <v>22707</v>
      </c>
      <c r="CJ285">
        <v>22707</v>
      </c>
      <c r="CK285">
        <v>22707</v>
      </c>
      <c r="CL285">
        <v>1806782</v>
      </c>
      <c r="CM285">
        <v>167</v>
      </c>
      <c r="CO285" s="24"/>
      <c r="CP285">
        <v>7425</v>
      </c>
      <c r="CQ285">
        <v>8169</v>
      </c>
      <c r="CR285">
        <v>7501</v>
      </c>
      <c r="CS285">
        <v>2062256</v>
      </c>
      <c r="CT285">
        <v>407</v>
      </c>
      <c r="CV285" s="24"/>
      <c r="CW285">
        <v>1315000</v>
      </c>
      <c r="CX285">
        <v>1319979</v>
      </c>
      <c r="CY285">
        <v>1319978</v>
      </c>
      <c r="CZ285">
        <v>8927</v>
      </c>
      <c r="DA285">
        <v>36</v>
      </c>
      <c r="DC285" s="24"/>
      <c r="DD285">
        <v>464</v>
      </c>
      <c r="DE285">
        <v>466</v>
      </c>
      <c r="DF285">
        <v>465</v>
      </c>
      <c r="DG285">
        <v>29121554</v>
      </c>
      <c r="DH285">
        <v>180</v>
      </c>
      <c r="DJ285" s="24"/>
      <c r="DK285">
        <v>30300774</v>
      </c>
      <c r="DL285">
        <v>30890781</v>
      </c>
      <c r="DM285">
        <v>30300782</v>
      </c>
      <c r="DN285">
        <v>229</v>
      </c>
      <c r="DO285">
        <v>66</v>
      </c>
      <c r="DQ285" s="24"/>
      <c r="DR285">
        <v>1300003</v>
      </c>
      <c r="DS285">
        <v>1403999</v>
      </c>
      <c r="DT285">
        <v>1300300</v>
      </c>
      <c r="DU285">
        <v>7354</v>
      </c>
      <c r="DV285">
        <v>231</v>
      </c>
      <c r="DX285" s="24"/>
      <c r="DY285">
        <v>22812123</v>
      </c>
      <c r="DZ285">
        <v>23999899</v>
      </c>
      <c r="EA285">
        <v>22913919</v>
      </c>
      <c r="EB285">
        <v>305</v>
      </c>
      <c r="EC285">
        <v>93</v>
      </c>
      <c r="EE285" s="24"/>
      <c r="EF285">
        <v>183</v>
      </c>
      <c r="EG285">
        <v>188</v>
      </c>
      <c r="EH285">
        <v>185</v>
      </c>
      <c r="EI285">
        <v>105783810</v>
      </c>
      <c r="EJ285">
        <v>227</v>
      </c>
      <c r="EL285" s="24"/>
      <c r="EM285">
        <v>54008</v>
      </c>
      <c r="EN285">
        <v>54011</v>
      </c>
      <c r="EO285">
        <v>54010</v>
      </c>
      <c r="EP285">
        <v>84893</v>
      </c>
      <c r="EQ285">
        <v>678</v>
      </c>
      <c r="ES285" s="24"/>
      <c r="ET285">
        <v>290</v>
      </c>
      <c r="EU285">
        <v>300</v>
      </c>
      <c r="EV285">
        <v>297</v>
      </c>
      <c r="EW285">
        <v>52805055</v>
      </c>
      <c r="EX285">
        <v>603</v>
      </c>
      <c r="EZ285" s="24"/>
      <c r="FA285">
        <v>3549999</v>
      </c>
      <c r="FB285">
        <v>3598999</v>
      </c>
      <c r="FC285">
        <v>3559999</v>
      </c>
      <c r="FD285">
        <v>965</v>
      </c>
      <c r="FE285">
        <v>20</v>
      </c>
      <c r="FG285" s="24"/>
      <c r="FH285">
        <v>7627</v>
      </c>
      <c r="FI285">
        <v>7986</v>
      </c>
      <c r="FJ285">
        <v>7891</v>
      </c>
      <c r="FK285">
        <v>2748169</v>
      </c>
      <c r="FL285">
        <v>492</v>
      </c>
      <c r="FN285" s="24"/>
      <c r="FO285">
        <v>17400</v>
      </c>
      <c r="FP285">
        <v>17599</v>
      </c>
      <c r="FQ285">
        <v>17598</v>
      </c>
      <c r="FR285">
        <v>314389</v>
      </c>
      <c r="FS285">
        <v>102</v>
      </c>
      <c r="FU285" s="24"/>
      <c r="FV285">
        <v>15514</v>
      </c>
      <c r="FW285">
        <v>15519</v>
      </c>
      <c r="FX285">
        <v>15515</v>
      </c>
      <c r="FY285">
        <v>413375</v>
      </c>
      <c r="FZ285">
        <v>1220</v>
      </c>
      <c r="GB285" s="24"/>
      <c r="GC285">
        <v>87108011</v>
      </c>
      <c r="GD285">
        <v>92860367</v>
      </c>
      <c r="GE285">
        <v>89713769</v>
      </c>
      <c r="GF285">
        <v>94</v>
      </c>
      <c r="GG285">
        <v>64</v>
      </c>
      <c r="GI285" s="24"/>
      <c r="GJ285">
        <v>20000000</v>
      </c>
      <c r="GK285">
        <v>20303230</v>
      </c>
      <c r="GL285">
        <v>20202025</v>
      </c>
      <c r="GM285">
        <v>474</v>
      </c>
      <c r="GN285">
        <v>94</v>
      </c>
      <c r="GP285" s="24"/>
      <c r="GQ285">
        <v>114</v>
      </c>
      <c r="GR285">
        <v>118</v>
      </c>
      <c r="GS285">
        <v>117</v>
      </c>
      <c r="GT285">
        <v>126535129</v>
      </c>
      <c r="GU285">
        <v>172</v>
      </c>
      <c r="GW285" s="24"/>
      <c r="GX285">
        <v>409</v>
      </c>
      <c r="GY285">
        <v>414</v>
      </c>
      <c r="GZ285">
        <v>410</v>
      </c>
      <c r="HA285">
        <v>47787367</v>
      </c>
      <c r="HB285">
        <v>243</v>
      </c>
      <c r="HD285" s="24"/>
      <c r="HE285">
        <v>4853</v>
      </c>
      <c r="HF285">
        <v>5086</v>
      </c>
      <c r="HG285">
        <v>5083</v>
      </c>
      <c r="HH285">
        <v>18107322</v>
      </c>
      <c r="HI285">
        <v>344</v>
      </c>
      <c r="HK285" s="24"/>
      <c r="HL285">
        <v>87596036</v>
      </c>
      <c r="HM285">
        <v>89799998</v>
      </c>
      <c r="HN285">
        <v>88704003</v>
      </c>
      <c r="HO285">
        <v>120</v>
      </c>
      <c r="HP285">
        <v>68</v>
      </c>
      <c r="HR285" s="24"/>
      <c r="HS285">
        <v>8125</v>
      </c>
      <c r="HT285">
        <v>8692</v>
      </c>
      <c r="HU285">
        <v>8517</v>
      </c>
      <c r="HV285">
        <v>1018635</v>
      </c>
      <c r="HW285">
        <v>191</v>
      </c>
      <c r="HY285" s="24"/>
      <c r="HZ285">
        <v>7435</v>
      </c>
      <c r="IA285">
        <v>7828</v>
      </c>
      <c r="IB285">
        <v>7813</v>
      </c>
      <c r="IC285">
        <v>2731137</v>
      </c>
      <c r="ID285">
        <v>487</v>
      </c>
      <c r="IF285" s="24"/>
      <c r="IG285">
        <v>3306</v>
      </c>
      <c r="IH285">
        <v>3329</v>
      </c>
      <c r="II285">
        <v>3327</v>
      </c>
      <c r="IJ285">
        <v>1459526</v>
      </c>
      <c r="IK285">
        <v>158</v>
      </c>
      <c r="IM285" s="24"/>
      <c r="IN285">
        <v>88000000</v>
      </c>
      <c r="IO285">
        <v>93096999</v>
      </c>
      <c r="IP285">
        <v>90276581</v>
      </c>
      <c r="IQ285">
        <v>86</v>
      </c>
      <c r="IR285">
        <v>54</v>
      </c>
      <c r="IT285" s="24"/>
      <c r="IU285">
        <v>7343</v>
      </c>
      <c r="IV285">
        <v>7444</v>
      </c>
      <c r="IW285">
        <v>7400</v>
      </c>
      <c r="IX285">
        <v>1825099</v>
      </c>
      <c r="IY285">
        <v>174</v>
      </c>
      <c r="JA285" s="24"/>
      <c r="JB285">
        <v>89000000</v>
      </c>
      <c r="JC285">
        <v>89899999</v>
      </c>
      <c r="JD285">
        <v>89000003</v>
      </c>
      <c r="JE285">
        <v>133</v>
      </c>
      <c r="JF285">
        <v>87</v>
      </c>
      <c r="JH285" s="24"/>
      <c r="JI285">
        <v>89000001</v>
      </c>
      <c r="JJ285">
        <v>92972825</v>
      </c>
      <c r="JK285">
        <v>90444103</v>
      </c>
      <c r="JL285">
        <v>83</v>
      </c>
      <c r="JM285">
        <v>47</v>
      </c>
      <c r="JO285" s="24"/>
      <c r="JP285">
        <v>115</v>
      </c>
      <c r="JQ285">
        <v>117</v>
      </c>
      <c r="JR285">
        <v>116</v>
      </c>
      <c r="JS285">
        <v>137239494</v>
      </c>
      <c r="JT285">
        <v>140</v>
      </c>
      <c r="JV285" s="24"/>
      <c r="JW285">
        <v>87</v>
      </c>
      <c r="JX285">
        <v>90</v>
      </c>
      <c r="JY285">
        <v>88</v>
      </c>
      <c r="JZ285">
        <v>96707933</v>
      </c>
      <c r="KA285">
        <v>118</v>
      </c>
      <c r="KC285" s="24"/>
      <c r="KD285">
        <v>24</v>
      </c>
      <c r="KE285">
        <v>27</v>
      </c>
      <c r="KF285">
        <v>26</v>
      </c>
      <c r="KG285">
        <v>56210484</v>
      </c>
      <c r="KH285">
        <v>340</v>
      </c>
      <c r="KJ285" s="24"/>
      <c r="KK285">
        <v>117</v>
      </c>
      <c r="KL285">
        <v>122</v>
      </c>
      <c r="KM285">
        <v>122</v>
      </c>
      <c r="KN285">
        <v>104603590</v>
      </c>
      <c r="KO285">
        <v>138</v>
      </c>
      <c r="KQ285" s="24"/>
      <c r="KR285">
        <v>116603</v>
      </c>
      <c r="KS285">
        <v>117002</v>
      </c>
      <c r="KT285">
        <v>117000</v>
      </c>
      <c r="KU285">
        <v>73325</v>
      </c>
      <c r="KV285">
        <v>639</v>
      </c>
      <c r="KX285" s="24"/>
      <c r="KY285">
        <v>730</v>
      </c>
      <c r="KZ285">
        <v>751</v>
      </c>
      <c r="LA285">
        <v>745</v>
      </c>
      <c r="LB285">
        <v>6977950</v>
      </c>
      <c r="LC285">
        <v>226</v>
      </c>
      <c r="LE285" s="24"/>
      <c r="LF285">
        <v>180003</v>
      </c>
      <c r="LG285">
        <v>185300</v>
      </c>
      <c r="LH285">
        <v>185000</v>
      </c>
      <c r="LI285">
        <v>129496</v>
      </c>
      <c r="LJ285">
        <v>914</v>
      </c>
      <c r="LL285" s="24"/>
      <c r="LM285">
        <v>70512</v>
      </c>
      <c r="LN285">
        <v>70520</v>
      </c>
      <c r="LO285">
        <v>70515</v>
      </c>
      <c r="LP285">
        <v>318582</v>
      </c>
      <c r="LQ285">
        <v>1361</v>
      </c>
      <c r="LS285" s="24"/>
      <c r="LT285">
        <v>465</v>
      </c>
      <c r="LU285">
        <v>465</v>
      </c>
      <c r="LV285">
        <v>465</v>
      </c>
      <c r="LW285">
        <v>89507919</v>
      </c>
      <c r="LX285">
        <v>313</v>
      </c>
      <c r="LZ285" s="24"/>
      <c r="MA285">
        <v>98001</v>
      </c>
      <c r="MB285">
        <v>101000</v>
      </c>
      <c r="MC285">
        <v>100000</v>
      </c>
      <c r="MD285">
        <v>1231110</v>
      </c>
      <c r="ME285">
        <v>107</v>
      </c>
    </row>
    <row r="286" spans="2:343" x14ac:dyDescent="0.25">
      <c r="B286" s="24"/>
      <c r="C286">
        <v>3</v>
      </c>
      <c r="D286">
        <v>3</v>
      </c>
      <c r="E286">
        <v>3</v>
      </c>
      <c r="F286">
        <v>45241298956</v>
      </c>
      <c r="G286">
        <v>2829</v>
      </c>
      <c r="I286" s="24"/>
      <c r="J286">
        <v>4</v>
      </c>
      <c r="K286">
        <v>4</v>
      </c>
      <c r="L286">
        <v>4</v>
      </c>
      <c r="M286">
        <v>7809697612</v>
      </c>
      <c r="N286">
        <v>1992</v>
      </c>
      <c r="P286" s="24"/>
      <c r="Q286">
        <v>29</v>
      </c>
      <c r="R286">
        <v>29</v>
      </c>
      <c r="S286">
        <v>29</v>
      </c>
      <c r="T286">
        <v>2013632526</v>
      </c>
      <c r="U286">
        <v>1773</v>
      </c>
      <c r="W286" s="24"/>
      <c r="X286">
        <v>60</v>
      </c>
      <c r="Y286">
        <v>61</v>
      </c>
      <c r="Z286">
        <v>61</v>
      </c>
      <c r="AA286">
        <v>556398175</v>
      </c>
      <c r="AB286">
        <v>1448</v>
      </c>
      <c r="AD286" s="24"/>
      <c r="AE286">
        <v>386</v>
      </c>
      <c r="AF286">
        <v>394</v>
      </c>
      <c r="AG286">
        <v>393</v>
      </c>
      <c r="AH286">
        <v>110509374</v>
      </c>
      <c r="AI286">
        <v>1493</v>
      </c>
      <c r="AK286" s="24"/>
      <c r="AL286">
        <v>739</v>
      </c>
      <c r="AM286">
        <v>759</v>
      </c>
      <c r="AN286">
        <v>755</v>
      </c>
      <c r="AO286">
        <v>39778757</v>
      </c>
      <c r="AP286">
        <v>1237</v>
      </c>
      <c r="AR286" s="24"/>
      <c r="AS286">
        <v>2689</v>
      </c>
      <c r="AT286">
        <v>2722</v>
      </c>
      <c r="AU286">
        <v>2700</v>
      </c>
      <c r="AV286">
        <v>11105816</v>
      </c>
      <c r="AW286">
        <v>1152</v>
      </c>
      <c r="AY286" s="24"/>
      <c r="AZ286">
        <v>366577778</v>
      </c>
      <c r="BA286">
        <v>373377996</v>
      </c>
      <c r="BB286">
        <v>371870000</v>
      </c>
      <c r="BC286">
        <v>2410</v>
      </c>
      <c r="BD286">
        <v>1646</v>
      </c>
      <c r="BF286" s="24"/>
      <c r="BG286">
        <v>24104</v>
      </c>
      <c r="BH286">
        <v>24208</v>
      </c>
      <c r="BI286">
        <v>24206</v>
      </c>
      <c r="BJ286">
        <v>3512766</v>
      </c>
      <c r="BK286">
        <v>288</v>
      </c>
      <c r="BM286" s="24"/>
      <c r="BN286">
        <v>6300000</v>
      </c>
      <c r="BO286">
        <v>6351500</v>
      </c>
      <c r="BP286">
        <v>6351000</v>
      </c>
      <c r="BQ286">
        <v>14509</v>
      </c>
      <c r="BR286">
        <v>367</v>
      </c>
      <c r="BT286" s="24"/>
      <c r="BU286">
        <v>2138</v>
      </c>
      <c r="BV286">
        <v>2143</v>
      </c>
      <c r="BW286">
        <v>2140</v>
      </c>
      <c r="BX286">
        <v>20837059</v>
      </c>
      <c r="BY286">
        <v>253</v>
      </c>
      <c r="CA286" s="24"/>
      <c r="CB286">
        <v>446</v>
      </c>
      <c r="CC286">
        <v>447</v>
      </c>
      <c r="CD286">
        <v>447</v>
      </c>
      <c r="CE286">
        <v>73197357</v>
      </c>
      <c r="CF286">
        <v>319</v>
      </c>
      <c r="CH286" s="24"/>
      <c r="CI286">
        <v>22707</v>
      </c>
      <c r="CJ286">
        <v>22708</v>
      </c>
      <c r="CK286">
        <v>22707</v>
      </c>
      <c r="CL286">
        <v>1428625</v>
      </c>
      <c r="CM286">
        <v>213</v>
      </c>
      <c r="CO286" s="24"/>
      <c r="CP286">
        <v>7422</v>
      </c>
      <c r="CQ286">
        <v>7796</v>
      </c>
      <c r="CR286">
        <v>7499</v>
      </c>
      <c r="CS286">
        <v>1465767</v>
      </c>
      <c r="CT286">
        <v>438</v>
      </c>
      <c r="CV286" s="24"/>
      <c r="CW286">
        <v>1308999</v>
      </c>
      <c r="CX286">
        <v>1316000</v>
      </c>
      <c r="CY286">
        <v>1315978</v>
      </c>
      <c r="CZ286">
        <v>14265</v>
      </c>
      <c r="DA286">
        <v>33</v>
      </c>
      <c r="DC286" s="24"/>
      <c r="DD286">
        <v>459</v>
      </c>
      <c r="DE286">
        <v>466</v>
      </c>
      <c r="DF286">
        <v>463</v>
      </c>
      <c r="DG286">
        <v>47960828</v>
      </c>
      <c r="DH286">
        <v>199</v>
      </c>
      <c r="DJ286" s="24"/>
      <c r="DK286">
        <v>31091002</v>
      </c>
      <c r="DL286">
        <v>31989048</v>
      </c>
      <c r="DM286">
        <v>31190781</v>
      </c>
      <c r="DN286">
        <v>395</v>
      </c>
      <c r="DO286">
        <v>95</v>
      </c>
      <c r="DQ286" s="24"/>
      <c r="DR286">
        <v>1315333</v>
      </c>
      <c r="DS286">
        <v>1404296</v>
      </c>
      <c r="DT286">
        <v>1315387</v>
      </c>
      <c r="DU286">
        <v>6844</v>
      </c>
      <c r="DV286">
        <v>227</v>
      </c>
      <c r="DX286" s="24"/>
      <c r="DY286">
        <v>22914003</v>
      </c>
      <c r="DZ286">
        <v>24289998</v>
      </c>
      <c r="EA286">
        <v>23000002</v>
      </c>
      <c r="EB286">
        <v>478</v>
      </c>
      <c r="EC286">
        <v>123</v>
      </c>
      <c r="EE286" s="24"/>
      <c r="EF286">
        <v>179</v>
      </c>
      <c r="EG286">
        <v>188</v>
      </c>
      <c r="EH286">
        <v>179</v>
      </c>
      <c r="EI286">
        <v>93821549</v>
      </c>
      <c r="EJ286">
        <v>239</v>
      </c>
      <c r="EL286" s="24"/>
      <c r="EM286">
        <v>54013</v>
      </c>
      <c r="EN286">
        <v>55001</v>
      </c>
      <c r="EO286">
        <v>54015</v>
      </c>
      <c r="EP286">
        <v>78047</v>
      </c>
      <c r="EQ286">
        <v>756</v>
      </c>
      <c r="ES286" s="24"/>
      <c r="ET286">
        <v>300</v>
      </c>
      <c r="EU286">
        <v>301</v>
      </c>
      <c r="EV286">
        <v>300</v>
      </c>
      <c r="EW286">
        <v>32592757</v>
      </c>
      <c r="EX286">
        <v>644</v>
      </c>
      <c r="EZ286" s="24"/>
      <c r="FA286">
        <v>3457003</v>
      </c>
      <c r="FB286">
        <v>3555996</v>
      </c>
      <c r="FC286">
        <v>3457003</v>
      </c>
      <c r="FD286">
        <v>1198</v>
      </c>
      <c r="FE286">
        <v>20</v>
      </c>
      <c r="FG286" s="24"/>
      <c r="FH286">
        <v>7577</v>
      </c>
      <c r="FI286">
        <v>7877</v>
      </c>
      <c r="FJ286">
        <v>7796</v>
      </c>
      <c r="FK286">
        <v>2302862</v>
      </c>
      <c r="FL286">
        <v>561</v>
      </c>
      <c r="FN286" s="24"/>
      <c r="FO286">
        <v>17598</v>
      </c>
      <c r="FP286">
        <v>17598</v>
      </c>
      <c r="FQ286">
        <v>17598</v>
      </c>
      <c r="FR286">
        <v>191603</v>
      </c>
      <c r="FS286">
        <v>91</v>
      </c>
      <c r="FU286" s="24"/>
      <c r="FV286">
        <v>14930</v>
      </c>
      <c r="FW286">
        <v>15513</v>
      </c>
      <c r="FX286">
        <v>14931</v>
      </c>
      <c r="FY286">
        <v>420928</v>
      </c>
      <c r="FZ286">
        <v>1307</v>
      </c>
      <c r="GB286" s="24"/>
      <c r="GC286">
        <v>90400000</v>
      </c>
      <c r="GD286">
        <v>92859000</v>
      </c>
      <c r="GE286">
        <v>91688648</v>
      </c>
      <c r="GF286">
        <v>92</v>
      </c>
      <c r="GG286">
        <v>70</v>
      </c>
      <c r="GI286" s="24"/>
      <c r="GJ286">
        <v>19900460</v>
      </c>
      <c r="GK286">
        <v>20002098</v>
      </c>
      <c r="GL286">
        <v>20002082</v>
      </c>
      <c r="GM286">
        <v>455</v>
      </c>
      <c r="GN286">
        <v>75</v>
      </c>
      <c r="GP286" s="24"/>
      <c r="GQ286">
        <v>114</v>
      </c>
      <c r="GR286">
        <v>118</v>
      </c>
      <c r="GS286">
        <v>118</v>
      </c>
      <c r="GT286">
        <v>147734053</v>
      </c>
      <c r="GU286">
        <v>174</v>
      </c>
      <c r="GW286" s="24"/>
      <c r="GX286">
        <v>411</v>
      </c>
      <c r="GY286">
        <v>418</v>
      </c>
      <c r="GZ286">
        <v>414</v>
      </c>
      <c r="HA286">
        <v>55368755</v>
      </c>
      <c r="HB286">
        <v>287</v>
      </c>
      <c r="HD286" s="24"/>
      <c r="HE286">
        <v>4860</v>
      </c>
      <c r="HF286">
        <v>5081</v>
      </c>
      <c r="HG286">
        <v>5078</v>
      </c>
      <c r="HH286">
        <v>15298959</v>
      </c>
      <c r="HI286">
        <v>318</v>
      </c>
      <c r="HK286" s="24"/>
      <c r="HL286">
        <v>89899999</v>
      </c>
      <c r="HM286">
        <v>92115998</v>
      </c>
      <c r="HN286">
        <v>91088837</v>
      </c>
      <c r="HO286">
        <v>83</v>
      </c>
      <c r="HP286">
        <v>77</v>
      </c>
      <c r="HR286" s="24"/>
      <c r="HS286">
        <v>8500</v>
      </c>
      <c r="HT286">
        <v>8692</v>
      </c>
      <c r="HU286">
        <v>8691</v>
      </c>
      <c r="HV286">
        <v>1039593</v>
      </c>
      <c r="HW286">
        <v>212</v>
      </c>
      <c r="HY286" s="24"/>
      <c r="HZ286">
        <v>7400</v>
      </c>
      <c r="IA286">
        <v>7699</v>
      </c>
      <c r="IB286">
        <v>7659</v>
      </c>
      <c r="IC286">
        <v>1696290</v>
      </c>
      <c r="ID286">
        <v>518</v>
      </c>
      <c r="IF286" s="24"/>
      <c r="IG286">
        <v>3215</v>
      </c>
      <c r="IH286">
        <v>3328</v>
      </c>
      <c r="II286">
        <v>3328</v>
      </c>
      <c r="IJ286">
        <v>2220147</v>
      </c>
      <c r="IK286">
        <v>181</v>
      </c>
      <c r="IM286" s="24"/>
      <c r="IN286">
        <v>90600006</v>
      </c>
      <c r="IO286">
        <v>93095999</v>
      </c>
      <c r="IP286">
        <v>91600000</v>
      </c>
      <c r="IQ286">
        <v>123</v>
      </c>
      <c r="IR286">
        <v>82</v>
      </c>
      <c r="IT286" s="24"/>
      <c r="IU286">
        <v>7187</v>
      </c>
      <c r="IV286">
        <v>7399</v>
      </c>
      <c r="IW286">
        <v>7201</v>
      </c>
      <c r="IX286">
        <v>2028072</v>
      </c>
      <c r="IY286">
        <v>173</v>
      </c>
      <c r="JA286" s="24"/>
      <c r="JB286">
        <v>87607501</v>
      </c>
      <c r="JC286">
        <v>92114996</v>
      </c>
      <c r="JD286">
        <v>89999999</v>
      </c>
      <c r="JE286">
        <v>131</v>
      </c>
      <c r="JF286">
        <v>96</v>
      </c>
      <c r="JH286" s="24"/>
      <c r="JI286">
        <v>87612057</v>
      </c>
      <c r="JJ286">
        <v>92972825</v>
      </c>
      <c r="JK286">
        <v>90272993</v>
      </c>
      <c r="JL286">
        <v>90</v>
      </c>
      <c r="JM286">
        <v>63</v>
      </c>
      <c r="JO286" s="24"/>
      <c r="JP286">
        <v>112</v>
      </c>
      <c r="JQ286">
        <v>116</v>
      </c>
      <c r="JR286">
        <v>114</v>
      </c>
      <c r="JS286">
        <v>102218740</v>
      </c>
      <c r="JT286">
        <v>130</v>
      </c>
      <c r="JV286" s="24"/>
      <c r="JW286">
        <v>85</v>
      </c>
      <c r="JX286">
        <v>91</v>
      </c>
      <c r="JY286">
        <v>87</v>
      </c>
      <c r="JZ286">
        <v>148209141</v>
      </c>
      <c r="KA286">
        <v>159</v>
      </c>
      <c r="KC286" s="24"/>
      <c r="KD286">
        <v>25</v>
      </c>
      <c r="KE286">
        <v>27</v>
      </c>
      <c r="KF286">
        <v>25</v>
      </c>
      <c r="KG286">
        <v>75904999</v>
      </c>
      <c r="KH286">
        <v>380</v>
      </c>
      <c r="KJ286" s="24"/>
      <c r="KK286">
        <v>110</v>
      </c>
      <c r="KL286">
        <v>117</v>
      </c>
      <c r="KM286">
        <v>111</v>
      </c>
      <c r="KN286">
        <v>125199378</v>
      </c>
      <c r="KO286">
        <v>154</v>
      </c>
      <c r="KQ286" s="24"/>
      <c r="KR286">
        <v>117008</v>
      </c>
      <c r="KS286">
        <v>117009</v>
      </c>
      <c r="KT286">
        <v>117008</v>
      </c>
      <c r="KU286">
        <v>66893</v>
      </c>
      <c r="KV286">
        <v>739</v>
      </c>
      <c r="KX286" s="24"/>
      <c r="KY286">
        <v>685</v>
      </c>
      <c r="KZ286">
        <v>744</v>
      </c>
      <c r="LA286">
        <v>743</v>
      </c>
      <c r="LB286">
        <v>4516073</v>
      </c>
      <c r="LC286">
        <v>210</v>
      </c>
      <c r="LE286" s="24"/>
      <c r="LF286">
        <v>172016</v>
      </c>
      <c r="LG286">
        <v>177504</v>
      </c>
      <c r="LH286">
        <v>173000</v>
      </c>
      <c r="LI286">
        <v>143463</v>
      </c>
      <c r="LJ286">
        <v>1005</v>
      </c>
      <c r="LL286" s="24"/>
      <c r="LM286">
        <v>70526</v>
      </c>
      <c r="LN286">
        <v>70537</v>
      </c>
      <c r="LO286">
        <v>70537</v>
      </c>
      <c r="LP286">
        <v>465918</v>
      </c>
      <c r="LQ286">
        <v>1426</v>
      </c>
      <c r="LS286" s="24"/>
      <c r="LT286">
        <v>463</v>
      </c>
      <c r="LU286">
        <v>463</v>
      </c>
      <c r="LV286">
        <v>463</v>
      </c>
      <c r="LW286">
        <v>86117648</v>
      </c>
      <c r="LX286">
        <v>368</v>
      </c>
      <c r="LZ286" s="24"/>
      <c r="MA286">
        <v>99100</v>
      </c>
      <c r="MB286">
        <v>101098</v>
      </c>
      <c r="MC286">
        <v>101098</v>
      </c>
      <c r="MD286">
        <v>768880</v>
      </c>
      <c r="ME286">
        <v>55</v>
      </c>
    </row>
    <row r="287" spans="2:343" x14ac:dyDescent="0.25">
      <c r="B287" s="24"/>
      <c r="C287">
        <v>3</v>
      </c>
      <c r="D287">
        <v>3</v>
      </c>
      <c r="E287">
        <v>3</v>
      </c>
      <c r="F287">
        <v>27007761758</v>
      </c>
      <c r="G287">
        <v>2316</v>
      </c>
      <c r="I287" s="24"/>
      <c r="J287">
        <v>4</v>
      </c>
      <c r="K287">
        <v>4</v>
      </c>
      <c r="L287">
        <v>4</v>
      </c>
      <c r="M287">
        <v>5527933501</v>
      </c>
      <c r="N287">
        <v>1620</v>
      </c>
      <c r="P287" s="24"/>
      <c r="Q287">
        <v>29</v>
      </c>
      <c r="R287">
        <v>30</v>
      </c>
      <c r="S287">
        <v>29</v>
      </c>
      <c r="T287">
        <v>1667479569</v>
      </c>
      <c r="U287">
        <v>1514</v>
      </c>
      <c r="W287" s="24"/>
      <c r="X287">
        <v>60</v>
      </c>
      <c r="Y287">
        <v>60</v>
      </c>
      <c r="Z287">
        <v>60</v>
      </c>
      <c r="AA287">
        <v>370097598</v>
      </c>
      <c r="AB287">
        <v>1181</v>
      </c>
      <c r="AD287" s="24"/>
      <c r="AE287">
        <v>388</v>
      </c>
      <c r="AF287">
        <v>395</v>
      </c>
      <c r="AG287">
        <v>394</v>
      </c>
      <c r="AH287">
        <v>90924822</v>
      </c>
      <c r="AI287">
        <v>1193</v>
      </c>
      <c r="AK287" s="24"/>
      <c r="AL287">
        <v>740</v>
      </c>
      <c r="AM287">
        <v>751</v>
      </c>
      <c r="AN287">
        <v>740</v>
      </c>
      <c r="AO287">
        <v>31895979</v>
      </c>
      <c r="AP287">
        <v>1036</v>
      </c>
      <c r="AR287" s="24"/>
      <c r="AS287">
        <v>2687</v>
      </c>
      <c r="AT287">
        <v>2743</v>
      </c>
      <c r="AU287">
        <v>2722</v>
      </c>
      <c r="AV287">
        <v>15324418</v>
      </c>
      <c r="AW287">
        <v>1024</v>
      </c>
      <c r="AY287" s="24"/>
      <c r="AZ287">
        <v>367501999</v>
      </c>
      <c r="BA287">
        <v>373999998</v>
      </c>
      <c r="BB287">
        <v>373250000</v>
      </c>
      <c r="BC287">
        <v>2373</v>
      </c>
      <c r="BD287">
        <v>1554</v>
      </c>
      <c r="BF287" s="24"/>
      <c r="BG287">
        <v>24209</v>
      </c>
      <c r="BH287">
        <v>24209</v>
      </c>
      <c r="BI287">
        <v>24209</v>
      </c>
      <c r="BJ287">
        <v>5555945</v>
      </c>
      <c r="BK287">
        <v>270</v>
      </c>
      <c r="BM287" s="24"/>
      <c r="BN287">
        <v>6360000</v>
      </c>
      <c r="BO287">
        <v>6499995</v>
      </c>
      <c r="BP287">
        <v>6364002</v>
      </c>
      <c r="BQ287">
        <v>11275</v>
      </c>
      <c r="BR287">
        <v>336</v>
      </c>
      <c r="BT287" s="24"/>
      <c r="BU287">
        <v>2108</v>
      </c>
      <c r="BV287">
        <v>2121</v>
      </c>
      <c r="BW287">
        <v>2118</v>
      </c>
      <c r="BX287">
        <v>23520145</v>
      </c>
      <c r="BY287">
        <v>205</v>
      </c>
      <c r="CA287" s="24"/>
      <c r="CB287">
        <v>446</v>
      </c>
      <c r="CC287">
        <v>447</v>
      </c>
      <c r="CD287">
        <v>447</v>
      </c>
      <c r="CE287">
        <v>48657951</v>
      </c>
      <c r="CF287">
        <v>203</v>
      </c>
      <c r="CH287" s="24"/>
      <c r="CI287">
        <v>22709</v>
      </c>
      <c r="CJ287">
        <v>23009</v>
      </c>
      <c r="CK287">
        <v>22709</v>
      </c>
      <c r="CL287">
        <v>1463883</v>
      </c>
      <c r="CM287">
        <v>184</v>
      </c>
      <c r="CO287" s="24"/>
      <c r="CP287">
        <v>7422</v>
      </c>
      <c r="CQ287">
        <v>7791</v>
      </c>
      <c r="CR287">
        <v>7699</v>
      </c>
      <c r="CS287">
        <v>1208717</v>
      </c>
      <c r="CT287">
        <v>350</v>
      </c>
      <c r="CV287" s="24"/>
      <c r="CW287">
        <v>1316999</v>
      </c>
      <c r="CX287">
        <v>1318000</v>
      </c>
      <c r="CY287">
        <v>1317000</v>
      </c>
      <c r="CZ287">
        <v>8405</v>
      </c>
      <c r="DA287">
        <v>37</v>
      </c>
      <c r="DC287" s="24"/>
      <c r="DD287">
        <v>489</v>
      </c>
      <c r="DE287">
        <v>495</v>
      </c>
      <c r="DF287">
        <v>494</v>
      </c>
      <c r="DG287">
        <v>32413355</v>
      </c>
      <c r="DH287">
        <v>174</v>
      </c>
      <c r="DJ287" s="24"/>
      <c r="DK287">
        <v>31091070</v>
      </c>
      <c r="DL287">
        <v>31391065</v>
      </c>
      <c r="DM287">
        <v>31091071</v>
      </c>
      <c r="DN287">
        <v>183</v>
      </c>
      <c r="DO287">
        <v>60</v>
      </c>
      <c r="DQ287" s="24"/>
      <c r="DR287">
        <v>1325001</v>
      </c>
      <c r="DS287">
        <v>1369999</v>
      </c>
      <c r="DT287">
        <v>1345333</v>
      </c>
      <c r="DU287">
        <v>8658</v>
      </c>
      <c r="DV287">
        <v>200</v>
      </c>
      <c r="DX287" s="24"/>
      <c r="DY287">
        <v>23000050</v>
      </c>
      <c r="DZ287">
        <v>23699999</v>
      </c>
      <c r="EA287">
        <v>23001000</v>
      </c>
      <c r="EB287">
        <v>446</v>
      </c>
      <c r="EC287">
        <v>94</v>
      </c>
      <c r="EE287" s="24"/>
      <c r="EF287">
        <v>180</v>
      </c>
      <c r="EG287">
        <v>188</v>
      </c>
      <c r="EH287">
        <v>187</v>
      </c>
      <c r="EI287">
        <v>120859769</v>
      </c>
      <c r="EJ287">
        <v>213</v>
      </c>
      <c r="EL287" s="24"/>
      <c r="EM287">
        <v>55000</v>
      </c>
      <c r="EN287">
        <v>56899</v>
      </c>
      <c r="EO287">
        <v>55001</v>
      </c>
      <c r="EP287">
        <v>117171</v>
      </c>
      <c r="EQ287">
        <v>599</v>
      </c>
      <c r="ES287" s="24"/>
      <c r="ET287">
        <v>266</v>
      </c>
      <c r="EU287">
        <v>290</v>
      </c>
      <c r="EV287">
        <v>285</v>
      </c>
      <c r="EW287">
        <v>103916517</v>
      </c>
      <c r="EX287">
        <v>527</v>
      </c>
      <c r="EZ287" s="24"/>
      <c r="FA287">
        <v>3451002</v>
      </c>
      <c r="FB287">
        <v>3553000</v>
      </c>
      <c r="FC287">
        <v>3552999</v>
      </c>
      <c r="FD287">
        <v>1155</v>
      </c>
      <c r="FE287">
        <v>20</v>
      </c>
      <c r="FG287" s="24"/>
      <c r="FH287">
        <v>7601</v>
      </c>
      <c r="FI287">
        <v>7947</v>
      </c>
      <c r="FJ287">
        <v>7901</v>
      </c>
      <c r="FK287">
        <v>1465862</v>
      </c>
      <c r="FL287">
        <v>425</v>
      </c>
      <c r="FN287" s="24"/>
      <c r="FO287">
        <v>16701</v>
      </c>
      <c r="FP287">
        <v>17598</v>
      </c>
      <c r="FQ287">
        <v>17597</v>
      </c>
      <c r="FR287">
        <v>437214</v>
      </c>
      <c r="FS287">
        <v>120</v>
      </c>
      <c r="FU287" s="24"/>
      <c r="FV287">
        <v>14937</v>
      </c>
      <c r="FW287">
        <v>14940</v>
      </c>
      <c r="FX287">
        <v>14937</v>
      </c>
      <c r="FY287">
        <v>298959</v>
      </c>
      <c r="FZ287">
        <v>1092</v>
      </c>
      <c r="GB287" s="24"/>
      <c r="GC287">
        <v>87488008</v>
      </c>
      <c r="GD287">
        <v>92799983</v>
      </c>
      <c r="GE287">
        <v>90426559</v>
      </c>
      <c r="GF287">
        <v>90</v>
      </c>
      <c r="GG287">
        <v>56</v>
      </c>
      <c r="GI287" s="24"/>
      <c r="GJ287">
        <v>20002096</v>
      </c>
      <c r="GK287">
        <v>20100017</v>
      </c>
      <c r="GL287">
        <v>20003110</v>
      </c>
      <c r="GM287">
        <v>721</v>
      </c>
      <c r="GN287">
        <v>112</v>
      </c>
      <c r="GP287" s="24"/>
      <c r="GQ287">
        <v>118</v>
      </c>
      <c r="GR287">
        <v>119</v>
      </c>
      <c r="GS287">
        <v>119</v>
      </c>
      <c r="GT287">
        <v>93954628</v>
      </c>
      <c r="GU287">
        <v>120</v>
      </c>
      <c r="GW287" s="24"/>
      <c r="GX287">
        <v>419</v>
      </c>
      <c r="GY287">
        <v>424</v>
      </c>
      <c r="GZ287">
        <v>424</v>
      </c>
      <c r="HA287">
        <v>32447178</v>
      </c>
      <c r="HB287">
        <v>197</v>
      </c>
      <c r="HD287" s="24"/>
      <c r="HE287">
        <v>4800</v>
      </c>
      <c r="HF287">
        <v>4997</v>
      </c>
      <c r="HG287">
        <v>4996</v>
      </c>
      <c r="HH287">
        <v>14475277</v>
      </c>
      <c r="HI287">
        <v>275</v>
      </c>
      <c r="HK287" s="24"/>
      <c r="HL287">
        <v>87617030</v>
      </c>
      <c r="HM287">
        <v>92949000</v>
      </c>
      <c r="HN287">
        <v>90519353</v>
      </c>
      <c r="HO287">
        <v>91</v>
      </c>
      <c r="HP287">
        <v>59</v>
      </c>
      <c r="HR287" s="24"/>
      <c r="HS287">
        <v>8261</v>
      </c>
      <c r="HT287">
        <v>8597</v>
      </c>
      <c r="HU287">
        <v>8487</v>
      </c>
      <c r="HV287">
        <v>641602</v>
      </c>
      <c r="HW287">
        <v>140</v>
      </c>
      <c r="HY287" s="24"/>
      <c r="HZ287">
        <v>7064</v>
      </c>
      <c r="IA287">
        <v>7649</v>
      </c>
      <c r="IB287">
        <v>7499</v>
      </c>
      <c r="IC287">
        <v>1923380</v>
      </c>
      <c r="ID287">
        <v>442</v>
      </c>
      <c r="IF287" s="24"/>
      <c r="IG287">
        <v>3328</v>
      </c>
      <c r="IH287">
        <v>3329</v>
      </c>
      <c r="II287">
        <v>3328</v>
      </c>
      <c r="IJ287">
        <v>1104940</v>
      </c>
      <c r="IK287">
        <v>137</v>
      </c>
      <c r="IM287" s="24"/>
      <c r="IN287">
        <v>87809000</v>
      </c>
      <c r="IO287">
        <v>91505998</v>
      </c>
      <c r="IP287">
        <v>90066975</v>
      </c>
      <c r="IQ287">
        <v>78</v>
      </c>
      <c r="IR287">
        <v>59</v>
      </c>
      <c r="IT287" s="24"/>
      <c r="IU287">
        <v>7275</v>
      </c>
      <c r="IV287">
        <v>7398</v>
      </c>
      <c r="IW287">
        <v>7397</v>
      </c>
      <c r="IX287">
        <v>1377719</v>
      </c>
      <c r="IY287">
        <v>151</v>
      </c>
      <c r="JA287" s="24"/>
      <c r="JB287">
        <v>88000001</v>
      </c>
      <c r="JC287">
        <v>92113994</v>
      </c>
      <c r="JD287">
        <v>89009001</v>
      </c>
      <c r="JE287">
        <v>110</v>
      </c>
      <c r="JF287">
        <v>68</v>
      </c>
      <c r="JH287" s="24"/>
      <c r="JI287">
        <v>87625101</v>
      </c>
      <c r="JJ287">
        <v>91999797</v>
      </c>
      <c r="JK287">
        <v>90466561</v>
      </c>
      <c r="JL287">
        <v>33</v>
      </c>
      <c r="JM287">
        <v>24</v>
      </c>
      <c r="JO287" s="24"/>
      <c r="JP287">
        <v>108</v>
      </c>
      <c r="JQ287">
        <v>114</v>
      </c>
      <c r="JR287">
        <v>113</v>
      </c>
      <c r="JS287">
        <v>86782375</v>
      </c>
      <c r="JT287">
        <v>112</v>
      </c>
      <c r="JV287" s="24"/>
      <c r="JW287">
        <v>88</v>
      </c>
      <c r="JX287">
        <v>91</v>
      </c>
      <c r="JY287">
        <v>90</v>
      </c>
      <c r="JZ287">
        <v>128582501</v>
      </c>
      <c r="KA287">
        <v>126</v>
      </c>
      <c r="KC287" s="24"/>
      <c r="KD287">
        <v>25</v>
      </c>
      <c r="KE287">
        <v>26</v>
      </c>
      <c r="KF287">
        <v>25</v>
      </c>
      <c r="KG287">
        <v>59990894</v>
      </c>
      <c r="KH287">
        <v>291</v>
      </c>
      <c r="KJ287" s="24"/>
      <c r="KK287">
        <v>110</v>
      </c>
      <c r="KL287">
        <v>115</v>
      </c>
      <c r="KM287">
        <v>111</v>
      </c>
      <c r="KN287">
        <v>129923293</v>
      </c>
      <c r="KO287">
        <v>119</v>
      </c>
      <c r="KQ287" s="24"/>
      <c r="KR287">
        <v>119999</v>
      </c>
      <c r="KS287">
        <v>120589</v>
      </c>
      <c r="KT287">
        <v>120589</v>
      </c>
      <c r="KU287">
        <v>75109</v>
      </c>
      <c r="KV287">
        <v>563</v>
      </c>
      <c r="KX287" s="24"/>
      <c r="KY287">
        <v>719</v>
      </c>
      <c r="KZ287">
        <v>730</v>
      </c>
      <c r="LA287">
        <v>729</v>
      </c>
      <c r="LB287">
        <v>4180421</v>
      </c>
      <c r="LC287">
        <v>161</v>
      </c>
      <c r="LE287" s="24"/>
      <c r="LF287">
        <v>181903</v>
      </c>
      <c r="LG287">
        <v>183902</v>
      </c>
      <c r="LH287">
        <v>183900</v>
      </c>
      <c r="LI287">
        <v>72160</v>
      </c>
      <c r="LJ287">
        <v>776</v>
      </c>
      <c r="LL287" s="24"/>
      <c r="LM287">
        <v>70542</v>
      </c>
      <c r="LN287">
        <v>70552</v>
      </c>
      <c r="LO287">
        <v>70547</v>
      </c>
      <c r="LP287">
        <v>312585</v>
      </c>
      <c r="LQ287">
        <v>1147</v>
      </c>
      <c r="LS287" s="24"/>
      <c r="LT287">
        <v>455</v>
      </c>
      <c r="LU287">
        <v>463</v>
      </c>
      <c r="LV287">
        <v>462</v>
      </c>
      <c r="LW287">
        <v>86392270</v>
      </c>
      <c r="LX287">
        <v>345</v>
      </c>
      <c r="LZ287" s="24"/>
      <c r="MA287">
        <v>98060</v>
      </c>
      <c r="MB287">
        <v>101077</v>
      </c>
      <c r="MC287">
        <v>101076</v>
      </c>
      <c r="MD287">
        <v>591295</v>
      </c>
      <c r="ME287">
        <v>58</v>
      </c>
    </row>
    <row r="288" spans="2:343" x14ac:dyDescent="0.25">
      <c r="B288" s="24"/>
      <c r="C288">
        <v>3</v>
      </c>
      <c r="D288">
        <v>3</v>
      </c>
      <c r="E288">
        <v>3</v>
      </c>
      <c r="F288">
        <v>26839071458</v>
      </c>
      <c r="G288">
        <v>1951</v>
      </c>
      <c r="I288" s="24"/>
      <c r="J288">
        <v>4</v>
      </c>
      <c r="K288">
        <v>4</v>
      </c>
      <c r="L288">
        <v>4</v>
      </c>
      <c r="M288">
        <v>5620844813</v>
      </c>
      <c r="N288">
        <v>1380</v>
      </c>
      <c r="P288" s="24"/>
      <c r="Q288">
        <v>30</v>
      </c>
      <c r="R288">
        <v>30</v>
      </c>
      <c r="S288">
        <v>30</v>
      </c>
      <c r="T288">
        <v>1319978315</v>
      </c>
      <c r="U288">
        <v>1281</v>
      </c>
      <c r="W288" s="24"/>
      <c r="X288">
        <v>60</v>
      </c>
      <c r="Y288">
        <v>60</v>
      </c>
      <c r="Z288">
        <v>60</v>
      </c>
      <c r="AA288">
        <v>346772688</v>
      </c>
      <c r="AB288">
        <v>1014</v>
      </c>
      <c r="AD288" s="24"/>
      <c r="AE288">
        <v>390</v>
      </c>
      <c r="AF288">
        <v>398</v>
      </c>
      <c r="AG288">
        <v>398</v>
      </c>
      <c r="AH288">
        <v>61493330</v>
      </c>
      <c r="AI288">
        <v>1050</v>
      </c>
      <c r="AK288" s="24"/>
      <c r="AL288">
        <v>739</v>
      </c>
      <c r="AM288">
        <v>747</v>
      </c>
      <c r="AN288">
        <v>747</v>
      </c>
      <c r="AO288">
        <v>20465511</v>
      </c>
      <c r="AP288">
        <v>873</v>
      </c>
      <c r="AR288" s="24"/>
      <c r="AS288">
        <v>2680</v>
      </c>
      <c r="AT288">
        <v>2764</v>
      </c>
      <c r="AU288">
        <v>2763</v>
      </c>
      <c r="AV288">
        <v>13673520</v>
      </c>
      <c r="AW288">
        <v>922</v>
      </c>
      <c r="AY288" s="24"/>
      <c r="AZ288">
        <v>372000000</v>
      </c>
      <c r="BA288">
        <v>379262172</v>
      </c>
      <c r="BB288">
        <v>374999000</v>
      </c>
      <c r="BC288">
        <v>2314</v>
      </c>
      <c r="BD288">
        <v>1541</v>
      </c>
      <c r="BF288" s="24"/>
      <c r="BG288">
        <v>24209</v>
      </c>
      <c r="BH288">
        <v>24210</v>
      </c>
      <c r="BI288">
        <v>24209</v>
      </c>
      <c r="BJ288">
        <v>2010817</v>
      </c>
      <c r="BK288">
        <v>166</v>
      </c>
      <c r="BM288" s="24"/>
      <c r="BN288">
        <v>6410005</v>
      </c>
      <c r="BO288">
        <v>6509999</v>
      </c>
      <c r="BP288">
        <v>6410822</v>
      </c>
      <c r="BQ288">
        <v>7618</v>
      </c>
      <c r="BR288">
        <v>258</v>
      </c>
      <c r="BT288" s="24"/>
      <c r="BU288">
        <v>2040</v>
      </c>
      <c r="BV288">
        <v>2106</v>
      </c>
      <c r="BW288">
        <v>2055</v>
      </c>
      <c r="BX288">
        <v>37614156</v>
      </c>
      <c r="BY288">
        <v>275</v>
      </c>
      <c r="CA288" s="24"/>
      <c r="CB288">
        <v>443</v>
      </c>
      <c r="CC288">
        <v>444</v>
      </c>
      <c r="CD288">
        <v>444</v>
      </c>
      <c r="CE288">
        <v>45780979</v>
      </c>
      <c r="CF288">
        <v>200</v>
      </c>
      <c r="CH288" s="24"/>
      <c r="CI288">
        <v>22710</v>
      </c>
      <c r="CJ288">
        <v>22713</v>
      </c>
      <c r="CK288">
        <v>22711</v>
      </c>
      <c r="CL288">
        <v>955118</v>
      </c>
      <c r="CM288">
        <v>136</v>
      </c>
      <c r="CO288" s="24"/>
      <c r="CP288">
        <v>7305</v>
      </c>
      <c r="CQ288">
        <v>7749</v>
      </c>
      <c r="CR288">
        <v>7696</v>
      </c>
      <c r="CS288">
        <v>918190</v>
      </c>
      <c r="CT288">
        <v>302</v>
      </c>
      <c r="CV288" s="24"/>
      <c r="CW288">
        <v>1317999</v>
      </c>
      <c r="CX288">
        <v>1318000</v>
      </c>
      <c r="CY288">
        <v>1318000</v>
      </c>
      <c r="CZ288">
        <v>8609</v>
      </c>
      <c r="DA288">
        <v>33</v>
      </c>
      <c r="DC288" s="24"/>
      <c r="DD288">
        <v>485</v>
      </c>
      <c r="DE288">
        <v>495</v>
      </c>
      <c r="DF288">
        <v>495</v>
      </c>
      <c r="DG288">
        <v>30505601</v>
      </c>
      <c r="DH288">
        <v>139</v>
      </c>
      <c r="DJ288" s="24"/>
      <c r="DK288">
        <v>31591065</v>
      </c>
      <c r="DL288">
        <v>32889998</v>
      </c>
      <c r="DM288">
        <v>32799989</v>
      </c>
      <c r="DN288">
        <v>284</v>
      </c>
      <c r="DO288">
        <v>75</v>
      </c>
      <c r="DQ288" s="24"/>
      <c r="DR288">
        <v>1305000</v>
      </c>
      <c r="DS288">
        <v>1339999</v>
      </c>
      <c r="DT288">
        <v>1330000</v>
      </c>
      <c r="DU288">
        <v>7691</v>
      </c>
      <c r="DV288">
        <v>176</v>
      </c>
      <c r="DX288" s="24"/>
      <c r="DY288">
        <v>23001004</v>
      </c>
      <c r="DZ288">
        <v>23600000</v>
      </c>
      <c r="EA288">
        <v>23100000</v>
      </c>
      <c r="EB288">
        <v>421</v>
      </c>
      <c r="EC288">
        <v>80</v>
      </c>
      <c r="EE288" s="24"/>
      <c r="EF288">
        <v>188</v>
      </c>
      <c r="EG288">
        <v>199</v>
      </c>
      <c r="EH288">
        <v>194</v>
      </c>
      <c r="EI288">
        <v>70961750</v>
      </c>
      <c r="EJ288">
        <v>166</v>
      </c>
      <c r="EL288" s="24"/>
      <c r="EM288">
        <v>52002</v>
      </c>
      <c r="EN288">
        <v>52100</v>
      </c>
      <c r="EO288">
        <v>52005</v>
      </c>
      <c r="EP288">
        <v>47728</v>
      </c>
      <c r="EQ288">
        <v>487</v>
      </c>
      <c r="ES288" s="24"/>
      <c r="ET288">
        <v>252</v>
      </c>
      <c r="EU288">
        <v>274</v>
      </c>
      <c r="EV288">
        <v>255</v>
      </c>
      <c r="EW288">
        <v>75323966</v>
      </c>
      <c r="EX288">
        <v>491</v>
      </c>
      <c r="EZ288" s="24"/>
      <c r="FA288">
        <v>3444000</v>
      </c>
      <c r="FB288">
        <v>3444000</v>
      </c>
      <c r="FC288">
        <v>3444000</v>
      </c>
      <c r="FD288">
        <v>1368</v>
      </c>
      <c r="FE288">
        <v>17</v>
      </c>
      <c r="FG288" s="24"/>
      <c r="FH288">
        <v>7602</v>
      </c>
      <c r="FI288">
        <v>7886</v>
      </c>
      <c r="FJ288">
        <v>7885</v>
      </c>
      <c r="FK288">
        <v>1255884</v>
      </c>
      <c r="FL288">
        <v>349</v>
      </c>
      <c r="FN288" s="24"/>
      <c r="FO288">
        <v>17548</v>
      </c>
      <c r="FP288">
        <v>17886</v>
      </c>
      <c r="FQ288">
        <v>17800</v>
      </c>
      <c r="FR288">
        <v>236794</v>
      </c>
      <c r="FS288">
        <v>77</v>
      </c>
      <c r="FU288" s="24"/>
      <c r="FV288">
        <v>14947</v>
      </c>
      <c r="FW288">
        <v>14948</v>
      </c>
      <c r="FX288">
        <v>14948</v>
      </c>
      <c r="FY288">
        <v>269947</v>
      </c>
      <c r="FZ288">
        <v>904</v>
      </c>
      <c r="GB288" s="24"/>
      <c r="GC288">
        <v>87419035</v>
      </c>
      <c r="GD288">
        <v>92319040</v>
      </c>
      <c r="GE288">
        <v>90080554</v>
      </c>
      <c r="GF288">
        <v>46</v>
      </c>
      <c r="GG288">
        <v>34</v>
      </c>
      <c r="GI288" s="24"/>
      <c r="GJ288">
        <v>20000003</v>
      </c>
      <c r="GK288">
        <v>20699999</v>
      </c>
      <c r="GL288">
        <v>20000006</v>
      </c>
      <c r="GM288">
        <v>403</v>
      </c>
      <c r="GN288">
        <v>65</v>
      </c>
      <c r="GP288" s="24"/>
      <c r="GQ288">
        <v>112</v>
      </c>
      <c r="GR288">
        <v>118</v>
      </c>
      <c r="GS288">
        <v>116</v>
      </c>
      <c r="GT288">
        <v>127323996</v>
      </c>
      <c r="GU288">
        <v>156</v>
      </c>
      <c r="GW288" s="24"/>
      <c r="GX288">
        <v>409</v>
      </c>
      <c r="GY288">
        <v>422</v>
      </c>
      <c r="GZ288">
        <v>419</v>
      </c>
      <c r="HA288">
        <v>47357826</v>
      </c>
      <c r="HB288">
        <v>193</v>
      </c>
      <c r="HD288" s="24"/>
      <c r="HE288">
        <v>4997</v>
      </c>
      <c r="HF288">
        <v>5138</v>
      </c>
      <c r="HG288">
        <v>5078</v>
      </c>
      <c r="HH288">
        <v>19075158</v>
      </c>
      <c r="HI288">
        <v>261</v>
      </c>
      <c r="HK288" s="24"/>
      <c r="HL288">
        <v>87890001</v>
      </c>
      <c r="HM288">
        <v>89018018</v>
      </c>
      <c r="HN288">
        <v>88101871</v>
      </c>
      <c r="HO288">
        <v>97</v>
      </c>
      <c r="HP288">
        <v>54</v>
      </c>
      <c r="HR288" s="24"/>
      <c r="HS288">
        <v>8500</v>
      </c>
      <c r="HT288">
        <v>8888</v>
      </c>
      <c r="HU288">
        <v>8549</v>
      </c>
      <c r="HV288">
        <v>1212524</v>
      </c>
      <c r="HW288">
        <v>176</v>
      </c>
      <c r="HY288" s="24"/>
      <c r="HZ288">
        <v>7596</v>
      </c>
      <c r="IA288">
        <v>7649</v>
      </c>
      <c r="IB288">
        <v>7600</v>
      </c>
      <c r="IC288">
        <v>1185763</v>
      </c>
      <c r="ID288">
        <v>339</v>
      </c>
      <c r="IF288" s="24"/>
      <c r="IG288">
        <v>3328</v>
      </c>
      <c r="IH288">
        <v>3329</v>
      </c>
      <c r="II288">
        <v>3329</v>
      </c>
      <c r="IJ288">
        <v>1388419</v>
      </c>
      <c r="IK288">
        <v>136</v>
      </c>
      <c r="IM288" s="24"/>
      <c r="IN288">
        <v>87810000</v>
      </c>
      <c r="IO288">
        <v>91505996</v>
      </c>
      <c r="IP288">
        <v>89864466</v>
      </c>
      <c r="IQ288">
        <v>60</v>
      </c>
      <c r="IR288">
        <v>39</v>
      </c>
      <c r="IT288" s="24"/>
      <c r="IU288">
        <v>7350</v>
      </c>
      <c r="IV288">
        <v>7397</v>
      </c>
      <c r="IW288">
        <v>7350</v>
      </c>
      <c r="IX288">
        <v>813242</v>
      </c>
      <c r="IY288">
        <v>107</v>
      </c>
      <c r="JA288" s="24"/>
      <c r="JB288">
        <v>89125018</v>
      </c>
      <c r="JC288">
        <v>92113977</v>
      </c>
      <c r="JD288">
        <v>90122889</v>
      </c>
      <c r="JE288">
        <v>97</v>
      </c>
      <c r="JF288">
        <v>66</v>
      </c>
      <c r="JH288" s="24"/>
      <c r="JI288">
        <v>88109999</v>
      </c>
      <c r="JJ288">
        <v>91999786</v>
      </c>
      <c r="JK288">
        <v>89694651</v>
      </c>
      <c r="JL288">
        <v>67</v>
      </c>
      <c r="JM288">
        <v>42</v>
      </c>
      <c r="JO288" s="24"/>
      <c r="JP288">
        <v>113</v>
      </c>
      <c r="JQ288">
        <v>113</v>
      </c>
      <c r="JR288">
        <v>113</v>
      </c>
      <c r="JS288">
        <v>127600723</v>
      </c>
      <c r="JT288">
        <v>102</v>
      </c>
      <c r="JV288" s="24"/>
      <c r="JW288">
        <v>92</v>
      </c>
      <c r="JX288">
        <v>97</v>
      </c>
      <c r="JY288">
        <v>97</v>
      </c>
      <c r="JZ288">
        <v>39996994</v>
      </c>
      <c r="KA288">
        <v>82</v>
      </c>
      <c r="KC288" s="24"/>
      <c r="KD288">
        <v>24</v>
      </c>
      <c r="KE288">
        <v>24</v>
      </c>
      <c r="KF288">
        <v>24</v>
      </c>
      <c r="KG288">
        <v>52821801</v>
      </c>
      <c r="KH288">
        <v>222</v>
      </c>
      <c r="KJ288" s="24"/>
      <c r="KK288">
        <v>115</v>
      </c>
      <c r="KL288">
        <v>120</v>
      </c>
      <c r="KM288">
        <v>119</v>
      </c>
      <c r="KN288">
        <v>169963541</v>
      </c>
      <c r="KO288">
        <v>144</v>
      </c>
      <c r="KQ288" s="24"/>
      <c r="KR288">
        <v>118000</v>
      </c>
      <c r="KS288">
        <v>120999</v>
      </c>
      <c r="KT288">
        <v>118002</v>
      </c>
      <c r="KU288">
        <v>52071</v>
      </c>
      <c r="KV288">
        <v>483</v>
      </c>
      <c r="KX288" s="24"/>
      <c r="KY288">
        <v>700</v>
      </c>
      <c r="KZ288">
        <v>726</v>
      </c>
      <c r="LA288">
        <v>719</v>
      </c>
      <c r="LB288">
        <v>5834449</v>
      </c>
      <c r="LC288">
        <v>170</v>
      </c>
      <c r="LE288" s="24"/>
      <c r="LF288">
        <v>185001</v>
      </c>
      <c r="LG288">
        <v>185002</v>
      </c>
      <c r="LH288">
        <v>185001</v>
      </c>
      <c r="LI288">
        <v>107759</v>
      </c>
      <c r="LJ288">
        <v>695</v>
      </c>
      <c r="LL288" s="24"/>
      <c r="LM288">
        <v>70554</v>
      </c>
      <c r="LN288">
        <v>70556</v>
      </c>
      <c r="LO288">
        <v>70556</v>
      </c>
      <c r="LP288">
        <v>375817</v>
      </c>
      <c r="LQ288">
        <v>956</v>
      </c>
      <c r="LS288" s="24"/>
      <c r="LT288">
        <v>461</v>
      </c>
      <c r="LU288">
        <v>462</v>
      </c>
      <c r="LV288">
        <v>461</v>
      </c>
      <c r="LW288">
        <v>65731191</v>
      </c>
      <c r="LX288">
        <v>296</v>
      </c>
      <c r="LZ288" s="24"/>
      <c r="MA288">
        <v>97269</v>
      </c>
      <c r="MB288">
        <v>98400</v>
      </c>
      <c r="MC288">
        <v>97750</v>
      </c>
      <c r="MD288">
        <v>1287851</v>
      </c>
      <c r="ME288">
        <v>85</v>
      </c>
    </row>
    <row r="289" spans="2:343" x14ac:dyDescent="0.25">
      <c r="B289" s="24"/>
      <c r="C289">
        <v>3</v>
      </c>
      <c r="D289">
        <v>3</v>
      </c>
      <c r="E289">
        <v>3</v>
      </c>
      <c r="F289">
        <v>22683337473</v>
      </c>
      <c r="G289">
        <v>2096</v>
      </c>
      <c r="I289" s="24"/>
      <c r="J289">
        <v>4</v>
      </c>
      <c r="K289">
        <v>4</v>
      </c>
      <c r="L289">
        <v>4</v>
      </c>
      <c r="M289">
        <v>6649468416</v>
      </c>
      <c r="N289">
        <v>1517</v>
      </c>
      <c r="P289" s="24"/>
      <c r="Q289">
        <v>30</v>
      </c>
      <c r="R289">
        <v>31</v>
      </c>
      <c r="S289">
        <v>31</v>
      </c>
      <c r="T289">
        <v>1590028713</v>
      </c>
      <c r="U289">
        <v>1453</v>
      </c>
      <c r="W289" s="24"/>
      <c r="X289">
        <v>60</v>
      </c>
      <c r="Y289">
        <v>60</v>
      </c>
      <c r="Z289">
        <v>60</v>
      </c>
      <c r="AA289">
        <v>504565036</v>
      </c>
      <c r="AB289">
        <v>1114</v>
      </c>
      <c r="AD289" s="24"/>
      <c r="AE289">
        <v>395</v>
      </c>
      <c r="AF289">
        <v>437</v>
      </c>
      <c r="AG289">
        <v>429</v>
      </c>
      <c r="AH289">
        <v>90403425</v>
      </c>
      <c r="AI289">
        <v>1246</v>
      </c>
      <c r="AK289" s="24"/>
      <c r="AL289">
        <v>739</v>
      </c>
      <c r="AM289">
        <v>746</v>
      </c>
      <c r="AN289">
        <v>739</v>
      </c>
      <c r="AO289">
        <v>52803205</v>
      </c>
      <c r="AP289">
        <v>1020</v>
      </c>
      <c r="AR289" s="24"/>
      <c r="AS289">
        <v>2670</v>
      </c>
      <c r="AT289">
        <v>2752</v>
      </c>
      <c r="AU289">
        <v>2752</v>
      </c>
      <c r="AV289">
        <v>12156740</v>
      </c>
      <c r="AW289">
        <v>974</v>
      </c>
      <c r="AY289" s="24"/>
      <c r="AZ289">
        <v>373000000</v>
      </c>
      <c r="BA289">
        <v>379799980</v>
      </c>
      <c r="BB289">
        <v>377129958</v>
      </c>
      <c r="BC289">
        <v>2400</v>
      </c>
      <c r="BD289">
        <v>1556</v>
      </c>
      <c r="BF289" s="24"/>
      <c r="BG289">
        <v>24411</v>
      </c>
      <c r="BH289">
        <v>24414</v>
      </c>
      <c r="BI289">
        <v>24411</v>
      </c>
      <c r="BJ289">
        <v>1768185</v>
      </c>
      <c r="BK289">
        <v>159</v>
      </c>
      <c r="BM289" s="24"/>
      <c r="BN289">
        <v>6430004</v>
      </c>
      <c r="BO289">
        <v>6470001</v>
      </c>
      <c r="BP289">
        <v>6431098</v>
      </c>
      <c r="BQ289">
        <v>11175</v>
      </c>
      <c r="BR289">
        <v>283</v>
      </c>
      <c r="BT289" s="24"/>
      <c r="BU289">
        <v>2100</v>
      </c>
      <c r="BV289">
        <v>2103</v>
      </c>
      <c r="BW289">
        <v>2100</v>
      </c>
      <c r="BX289">
        <v>20777896</v>
      </c>
      <c r="BY289">
        <v>214</v>
      </c>
      <c r="CA289" s="24"/>
      <c r="CB289">
        <v>440</v>
      </c>
      <c r="CC289">
        <v>443</v>
      </c>
      <c r="CD289">
        <v>443</v>
      </c>
      <c r="CE289">
        <v>64667953</v>
      </c>
      <c r="CF289">
        <v>215</v>
      </c>
      <c r="CH289" s="24"/>
      <c r="CI289">
        <v>23040</v>
      </c>
      <c r="CJ289">
        <v>23262</v>
      </c>
      <c r="CK289">
        <v>23256</v>
      </c>
      <c r="CL289">
        <v>1327767</v>
      </c>
      <c r="CM289">
        <v>140</v>
      </c>
      <c r="CO289" s="24"/>
      <c r="CP289">
        <v>7178</v>
      </c>
      <c r="CQ289">
        <v>7589</v>
      </c>
      <c r="CR289">
        <v>7400</v>
      </c>
      <c r="CS289">
        <v>1190424</v>
      </c>
      <c r="CT289">
        <v>332</v>
      </c>
      <c r="CV289" s="24"/>
      <c r="CW289">
        <v>1280001</v>
      </c>
      <c r="CX289">
        <v>1339999</v>
      </c>
      <c r="CY289">
        <v>1281000</v>
      </c>
      <c r="CZ289">
        <v>11242</v>
      </c>
      <c r="DA289">
        <v>49</v>
      </c>
      <c r="DC289" s="24"/>
      <c r="DD289">
        <v>476</v>
      </c>
      <c r="DE289">
        <v>494</v>
      </c>
      <c r="DF289">
        <v>490</v>
      </c>
      <c r="DG289">
        <v>44349172</v>
      </c>
      <c r="DH289">
        <v>175</v>
      </c>
      <c r="DJ289" s="24"/>
      <c r="DK289">
        <v>31892000</v>
      </c>
      <c r="DL289">
        <v>32998999</v>
      </c>
      <c r="DM289">
        <v>31892004</v>
      </c>
      <c r="DN289">
        <v>335</v>
      </c>
      <c r="DO289">
        <v>72</v>
      </c>
      <c r="DQ289" s="24"/>
      <c r="DR289">
        <v>1306008</v>
      </c>
      <c r="DS289">
        <v>1399996</v>
      </c>
      <c r="DT289">
        <v>1306038</v>
      </c>
      <c r="DU289">
        <v>7565</v>
      </c>
      <c r="DV289">
        <v>203</v>
      </c>
      <c r="DX289" s="24"/>
      <c r="DY289">
        <v>23110061</v>
      </c>
      <c r="DZ289">
        <v>23989998</v>
      </c>
      <c r="EA289">
        <v>23113009</v>
      </c>
      <c r="EB289">
        <v>305</v>
      </c>
      <c r="EC289">
        <v>78</v>
      </c>
      <c r="EE289" s="24"/>
      <c r="EF289">
        <v>186</v>
      </c>
      <c r="EG289">
        <v>199</v>
      </c>
      <c r="EH289">
        <v>197</v>
      </c>
      <c r="EI289">
        <v>118202146</v>
      </c>
      <c r="EJ289">
        <v>200</v>
      </c>
      <c r="EL289" s="24"/>
      <c r="EM289">
        <v>54000</v>
      </c>
      <c r="EN289">
        <v>54102</v>
      </c>
      <c r="EO289">
        <v>54001</v>
      </c>
      <c r="EP289">
        <v>123075</v>
      </c>
      <c r="EQ289">
        <v>518</v>
      </c>
      <c r="ES289" s="24"/>
      <c r="ET289">
        <v>271</v>
      </c>
      <c r="EU289">
        <v>271</v>
      </c>
      <c r="EV289">
        <v>271</v>
      </c>
      <c r="EW289">
        <v>37680706</v>
      </c>
      <c r="EX289">
        <v>542</v>
      </c>
      <c r="EZ289" s="24"/>
      <c r="FA289">
        <v>3188000</v>
      </c>
      <c r="FB289">
        <v>3440900</v>
      </c>
      <c r="FC289">
        <v>3188000</v>
      </c>
      <c r="FD289">
        <v>2638</v>
      </c>
      <c r="FE289">
        <v>26</v>
      </c>
      <c r="FG289" s="24"/>
      <c r="FH289">
        <v>7699</v>
      </c>
      <c r="FI289">
        <v>7884</v>
      </c>
      <c r="FJ289">
        <v>7884</v>
      </c>
      <c r="FK289">
        <v>1893766</v>
      </c>
      <c r="FL289">
        <v>401</v>
      </c>
      <c r="FN289" s="24"/>
      <c r="FO289">
        <v>17886</v>
      </c>
      <c r="FP289">
        <v>17886</v>
      </c>
      <c r="FQ289">
        <v>17886</v>
      </c>
      <c r="FR289">
        <v>244548</v>
      </c>
      <c r="FS289">
        <v>89</v>
      </c>
      <c r="FU289" s="24"/>
      <c r="FV289">
        <v>14949</v>
      </c>
      <c r="FW289">
        <v>14950</v>
      </c>
      <c r="FX289">
        <v>14949</v>
      </c>
      <c r="FY289">
        <v>392661</v>
      </c>
      <c r="FZ289">
        <v>898</v>
      </c>
      <c r="GB289" s="24"/>
      <c r="GC289">
        <v>88000000</v>
      </c>
      <c r="GD289">
        <v>91999998</v>
      </c>
      <c r="GE289">
        <v>91424053</v>
      </c>
      <c r="GF289">
        <v>54</v>
      </c>
      <c r="GG289">
        <v>49</v>
      </c>
      <c r="GI289" s="24"/>
      <c r="GJ289">
        <v>20000020</v>
      </c>
      <c r="GK289">
        <v>21497000</v>
      </c>
      <c r="GL289">
        <v>21399999</v>
      </c>
      <c r="GM289">
        <v>1069</v>
      </c>
      <c r="GN289">
        <v>104</v>
      </c>
      <c r="GP289" s="24"/>
      <c r="GQ289">
        <v>113</v>
      </c>
      <c r="GR289">
        <v>117</v>
      </c>
      <c r="GS289">
        <v>117</v>
      </c>
      <c r="GT289">
        <v>166332288</v>
      </c>
      <c r="GU289">
        <v>158</v>
      </c>
      <c r="GW289" s="24"/>
      <c r="GX289">
        <v>419</v>
      </c>
      <c r="GY289">
        <v>424</v>
      </c>
      <c r="GZ289">
        <v>421</v>
      </c>
      <c r="HA289">
        <v>44809677</v>
      </c>
      <c r="HB289">
        <v>211</v>
      </c>
      <c r="HD289" s="24"/>
      <c r="HE289">
        <v>5131</v>
      </c>
      <c r="HF289">
        <v>5132</v>
      </c>
      <c r="HG289">
        <v>5132</v>
      </c>
      <c r="HH289">
        <v>20766044</v>
      </c>
      <c r="HI289">
        <v>283</v>
      </c>
      <c r="HK289" s="24"/>
      <c r="HL289">
        <v>88017001</v>
      </c>
      <c r="HM289">
        <v>92399998</v>
      </c>
      <c r="HN289">
        <v>90981771</v>
      </c>
      <c r="HO289">
        <v>71</v>
      </c>
      <c r="HP289">
        <v>59</v>
      </c>
      <c r="HR289" s="24"/>
      <c r="HS289">
        <v>8310</v>
      </c>
      <c r="HT289">
        <v>8599</v>
      </c>
      <c r="HU289">
        <v>8590</v>
      </c>
      <c r="HV289">
        <v>733648</v>
      </c>
      <c r="HW289">
        <v>130</v>
      </c>
      <c r="HY289" s="24"/>
      <c r="HZ289">
        <v>7407</v>
      </c>
      <c r="IA289">
        <v>7645</v>
      </c>
      <c r="IB289">
        <v>7600</v>
      </c>
      <c r="IC289">
        <v>1801178</v>
      </c>
      <c r="ID289">
        <v>406</v>
      </c>
      <c r="IF289" s="24"/>
      <c r="IG289">
        <v>3328</v>
      </c>
      <c r="IH289">
        <v>3329</v>
      </c>
      <c r="II289">
        <v>3329</v>
      </c>
      <c r="IJ289">
        <v>2088369</v>
      </c>
      <c r="IK289">
        <v>137</v>
      </c>
      <c r="IM289" s="24"/>
      <c r="IN289">
        <v>87826005</v>
      </c>
      <c r="IO289">
        <v>91505996</v>
      </c>
      <c r="IP289">
        <v>89968718</v>
      </c>
      <c r="IQ289">
        <v>75</v>
      </c>
      <c r="IR289">
        <v>64</v>
      </c>
      <c r="IT289" s="24"/>
      <c r="IU289">
        <v>7343</v>
      </c>
      <c r="IV289">
        <v>7397</v>
      </c>
      <c r="IW289">
        <v>7359</v>
      </c>
      <c r="IX289">
        <v>1623808</v>
      </c>
      <c r="IY289">
        <v>153</v>
      </c>
      <c r="JA289" s="24"/>
      <c r="JB289">
        <v>89014002</v>
      </c>
      <c r="JC289">
        <v>91999884</v>
      </c>
      <c r="JD289">
        <v>90467063</v>
      </c>
      <c r="JE289">
        <v>85</v>
      </c>
      <c r="JF289">
        <v>68</v>
      </c>
      <c r="JH289" s="24"/>
      <c r="JI289">
        <v>0</v>
      </c>
      <c r="JJ289">
        <v>91393887</v>
      </c>
      <c r="JK289">
        <v>86670010</v>
      </c>
      <c r="JL289">
        <v>53</v>
      </c>
      <c r="JM289">
        <v>35</v>
      </c>
      <c r="JO289" s="24"/>
      <c r="JP289">
        <v>114</v>
      </c>
      <c r="JQ289">
        <v>116</v>
      </c>
      <c r="JR289">
        <v>116</v>
      </c>
      <c r="JS289">
        <v>153197958</v>
      </c>
      <c r="JT289">
        <v>125</v>
      </c>
      <c r="JV289" s="24"/>
      <c r="JW289">
        <v>93</v>
      </c>
      <c r="JX289">
        <v>98</v>
      </c>
      <c r="JY289">
        <v>97</v>
      </c>
      <c r="JZ289">
        <v>125271979</v>
      </c>
      <c r="KA289">
        <v>127</v>
      </c>
      <c r="KC289" s="24"/>
      <c r="KD289">
        <v>22</v>
      </c>
      <c r="KE289">
        <v>25</v>
      </c>
      <c r="KF289">
        <v>24</v>
      </c>
      <c r="KG289">
        <v>76542640</v>
      </c>
      <c r="KH289">
        <v>309</v>
      </c>
      <c r="KJ289" s="24"/>
      <c r="KK289">
        <v>140</v>
      </c>
      <c r="KL289">
        <v>155</v>
      </c>
      <c r="KM289">
        <v>150</v>
      </c>
      <c r="KN289">
        <v>131466843</v>
      </c>
      <c r="KO289">
        <v>167</v>
      </c>
      <c r="KQ289" s="24"/>
      <c r="KR289">
        <v>118009</v>
      </c>
      <c r="KS289">
        <v>119000</v>
      </c>
      <c r="KT289">
        <v>118009</v>
      </c>
      <c r="KU289">
        <v>56494</v>
      </c>
      <c r="KV289">
        <v>521</v>
      </c>
      <c r="KX289" s="24"/>
      <c r="KY289">
        <v>725</v>
      </c>
      <c r="KZ289">
        <v>725</v>
      </c>
      <c r="LA289">
        <v>725</v>
      </c>
      <c r="LB289">
        <v>5706822</v>
      </c>
      <c r="LC289">
        <v>183</v>
      </c>
      <c r="LE289" s="24"/>
      <c r="LF289">
        <v>183105</v>
      </c>
      <c r="LG289">
        <v>185001</v>
      </c>
      <c r="LH289">
        <v>185001</v>
      </c>
      <c r="LI289">
        <v>266845</v>
      </c>
      <c r="LJ289">
        <v>642</v>
      </c>
      <c r="LL289" s="24"/>
      <c r="LM289">
        <v>69095</v>
      </c>
      <c r="LN289">
        <v>70555</v>
      </c>
      <c r="LO289">
        <v>70438</v>
      </c>
      <c r="LP289">
        <v>481563</v>
      </c>
      <c r="LQ289">
        <v>954</v>
      </c>
      <c r="LS289" s="24"/>
      <c r="LT289">
        <v>451</v>
      </c>
      <c r="LU289">
        <v>460</v>
      </c>
      <c r="LV289">
        <v>460</v>
      </c>
      <c r="LW289">
        <v>71802601</v>
      </c>
      <c r="LX289">
        <v>276</v>
      </c>
      <c r="LZ289" s="24"/>
      <c r="MA289">
        <v>96002</v>
      </c>
      <c r="MB289">
        <v>100899</v>
      </c>
      <c r="MC289">
        <v>99999</v>
      </c>
      <c r="MD289">
        <v>839712</v>
      </c>
      <c r="ME289">
        <v>87</v>
      </c>
    </row>
    <row r="290" spans="2:343" x14ac:dyDescent="0.25">
      <c r="B290" s="24"/>
      <c r="C290">
        <v>3</v>
      </c>
      <c r="D290">
        <v>3</v>
      </c>
      <c r="E290">
        <v>3</v>
      </c>
      <c r="F290">
        <v>26837821066</v>
      </c>
      <c r="G290">
        <v>2140</v>
      </c>
      <c r="I290" s="24"/>
      <c r="J290">
        <v>4</v>
      </c>
      <c r="K290">
        <v>4</v>
      </c>
      <c r="L290">
        <v>4</v>
      </c>
      <c r="M290">
        <v>5873495419</v>
      </c>
      <c r="N290">
        <v>1467</v>
      </c>
      <c r="P290" s="24"/>
      <c r="Q290">
        <v>31</v>
      </c>
      <c r="R290">
        <v>32</v>
      </c>
      <c r="S290">
        <v>31</v>
      </c>
      <c r="T290">
        <v>2199369060</v>
      </c>
      <c r="U290">
        <v>1430</v>
      </c>
      <c r="W290" s="24"/>
      <c r="X290">
        <v>60</v>
      </c>
      <c r="Y290">
        <v>61</v>
      </c>
      <c r="Z290">
        <v>61</v>
      </c>
      <c r="AA290">
        <v>382030675</v>
      </c>
      <c r="AB290">
        <v>1139</v>
      </c>
      <c r="AD290" s="24"/>
      <c r="AE290">
        <v>406</v>
      </c>
      <c r="AF290">
        <v>420</v>
      </c>
      <c r="AG290">
        <v>418</v>
      </c>
      <c r="AH290">
        <v>106975102</v>
      </c>
      <c r="AI290">
        <v>1235</v>
      </c>
      <c r="AK290" s="24"/>
      <c r="AL290">
        <v>720</v>
      </c>
      <c r="AM290">
        <v>739</v>
      </c>
      <c r="AN290">
        <v>737</v>
      </c>
      <c r="AO290">
        <v>36397042</v>
      </c>
      <c r="AP290">
        <v>1008</v>
      </c>
      <c r="AR290" s="24"/>
      <c r="AS290">
        <v>2669</v>
      </c>
      <c r="AT290">
        <v>2752</v>
      </c>
      <c r="AU290">
        <v>2671</v>
      </c>
      <c r="AV290">
        <v>16588277</v>
      </c>
      <c r="AW290">
        <v>1071</v>
      </c>
      <c r="AY290" s="24"/>
      <c r="AZ290">
        <v>371100003</v>
      </c>
      <c r="BA290">
        <v>377488795</v>
      </c>
      <c r="BB290">
        <v>375000000</v>
      </c>
      <c r="BC290">
        <v>2625</v>
      </c>
      <c r="BD290">
        <v>1600</v>
      </c>
      <c r="BF290" s="24"/>
      <c r="BG290">
        <v>24515</v>
      </c>
      <c r="BH290">
        <v>25123</v>
      </c>
      <c r="BI290">
        <v>24515</v>
      </c>
      <c r="BJ290">
        <v>2371818</v>
      </c>
      <c r="BK290">
        <v>172</v>
      </c>
      <c r="BM290" s="24"/>
      <c r="BN290">
        <v>6480008</v>
      </c>
      <c r="BO290">
        <v>6550000</v>
      </c>
      <c r="BP290">
        <v>6500098</v>
      </c>
      <c r="BQ290">
        <v>10587</v>
      </c>
      <c r="BR290">
        <v>268</v>
      </c>
      <c r="BT290" s="24"/>
      <c r="BU290">
        <v>2065</v>
      </c>
      <c r="BV290">
        <v>2089</v>
      </c>
      <c r="BW290">
        <v>2083</v>
      </c>
      <c r="BX290">
        <v>29322066</v>
      </c>
      <c r="BY290">
        <v>259</v>
      </c>
      <c r="CA290" s="24"/>
      <c r="CB290">
        <v>443</v>
      </c>
      <c r="CC290">
        <v>444</v>
      </c>
      <c r="CD290">
        <v>443</v>
      </c>
      <c r="CE290">
        <v>61814782</v>
      </c>
      <c r="CF290">
        <v>227</v>
      </c>
      <c r="CH290" s="24"/>
      <c r="CI290">
        <v>23543</v>
      </c>
      <c r="CJ290">
        <v>24184</v>
      </c>
      <c r="CK290">
        <v>23614</v>
      </c>
      <c r="CL290">
        <v>752295</v>
      </c>
      <c r="CM290">
        <v>158</v>
      </c>
      <c r="CO290" s="24"/>
      <c r="CP290">
        <v>7250</v>
      </c>
      <c r="CQ290">
        <v>7475</v>
      </c>
      <c r="CR290">
        <v>7443</v>
      </c>
      <c r="CS290">
        <v>781040</v>
      </c>
      <c r="CT290">
        <v>290</v>
      </c>
      <c r="CV290" s="24"/>
      <c r="CW290">
        <v>1315997</v>
      </c>
      <c r="CX290">
        <v>1319998</v>
      </c>
      <c r="CY290">
        <v>1319998</v>
      </c>
      <c r="CZ290">
        <v>6396</v>
      </c>
      <c r="DA290">
        <v>22</v>
      </c>
      <c r="DC290" s="24"/>
      <c r="DD290">
        <v>471</v>
      </c>
      <c r="DE290">
        <v>489</v>
      </c>
      <c r="DF290">
        <v>472</v>
      </c>
      <c r="DG290">
        <v>57018887</v>
      </c>
      <c r="DH290">
        <v>170</v>
      </c>
      <c r="DJ290" s="24"/>
      <c r="DK290">
        <v>31901101</v>
      </c>
      <c r="DL290">
        <v>31991100</v>
      </c>
      <c r="DM290">
        <v>31921550</v>
      </c>
      <c r="DN290">
        <v>434</v>
      </c>
      <c r="DO290">
        <v>79</v>
      </c>
      <c r="DQ290" s="24"/>
      <c r="DR290">
        <v>1307777</v>
      </c>
      <c r="DS290">
        <v>1399893</v>
      </c>
      <c r="DT290">
        <v>1389993</v>
      </c>
      <c r="DU290">
        <v>6218</v>
      </c>
      <c r="DV290">
        <v>228</v>
      </c>
      <c r="DX290" s="24"/>
      <c r="DY290">
        <v>24310013</v>
      </c>
      <c r="DZ290">
        <v>24310443</v>
      </c>
      <c r="EA290">
        <v>24310019</v>
      </c>
      <c r="EB290">
        <v>334</v>
      </c>
      <c r="EC290">
        <v>72</v>
      </c>
      <c r="EE290" s="24"/>
      <c r="EF290">
        <v>190</v>
      </c>
      <c r="EG290">
        <v>196</v>
      </c>
      <c r="EH290">
        <v>192</v>
      </c>
      <c r="EI290">
        <v>73838736</v>
      </c>
      <c r="EJ290">
        <v>161</v>
      </c>
      <c r="EL290" s="24"/>
      <c r="EM290">
        <v>54000</v>
      </c>
      <c r="EN290">
        <v>54121</v>
      </c>
      <c r="EO290">
        <v>54001</v>
      </c>
      <c r="EP290">
        <v>63126</v>
      </c>
      <c r="EQ290">
        <v>526</v>
      </c>
      <c r="ES290" s="24"/>
      <c r="ET290">
        <v>279</v>
      </c>
      <c r="EU290">
        <v>289</v>
      </c>
      <c r="EV290">
        <v>289</v>
      </c>
      <c r="EW290">
        <v>54387096</v>
      </c>
      <c r="EX290">
        <v>524</v>
      </c>
      <c r="EZ290" s="24"/>
      <c r="FA290">
        <v>3539996</v>
      </c>
      <c r="FB290">
        <v>3539996</v>
      </c>
      <c r="FC290">
        <v>3539996</v>
      </c>
      <c r="FD290">
        <v>1364</v>
      </c>
      <c r="FE290">
        <v>20</v>
      </c>
      <c r="FG290" s="24"/>
      <c r="FH290">
        <v>7580</v>
      </c>
      <c r="FI290">
        <v>7798</v>
      </c>
      <c r="FJ290">
        <v>7749</v>
      </c>
      <c r="FK290">
        <v>1273528</v>
      </c>
      <c r="FL290">
        <v>386</v>
      </c>
      <c r="FN290" s="24"/>
      <c r="FO290">
        <v>17818</v>
      </c>
      <c r="FP290">
        <v>17819</v>
      </c>
      <c r="FQ290">
        <v>17818</v>
      </c>
      <c r="FR290">
        <v>150316</v>
      </c>
      <c r="FS290">
        <v>74</v>
      </c>
      <c r="FU290" s="24"/>
      <c r="FV290">
        <v>14951</v>
      </c>
      <c r="FW290">
        <v>14953</v>
      </c>
      <c r="FX290">
        <v>14951</v>
      </c>
      <c r="FY290">
        <v>364765</v>
      </c>
      <c r="FZ290">
        <v>989</v>
      </c>
      <c r="GB290" s="24"/>
      <c r="GC290">
        <v>88274001</v>
      </c>
      <c r="GD290">
        <v>91970500</v>
      </c>
      <c r="GE290">
        <v>89109999</v>
      </c>
      <c r="GF290">
        <v>120</v>
      </c>
      <c r="GG290">
        <v>76</v>
      </c>
      <c r="GI290" s="24"/>
      <c r="GJ290">
        <v>22299999</v>
      </c>
      <c r="GK290">
        <v>22494000</v>
      </c>
      <c r="GL290">
        <v>22494000</v>
      </c>
      <c r="GM290">
        <v>644</v>
      </c>
      <c r="GN290">
        <v>71</v>
      </c>
      <c r="GP290" s="24"/>
      <c r="GQ290">
        <v>113</v>
      </c>
      <c r="GR290">
        <v>117</v>
      </c>
      <c r="GS290">
        <v>113</v>
      </c>
      <c r="GT290">
        <v>95730079</v>
      </c>
      <c r="GU290">
        <v>116</v>
      </c>
      <c r="GW290" s="24"/>
      <c r="GX290">
        <v>424</v>
      </c>
      <c r="GY290">
        <v>424</v>
      </c>
      <c r="GZ290">
        <v>424</v>
      </c>
      <c r="HA290">
        <v>57965427</v>
      </c>
      <c r="HB290">
        <v>172</v>
      </c>
      <c r="HD290" s="24"/>
      <c r="HE290">
        <v>4952</v>
      </c>
      <c r="HF290">
        <v>5118</v>
      </c>
      <c r="HG290">
        <v>5050</v>
      </c>
      <c r="HH290">
        <v>10923576</v>
      </c>
      <c r="HI290">
        <v>202</v>
      </c>
      <c r="HK290" s="24"/>
      <c r="HL290">
        <v>88090010</v>
      </c>
      <c r="HM290">
        <v>92781988</v>
      </c>
      <c r="HN290">
        <v>88091008</v>
      </c>
      <c r="HO290">
        <v>155</v>
      </c>
      <c r="HP290">
        <v>82</v>
      </c>
      <c r="HR290" s="24"/>
      <c r="HS290">
        <v>8380</v>
      </c>
      <c r="HT290">
        <v>8887</v>
      </c>
      <c r="HU290">
        <v>8600</v>
      </c>
      <c r="HV290">
        <v>954078</v>
      </c>
      <c r="HW290">
        <v>181</v>
      </c>
      <c r="HY290" s="24"/>
      <c r="HZ290">
        <v>7257</v>
      </c>
      <c r="IA290">
        <v>7642</v>
      </c>
      <c r="IB290">
        <v>7530</v>
      </c>
      <c r="IC290">
        <v>1710085</v>
      </c>
      <c r="ID290">
        <v>408</v>
      </c>
      <c r="IF290" s="24"/>
      <c r="IG290">
        <v>3200</v>
      </c>
      <c r="IH290">
        <v>3319</v>
      </c>
      <c r="II290">
        <v>3301</v>
      </c>
      <c r="IJ290">
        <v>1681782</v>
      </c>
      <c r="IK290">
        <v>151</v>
      </c>
      <c r="IM290" s="24"/>
      <c r="IN290">
        <v>87826005</v>
      </c>
      <c r="IO290">
        <v>91495999</v>
      </c>
      <c r="IP290">
        <v>90336295</v>
      </c>
      <c r="IQ290">
        <v>84</v>
      </c>
      <c r="IR290">
        <v>62</v>
      </c>
      <c r="IT290" s="24"/>
      <c r="IU290">
        <v>7277</v>
      </c>
      <c r="IV290">
        <v>7316</v>
      </c>
      <c r="IW290">
        <v>7277</v>
      </c>
      <c r="IX290">
        <v>1198888</v>
      </c>
      <c r="IY290">
        <v>123</v>
      </c>
      <c r="JA290" s="24"/>
      <c r="JB290">
        <v>87617003</v>
      </c>
      <c r="JC290">
        <v>90499998</v>
      </c>
      <c r="JD290">
        <v>89014002</v>
      </c>
      <c r="JE290">
        <v>170</v>
      </c>
      <c r="JF290">
        <v>88</v>
      </c>
      <c r="JH290" s="24"/>
      <c r="JI290">
        <v>88012000</v>
      </c>
      <c r="JJ290">
        <v>91393889</v>
      </c>
      <c r="JK290">
        <v>89512210</v>
      </c>
      <c r="JL290">
        <v>82</v>
      </c>
      <c r="JM290">
        <v>41</v>
      </c>
      <c r="JO290" s="24"/>
      <c r="JP290">
        <v>111</v>
      </c>
      <c r="JQ290">
        <v>113</v>
      </c>
      <c r="JR290">
        <v>113</v>
      </c>
      <c r="JS290">
        <v>95091516</v>
      </c>
      <c r="JT290">
        <v>99</v>
      </c>
      <c r="JV290" s="24"/>
      <c r="JW290">
        <v>94</v>
      </c>
      <c r="JX290">
        <v>97</v>
      </c>
      <c r="JY290">
        <v>95</v>
      </c>
      <c r="JZ290">
        <v>108345246</v>
      </c>
      <c r="KA290">
        <v>97</v>
      </c>
      <c r="KC290" s="24"/>
      <c r="KD290">
        <v>22</v>
      </c>
      <c r="KE290">
        <v>24</v>
      </c>
      <c r="KF290">
        <v>24</v>
      </c>
      <c r="KG290">
        <v>43252549</v>
      </c>
      <c r="KH290">
        <v>307</v>
      </c>
      <c r="KJ290" s="24"/>
      <c r="KK290">
        <v>129</v>
      </c>
      <c r="KL290">
        <v>151</v>
      </c>
      <c r="KM290">
        <v>135</v>
      </c>
      <c r="KN290">
        <v>115946979</v>
      </c>
      <c r="KO290">
        <v>111</v>
      </c>
      <c r="KQ290" s="24"/>
      <c r="KR290">
        <v>119014</v>
      </c>
      <c r="KS290">
        <v>120000</v>
      </c>
      <c r="KT290">
        <v>119015</v>
      </c>
      <c r="KU290">
        <v>62763</v>
      </c>
      <c r="KV290">
        <v>542</v>
      </c>
      <c r="KX290" s="24"/>
      <c r="KY290">
        <v>719</v>
      </c>
      <c r="KZ290">
        <v>720</v>
      </c>
      <c r="LA290">
        <v>719</v>
      </c>
      <c r="LB290">
        <v>7297030</v>
      </c>
      <c r="LC290">
        <v>148</v>
      </c>
      <c r="LE290" s="24"/>
      <c r="LF290">
        <v>184001</v>
      </c>
      <c r="LG290">
        <v>184002</v>
      </c>
      <c r="LH290">
        <v>184001</v>
      </c>
      <c r="LI290">
        <v>96894</v>
      </c>
      <c r="LJ290">
        <v>762</v>
      </c>
      <c r="LL290" s="24"/>
      <c r="LM290">
        <v>62008</v>
      </c>
      <c r="LN290">
        <v>68055</v>
      </c>
      <c r="LO290">
        <v>66897</v>
      </c>
      <c r="LP290">
        <v>329874</v>
      </c>
      <c r="LQ290">
        <v>1037</v>
      </c>
      <c r="LS290" s="24"/>
      <c r="LT290">
        <v>459</v>
      </c>
      <c r="LU290">
        <v>460</v>
      </c>
      <c r="LV290">
        <v>460</v>
      </c>
      <c r="LW290">
        <v>99902286</v>
      </c>
      <c r="LX290">
        <v>317</v>
      </c>
      <c r="LZ290" s="24"/>
      <c r="MA290">
        <v>97899</v>
      </c>
      <c r="MB290">
        <v>99999</v>
      </c>
      <c r="MC290">
        <v>99998</v>
      </c>
      <c r="MD290">
        <v>641100</v>
      </c>
      <c r="ME290">
        <v>60</v>
      </c>
    </row>
    <row r="291" spans="2:343" x14ac:dyDescent="0.25">
      <c r="B291" s="24"/>
      <c r="C291">
        <v>3</v>
      </c>
      <c r="D291">
        <v>3</v>
      </c>
      <c r="E291">
        <v>3</v>
      </c>
      <c r="F291">
        <v>35320813485</v>
      </c>
      <c r="G291">
        <v>2105</v>
      </c>
      <c r="I291" s="24"/>
      <c r="J291">
        <v>4</v>
      </c>
      <c r="K291">
        <v>4</v>
      </c>
      <c r="L291">
        <v>4</v>
      </c>
      <c r="M291">
        <v>6466639061</v>
      </c>
      <c r="N291">
        <v>1551</v>
      </c>
      <c r="P291" s="24"/>
      <c r="Q291">
        <v>31</v>
      </c>
      <c r="R291">
        <v>32</v>
      </c>
      <c r="S291">
        <v>32</v>
      </c>
      <c r="T291">
        <v>1638263020</v>
      </c>
      <c r="U291">
        <v>1436</v>
      </c>
      <c r="W291" s="24"/>
      <c r="X291">
        <v>61</v>
      </c>
      <c r="Y291">
        <v>63</v>
      </c>
      <c r="Z291">
        <v>62</v>
      </c>
      <c r="AA291">
        <v>474407191</v>
      </c>
      <c r="AB291">
        <v>1154</v>
      </c>
      <c r="AD291" s="24"/>
      <c r="AE291">
        <v>417</v>
      </c>
      <c r="AF291">
        <v>428</v>
      </c>
      <c r="AG291">
        <v>418</v>
      </c>
      <c r="AH291">
        <v>126427774</v>
      </c>
      <c r="AI291">
        <v>1295</v>
      </c>
      <c r="AK291" s="24"/>
      <c r="AL291">
        <v>723</v>
      </c>
      <c r="AM291">
        <v>739</v>
      </c>
      <c r="AN291">
        <v>738</v>
      </c>
      <c r="AO291">
        <v>32592309</v>
      </c>
      <c r="AP291">
        <v>958</v>
      </c>
      <c r="AR291" s="24"/>
      <c r="AS291">
        <v>2711</v>
      </c>
      <c r="AT291">
        <v>2786</v>
      </c>
      <c r="AU291">
        <v>2759</v>
      </c>
      <c r="AV291">
        <v>13012999</v>
      </c>
      <c r="AW291">
        <v>965</v>
      </c>
      <c r="AY291" s="24"/>
      <c r="AZ291">
        <v>370022302</v>
      </c>
      <c r="BA291">
        <v>376799555</v>
      </c>
      <c r="BB291">
        <v>372222222</v>
      </c>
      <c r="BC291">
        <v>2432</v>
      </c>
      <c r="BD291">
        <v>1575</v>
      </c>
      <c r="BF291" s="24"/>
      <c r="BG291">
        <v>24701</v>
      </c>
      <c r="BH291">
        <v>25698</v>
      </c>
      <c r="BI291">
        <v>25399</v>
      </c>
      <c r="BJ291">
        <v>5274385</v>
      </c>
      <c r="BK291">
        <v>239</v>
      </c>
      <c r="BM291" s="24"/>
      <c r="BN291">
        <v>6510000</v>
      </c>
      <c r="BO291">
        <v>6629992</v>
      </c>
      <c r="BP291">
        <v>6510200</v>
      </c>
      <c r="BQ291">
        <v>11334</v>
      </c>
      <c r="BR291">
        <v>309</v>
      </c>
      <c r="BT291" s="24"/>
      <c r="BU291">
        <v>2055</v>
      </c>
      <c r="BV291">
        <v>2083</v>
      </c>
      <c r="BW291">
        <v>2083</v>
      </c>
      <c r="BX291">
        <v>23502624</v>
      </c>
      <c r="BY291">
        <v>214</v>
      </c>
      <c r="CA291" s="24"/>
      <c r="CB291">
        <v>446</v>
      </c>
      <c r="CC291">
        <v>447</v>
      </c>
      <c r="CD291">
        <v>447</v>
      </c>
      <c r="CE291">
        <v>59070361</v>
      </c>
      <c r="CF291">
        <v>228</v>
      </c>
      <c r="CH291" s="24"/>
      <c r="CI291">
        <v>23645</v>
      </c>
      <c r="CJ291">
        <v>23744</v>
      </c>
      <c r="CK291">
        <v>23645</v>
      </c>
      <c r="CL291">
        <v>1338894</v>
      </c>
      <c r="CM291">
        <v>170</v>
      </c>
      <c r="CO291" s="24"/>
      <c r="CP291">
        <v>6803</v>
      </c>
      <c r="CQ291">
        <v>7198</v>
      </c>
      <c r="CR291">
        <v>7197</v>
      </c>
      <c r="CS291">
        <v>1041522</v>
      </c>
      <c r="CT291">
        <v>340</v>
      </c>
      <c r="CV291" s="24"/>
      <c r="CW291">
        <v>1274001</v>
      </c>
      <c r="CX291">
        <v>1309887</v>
      </c>
      <c r="CY291">
        <v>1304000</v>
      </c>
      <c r="CZ291">
        <v>11494</v>
      </c>
      <c r="DA291">
        <v>34</v>
      </c>
      <c r="DC291" s="24"/>
      <c r="DD291">
        <v>444</v>
      </c>
      <c r="DE291">
        <v>474</v>
      </c>
      <c r="DF291">
        <v>460</v>
      </c>
      <c r="DG291">
        <v>53186422</v>
      </c>
      <c r="DH291">
        <v>198</v>
      </c>
      <c r="DJ291" s="24"/>
      <c r="DK291">
        <v>31900007</v>
      </c>
      <c r="DL291">
        <v>32997092</v>
      </c>
      <c r="DM291">
        <v>31900115</v>
      </c>
      <c r="DN291">
        <v>371</v>
      </c>
      <c r="DO291">
        <v>81</v>
      </c>
      <c r="DQ291" s="24"/>
      <c r="DR291">
        <v>1337778</v>
      </c>
      <c r="DS291">
        <v>1399888</v>
      </c>
      <c r="DT291">
        <v>1357777</v>
      </c>
      <c r="DU291">
        <v>7974</v>
      </c>
      <c r="DV291">
        <v>194</v>
      </c>
      <c r="DX291" s="24"/>
      <c r="DY291">
        <v>25000001</v>
      </c>
      <c r="DZ291">
        <v>25899998</v>
      </c>
      <c r="EA291">
        <v>25100000</v>
      </c>
      <c r="EB291">
        <v>376</v>
      </c>
      <c r="EC291">
        <v>73</v>
      </c>
      <c r="EE291" s="24"/>
      <c r="EF291">
        <v>189</v>
      </c>
      <c r="EG291">
        <v>200</v>
      </c>
      <c r="EH291">
        <v>196</v>
      </c>
      <c r="EI291">
        <v>83717154</v>
      </c>
      <c r="EJ291">
        <v>163</v>
      </c>
      <c r="EL291" s="24"/>
      <c r="EM291">
        <v>56000</v>
      </c>
      <c r="EN291">
        <v>56301</v>
      </c>
      <c r="EO291">
        <v>56300</v>
      </c>
      <c r="EP291">
        <v>56399</v>
      </c>
      <c r="EQ291">
        <v>621</v>
      </c>
      <c r="ES291" s="24"/>
      <c r="ET291">
        <v>280</v>
      </c>
      <c r="EU291">
        <v>290</v>
      </c>
      <c r="EV291">
        <v>290</v>
      </c>
      <c r="EW291">
        <v>39492184</v>
      </c>
      <c r="EX291">
        <v>540</v>
      </c>
      <c r="EZ291" s="24"/>
      <c r="FA291">
        <v>3350006</v>
      </c>
      <c r="FB291">
        <v>3536999</v>
      </c>
      <c r="FC291">
        <v>3356998</v>
      </c>
      <c r="FD291">
        <v>1776</v>
      </c>
      <c r="FE291">
        <v>24</v>
      </c>
      <c r="FG291" s="24"/>
      <c r="FH291">
        <v>7581</v>
      </c>
      <c r="FI291">
        <v>7885</v>
      </c>
      <c r="FJ291">
        <v>7799</v>
      </c>
      <c r="FK291">
        <v>1491228</v>
      </c>
      <c r="FL291">
        <v>412</v>
      </c>
      <c r="FN291" s="24"/>
      <c r="FO291">
        <v>17818</v>
      </c>
      <c r="FP291">
        <v>17886</v>
      </c>
      <c r="FQ291">
        <v>17886</v>
      </c>
      <c r="FR291">
        <v>363183</v>
      </c>
      <c r="FS291">
        <v>88</v>
      </c>
      <c r="FU291" s="24"/>
      <c r="FV291">
        <v>15201</v>
      </c>
      <c r="FW291">
        <v>15400</v>
      </c>
      <c r="FX291">
        <v>15202</v>
      </c>
      <c r="FY291">
        <v>456904</v>
      </c>
      <c r="FZ291">
        <v>1041</v>
      </c>
      <c r="GB291" s="24"/>
      <c r="GC291">
        <v>88300509</v>
      </c>
      <c r="GD291">
        <v>91956998</v>
      </c>
      <c r="GE291">
        <v>91445110</v>
      </c>
      <c r="GF291">
        <v>84</v>
      </c>
      <c r="GG291">
        <v>67</v>
      </c>
      <c r="GI291" s="24"/>
      <c r="GJ291">
        <v>21000025</v>
      </c>
      <c r="GK291">
        <v>21500000</v>
      </c>
      <c r="GL291">
        <v>21000029</v>
      </c>
      <c r="GM291">
        <v>625</v>
      </c>
      <c r="GN291">
        <v>80</v>
      </c>
      <c r="GP291" s="24"/>
      <c r="GQ291">
        <v>113</v>
      </c>
      <c r="GR291">
        <v>117</v>
      </c>
      <c r="GS291">
        <v>113</v>
      </c>
      <c r="GT291">
        <v>145583201</v>
      </c>
      <c r="GU291">
        <v>121</v>
      </c>
      <c r="GW291" s="24"/>
      <c r="GX291">
        <v>412</v>
      </c>
      <c r="GY291">
        <v>425</v>
      </c>
      <c r="GZ291">
        <v>424</v>
      </c>
      <c r="HA291">
        <v>55722394</v>
      </c>
      <c r="HB291">
        <v>245</v>
      </c>
      <c r="HD291" s="24"/>
      <c r="HE291">
        <v>5116</v>
      </c>
      <c r="HF291">
        <v>5118</v>
      </c>
      <c r="HG291">
        <v>5117</v>
      </c>
      <c r="HH291">
        <v>16043003</v>
      </c>
      <c r="HI291">
        <v>237</v>
      </c>
      <c r="HK291" s="24"/>
      <c r="HL291">
        <v>88100004</v>
      </c>
      <c r="HM291">
        <v>92767000</v>
      </c>
      <c r="HN291">
        <v>91901347</v>
      </c>
      <c r="HO291">
        <v>77</v>
      </c>
      <c r="HP291">
        <v>56</v>
      </c>
      <c r="HR291" s="24"/>
      <c r="HS291">
        <v>8250</v>
      </c>
      <c r="HT291">
        <v>8999</v>
      </c>
      <c r="HU291">
        <v>8800</v>
      </c>
      <c r="HV291">
        <v>1084655</v>
      </c>
      <c r="HW291">
        <v>203</v>
      </c>
      <c r="HY291" s="24"/>
      <c r="HZ291">
        <v>7258</v>
      </c>
      <c r="IA291">
        <v>7530</v>
      </c>
      <c r="IB291">
        <v>7528</v>
      </c>
      <c r="IC291">
        <v>1676678</v>
      </c>
      <c r="ID291">
        <v>425</v>
      </c>
      <c r="IF291" s="24"/>
      <c r="IG291">
        <v>3315</v>
      </c>
      <c r="IH291">
        <v>3315</v>
      </c>
      <c r="II291">
        <v>3315</v>
      </c>
      <c r="IJ291">
        <v>1453368</v>
      </c>
      <c r="IK291">
        <v>131</v>
      </c>
      <c r="IM291" s="24"/>
      <c r="IN291">
        <v>91053055</v>
      </c>
      <c r="IO291">
        <v>93095999</v>
      </c>
      <c r="IP291">
        <v>92647448</v>
      </c>
      <c r="IQ291">
        <v>76</v>
      </c>
      <c r="IR291">
        <v>56</v>
      </c>
      <c r="IT291" s="24"/>
      <c r="IU291">
        <v>7316</v>
      </c>
      <c r="IV291">
        <v>7396</v>
      </c>
      <c r="IW291">
        <v>7344</v>
      </c>
      <c r="IX291">
        <v>983534</v>
      </c>
      <c r="IY291">
        <v>123</v>
      </c>
      <c r="JA291" s="24"/>
      <c r="JB291">
        <v>87800000</v>
      </c>
      <c r="JC291">
        <v>90499999</v>
      </c>
      <c r="JD291">
        <v>90399999</v>
      </c>
      <c r="JE291">
        <v>128</v>
      </c>
      <c r="JF291">
        <v>84</v>
      </c>
      <c r="JH291" s="24"/>
      <c r="JI291">
        <v>88100305</v>
      </c>
      <c r="JJ291">
        <v>91899000</v>
      </c>
      <c r="JK291">
        <v>89714603</v>
      </c>
      <c r="JL291">
        <v>78</v>
      </c>
      <c r="JM291">
        <v>39</v>
      </c>
      <c r="JO291" s="24"/>
      <c r="JP291">
        <v>116</v>
      </c>
      <c r="JQ291">
        <v>121</v>
      </c>
      <c r="JR291">
        <v>117</v>
      </c>
      <c r="JS291">
        <v>175288251</v>
      </c>
      <c r="JT291">
        <v>142</v>
      </c>
      <c r="JV291" s="24"/>
      <c r="JW291">
        <v>94</v>
      </c>
      <c r="JX291">
        <v>100</v>
      </c>
      <c r="JY291">
        <v>98</v>
      </c>
      <c r="JZ291">
        <v>118227008</v>
      </c>
      <c r="KA291">
        <v>114</v>
      </c>
      <c r="KC291" s="24"/>
      <c r="KD291">
        <v>22</v>
      </c>
      <c r="KE291">
        <v>24</v>
      </c>
      <c r="KF291">
        <v>24</v>
      </c>
      <c r="KG291">
        <v>31904244</v>
      </c>
      <c r="KH291">
        <v>286</v>
      </c>
      <c r="KJ291" s="24"/>
      <c r="KK291">
        <v>120</v>
      </c>
      <c r="KL291">
        <v>128</v>
      </c>
      <c r="KM291">
        <v>124</v>
      </c>
      <c r="KN291">
        <v>145350617</v>
      </c>
      <c r="KO291">
        <v>127</v>
      </c>
      <c r="KQ291" s="24"/>
      <c r="KR291">
        <v>120000</v>
      </c>
      <c r="KS291">
        <v>122149</v>
      </c>
      <c r="KT291">
        <v>120001</v>
      </c>
      <c r="KU291">
        <v>64896</v>
      </c>
      <c r="KV291">
        <v>590</v>
      </c>
      <c r="KX291" s="24"/>
      <c r="KY291">
        <v>702</v>
      </c>
      <c r="KZ291">
        <v>720</v>
      </c>
      <c r="LA291">
        <v>718</v>
      </c>
      <c r="LB291">
        <v>8317229</v>
      </c>
      <c r="LC291">
        <v>185</v>
      </c>
      <c r="LE291" s="24"/>
      <c r="LF291">
        <v>186697</v>
      </c>
      <c r="LG291">
        <v>188999</v>
      </c>
      <c r="LH291">
        <v>186700</v>
      </c>
      <c r="LI291">
        <v>189590</v>
      </c>
      <c r="LJ291">
        <v>792</v>
      </c>
      <c r="LL291" s="24"/>
      <c r="LM291">
        <v>66502</v>
      </c>
      <c r="LN291">
        <v>70504</v>
      </c>
      <c r="LO291">
        <v>68541</v>
      </c>
      <c r="LP291">
        <v>418445</v>
      </c>
      <c r="LQ291">
        <v>1105</v>
      </c>
      <c r="LS291" s="24"/>
      <c r="LT291">
        <v>455</v>
      </c>
      <c r="LU291">
        <v>460</v>
      </c>
      <c r="LV291">
        <v>460</v>
      </c>
      <c r="LW291">
        <v>85900305</v>
      </c>
      <c r="LX291">
        <v>312</v>
      </c>
      <c r="LZ291" s="24"/>
      <c r="MA291">
        <v>97004</v>
      </c>
      <c r="MB291">
        <v>98998</v>
      </c>
      <c r="MC291">
        <v>98998</v>
      </c>
      <c r="MD291">
        <v>734943</v>
      </c>
      <c r="ME291">
        <v>76</v>
      </c>
    </row>
    <row r="292" spans="2:343" x14ac:dyDescent="0.25">
      <c r="B292" s="24"/>
      <c r="C292">
        <v>3</v>
      </c>
      <c r="D292">
        <v>3</v>
      </c>
      <c r="E292">
        <v>3</v>
      </c>
      <c r="F292">
        <v>22523902407</v>
      </c>
      <c r="G292">
        <v>2429</v>
      </c>
      <c r="I292" s="24"/>
      <c r="J292">
        <v>4</v>
      </c>
      <c r="K292">
        <v>4</v>
      </c>
      <c r="L292">
        <v>4</v>
      </c>
      <c r="M292">
        <v>4198498258</v>
      </c>
      <c r="N292">
        <v>1778</v>
      </c>
      <c r="P292" s="24"/>
      <c r="Q292">
        <v>31</v>
      </c>
      <c r="R292">
        <v>31</v>
      </c>
      <c r="S292">
        <v>31</v>
      </c>
      <c r="T292">
        <v>1610552114</v>
      </c>
      <c r="U292">
        <v>1733</v>
      </c>
      <c r="W292" s="24"/>
      <c r="X292">
        <v>61</v>
      </c>
      <c r="Y292">
        <v>64</v>
      </c>
      <c r="Z292">
        <v>62</v>
      </c>
      <c r="AA292">
        <v>263707909</v>
      </c>
      <c r="AB292">
        <v>1307</v>
      </c>
      <c r="AD292" s="24"/>
      <c r="AE292">
        <v>415</v>
      </c>
      <c r="AF292">
        <v>425</v>
      </c>
      <c r="AG292">
        <v>420</v>
      </c>
      <c r="AH292">
        <v>82683788</v>
      </c>
      <c r="AI292">
        <v>1451</v>
      </c>
      <c r="AK292" s="24"/>
      <c r="AL292">
        <v>727</v>
      </c>
      <c r="AM292">
        <v>739</v>
      </c>
      <c r="AN292">
        <v>735</v>
      </c>
      <c r="AO292">
        <v>18978513</v>
      </c>
      <c r="AP292">
        <v>1112</v>
      </c>
      <c r="AR292" s="24"/>
      <c r="AS292">
        <v>2733</v>
      </c>
      <c r="AT292">
        <v>2829</v>
      </c>
      <c r="AU292">
        <v>2797</v>
      </c>
      <c r="AV292">
        <v>8227287</v>
      </c>
      <c r="AW292">
        <v>1087</v>
      </c>
      <c r="AY292" s="24"/>
      <c r="AZ292">
        <v>369000000</v>
      </c>
      <c r="BA292">
        <v>374999999</v>
      </c>
      <c r="BB292">
        <v>373200002</v>
      </c>
      <c r="BC292">
        <v>2625</v>
      </c>
      <c r="BD292">
        <v>1736</v>
      </c>
      <c r="BF292" s="24"/>
      <c r="BG292">
        <v>24909</v>
      </c>
      <c r="BH292">
        <v>25299</v>
      </c>
      <c r="BI292">
        <v>25212</v>
      </c>
      <c r="BJ292">
        <v>5962847</v>
      </c>
      <c r="BK292">
        <v>281</v>
      </c>
      <c r="BM292" s="24"/>
      <c r="BN292">
        <v>6510201</v>
      </c>
      <c r="BO292">
        <v>6630000</v>
      </c>
      <c r="BP292">
        <v>6520001</v>
      </c>
      <c r="BQ292">
        <v>14856</v>
      </c>
      <c r="BR292">
        <v>421</v>
      </c>
      <c r="BT292" s="24"/>
      <c r="BU292">
        <v>2082</v>
      </c>
      <c r="BV292">
        <v>2098</v>
      </c>
      <c r="BW292">
        <v>2082</v>
      </c>
      <c r="BX292">
        <v>21701915</v>
      </c>
      <c r="BY292">
        <v>235</v>
      </c>
      <c r="CA292" s="24"/>
      <c r="CB292">
        <v>435</v>
      </c>
      <c r="CC292">
        <v>446</v>
      </c>
      <c r="CD292">
        <v>446</v>
      </c>
      <c r="CE292">
        <v>53309374</v>
      </c>
      <c r="CF292">
        <v>224</v>
      </c>
      <c r="CH292" s="24"/>
      <c r="CI292">
        <v>23846</v>
      </c>
      <c r="CJ292">
        <v>23846</v>
      </c>
      <c r="CK292">
        <v>23846</v>
      </c>
      <c r="CL292">
        <v>698011</v>
      </c>
      <c r="CM292">
        <v>173</v>
      </c>
      <c r="CO292" s="24"/>
      <c r="CP292">
        <v>6800</v>
      </c>
      <c r="CQ292">
        <v>7086</v>
      </c>
      <c r="CR292">
        <v>7049</v>
      </c>
      <c r="CS292">
        <v>1138512</v>
      </c>
      <c r="CT292">
        <v>360</v>
      </c>
      <c r="CV292" s="24"/>
      <c r="CW292">
        <v>1270000</v>
      </c>
      <c r="CX292">
        <v>1297999</v>
      </c>
      <c r="CY292">
        <v>1297999</v>
      </c>
      <c r="CZ292">
        <v>16142</v>
      </c>
      <c r="DA292">
        <v>40</v>
      </c>
      <c r="DC292" s="24"/>
      <c r="DD292">
        <v>440</v>
      </c>
      <c r="DE292">
        <v>455</v>
      </c>
      <c r="DF292">
        <v>455</v>
      </c>
      <c r="DG292">
        <v>38761346</v>
      </c>
      <c r="DH292">
        <v>199</v>
      </c>
      <c r="DJ292" s="24"/>
      <c r="DK292">
        <v>31900119</v>
      </c>
      <c r="DL292">
        <v>32799998</v>
      </c>
      <c r="DM292">
        <v>31990115</v>
      </c>
      <c r="DN292">
        <v>345</v>
      </c>
      <c r="DO292">
        <v>81</v>
      </c>
      <c r="DQ292" s="24"/>
      <c r="DR292">
        <v>1270559</v>
      </c>
      <c r="DS292">
        <v>1390000</v>
      </c>
      <c r="DT292">
        <v>1307801</v>
      </c>
      <c r="DU292">
        <v>12607</v>
      </c>
      <c r="DV292">
        <v>252</v>
      </c>
      <c r="DX292" s="24"/>
      <c r="DY292">
        <v>24310029</v>
      </c>
      <c r="DZ292">
        <v>24420044</v>
      </c>
      <c r="EA292">
        <v>24420044</v>
      </c>
      <c r="EB292">
        <v>406</v>
      </c>
      <c r="EC292">
        <v>94</v>
      </c>
      <c r="EE292" s="24"/>
      <c r="EF292">
        <v>195</v>
      </c>
      <c r="EG292">
        <v>209</v>
      </c>
      <c r="EH292">
        <v>200</v>
      </c>
      <c r="EI292">
        <v>81333142</v>
      </c>
      <c r="EJ292">
        <v>178</v>
      </c>
      <c r="EL292" s="24"/>
      <c r="EM292">
        <v>56508</v>
      </c>
      <c r="EN292">
        <v>57101</v>
      </c>
      <c r="EO292">
        <v>56510</v>
      </c>
      <c r="EP292">
        <v>87441</v>
      </c>
      <c r="EQ292">
        <v>654</v>
      </c>
      <c r="ES292" s="24"/>
      <c r="ET292">
        <v>284</v>
      </c>
      <c r="EU292">
        <v>291</v>
      </c>
      <c r="EV292">
        <v>284</v>
      </c>
      <c r="EW292">
        <v>67640498</v>
      </c>
      <c r="EX292">
        <v>668</v>
      </c>
      <c r="EZ292" s="24"/>
      <c r="FA292">
        <v>3536999</v>
      </c>
      <c r="FB292">
        <v>3536999</v>
      </c>
      <c r="FC292">
        <v>3536999</v>
      </c>
      <c r="FD292">
        <v>1517</v>
      </c>
      <c r="FE292">
        <v>21</v>
      </c>
      <c r="FG292" s="24"/>
      <c r="FH292">
        <v>7581</v>
      </c>
      <c r="FI292">
        <v>7885</v>
      </c>
      <c r="FJ292">
        <v>7839</v>
      </c>
      <c r="FK292">
        <v>2824545</v>
      </c>
      <c r="FL292">
        <v>484</v>
      </c>
      <c r="FN292" s="24"/>
      <c r="FO292">
        <v>17712</v>
      </c>
      <c r="FP292">
        <v>17878</v>
      </c>
      <c r="FQ292">
        <v>17750</v>
      </c>
      <c r="FR292">
        <v>243281</v>
      </c>
      <c r="FS292">
        <v>97</v>
      </c>
      <c r="FU292" s="24"/>
      <c r="FV292">
        <v>15501</v>
      </c>
      <c r="FW292">
        <v>15503</v>
      </c>
      <c r="FX292">
        <v>15502</v>
      </c>
      <c r="FY292">
        <v>336237</v>
      </c>
      <c r="FZ292">
        <v>1193</v>
      </c>
      <c r="GB292" s="24"/>
      <c r="GC292">
        <v>88411213</v>
      </c>
      <c r="GD292">
        <v>92249999</v>
      </c>
      <c r="GE292">
        <v>91106472</v>
      </c>
      <c r="GF292">
        <v>65</v>
      </c>
      <c r="GG292">
        <v>52</v>
      </c>
      <c r="GI292" s="24"/>
      <c r="GJ292">
        <v>21000026</v>
      </c>
      <c r="GK292">
        <v>21999997</v>
      </c>
      <c r="GL292">
        <v>21000555</v>
      </c>
      <c r="GM292">
        <v>418</v>
      </c>
      <c r="GN292">
        <v>85</v>
      </c>
      <c r="GP292" s="24"/>
      <c r="GQ292">
        <v>117</v>
      </c>
      <c r="GR292">
        <v>123</v>
      </c>
      <c r="GS292">
        <v>118</v>
      </c>
      <c r="GT292">
        <v>198926433</v>
      </c>
      <c r="GU292">
        <v>153</v>
      </c>
      <c r="GW292" s="24"/>
      <c r="GX292">
        <v>417</v>
      </c>
      <c r="GY292">
        <v>425</v>
      </c>
      <c r="GZ292">
        <v>424</v>
      </c>
      <c r="HA292">
        <v>46859709</v>
      </c>
      <c r="HB292">
        <v>243</v>
      </c>
      <c r="HD292" s="24"/>
      <c r="HE292">
        <v>5118</v>
      </c>
      <c r="HF292">
        <v>5118</v>
      </c>
      <c r="HG292">
        <v>5118</v>
      </c>
      <c r="HH292">
        <v>11038020</v>
      </c>
      <c r="HI292">
        <v>242</v>
      </c>
      <c r="HK292" s="24"/>
      <c r="HL292">
        <v>88216015</v>
      </c>
      <c r="HM292">
        <v>92761000</v>
      </c>
      <c r="HN292">
        <v>91672424</v>
      </c>
      <c r="HO292">
        <v>54</v>
      </c>
      <c r="HP292">
        <v>46</v>
      </c>
      <c r="HR292" s="24"/>
      <c r="HS292">
        <v>8252</v>
      </c>
      <c r="HT292">
        <v>8759</v>
      </c>
      <c r="HU292">
        <v>8498</v>
      </c>
      <c r="HV292">
        <v>483949</v>
      </c>
      <c r="HW292">
        <v>112</v>
      </c>
      <c r="HY292" s="24"/>
      <c r="HZ292">
        <v>7256</v>
      </c>
      <c r="IA292">
        <v>7523</v>
      </c>
      <c r="IB292">
        <v>7459</v>
      </c>
      <c r="IC292">
        <v>2099823</v>
      </c>
      <c r="ID292">
        <v>481</v>
      </c>
      <c r="IF292" s="24"/>
      <c r="IG292">
        <v>3201</v>
      </c>
      <c r="IH292">
        <v>3318</v>
      </c>
      <c r="II292">
        <v>3210</v>
      </c>
      <c r="IJ292">
        <v>1962342</v>
      </c>
      <c r="IK292">
        <v>151</v>
      </c>
      <c r="IM292" s="24"/>
      <c r="IN292">
        <v>90604004</v>
      </c>
      <c r="IO292">
        <v>93086999</v>
      </c>
      <c r="IP292">
        <v>90916000</v>
      </c>
      <c r="IQ292">
        <v>109</v>
      </c>
      <c r="IR292">
        <v>60</v>
      </c>
      <c r="IT292" s="24"/>
      <c r="IU292">
        <v>7343</v>
      </c>
      <c r="IV292">
        <v>7396</v>
      </c>
      <c r="IW292">
        <v>7396</v>
      </c>
      <c r="IX292">
        <v>1147745</v>
      </c>
      <c r="IY292">
        <v>135</v>
      </c>
      <c r="JA292" s="24"/>
      <c r="JB292">
        <v>87821015</v>
      </c>
      <c r="JC292">
        <v>91999894</v>
      </c>
      <c r="JD292">
        <v>91447379</v>
      </c>
      <c r="JE292">
        <v>52</v>
      </c>
      <c r="JF292">
        <v>44</v>
      </c>
      <c r="JH292" s="24"/>
      <c r="JI292">
        <v>88104113</v>
      </c>
      <c r="JJ292">
        <v>91796000</v>
      </c>
      <c r="JK292">
        <v>90840487</v>
      </c>
      <c r="JL292">
        <v>34</v>
      </c>
      <c r="JM292">
        <v>30</v>
      </c>
      <c r="JO292" s="24"/>
      <c r="JP292">
        <v>118</v>
      </c>
      <c r="JQ292">
        <v>133</v>
      </c>
      <c r="JR292">
        <v>128</v>
      </c>
      <c r="JS292">
        <v>116034662</v>
      </c>
      <c r="JT292">
        <v>124</v>
      </c>
      <c r="JV292" s="24"/>
      <c r="JW292">
        <v>99</v>
      </c>
      <c r="JX292">
        <v>102</v>
      </c>
      <c r="JY292">
        <v>100</v>
      </c>
      <c r="JZ292">
        <v>74743398</v>
      </c>
      <c r="KA292">
        <v>115</v>
      </c>
      <c r="KC292" s="24"/>
      <c r="KD292">
        <v>21</v>
      </c>
      <c r="KE292">
        <v>22</v>
      </c>
      <c r="KF292">
        <v>22</v>
      </c>
      <c r="KG292">
        <v>63719811</v>
      </c>
      <c r="KH292">
        <v>324</v>
      </c>
      <c r="KJ292" s="24"/>
      <c r="KK292">
        <v>124</v>
      </c>
      <c r="KL292">
        <v>134</v>
      </c>
      <c r="KM292">
        <v>130</v>
      </c>
      <c r="KN292">
        <v>120148122</v>
      </c>
      <c r="KO292">
        <v>127</v>
      </c>
      <c r="KQ292" s="24"/>
      <c r="KR292">
        <v>120002</v>
      </c>
      <c r="KS292">
        <v>124449</v>
      </c>
      <c r="KT292">
        <v>120102</v>
      </c>
      <c r="KU292">
        <v>55433</v>
      </c>
      <c r="KV292">
        <v>627</v>
      </c>
      <c r="KX292" s="24"/>
      <c r="KY292">
        <v>691</v>
      </c>
      <c r="KZ292">
        <v>718</v>
      </c>
      <c r="LA292">
        <v>717</v>
      </c>
      <c r="LB292">
        <v>12773459</v>
      </c>
      <c r="LC292">
        <v>206</v>
      </c>
      <c r="LE292" s="24"/>
      <c r="LF292">
        <v>187005</v>
      </c>
      <c r="LG292">
        <v>188000</v>
      </c>
      <c r="LH292">
        <v>188000</v>
      </c>
      <c r="LI292">
        <v>147647</v>
      </c>
      <c r="LJ292">
        <v>834</v>
      </c>
      <c r="LL292" s="24"/>
      <c r="LM292">
        <v>70504</v>
      </c>
      <c r="LN292">
        <v>70546</v>
      </c>
      <c r="LO292">
        <v>70507</v>
      </c>
      <c r="LP292">
        <v>352054</v>
      </c>
      <c r="LQ292">
        <v>1237</v>
      </c>
      <c r="LS292" s="24"/>
      <c r="LT292">
        <v>451</v>
      </c>
      <c r="LU292">
        <v>460</v>
      </c>
      <c r="LV292">
        <v>459</v>
      </c>
      <c r="LW292">
        <v>87306856</v>
      </c>
      <c r="LX292">
        <v>310</v>
      </c>
      <c r="LZ292" s="24"/>
      <c r="MA292">
        <v>96210</v>
      </c>
      <c r="MB292">
        <v>98000</v>
      </c>
      <c r="MC292">
        <v>97000</v>
      </c>
      <c r="MD292">
        <v>1147325</v>
      </c>
      <c r="ME292">
        <v>95</v>
      </c>
    </row>
    <row r="293" spans="2:343" x14ac:dyDescent="0.25">
      <c r="B293" s="24"/>
      <c r="C293">
        <v>3</v>
      </c>
      <c r="D293">
        <v>3</v>
      </c>
      <c r="E293">
        <v>3</v>
      </c>
      <c r="F293">
        <v>24106349716</v>
      </c>
      <c r="G293">
        <v>2513</v>
      </c>
      <c r="I293" s="24"/>
      <c r="J293">
        <v>4</v>
      </c>
      <c r="K293">
        <v>4</v>
      </c>
      <c r="L293">
        <v>4</v>
      </c>
      <c r="M293">
        <v>4648631542</v>
      </c>
      <c r="N293">
        <v>1776</v>
      </c>
      <c r="P293" s="24"/>
      <c r="Q293">
        <v>30</v>
      </c>
      <c r="R293">
        <v>31</v>
      </c>
      <c r="S293">
        <v>31</v>
      </c>
      <c r="T293">
        <v>1401775753</v>
      </c>
      <c r="U293">
        <v>1664</v>
      </c>
      <c r="W293" s="24"/>
      <c r="X293">
        <v>61</v>
      </c>
      <c r="Y293">
        <v>63</v>
      </c>
      <c r="Z293">
        <v>62</v>
      </c>
      <c r="AA293">
        <v>257368491</v>
      </c>
      <c r="AB293">
        <v>1361</v>
      </c>
      <c r="AD293" s="24"/>
      <c r="AE293">
        <v>415</v>
      </c>
      <c r="AF293">
        <v>425</v>
      </c>
      <c r="AG293">
        <v>415</v>
      </c>
      <c r="AH293">
        <v>76423907</v>
      </c>
      <c r="AI293">
        <v>1459</v>
      </c>
      <c r="AK293" s="24"/>
      <c r="AL293">
        <v>723</v>
      </c>
      <c r="AM293">
        <v>729</v>
      </c>
      <c r="AN293">
        <v>726</v>
      </c>
      <c r="AO293">
        <v>24986639</v>
      </c>
      <c r="AP293">
        <v>1154</v>
      </c>
      <c r="AR293" s="24"/>
      <c r="AS293">
        <v>2737</v>
      </c>
      <c r="AT293">
        <v>2828</v>
      </c>
      <c r="AU293">
        <v>2740</v>
      </c>
      <c r="AV293">
        <v>19511424</v>
      </c>
      <c r="AW293">
        <v>1194</v>
      </c>
      <c r="AY293" s="24"/>
      <c r="AZ293">
        <v>370757226</v>
      </c>
      <c r="BA293">
        <v>376000000</v>
      </c>
      <c r="BB293">
        <v>375748000</v>
      </c>
      <c r="BC293">
        <v>2600</v>
      </c>
      <c r="BD293">
        <v>1720</v>
      </c>
      <c r="BF293" s="24"/>
      <c r="BG293">
        <v>24711</v>
      </c>
      <c r="BH293">
        <v>25209</v>
      </c>
      <c r="BI293">
        <v>24811</v>
      </c>
      <c r="BJ293">
        <v>3699381</v>
      </c>
      <c r="BK293">
        <v>247</v>
      </c>
      <c r="BM293" s="24"/>
      <c r="BN293">
        <v>6303005</v>
      </c>
      <c r="BO293">
        <v>6689998</v>
      </c>
      <c r="BP293">
        <v>6480009</v>
      </c>
      <c r="BQ293">
        <v>13706</v>
      </c>
      <c r="BR293">
        <v>433</v>
      </c>
      <c r="BT293" s="24"/>
      <c r="BU293">
        <v>2000</v>
      </c>
      <c r="BV293">
        <v>2080</v>
      </c>
      <c r="BW293">
        <v>2070</v>
      </c>
      <c r="BX293">
        <v>37251800</v>
      </c>
      <c r="BY293">
        <v>298</v>
      </c>
      <c r="CA293" s="24"/>
      <c r="CB293">
        <v>432</v>
      </c>
      <c r="CC293">
        <v>441</v>
      </c>
      <c r="CD293">
        <v>441</v>
      </c>
      <c r="CE293">
        <v>78128825</v>
      </c>
      <c r="CF293">
        <v>268</v>
      </c>
      <c r="CH293" s="24"/>
      <c r="CI293">
        <v>23846</v>
      </c>
      <c r="CJ293">
        <v>24699</v>
      </c>
      <c r="CK293">
        <v>23847</v>
      </c>
      <c r="CL293">
        <v>1700215</v>
      </c>
      <c r="CM293">
        <v>208</v>
      </c>
      <c r="CO293" s="24"/>
      <c r="CP293">
        <v>7047</v>
      </c>
      <c r="CQ293">
        <v>7397</v>
      </c>
      <c r="CR293">
        <v>7049</v>
      </c>
      <c r="CS293">
        <v>1370203</v>
      </c>
      <c r="CT293">
        <v>425</v>
      </c>
      <c r="CV293" s="24"/>
      <c r="CW293">
        <v>1294997</v>
      </c>
      <c r="CX293">
        <v>1294997</v>
      </c>
      <c r="CY293">
        <v>1294997</v>
      </c>
      <c r="CZ293">
        <v>8986</v>
      </c>
      <c r="DA293">
        <v>33</v>
      </c>
      <c r="DC293" s="24"/>
      <c r="DD293">
        <v>440</v>
      </c>
      <c r="DE293">
        <v>455</v>
      </c>
      <c r="DF293">
        <v>455</v>
      </c>
      <c r="DG293">
        <v>34110183</v>
      </c>
      <c r="DH293">
        <v>190</v>
      </c>
      <c r="DJ293" s="24"/>
      <c r="DK293">
        <v>31000346</v>
      </c>
      <c r="DL293">
        <v>32499999</v>
      </c>
      <c r="DM293">
        <v>31000378</v>
      </c>
      <c r="DN293">
        <v>415</v>
      </c>
      <c r="DO293">
        <v>92</v>
      </c>
      <c r="DQ293" s="24"/>
      <c r="DR293">
        <v>1290002</v>
      </c>
      <c r="DS293">
        <v>1399882</v>
      </c>
      <c r="DT293">
        <v>1295882</v>
      </c>
      <c r="DU293">
        <v>9692</v>
      </c>
      <c r="DV293">
        <v>290</v>
      </c>
      <c r="DX293" s="24"/>
      <c r="DY293">
        <v>23113005</v>
      </c>
      <c r="DZ293">
        <v>24496999</v>
      </c>
      <c r="EA293">
        <v>23113005</v>
      </c>
      <c r="EB293">
        <v>329</v>
      </c>
      <c r="EC293">
        <v>97</v>
      </c>
      <c r="EE293" s="24"/>
      <c r="EF293">
        <v>193</v>
      </c>
      <c r="EG293">
        <v>199</v>
      </c>
      <c r="EH293">
        <v>198</v>
      </c>
      <c r="EI293">
        <v>94206500</v>
      </c>
      <c r="EJ293">
        <v>223</v>
      </c>
      <c r="EL293" s="24"/>
      <c r="EM293">
        <v>56640</v>
      </c>
      <c r="EN293">
        <v>56700</v>
      </c>
      <c r="EO293">
        <v>56647</v>
      </c>
      <c r="EP293">
        <v>73449</v>
      </c>
      <c r="EQ293">
        <v>716</v>
      </c>
      <c r="ES293" s="24"/>
      <c r="ET293">
        <v>279</v>
      </c>
      <c r="EU293">
        <v>296</v>
      </c>
      <c r="EV293">
        <v>284</v>
      </c>
      <c r="EW293">
        <v>75779192</v>
      </c>
      <c r="EX293">
        <v>700</v>
      </c>
      <c r="EZ293" s="24"/>
      <c r="FA293">
        <v>3534999</v>
      </c>
      <c r="FB293">
        <v>3534999</v>
      </c>
      <c r="FC293">
        <v>3534999</v>
      </c>
      <c r="FD293">
        <v>1094</v>
      </c>
      <c r="FE293">
        <v>20</v>
      </c>
      <c r="FG293" s="24"/>
      <c r="FH293">
        <v>7582</v>
      </c>
      <c r="FI293">
        <v>7966</v>
      </c>
      <c r="FJ293">
        <v>7800</v>
      </c>
      <c r="FK293">
        <v>2278102</v>
      </c>
      <c r="FL293">
        <v>579</v>
      </c>
      <c r="FN293" s="24"/>
      <c r="FO293">
        <v>17875</v>
      </c>
      <c r="FP293">
        <v>17876</v>
      </c>
      <c r="FQ293">
        <v>17875</v>
      </c>
      <c r="FR293">
        <v>238821</v>
      </c>
      <c r="FS293">
        <v>89</v>
      </c>
      <c r="FU293" s="24"/>
      <c r="FV293">
        <v>15511</v>
      </c>
      <c r="FW293">
        <v>15519</v>
      </c>
      <c r="FX293">
        <v>15517</v>
      </c>
      <c r="FY293">
        <v>429422</v>
      </c>
      <c r="FZ293">
        <v>1249</v>
      </c>
      <c r="GB293" s="24"/>
      <c r="GC293">
        <v>88853017</v>
      </c>
      <c r="GD293">
        <v>92799993</v>
      </c>
      <c r="GE293">
        <v>91251566</v>
      </c>
      <c r="GF293">
        <v>96</v>
      </c>
      <c r="GG293">
        <v>79</v>
      </c>
      <c r="GI293" s="24"/>
      <c r="GJ293">
        <v>21000555</v>
      </c>
      <c r="GK293">
        <v>21999989</v>
      </c>
      <c r="GL293">
        <v>21000555</v>
      </c>
      <c r="GM293">
        <v>667</v>
      </c>
      <c r="GN293">
        <v>131</v>
      </c>
      <c r="GP293" s="24"/>
      <c r="GQ293">
        <v>115</v>
      </c>
      <c r="GR293">
        <v>123</v>
      </c>
      <c r="GS293">
        <v>117</v>
      </c>
      <c r="GT293">
        <v>141149300</v>
      </c>
      <c r="GU293">
        <v>162</v>
      </c>
      <c r="GW293" s="24"/>
      <c r="GX293">
        <v>428</v>
      </c>
      <c r="GY293">
        <v>429</v>
      </c>
      <c r="GZ293">
        <v>428</v>
      </c>
      <c r="HA293">
        <v>49846849</v>
      </c>
      <c r="HB293">
        <v>275</v>
      </c>
      <c r="HD293" s="24"/>
      <c r="HE293">
        <v>5109</v>
      </c>
      <c r="HF293">
        <v>5199</v>
      </c>
      <c r="HG293">
        <v>5198</v>
      </c>
      <c r="HH293">
        <v>15652684</v>
      </c>
      <c r="HI293">
        <v>309</v>
      </c>
      <c r="HK293" s="24"/>
      <c r="HL293">
        <v>90003006</v>
      </c>
      <c r="HM293">
        <v>95818000</v>
      </c>
      <c r="HN293">
        <v>92761000</v>
      </c>
      <c r="HO293">
        <v>113</v>
      </c>
      <c r="HP293">
        <v>82</v>
      </c>
      <c r="HR293" s="24"/>
      <c r="HS293">
        <v>8266</v>
      </c>
      <c r="HT293">
        <v>8745</v>
      </c>
      <c r="HU293">
        <v>8493</v>
      </c>
      <c r="HV293">
        <v>851472</v>
      </c>
      <c r="HW293">
        <v>200</v>
      </c>
      <c r="HY293" s="24"/>
      <c r="HZ293">
        <v>7251</v>
      </c>
      <c r="IA293">
        <v>7425</v>
      </c>
      <c r="IB293">
        <v>7424</v>
      </c>
      <c r="IC293">
        <v>2184934</v>
      </c>
      <c r="ID293">
        <v>537</v>
      </c>
      <c r="IF293" s="24"/>
      <c r="IG293">
        <v>3183</v>
      </c>
      <c r="IH293">
        <v>3314</v>
      </c>
      <c r="II293">
        <v>3314</v>
      </c>
      <c r="IJ293">
        <v>2247183</v>
      </c>
      <c r="IK293">
        <v>180</v>
      </c>
      <c r="IM293" s="24"/>
      <c r="IN293">
        <v>90600003</v>
      </c>
      <c r="IO293">
        <v>93063000</v>
      </c>
      <c r="IP293">
        <v>93054998</v>
      </c>
      <c r="IQ293">
        <v>116</v>
      </c>
      <c r="IR293">
        <v>81</v>
      </c>
      <c r="IT293" s="24"/>
      <c r="IU293">
        <v>7390</v>
      </c>
      <c r="IV293">
        <v>7391</v>
      </c>
      <c r="IW293">
        <v>7391</v>
      </c>
      <c r="IX293">
        <v>942380</v>
      </c>
      <c r="IY293">
        <v>136</v>
      </c>
      <c r="JA293" s="24"/>
      <c r="JB293">
        <v>89808008</v>
      </c>
      <c r="JC293">
        <v>92952895</v>
      </c>
      <c r="JD293">
        <v>91967058</v>
      </c>
      <c r="JE293">
        <v>96</v>
      </c>
      <c r="JF293">
        <v>79</v>
      </c>
      <c r="JH293" s="24"/>
      <c r="JI293">
        <v>88399031</v>
      </c>
      <c r="JJ293">
        <v>91749999</v>
      </c>
      <c r="JK293">
        <v>91403735</v>
      </c>
      <c r="JL293">
        <v>53</v>
      </c>
      <c r="JM293">
        <v>51</v>
      </c>
      <c r="JO293" s="24"/>
      <c r="JP293">
        <v>114</v>
      </c>
      <c r="JQ293">
        <v>117</v>
      </c>
      <c r="JR293">
        <v>117</v>
      </c>
      <c r="JS293">
        <v>129036129</v>
      </c>
      <c r="JT293">
        <v>142</v>
      </c>
      <c r="JV293" s="24"/>
      <c r="JW293">
        <v>98</v>
      </c>
      <c r="JX293">
        <v>102</v>
      </c>
      <c r="JY293">
        <v>101</v>
      </c>
      <c r="JZ293">
        <v>136092719</v>
      </c>
      <c r="KA293">
        <v>147</v>
      </c>
      <c r="KC293" s="24"/>
      <c r="KD293">
        <v>21</v>
      </c>
      <c r="KE293">
        <v>22</v>
      </c>
      <c r="KF293">
        <v>22</v>
      </c>
      <c r="KG293">
        <v>46001473</v>
      </c>
      <c r="KH293">
        <v>334</v>
      </c>
      <c r="KJ293" s="24"/>
      <c r="KK293">
        <v>123</v>
      </c>
      <c r="KL293">
        <v>124</v>
      </c>
      <c r="KM293">
        <v>123</v>
      </c>
      <c r="KN293">
        <v>141851889</v>
      </c>
      <c r="KO293">
        <v>159</v>
      </c>
      <c r="KQ293" s="24"/>
      <c r="KR293">
        <v>121001</v>
      </c>
      <c r="KS293">
        <v>126106</v>
      </c>
      <c r="KT293">
        <v>126106</v>
      </c>
      <c r="KU293">
        <v>55140</v>
      </c>
      <c r="KV293">
        <v>656</v>
      </c>
      <c r="KX293" s="24"/>
      <c r="KY293">
        <v>662</v>
      </c>
      <c r="KZ293">
        <v>716</v>
      </c>
      <c r="LA293">
        <v>663</v>
      </c>
      <c r="LB293">
        <v>11683817</v>
      </c>
      <c r="LC293">
        <v>227</v>
      </c>
      <c r="LE293" s="24"/>
      <c r="LF293">
        <v>183207</v>
      </c>
      <c r="LG293">
        <v>186000</v>
      </c>
      <c r="LH293">
        <v>185000</v>
      </c>
      <c r="LI293">
        <v>125011</v>
      </c>
      <c r="LJ293">
        <v>915</v>
      </c>
      <c r="LL293" s="24"/>
      <c r="LM293">
        <v>70568</v>
      </c>
      <c r="LN293">
        <v>70589</v>
      </c>
      <c r="LO293">
        <v>70587</v>
      </c>
      <c r="LP293">
        <v>367704</v>
      </c>
      <c r="LQ293">
        <v>1307</v>
      </c>
      <c r="LS293" s="24"/>
      <c r="LT293">
        <v>451</v>
      </c>
      <c r="LU293">
        <v>460</v>
      </c>
      <c r="LV293">
        <v>459</v>
      </c>
      <c r="LW293">
        <v>114919779</v>
      </c>
      <c r="LX293">
        <v>437</v>
      </c>
      <c r="LZ293" s="24"/>
      <c r="MA293">
        <v>93000</v>
      </c>
      <c r="MB293">
        <v>95985</v>
      </c>
      <c r="MC293">
        <v>93309</v>
      </c>
      <c r="MD293">
        <v>1113387</v>
      </c>
      <c r="ME293">
        <v>97</v>
      </c>
    </row>
    <row r="294" spans="2:343" x14ac:dyDescent="0.25">
      <c r="B294" s="24"/>
      <c r="C294">
        <v>3</v>
      </c>
      <c r="D294">
        <v>3</v>
      </c>
      <c r="E294">
        <v>3</v>
      </c>
      <c r="F294">
        <v>29105997086</v>
      </c>
      <c r="G294">
        <v>2120</v>
      </c>
      <c r="I294" s="24"/>
      <c r="J294">
        <v>4</v>
      </c>
      <c r="K294">
        <v>4</v>
      </c>
      <c r="L294">
        <v>4</v>
      </c>
      <c r="M294">
        <v>4041834915</v>
      </c>
      <c r="N294">
        <v>1510</v>
      </c>
      <c r="P294" s="24"/>
      <c r="Q294">
        <v>29</v>
      </c>
      <c r="R294">
        <v>30</v>
      </c>
      <c r="S294">
        <v>29</v>
      </c>
      <c r="T294">
        <v>928773957</v>
      </c>
      <c r="U294">
        <v>1384</v>
      </c>
      <c r="W294" s="24"/>
      <c r="X294">
        <v>60</v>
      </c>
      <c r="Y294">
        <v>60</v>
      </c>
      <c r="Z294">
        <v>60</v>
      </c>
      <c r="AA294">
        <v>248985080</v>
      </c>
      <c r="AB294">
        <v>1111</v>
      </c>
      <c r="AD294" s="24"/>
      <c r="AE294">
        <v>405</v>
      </c>
      <c r="AF294">
        <v>417</v>
      </c>
      <c r="AG294">
        <v>412</v>
      </c>
      <c r="AH294">
        <v>65626654</v>
      </c>
      <c r="AI294">
        <v>1241</v>
      </c>
      <c r="AK294" s="24"/>
      <c r="AL294">
        <v>717</v>
      </c>
      <c r="AM294">
        <v>725</v>
      </c>
      <c r="AN294">
        <v>720</v>
      </c>
      <c r="AO294">
        <v>32849808</v>
      </c>
      <c r="AP294">
        <v>996</v>
      </c>
      <c r="AR294" s="24"/>
      <c r="AS294">
        <v>2785</v>
      </c>
      <c r="AT294">
        <v>2817</v>
      </c>
      <c r="AU294">
        <v>2790</v>
      </c>
      <c r="AV294">
        <v>6137487</v>
      </c>
      <c r="AW294">
        <v>950</v>
      </c>
      <c r="AY294" s="24"/>
      <c r="AZ294">
        <v>372700000</v>
      </c>
      <c r="BA294">
        <v>378250000</v>
      </c>
      <c r="BB294">
        <v>376497999</v>
      </c>
      <c r="BC294">
        <v>2093</v>
      </c>
      <c r="BD294">
        <v>1471</v>
      </c>
      <c r="BF294" s="24"/>
      <c r="BG294">
        <v>24711</v>
      </c>
      <c r="BH294">
        <v>24711</v>
      </c>
      <c r="BI294">
        <v>24711</v>
      </c>
      <c r="BJ294">
        <v>2766372</v>
      </c>
      <c r="BK294">
        <v>204</v>
      </c>
      <c r="BM294" s="24"/>
      <c r="BN294">
        <v>6308007</v>
      </c>
      <c r="BO294">
        <v>6676987</v>
      </c>
      <c r="BP294">
        <v>6350013</v>
      </c>
      <c r="BQ294">
        <v>10159</v>
      </c>
      <c r="BR294">
        <v>291</v>
      </c>
      <c r="BT294" s="24"/>
      <c r="BU294">
        <v>2035</v>
      </c>
      <c r="BV294">
        <v>2051</v>
      </c>
      <c r="BW294">
        <v>2051</v>
      </c>
      <c r="BX294">
        <v>19655703</v>
      </c>
      <c r="BY294">
        <v>227</v>
      </c>
      <c r="CA294" s="24"/>
      <c r="CB294">
        <v>441</v>
      </c>
      <c r="CC294">
        <v>443</v>
      </c>
      <c r="CD294">
        <v>443</v>
      </c>
      <c r="CE294">
        <v>49542388</v>
      </c>
      <c r="CF294">
        <v>254</v>
      </c>
      <c r="CH294" s="24"/>
      <c r="CI294">
        <v>23647</v>
      </c>
      <c r="CJ294">
        <v>23847</v>
      </c>
      <c r="CK294">
        <v>23846</v>
      </c>
      <c r="CL294">
        <v>1222376</v>
      </c>
      <c r="CM294">
        <v>148</v>
      </c>
      <c r="CO294" s="24"/>
      <c r="CP294">
        <v>6946</v>
      </c>
      <c r="CQ294">
        <v>7387</v>
      </c>
      <c r="CR294">
        <v>7350</v>
      </c>
      <c r="CS294">
        <v>749835</v>
      </c>
      <c r="CT294">
        <v>285</v>
      </c>
      <c r="CV294" s="24"/>
      <c r="CW294">
        <v>1291888</v>
      </c>
      <c r="CX294">
        <v>1293998</v>
      </c>
      <c r="CY294">
        <v>1293998</v>
      </c>
      <c r="CZ294">
        <v>10299</v>
      </c>
      <c r="DA294">
        <v>29</v>
      </c>
      <c r="DC294" s="24"/>
      <c r="DD294">
        <v>441</v>
      </c>
      <c r="DE294">
        <v>483</v>
      </c>
      <c r="DF294">
        <v>461</v>
      </c>
      <c r="DG294">
        <v>40088055</v>
      </c>
      <c r="DH294">
        <v>168</v>
      </c>
      <c r="DJ294" s="24"/>
      <c r="DK294">
        <v>31000427</v>
      </c>
      <c r="DL294">
        <v>31000431</v>
      </c>
      <c r="DM294">
        <v>31000430</v>
      </c>
      <c r="DN294">
        <v>251</v>
      </c>
      <c r="DO294">
        <v>62</v>
      </c>
      <c r="DQ294" s="24"/>
      <c r="DR294">
        <v>1290051</v>
      </c>
      <c r="DS294">
        <v>1349999</v>
      </c>
      <c r="DT294">
        <v>1291001</v>
      </c>
      <c r="DU294">
        <v>10082</v>
      </c>
      <c r="DV294">
        <v>246</v>
      </c>
      <c r="DX294" s="24"/>
      <c r="DY294">
        <v>23113002</v>
      </c>
      <c r="DZ294">
        <v>23200008</v>
      </c>
      <c r="EA294">
        <v>23114000</v>
      </c>
      <c r="EB294">
        <v>597</v>
      </c>
      <c r="EC294">
        <v>100</v>
      </c>
      <c r="EE294" s="24"/>
      <c r="EF294">
        <v>191</v>
      </c>
      <c r="EG294">
        <v>198</v>
      </c>
      <c r="EH294">
        <v>197</v>
      </c>
      <c r="EI294">
        <v>103372207</v>
      </c>
      <c r="EJ294">
        <v>200</v>
      </c>
      <c r="EL294" s="24"/>
      <c r="EM294">
        <v>56700</v>
      </c>
      <c r="EN294">
        <v>56701</v>
      </c>
      <c r="EO294">
        <v>56701</v>
      </c>
      <c r="EP294">
        <v>89821</v>
      </c>
      <c r="EQ294">
        <v>582</v>
      </c>
      <c r="ES294" s="24"/>
      <c r="ET294">
        <v>284</v>
      </c>
      <c r="EU294">
        <v>296</v>
      </c>
      <c r="EV294">
        <v>295</v>
      </c>
      <c r="EW294">
        <v>30863882</v>
      </c>
      <c r="EX294">
        <v>520</v>
      </c>
      <c r="EZ294" s="24"/>
      <c r="FA294">
        <v>3300001</v>
      </c>
      <c r="FB294">
        <v>3300007</v>
      </c>
      <c r="FC294">
        <v>3300004</v>
      </c>
      <c r="FD294">
        <v>1250</v>
      </c>
      <c r="FE294">
        <v>18</v>
      </c>
      <c r="FG294" s="24"/>
      <c r="FH294">
        <v>7656</v>
      </c>
      <c r="FI294">
        <v>8498</v>
      </c>
      <c r="FJ294">
        <v>8200</v>
      </c>
      <c r="FK294">
        <v>1401305</v>
      </c>
      <c r="FL294">
        <v>409</v>
      </c>
      <c r="FN294" s="24"/>
      <c r="FO294">
        <v>17874</v>
      </c>
      <c r="FP294">
        <v>17876</v>
      </c>
      <c r="FQ294">
        <v>17875</v>
      </c>
      <c r="FR294">
        <v>140668</v>
      </c>
      <c r="FS294">
        <v>85</v>
      </c>
      <c r="FU294" s="24"/>
      <c r="FV294">
        <v>15515</v>
      </c>
      <c r="FW294">
        <v>15518</v>
      </c>
      <c r="FX294">
        <v>15517</v>
      </c>
      <c r="FY294">
        <v>400635</v>
      </c>
      <c r="FZ294">
        <v>1044</v>
      </c>
      <c r="GB294" s="24"/>
      <c r="GC294">
        <v>91000057</v>
      </c>
      <c r="GD294">
        <v>93000000</v>
      </c>
      <c r="GE294">
        <v>92310624</v>
      </c>
      <c r="GF294">
        <v>93</v>
      </c>
      <c r="GG294">
        <v>63</v>
      </c>
      <c r="GI294" s="24"/>
      <c r="GJ294">
        <v>19600051</v>
      </c>
      <c r="GK294">
        <v>20003000</v>
      </c>
      <c r="GL294">
        <v>20000050</v>
      </c>
      <c r="GM294">
        <v>782</v>
      </c>
      <c r="GN294">
        <v>83</v>
      </c>
      <c r="GP294" s="24"/>
      <c r="GQ294">
        <v>117</v>
      </c>
      <c r="GR294">
        <v>118</v>
      </c>
      <c r="GS294">
        <v>118</v>
      </c>
      <c r="GT294">
        <v>99184918</v>
      </c>
      <c r="GU294">
        <v>153</v>
      </c>
      <c r="GW294" s="24"/>
      <c r="GX294">
        <v>414</v>
      </c>
      <c r="GY294">
        <v>428</v>
      </c>
      <c r="GZ294">
        <v>427</v>
      </c>
      <c r="HA294">
        <v>59599960</v>
      </c>
      <c r="HB294">
        <v>212</v>
      </c>
      <c r="HD294" s="24"/>
      <c r="HE294">
        <v>5112</v>
      </c>
      <c r="HF294">
        <v>5197</v>
      </c>
      <c r="HG294">
        <v>5196</v>
      </c>
      <c r="HH294">
        <v>17443095</v>
      </c>
      <c r="HI294">
        <v>288</v>
      </c>
      <c r="HK294" s="24"/>
      <c r="HL294">
        <v>92500059</v>
      </c>
      <c r="HM294">
        <v>95824999</v>
      </c>
      <c r="HN294">
        <v>93778830</v>
      </c>
      <c r="HO294">
        <v>93</v>
      </c>
      <c r="HP294">
        <v>71</v>
      </c>
      <c r="HR294" s="24"/>
      <c r="HS294">
        <v>8266</v>
      </c>
      <c r="HT294">
        <v>8279</v>
      </c>
      <c r="HU294">
        <v>8270</v>
      </c>
      <c r="HV294">
        <v>770917</v>
      </c>
      <c r="HW294">
        <v>139</v>
      </c>
      <c r="HY294" s="24"/>
      <c r="HZ294">
        <v>7248</v>
      </c>
      <c r="IA294">
        <v>7454</v>
      </c>
      <c r="IB294">
        <v>7389</v>
      </c>
      <c r="IC294">
        <v>1396941</v>
      </c>
      <c r="ID294">
        <v>382</v>
      </c>
      <c r="IF294" s="24"/>
      <c r="IG294">
        <v>3200</v>
      </c>
      <c r="IH294">
        <v>3314</v>
      </c>
      <c r="II294">
        <v>3312</v>
      </c>
      <c r="IJ294">
        <v>1506689</v>
      </c>
      <c r="IK294">
        <v>178</v>
      </c>
      <c r="IM294" s="24"/>
      <c r="IN294">
        <v>90808009</v>
      </c>
      <c r="IO294">
        <v>93060000</v>
      </c>
      <c r="IP294">
        <v>92247836</v>
      </c>
      <c r="IQ294">
        <v>72</v>
      </c>
      <c r="IR294">
        <v>56</v>
      </c>
      <c r="IT294" s="24"/>
      <c r="IU294">
        <v>7130</v>
      </c>
      <c r="IV294">
        <v>7391</v>
      </c>
      <c r="IW294">
        <v>7343</v>
      </c>
      <c r="IX294">
        <v>1846072</v>
      </c>
      <c r="IY294">
        <v>143</v>
      </c>
      <c r="JA294" s="24"/>
      <c r="JB294">
        <v>89122061</v>
      </c>
      <c r="JC294">
        <v>94299676</v>
      </c>
      <c r="JD294">
        <v>92753977</v>
      </c>
      <c r="JE294">
        <v>83</v>
      </c>
      <c r="JF294">
        <v>68</v>
      </c>
      <c r="JH294" s="24"/>
      <c r="JI294">
        <v>91000057</v>
      </c>
      <c r="JJ294">
        <v>94891996</v>
      </c>
      <c r="JK294">
        <v>92123560</v>
      </c>
      <c r="JL294">
        <v>73</v>
      </c>
      <c r="JM294">
        <v>54</v>
      </c>
      <c r="JO294" s="24"/>
      <c r="JP294">
        <v>114</v>
      </c>
      <c r="JQ294">
        <v>115</v>
      </c>
      <c r="JR294">
        <v>114</v>
      </c>
      <c r="JS294">
        <v>92140060</v>
      </c>
      <c r="JT294">
        <v>133</v>
      </c>
      <c r="JV294" s="24"/>
      <c r="JW294">
        <v>102</v>
      </c>
      <c r="JX294">
        <v>102</v>
      </c>
      <c r="JY294">
        <v>102</v>
      </c>
      <c r="JZ294">
        <v>87008826</v>
      </c>
      <c r="KA294">
        <v>107</v>
      </c>
      <c r="KC294" s="24"/>
      <c r="KD294">
        <v>21</v>
      </c>
      <c r="KE294">
        <v>22</v>
      </c>
      <c r="KF294">
        <v>22</v>
      </c>
      <c r="KG294">
        <v>45847658</v>
      </c>
      <c r="KH294">
        <v>310</v>
      </c>
      <c r="KJ294" s="24"/>
      <c r="KK294">
        <v>119</v>
      </c>
      <c r="KL294">
        <v>123</v>
      </c>
      <c r="KM294">
        <v>121</v>
      </c>
      <c r="KN294">
        <v>105261107</v>
      </c>
      <c r="KO294">
        <v>124</v>
      </c>
      <c r="KQ294" s="24"/>
      <c r="KR294">
        <v>122000</v>
      </c>
      <c r="KS294">
        <v>126349</v>
      </c>
      <c r="KT294">
        <v>122004</v>
      </c>
      <c r="KU294">
        <v>68900</v>
      </c>
      <c r="KV294">
        <v>561</v>
      </c>
      <c r="KX294" s="24"/>
      <c r="KY294">
        <v>719</v>
      </c>
      <c r="KZ294">
        <v>723</v>
      </c>
      <c r="LA294">
        <v>723</v>
      </c>
      <c r="LB294">
        <v>3802403</v>
      </c>
      <c r="LC294">
        <v>169</v>
      </c>
      <c r="LE294" s="24"/>
      <c r="LF294">
        <v>183112</v>
      </c>
      <c r="LG294">
        <v>186000</v>
      </c>
      <c r="LH294">
        <v>184000</v>
      </c>
      <c r="LI294">
        <v>140342</v>
      </c>
      <c r="LJ294">
        <v>800</v>
      </c>
      <c r="LL294" s="24"/>
      <c r="LM294">
        <v>70590</v>
      </c>
      <c r="LN294">
        <v>70595</v>
      </c>
      <c r="LO294">
        <v>70592</v>
      </c>
      <c r="LP294">
        <v>442341</v>
      </c>
      <c r="LQ294">
        <v>1126</v>
      </c>
      <c r="LS294" s="24"/>
      <c r="LT294">
        <v>467</v>
      </c>
      <c r="LU294">
        <v>470</v>
      </c>
      <c r="LV294">
        <v>469</v>
      </c>
      <c r="LW294">
        <v>72842228</v>
      </c>
      <c r="LX294">
        <v>327</v>
      </c>
      <c r="LZ294" s="24"/>
      <c r="MA294">
        <v>92000</v>
      </c>
      <c r="MB294">
        <v>94489</v>
      </c>
      <c r="MC294">
        <v>92800</v>
      </c>
      <c r="MD294">
        <v>1033550</v>
      </c>
      <c r="ME294">
        <v>81</v>
      </c>
    </row>
    <row r="295" spans="2:343" x14ac:dyDescent="0.25">
      <c r="B295" s="24"/>
      <c r="C295">
        <v>3</v>
      </c>
      <c r="D295">
        <v>3</v>
      </c>
      <c r="E295">
        <v>3</v>
      </c>
      <c r="F295">
        <v>35909289965</v>
      </c>
      <c r="G295">
        <v>2146</v>
      </c>
      <c r="I295" s="24"/>
      <c r="J295">
        <v>4</v>
      </c>
      <c r="K295">
        <v>4</v>
      </c>
      <c r="L295">
        <v>4</v>
      </c>
      <c r="M295">
        <v>8509254394</v>
      </c>
      <c r="N295">
        <v>1467</v>
      </c>
      <c r="P295" s="24"/>
      <c r="Q295">
        <v>29</v>
      </c>
      <c r="R295">
        <v>30</v>
      </c>
      <c r="S295">
        <v>30</v>
      </c>
      <c r="T295">
        <v>1641900148</v>
      </c>
      <c r="U295">
        <v>1316</v>
      </c>
      <c r="W295" s="24"/>
      <c r="X295">
        <v>59</v>
      </c>
      <c r="Y295">
        <v>60</v>
      </c>
      <c r="Z295">
        <v>60</v>
      </c>
      <c r="AA295">
        <v>407208745</v>
      </c>
      <c r="AB295">
        <v>1101</v>
      </c>
      <c r="AD295" s="24"/>
      <c r="AE295">
        <v>406</v>
      </c>
      <c r="AF295">
        <v>413</v>
      </c>
      <c r="AG295">
        <v>412</v>
      </c>
      <c r="AH295">
        <v>79724511</v>
      </c>
      <c r="AI295">
        <v>1127</v>
      </c>
      <c r="AK295" s="24"/>
      <c r="AL295">
        <v>714</v>
      </c>
      <c r="AM295">
        <v>724</v>
      </c>
      <c r="AN295">
        <v>716</v>
      </c>
      <c r="AO295">
        <v>31758255</v>
      </c>
      <c r="AP295">
        <v>954</v>
      </c>
      <c r="AR295" s="24"/>
      <c r="AS295">
        <v>2785</v>
      </c>
      <c r="AT295">
        <v>2829</v>
      </c>
      <c r="AU295">
        <v>2800</v>
      </c>
      <c r="AV295">
        <v>18650307</v>
      </c>
      <c r="AW295">
        <v>995</v>
      </c>
      <c r="AY295" s="24"/>
      <c r="AZ295">
        <v>375000000</v>
      </c>
      <c r="BA295">
        <v>380099970</v>
      </c>
      <c r="BB295">
        <v>378854999</v>
      </c>
      <c r="BC295">
        <v>2064</v>
      </c>
      <c r="BD295">
        <v>1422</v>
      </c>
      <c r="BF295" s="24"/>
      <c r="BG295">
        <v>24711</v>
      </c>
      <c r="BH295">
        <v>24712</v>
      </c>
      <c r="BI295">
        <v>24712</v>
      </c>
      <c r="BJ295">
        <v>4967951</v>
      </c>
      <c r="BK295">
        <v>255</v>
      </c>
      <c r="BM295" s="24"/>
      <c r="BN295">
        <v>6440000</v>
      </c>
      <c r="BO295">
        <v>6678997</v>
      </c>
      <c r="BP295">
        <v>6441433</v>
      </c>
      <c r="BQ295">
        <v>12025</v>
      </c>
      <c r="BR295">
        <v>345</v>
      </c>
      <c r="BT295" s="24"/>
      <c r="BU295">
        <v>2050</v>
      </c>
      <c r="BV295">
        <v>2051</v>
      </c>
      <c r="BW295">
        <v>2051</v>
      </c>
      <c r="BX295">
        <v>21792218</v>
      </c>
      <c r="BY295">
        <v>250</v>
      </c>
      <c r="CA295" s="24"/>
      <c r="CB295">
        <v>443</v>
      </c>
      <c r="CC295">
        <v>443</v>
      </c>
      <c r="CD295">
        <v>443</v>
      </c>
      <c r="CE295">
        <v>120791051</v>
      </c>
      <c r="CF295">
        <v>234</v>
      </c>
      <c r="CH295" s="24"/>
      <c r="CI295">
        <v>23647</v>
      </c>
      <c r="CJ295">
        <v>23647</v>
      </c>
      <c r="CK295">
        <v>23647</v>
      </c>
      <c r="CL295">
        <v>1460890</v>
      </c>
      <c r="CM295">
        <v>180</v>
      </c>
      <c r="CO295" s="24"/>
      <c r="CP295">
        <v>7248</v>
      </c>
      <c r="CQ295">
        <v>7454</v>
      </c>
      <c r="CR295">
        <v>7384</v>
      </c>
      <c r="CS295">
        <v>1110504</v>
      </c>
      <c r="CT295">
        <v>338</v>
      </c>
      <c r="CV295" s="24"/>
      <c r="CW295">
        <v>1290000</v>
      </c>
      <c r="CX295">
        <v>1298999</v>
      </c>
      <c r="CY295">
        <v>1294000</v>
      </c>
      <c r="CZ295">
        <v>9177</v>
      </c>
      <c r="DA295">
        <v>41</v>
      </c>
      <c r="DC295" s="24"/>
      <c r="DD295">
        <v>450</v>
      </c>
      <c r="DE295">
        <v>469</v>
      </c>
      <c r="DF295">
        <v>461</v>
      </c>
      <c r="DG295">
        <v>49787342</v>
      </c>
      <c r="DH295">
        <v>180</v>
      </c>
      <c r="DJ295" s="24"/>
      <c r="DK295">
        <v>31000437</v>
      </c>
      <c r="DL295">
        <v>32000000</v>
      </c>
      <c r="DM295">
        <v>31700014</v>
      </c>
      <c r="DN295">
        <v>469</v>
      </c>
      <c r="DO295">
        <v>60</v>
      </c>
      <c r="DQ295" s="24"/>
      <c r="DR295">
        <v>1300020</v>
      </c>
      <c r="DS295">
        <v>1365555</v>
      </c>
      <c r="DT295">
        <v>1301001</v>
      </c>
      <c r="DU295">
        <v>8473</v>
      </c>
      <c r="DV295">
        <v>249</v>
      </c>
      <c r="DX295" s="24"/>
      <c r="DY295">
        <v>21532000</v>
      </c>
      <c r="DZ295">
        <v>22999999</v>
      </c>
      <c r="EA295">
        <v>22000012</v>
      </c>
      <c r="EB295">
        <v>490</v>
      </c>
      <c r="EC295">
        <v>100</v>
      </c>
      <c r="EE295" s="24"/>
      <c r="EF295">
        <v>191</v>
      </c>
      <c r="EG295">
        <v>202</v>
      </c>
      <c r="EH295">
        <v>199</v>
      </c>
      <c r="EI295">
        <v>106583322</v>
      </c>
      <c r="EJ295">
        <v>187</v>
      </c>
      <c r="EL295" s="24"/>
      <c r="EM295">
        <v>56701</v>
      </c>
      <c r="EN295">
        <v>56705</v>
      </c>
      <c r="EO295">
        <v>56704</v>
      </c>
      <c r="EP295">
        <v>124186</v>
      </c>
      <c r="EQ295">
        <v>591</v>
      </c>
      <c r="ES295" s="24"/>
      <c r="ET295">
        <v>286</v>
      </c>
      <c r="EU295">
        <v>295</v>
      </c>
      <c r="EV295">
        <v>286</v>
      </c>
      <c r="EW295">
        <v>46250228</v>
      </c>
      <c r="EX295">
        <v>517</v>
      </c>
      <c r="EZ295" s="24"/>
      <c r="FA295">
        <v>3300007</v>
      </c>
      <c r="FB295">
        <v>3300007</v>
      </c>
      <c r="FC295">
        <v>3300007</v>
      </c>
      <c r="FD295">
        <v>1716</v>
      </c>
      <c r="FE295">
        <v>17</v>
      </c>
      <c r="FG295" s="24"/>
      <c r="FH295">
        <v>7999</v>
      </c>
      <c r="FI295">
        <v>8331</v>
      </c>
      <c r="FJ295">
        <v>8330</v>
      </c>
      <c r="FK295">
        <v>1466645</v>
      </c>
      <c r="FL295">
        <v>389</v>
      </c>
      <c r="FN295" s="24"/>
      <c r="FO295">
        <v>17143</v>
      </c>
      <c r="FP295">
        <v>17874</v>
      </c>
      <c r="FQ295">
        <v>17153</v>
      </c>
      <c r="FR295">
        <v>138711</v>
      </c>
      <c r="FS295">
        <v>94</v>
      </c>
      <c r="FU295" s="24"/>
      <c r="FV295">
        <v>15100</v>
      </c>
      <c r="FW295">
        <v>15515</v>
      </c>
      <c r="FX295">
        <v>15510</v>
      </c>
      <c r="FY295">
        <v>458163</v>
      </c>
      <c r="FZ295">
        <v>1013</v>
      </c>
      <c r="GB295" s="24"/>
      <c r="GC295">
        <v>91700000</v>
      </c>
      <c r="GD295">
        <v>98464495</v>
      </c>
      <c r="GE295">
        <v>95213000</v>
      </c>
      <c r="GF295">
        <v>124</v>
      </c>
      <c r="GG295">
        <v>72</v>
      </c>
      <c r="GI295" s="24"/>
      <c r="GJ295">
        <v>20002001</v>
      </c>
      <c r="GK295">
        <v>21198996</v>
      </c>
      <c r="GL295">
        <v>20110000</v>
      </c>
      <c r="GM295">
        <v>751</v>
      </c>
      <c r="GN295">
        <v>87</v>
      </c>
      <c r="GP295" s="24"/>
      <c r="GQ295">
        <v>115</v>
      </c>
      <c r="GR295">
        <v>118</v>
      </c>
      <c r="GS295">
        <v>118</v>
      </c>
      <c r="GT295">
        <v>113574520</v>
      </c>
      <c r="GU295">
        <v>128</v>
      </c>
      <c r="GW295" s="24"/>
      <c r="GX295">
        <v>427</v>
      </c>
      <c r="GY295">
        <v>428</v>
      </c>
      <c r="GZ295">
        <v>427</v>
      </c>
      <c r="HA295">
        <v>46776735</v>
      </c>
      <c r="HB295">
        <v>199</v>
      </c>
      <c r="HD295" s="24"/>
      <c r="HE295">
        <v>5132</v>
      </c>
      <c r="HF295">
        <v>5197</v>
      </c>
      <c r="HG295">
        <v>5197</v>
      </c>
      <c r="HH295">
        <v>13832683</v>
      </c>
      <c r="HI295">
        <v>245</v>
      </c>
      <c r="HK295" s="24"/>
      <c r="HL295">
        <v>92504015</v>
      </c>
      <c r="HM295">
        <v>95876996</v>
      </c>
      <c r="HN295">
        <v>92618001</v>
      </c>
      <c r="HO295">
        <v>208</v>
      </c>
      <c r="HP295">
        <v>99</v>
      </c>
      <c r="HR295" s="24"/>
      <c r="HS295">
        <v>8399</v>
      </c>
      <c r="HT295">
        <v>8796</v>
      </c>
      <c r="HU295">
        <v>8467</v>
      </c>
      <c r="HV295">
        <v>764154</v>
      </c>
      <c r="HW295">
        <v>133</v>
      </c>
      <c r="HY295" s="24"/>
      <c r="HZ295">
        <v>7197</v>
      </c>
      <c r="IA295">
        <v>7369</v>
      </c>
      <c r="IB295">
        <v>7200</v>
      </c>
      <c r="IC295">
        <v>3410572</v>
      </c>
      <c r="ID295">
        <v>419</v>
      </c>
      <c r="IF295" s="24"/>
      <c r="IG295">
        <v>3137</v>
      </c>
      <c r="IH295">
        <v>3298</v>
      </c>
      <c r="II295">
        <v>3298</v>
      </c>
      <c r="IJ295">
        <v>1552574</v>
      </c>
      <c r="IK295">
        <v>146</v>
      </c>
      <c r="IM295" s="24"/>
      <c r="IN295">
        <v>92003004</v>
      </c>
      <c r="IO295">
        <v>94999999</v>
      </c>
      <c r="IP295">
        <v>93226889</v>
      </c>
      <c r="IQ295">
        <v>178</v>
      </c>
      <c r="IR295">
        <v>81</v>
      </c>
      <c r="IT295" s="24"/>
      <c r="IU295">
        <v>7103</v>
      </c>
      <c r="IV295">
        <v>7390</v>
      </c>
      <c r="IW295">
        <v>7390</v>
      </c>
      <c r="IX295">
        <v>1143253</v>
      </c>
      <c r="IY295">
        <v>126</v>
      </c>
      <c r="JA295" s="24"/>
      <c r="JB295">
        <v>90000000</v>
      </c>
      <c r="JC295">
        <v>98489976</v>
      </c>
      <c r="JD295">
        <v>93354999</v>
      </c>
      <c r="JE295">
        <v>162</v>
      </c>
      <c r="JF295">
        <v>93</v>
      </c>
      <c r="JH295" s="24"/>
      <c r="JI295">
        <v>90211000</v>
      </c>
      <c r="JJ295">
        <v>94994999</v>
      </c>
      <c r="JK295">
        <v>90216001</v>
      </c>
      <c r="JL295">
        <v>144</v>
      </c>
      <c r="JM295">
        <v>59</v>
      </c>
      <c r="JO295" s="24"/>
      <c r="JP295">
        <v>113</v>
      </c>
      <c r="JQ295">
        <v>117</v>
      </c>
      <c r="JR295">
        <v>115</v>
      </c>
      <c r="JS295">
        <v>128328121</v>
      </c>
      <c r="JT295">
        <v>119</v>
      </c>
      <c r="JV295" s="24"/>
      <c r="JW295">
        <v>100</v>
      </c>
      <c r="JX295">
        <v>102</v>
      </c>
      <c r="JY295">
        <v>102</v>
      </c>
      <c r="JZ295">
        <v>108545582</v>
      </c>
      <c r="KA295">
        <v>94</v>
      </c>
      <c r="KC295" s="24"/>
      <c r="KD295">
        <v>22</v>
      </c>
      <c r="KE295">
        <v>22</v>
      </c>
      <c r="KF295">
        <v>22</v>
      </c>
      <c r="KG295">
        <v>40513122</v>
      </c>
      <c r="KH295">
        <v>319</v>
      </c>
      <c r="KJ295" s="24"/>
      <c r="KK295">
        <v>121</v>
      </c>
      <c r="KL295">
        <v>125</v>
      </c>
      <c r="KM295">
        <v>124</v>
      </c>
      <c r="KN295">
        <v>144387887</v>
      </c>
      <c r="KO295">
        <v>137</v>
      </c>
      <c r="KQ295" s="24"/>
      <c r="KR295">
        <v>122004</v>
      </c>
      <c r="KS295">
        <v>125000</v>
      </c>
      <c r="KT295">
        <v>123001</v>
      </c>
      <c r="KU295">
        <v>82144</v>
      </c>
      <c r="KV295">
        <v>623</v>
      </c>
      <c r="KX295" s="24"/>
      <c r="KY295">
        <v>720</v>
      </c>
      <c r="KZ295">
        <v>721</v>
      </c>
      <c r="LA295">
        <v>721</v>
      </c>
      <c r="LB295">
        <v>4544887</v>
      </c>
      <c r="LC295">
        <v>163</v>
      </c>
      <c r="LE295" s="24"/>
      <c r="LF295">
        <v>177000</v>
      </c>
      <c r="LG295">
        <v>184898</v>
      </c>
      <c r="LH295">
        <v>183109</v>
      </c>
      <c r="LI295">
        <v>249692</v>
      </c>
      <c r="LJ295">
        <v>777</v>
      </c>
      <c r="LL295" s="24"/>
      <c r="LM295">
        <v>70595</v>
      </c>
      <c r="LN295">
        <v>70596</v>
      </c>
      <c r="LO295">
        <v>70596</v>
      </c>
      <c r="LP295">
        <v>495115</v>
      </c>
      <c r="LQ295">
        <v>1089</v>
      </c>
      <c r="LS295" s="24"/>
      <c r="LT295">
        <v>456</v>
      </c>
      <c r="LU295">
        <v>468</v>
      </c>
      <c r="LV295">
        <v>467</v>
      </c>
      <c r="LW295">
        <v>109186696</v>
      </c>
      <c r="LX295">
        <v>365</v>
      </c>
      <c r="LZ295" s="24"/>
      <c r="MA295">
        <v>87530</v>
      </c>
      <c r="MB295">
        <v>88999</v>
      </c>
      <c r="MC295">
        <v>88500</v>
      </c>
      <c r="MD295">
        <v>1321917</v>
      </c>
      <c r="ME295">
        <v>115</v>
      </c>
    </row>
    <row r="296" spans="2:343" x14ac:dyDescent="0.25">
      <c r="B296" s="24"/>
      <c r="C296">
        <v>3</v>
      </c>
      <c r="D296">
        <v>3</v>
      </c>
      <c r="E296">
        <v>3</v>
      </c>
      <c r="F296">
        <v>27338588419</v>
      </c>
      <c r="G296">
        <v>1951</v>
      </c>
      <c r="I296" s="24"/>
      <c r="J296">
        <v>4</v>
      </c>
      <c r="K296">
        <v>4</v>
      </c>
      <c r="L296">
        <v>4</v>
      </c>
      <c r="M296">
        <v>4378833334</v>
      </c>
      <c r="N296">
        <v>1334</v>
      </c>
      <c r="P296" s="24"/>
      <c r="Q296">
        <v>30</v>
      </c>
      <c r="R296">
        <v>30</v>
      </c>
      <c r="S296">
        <v>30</v>
      </c>
      <c r="T296">
        <v>1483029925</v>
      </c>
      <c r="U296">
        <v>1305</v>
      </c>
      <c r="W296" s="24"/>
      <c r="X296">
        <v>59</v>
      </c>
      <c r="Y296">
        <v>60</v>
      </c>
      <c r="Z296">
        <v>60</v>
      </c>
      <c r="AA296">
        <v>358312700</v>
      </c>
      <c r="AB296">
        <v>1000</v>
      </c>
      <c r="AD296" s="24"/>
      <c r="AE296">
        <v>410</v>
      </c>
      <c r="AF296">
        <v>418</v>
      </c>
      <c r="AG296">
        <v>413</v>
      </c>
      <c r="AH296">
        <v>67332844</v>
      </c>
      <c r="AI296">
        <v>1106</v>
      </c>
      <c r="AK296" s="24"/>
      <c r="AL296">
        <v>711</v>
      </c>
      <c r="AM296">
        <v>729</v>
      </c>
      <c r="AN296">
        <v>724</v>
      </c>
      <c r="AO296">
        <v>20742796</v>
      </c>
      <c r="AP296">
        <v>842</v>
      </c>
      <c r="AR296" s="24"/>
      <c r="AS296">
        <v>2850</v>
      </c>
      <c r="AT296">
        <v>2979</v>
      </c>
      <c r="AU296">
        <v>2861</v>
      </c>
      <c r="AV296">
        <v>9538614</v>
      </c>
      <c r="AW296">
        <v>903</v>
      </c>
      <c r="AY296" s="24"/>
      <c r="AZ296">
        <v>375329350</v>
      </c>
      <c r="BA296">
        <v>381500000</v>
      </c>
      <c r="BB296">
        <v>379699000</v>
      </c>
      <c r="BC296">
        <v>2510</v>
      </c>
      <c r="BD296">
        <v>1645</v>
      </c>
      <c r="BF296" s="24"/>
      <c r="BG296">
        <v>24715</v>
      </c>
      <c r="BH296">
        <v>24715</v>
      </c>
      <c r="BI296">
        <v>24715</v>
      </c>
      <c r="BJ296">
        <v>2675593</v>
      </c>
      <c r="BK296">
        <v>221</v>
      </c>
      <c r="BM296" s="24"/>
      <c r="BN296">
        <v>6445000</v>
      </c>
      <c r="BO296">
        <v>6473002</v>
      </c>
      <c r="BP296">
        <v>6449001</v>
      </c>
      <c r="BQ296">
        <v>10388</v>
      </c>
      <c r="BR296">
        <v>283</v>
      </c>
      <c r="BT296" s="24"/>
      <c r="BU296">
        <v>2009</v>
      </c>
      <c r="BV296">
        <v>2050</v>
      </c>
      <c r="BW296">
        <v>2050</v>
      </c>
      <c r="BX296">
        <v>20068257</v>
      </c>
      <c r="BY296">
        <v>218</v>
      </c>
      <c r="CA296" s="24"/>
      <c r="CB296">
        <v>446</v>
      </c>
      <c r="CC296">
        <v>465</v>
      </c>
      <c r="CD296">
        <v>447</v>
      </c>
      <c r="CE296">
        <v>281185500</v>
      </c>
      <c r="CF296">
        <v>350</v>
      </c>
      <c r="CH296" s="24"/>
      <c r="CI296">
        <v>23648</v>
      </c>
      <c r="CJ296">
        <v>23661</v>
      </c>
      <c r="CK296">
        <v>23650</v>
      </c>
      <c r="CL296">
        <v>1781388</v>
      </c>
      <c r="CM296">
        <v>189</v>
      </c>
      <c r="CO296" s="24"/>
      <c r="CP296">
        <v>7154</v>
      </c>
      <c r="CQ296">
        <v>7589</v>
      </c>
      <c r="CR296">
        <v>7479</v>
      </c>
      <c r="CS296">
        <v>1264462</v>
      </c>
      <c r="CT296">
        <v>349</v>
      </c>
      <c r="CV296" s="24"/>
      <c r="CW296">
        <v>1250000</v>
      </c>
      <c r="CX296">
        <v>1300117</v>
      </c>
      <c r="CY296">
        <v>1250000</v>
      </c>
      <c r="CZ296">
        <v>9779</v>
      </c>
      <c r="DA296">
        <v>35</v>
      </c>
      <c r="DC296" s="24"/>
      <c r="DD296">
        <v>445</v>
      </c>
      <c r="DE296">
        <v>463</v>
      </c>
      <c r="DF296">
        <v>463</v>
      </c>
      <c r="DG296">
        <v>44246228</v>
      </c>
      <c r="DH296">
        <v>174</v>
      </c>
      <c r="DJ296" s="24"/>
      <c r="DK296">
        <v>31500000</v>
      </c>
      <c r="DL296">
        <v>31501002</v>
      </c>
      <c r="DM296">
        <v>31501001</v>
      </c>
      <c r="DN296">
        <v>550</v>
      </c>
      <c r="DO296">
        <v>73</v>
      </c>
      <c r="DQ296" s="24"/>
      <c r="DR296">
        <v>1301006</v>
      </c>
      <c r="DS296">
        <v>1365553</v>
      </c>
      <c r="DT296">
        <v>1301007</v>
      </c>
      <c r="DU296">
        <v>9236</v>
      </c>
      <c r="DV296">
        <v>227</v>
      </c>
      <c r="DX296" s="24"/>
      <c r="DY296">
        <v>22002234</v>
      </c>
      <c r="DZ296">
        <v>22747998</v>
      </c>
      <c r="EA296">
        <v>22100024</v>
      </c>
      <c r="EB296">
        <v>432</v>
      </c>
      <c r="EC296">
        <v>99</v>
      </c>
      <c r="EE296" s="24"/>
      <c r="EF296">
        <v>198</v>
      </c>
      <c r="EG296">
        <v>206</v>
      </c>
      <c r="EH296">
        <v>201</v>
      </c>
      <c r="EI296">
        <v>64365723</v>
      </c>
      <c r="EJ296">
        <v>168</v>
      </c>
      <c r="EL296" s="24"/>
      <c r="EM296">
        <v>56700</v>
      </c>
      <c r="EN296">
        <v>58233</v>
      </c>
      <c r="EO296">
        <v>57000</v>
      </c>
      <c r="EP296">
        <v>69069</v>
      </c>
      <c r="EQ296">
        <v>574</v>
      </c>
      <c r="ES296" s="24"/>
      <c r="ET296">
        <v>286</v>
      </c>
      <c r="EU296">
        <v>295</v>
      </c>
      <c r="EV296">
        <v>287</v>
      </c>
      <c r="EW296">
        <v>44469161</v>
      </c>
      <c r="EX296">
        <v>487</v>
      </c>
      <c r="EZ296" s="24"/>
      <c r="FA296">
        <v>3202000</v>
      </c>
      <c r="FB296">
        <v>3300002</v>
      </c>
      <c r="FC296">
        <v>3202000</v>
      </c>
      <c r="FD296">
        <v>1448</v>
      </c>
      <c r="FE296">
        <v>19</v>
      </c>
      <c r="FG296" s="24"/>
      <c r="FH296">
        <v>8007</v>
      </c>
      <c r="FI296">
        <v>8599</v>
      </c>
      <c r="FJ296">
        <v>8397</v>
      </c>
      <c r="FK296">
        <v>2221709</v>
      </c>
      <c r="FL296">
        <v>467</v>
      </c>
      <c r="FN296" s="24"/>
      <c r="FO296">
        <v>17874</v>
      </c>
      <c r="FP296">
        <v>17874</v>
      </c>
      <c r="FQ296">
        <v>17874</v>
      </c>
      <c r="FR296">
        <v>95711</v>
      </c>
      <c r="FS296">
        <v>70</v>
      </c>
      <c r="FU296" s="24"/>
      <c r="FV296">
        <v>15006</v>
      </c>
      <c r="FW296">
        <v>15999</v>
      </c>
      <c r="FX296">
        <v>15100</v>
      </c>
      <c r="FY296">
        <v>301559</v>
      </c>
      <c r="FZ296">
        <v>962</v>
      </c>
      <c r="GB296" s="24"/>
      <c r="GC296">
        <v>91700001</v>
      </c>
      <c r="GD296">
        <v>92300001</v>
      </c>
      <c r="GE296">
        <v>92000030</v>
      </c>
      <c r="GF296">
        <v>187</v>
      </c>
      <c r="GG296">
        <v>81</v>
      </c>
      <c r="GI296" s="24"/>
      <c r="GJ296">
        <v>20110002</v>
      </c>
      <c r="GK296">
        <v>21097994</v>
      </c>
      <c r="GL296">
        <v>20800000</v>
      </c>
      <c r="GM296">
        <v>596</v>
      </c>
      <c r="GN296">
        <v>81</v>
      </c>
      <c r="GP296" s="24"/>
      <c r="GQ296">
        <v>112</v>
      </c>
      <c r="GR296">
        <v>117</v>
      </c>
      <c r="GS296">
        <v>115</v>
      </c>
      <c r="GT296">
        <v>154007428</v>
      </c>
      <c r="GU296">
        <v>138</v>
      </c>
      <c r="GW296" s="24"/>
      <c r="GX296">
        <v>427</v>
      </c>
      <c r="GY296">
        <v>427</v>
      </c>
      <c r="GZ296">
        <v>427</v>
      </c>
      <c r="HA296">
        <v>42144330</v>
      </c>
      <c r="HB296">
        <v>177</v>
      </c>
      <c r="HD296" s="24"/>
      <c r="HE296">
        <v>5113</v>
      </c>
      <c r="HF296">
        <v>5209</v>
      </c>
      <c r="HG296">
        <v>5208</v>
      </c>
      <c r="HH296">
        <v>15183331</v>
      </c>
      <c r="HI296">
        <v>281</v>
      </c>
      <c r="HK296" s="24"/>
      <c r="HL296">
        <v>89047002</v>
      </c>
      <c r="HM296">
        <v>94999990</v>
      </c>
      <c r="HN296">
        <v>92608057</v>
      </c>
      <c r="HO296">
        <v>120</v>
      </c>
      <c r="HP296">
        <v>83</v>
      </c>
      <c r="HR296" s="24"/>
      <c r="HS296">
        <v>8418</v>
      </c>
      <c r="HT296">
        <v>8796</v>
      </c>
      <c r="HU296">
        <v>8599</v>
      </c>
      <c r="HV296">
        <v>873296</v>
      </c>
      <c r="HW296">
        <v>195</v>
      </c>
      <c r="HY296" s="24"/>
      <c r="HZ296">
        <v>7090</v>
      </c>
      <c r="IA296">
        <v>7368</v>
      </c>
      <c r="IB296">
        <v>7349</v>
      </c>
      <c r="IC296">
        <v>1973136</v>
      </c>
      <c r="ID296">
        <v>400</v>
      </c>
      <c r="IF296" s="24"/>
      <c r="IG296">
        <v>3175</v>
      </c>
      <c r="IH296">
        <v>3286</v>
      </c>
      <c r="II296">
        <v>3177</v>
      </c>
      <c r="IJ296">
        <v>1927199</v>
      </c>
      <c r="IK296">
        <v>156</v>
      </c>
      <c r="IM296" s="24"/>
      <c r="IN296">
        <v>95005105</v>
      </c>
      <c r="IO296">
        <v>96001002</v>
      </c>
      <c r="IP296">
        <v>96000000</v>
      </c>
      <c r="IQ296">
        <v>220</v>
      </c>
      <c r="IR296">
        <v>78</v>
      </c>
      <c r="IT296" s="24"/>
      <c r="IU296">
        <v>7390</v>
      </c>
      <c r="IV296">
        <v>7390</v>
      </c>
      <c r="IW296">
        <v>7390</v>
      </c>
      <c r="IX296">
        <v>704114</v>
      </c>
      <c r="IY296">
        <v>125</v>
      </c>
      <c r="JA296" s="24"/>
      <c r="JB296">
        <v>89335001</v>
      </c>
      <c r="JC296">
        <v>99027770</v>
      </c>
      <c r="JD296">
        <v>89335012</v>
      </c>
      <c r="JE296">
        <v>105</v>
      </c>
      <c r="JF296">
        <v>65</v>
      </c>
      <c r="JH296" s="24"/>
      <c r="JI296">
        <v>90264501</v>
      </c>
      <c r="JJ296">
        <v>108794490</v>
      </c>
      <c r="JK296">
        <v>105670455</v>
      </c>
      <c r="JL296">
        <v>26</v>
      </c>
      <c r="JM296">
        <v>26</v>
      </c>
      <c r="JO296" s="24"/>
      <c r="JP296">
        <v>112</v>
      </c>
      <c r="JQ296">
        <v>114</v>
      </c>
      <c r="JR296">
        <v>113</v>
      </c>
      <c r="JS296">
        <v>81013511</v>
      </c>
      <c r="JT296">
        <v>96</v>
      </c>
      <c r="JV296" s="24"/>
      <c r="JW296">
        <v>101</v>
      </c>
      <c r="JX296">
        <v>106</v>
      </c>
      <c r="JY296">
        <v>104</v>
      </c>
      <c r="JZ296">
        <v>119197690</v>
      </c>
      <c r="KA296">
        <v>124</v>
      </c>
      <c r="KC296" s="24"/>
      <c r="KD296">
        <v>21</v>
      </c>
      <c r="KE296">
        <v>22</v>
      </c>
      <c r="KF296">
        <v>21</v>
      </c>
      <c r="KG296">
        <v>70912998</v>
      </c>
      <c r="KH296">
        <v>330</v>
      </c>
      <c r="KJ296" s="24"/>
      <c r="KK296">
        <v>121</v>
      </c>
      <c r="KL296">
        <v>125</v>
      </c>
      <c r="KM296">
        <v>125</v>
      </c>
      <c r="KN296">
        <v>91058755</v>
      </c>
      <c r="KO296">
        <v>119</v>
      </c>
      <c r="KQ296" s="24"/>
      <c r="KR296">
        <v>122050</v>
      </c>
      <c r="KS296">
        <v>125001</v>
      </c>
      <c r="KT296">
        <v>125000</v>
      </c>
      <c r="KU296">
        <v>78399</v>
      </c>
      <c r="KV296">
        <v>524</v>
      </c>
      <c r="KX296" s="24"/>
      <c r="KY296">
        <v>702</v>
      </c>
      <c r="KZ296">
        <v>720</v>
      </c>
      <c r="LA296">
        <v>720</v>
      </c>
      <c r="LB296">
        <v>6202619</v>
      </c>
      <c r="LC296">
        <v>183</v>
      </c>
      <c r="LE296" s="24"/>
      <c r="LF296">
        <v>181004</v>
      </c>
      <c r="LG296">
        <v>183000</v>
      </c>
      <c r="LH296">
        <v>181007</v>
      </c>
      <c r="LI296">
        <v>212628</v>
      </c>
      <c r="LJ296">
        <v>752</v>
      </c>
      <c r="LL296" s="24"/>
      <c r="LM296">
        <v>70560</v>
      </c>
      <c r="LN296">
        <v>72299</v>
      </c>
      <c r="LO296">
        <v>70561</v>
      </c>
      <c r="LP296">
        <v>371120</v>
      </c>
      <c r="LQ296">
        <v>1047</v>
      </c>
      <c r="LS296" s="24"/>
      <c r="LT296">
        <v>455</v>
      </c>
      <c r="LU296">
        <v>466</v>
      </c>
      <c r="LV296">
        <v>465</v>
      </c>
      <c r="LW296">
        <v>71239098</v>
      </c>
      <c r="LX296">
        <v>312</v>
      </c>
      <c r="LZ296" s="24"/>
      <c r="MA296">
        <v>85500</v>
      </c>
      <c r="MB296">
        <v>87499</v>
      </c>
      <c r="MC296">
        <v>87158</v>
      </c>
      <c r="MD296">
        <v>1236559</v>
      </c>
      <c r="ME296">
        <v>123</v>
      </c>
    </row>
    <row r="297" spans="2:343" x14ac:dyDescent="0.25">
      <c r="B297" s="24"/>
      <c r="C297">
        <v>3</v>
      </c>
      <c r="D297">
        <v>3</v>
      </c>
      <c r="E297">
        <v>3</v>
      </c>
      <c r="F297">
        <v>43213925739</v>
      </c>
      <c r="G297">
        <v>2010</v>
      </c>
      <c r="I297" s="24"/>
      <c r="J297">
        <v>4</v>
      </c>
      <c r="K297">
        <v>4</v>
      </c>
      <c r="L297">
        <v>4</v>
      </c>
      <c r="M297">
        <v>10879879356</v>
      </c>
      <c r="N297">
        <v>1394</v>
      </c>
      <c r="P297" s="24"/>
      <c r="Q297">
        <v>30</v>
      </c>
      <c r="R297">
        <v>31</v>
      </c>
      <c r="S297">
        <v>30</v>
      </c>
      <c r="T297">
        <v>1975893499</v>
      </c>
      <c r="U297">
        <v>1377</v>
      </c>
      <c r="W297" s="24"/>
      <c r="X297">
        <v>59</v>
      </c>
      <c r="Y297">
        <v>60</v>
      </c>
      <c r="Z297">
        <v>60</v>
      </c>
      <c r="AA297">
        <v>588786632</v>
      </c>
      <c r="AB297">
        <v>1129</v>
      </c>
      <c r="AD297" s="24"/>
      <c r="AE297">
        <v>410</v>
      </c>
      <c r="AF297">
        <v>418</v>
      </c>
      <c r="AG297">
        <v>416</v>
      </c>
      <c r="AH297">
        <v>123092799</v>
      </c>
      <c r="AI297">
        <v>1152</v>
      </c>
      <c r="AK297" s="24"/>
      <c r="AL297">
        <v>712</v>
      </c>
      <c r="AM297">
        <v>725</v>
      </c>
      <c r="AN297">
        <v>725</v>
      </c>
      <c r="AO297">
        <v>32596324</v>
      </c>
      <c r="AP297">
        <v>909</v>
      </c>
      <c r="AR297" s="24"/>
      <c r="AS297">
        <v>2810</v>
      </c>
      <c r="AT297">
        <v>2899</v>
      </c>
      <c r="AU297">
        <v>2825</v>
      </c>
      <c r="AV297">
        <v>16033674</v>
      </c>
      <c r="AW297">
        <v>942</v>
      </c>
      <c r="AY297" s="24"/>
      <c r="AZ297">
        <v>380900143</v>
      </c>
      <c r="BA297">
        <v>387999974</v>
      </c>
      <c r="BB297">
        <v>382650722</v>
      </c>
      <c r="BC297">
        <v>2359</v>
      </c>
      <c r="BD297">
        <v>1563</v>
      </c>
      <c r="BF297" s="24"/>
      <c r="BG297">
        <v>24711</v>
      </c>
      <c r="BH297">
        <v>25400</v>
      </c>
      <c r="BI297">
        <v>24715</v>
      </c>
      <c r="BJ297">
        <v>3312424</v>
      </c>
      <c r="BK297">
        <v>209</v>
      </c>
      <c r="BM297" s="24"/>
      <c r="BN297">
        <v>6480033</v>
      </c>
      <c r="BO297">
        <v>6650000</v>
      </c>
      <c r="BP297">
        <v>6550000</v>
      </c>
      <c r="BQ297">
        <v>11759</v>
      </c>
      <c r="BR297">
        <v>319</v>
      </c>
      <c r="BT297" s="24"/>
      <c r="BU297">
        <v>2010</v>
      </c>
      <c r="BV297">
        <v>2049</v>
      </c>
      <c r="BW297">
        <v>2043</v>
      </c>
      <c r="BX297">
        <v>21902971</v>
      </c>
      <c r="BY297">
        <v>211</v>
      </c>
      <c r="CA297" s="24"/>
      <c r="CB297">
        <v>528</v>
      </c>
      <c r="CC297">
        <v>599</v>
      </c>
      <c r="CD297">
        <v>549</v>
      </c>
      <c r="CE297">
        <v>211250827</v>
      </c>
      <c r="CF297">
        <v>391</v>
      </c>
      <c r="CH297" s="24"/>
      <c r="CI297">
        <v>23681</v>
      </c>
      <c r="CJ297">
        <v>24800</v>
      </c>
      <c r="CK297">
        <v>24000</v>
      </c>
      <c r="CL297">
        <v>855254</v>
      </c>
      <c r="CM297">
        <v>172</v>
      </c>
      <c r="CO297" s="24"/>
      <c r="CP297">
        <v>7211</v>
      </c>
      <c r="CQ297">
        <v>7498</v>
      </c>
      <c r="CR297">
        <v>7497</v>
      </c>
      <c r="CS297">
        <v>934933</v>
      </c>
      <c r="CT297">
        <v>276</v>
      </c>
      <c r="CV297" s="24"/>
      <c r="CW297">
        <v>1260000</v>
      </c>
      <c r="CX297">
        <v>1310995</v>
      </c>
      <c r="CY297">
        <v>1310995</v>
      </c>
      <c r="CZ297">
        <v>10124</v>
      </c>
      <c r="DA297">
        <v>29</v>
      </c>
      <c r="DC297" s="24"/>
      <c r="DD297">
        <v>438</v>
      </c>
      <c r="DE297">
        <v>454</v>
      </c>
      <c r="DF297">
        <v>439</v>
      </c>
      <c r="DG297">
        <v>56142500</v>
      </c>
      <c r="DH297">
        <v>173</v>
      </c>
      <c r="DJ297" s="24"/>
      <c r="DK297">
        <v>31700000</v>
      </c>
      <c r="DL297">
        <v>32099900</v>
      </c>
      <c r="DM297">
        <v>31707007</v>
      </c>
      <c r="DN297">
        <v>347</v>
      </c>
      <c r="DO297">
        <v>81</v>
      </c>
      <c r="DQ297" s="24"/>
      <c r="DR297">
        <v>1317015</v>
      </c>
      <c r="DS297">
        <v>1398997</v>
      </c>
      <c r="DT297">
        <v>1340000</v>
      </c>
      <c r="DU297">
        <v>12067</v>
      </c>
      <c r="DV297">
        <v>234</v>
      </c>
      <c r="DX297" s="24"/>
      <c r="DY297">
        <v>22222223</v>
      </c>
      <c r="DZ297">
        <v>23046986</v>
      </c>
      <c r="EA297">
        <v>22365361</v>
      </c>
      <c r="EB297">
        <v>425</v>
      </c>
      <c r="EC297">
        <v>92</v>
      </c>
      <c r="EE297" s="24"/>
      <c r="EF297">
        <v>200</v>
      </c>
      <c r="EG297">
        <v>204</v>
      </c>
      <c r="EH297">
        <v>204</v>
      </c>
      <c r="EI297">
        <v>97619469</v>
      </c>
      <c r="EJ297">
        <v>177</v>
      </c>
      <c r="EL297" s="24"/>
      <c r="EM297">
        <v>57000</v>
      </c>
      <c r="EN297">
        <v>57000</v>
      </c>
      <c r="EO297">
        <v>57000</v>
      </c>
      <c r="EP297">
        <v>69848</v>
      </c>
      <c r="EQ297">
        <v>534</v>
      </c>
      <c r="ES297" s="24"/>
      <c r="ET297">
        <v>287</v>
      </c>
      <c r="EU297">
        <v>295</v>
      </c>
      <c r="EV297">
        <v>287</v>
      </c>
      <c r="EW297">
        <v>53315757</v>
      </c>
      <c r="EX297">
        <v>525</v>
      </c>
      <c r="EZ297" s="24"/>
      <c r="FA297">
        <v>3427999</v>
      </c>
      <c r="FB297">
        <v>3427999</v>
      </c>
      <c r="FC297">
        <v>3427999</v>
      </c>
      <c r="FD297">
        <v>2482</v>
      </c>
      <c r="FE297">
        <v>26</v>
      </c>
      <c r="FG297" s="24"/>
      <c r="FH297">
        <v>8000</v>
      </c>
      <c r="FI297">
        <v>8296</v>
      </c>
      <c r="FJ297">
        <v>8198</v>
      </c>
      <c r="FK297">
        <v>1398281</v>
      </c>
      <c r="FL297">
        <v>371</v>
      </c>
      <c r="FN297" s="24"/>
      <c r="FO297">
        <v>17874</v>
      </c>
      <c r="FP297">
        <v>17877</v>
      </c>
      <c r="FQ297">
        <v>17874</v>
      </c>
      <c r="FR297">
        <v>192640</v>
      </c>
      <c r="FS297">
        <v>79</v>
      </c>
      <c r="FU297" s="24"/>
      <c r="FV297">
        <v>15007</v>
      </c>
      <c r="FW297">
        <v>15105</v>
      </c>
      <c r="FX297">
        <v>15008</v>
      </c>
      <c r="FY297">
        <v>306214</v>
      </c>
      <c r="FZ297">
        <v>983</v>
      </c>
      <c r="GB297" s="24"/>
      <c r="GC297">
        <v>85016004</v>
      </c>
      <c r="GD297">
        <v>89999999</v>
      </c>
      <c r="GE297">
        <v>88846003</v>
      </c>
      <c r="GF297">
        <v>206</v>
      </c>
      <c r="GG297">
        <v>102</v>
      </c>
      <c r="GI297" s="24"/>
      <c r="GJ297">
        <v>20110002</v>
      </c>
      <c r="GK297">
        <v>21092999</v>
      </c>
      <c r="GL297">
        <v>20220220</v>
      </c>
      <c r="GM297">
        <v>429</v>
      </c>
      <c r="GN297">
        <v>71</v>
      </c>
      <c r="GP297" s="24"/>
      <c r="GQ297">
        <v>117</v>
      </c>
      <c r="GR297">
        <v>118</v>
      </c>
      <c r="GS297">
        <v>117</v>
      </c>
      <c r="GT297">
        <v>117754382</v>
      </c>
      <c r="GU297">
        <v>143</v>
      </c>
      <c r="GW297" s="24"/>
      <c r="GX297">
        <v>427</v>
      </c>
      <c r="GY297">
        <v>427</v>
      </c>
      <c r="GZ297">
        <v>427</v>
      </c>
      <c r="HA297">
        <v>45324316</v>
      </c>
      <c r="HB297">
        <v>179</v>
      </c>
      <c r="HD297" s="24"/>
      <c r="HE297">
        <v>5070</v>
      </c>
      <c r="HF297">
        <v>5209</v>
      </c>
      <c r="HG297">
        <v>5208</v>
      </c>
      <c r="HH297">
        <v>16794003</v>
      </c>
      <c r="HI297">
        <v>278</v>
      </c>
      <c r="HK297" s="24"/>
      <c r="HL297">
        <v>85500001</v>
      </c>
      <c r="HM297">
        <v>89031000</v>
      </c>
      <c r="HN297">
        <v>87613000</v>
      </c>
      <c r="HO297">
        <v>244</v>
      </c>
      <c r="HP297">
        <v>96</v>
      </c>
      <c r="HR297" s="24"/>
      <c r="HS297">
        <v>8418</v>
      </c>
      <c r="HT297">
        <v>8590</v>
      </c>
      <c r="HU297">
        <v>8589</v>
      </c>
      <c r="HV297">
        <v>719432</v>
      </c>
      <c r="HW297">
        <v>158</v>
      </c>
      <c r="HY297" s="24"/>
      <c r="HZ297">
        <v>7150</v>
      </c>
      <c r="IA297">
        <v>7335</v>
      </c>
      <c r="IB297">
        <v>7331</v>
      </c>
      <c r="IC297">
        <v>1515415</v>
      </c>
      <c r="ID297">
        <v>323</v>
      </c>
      <c r="IF297" s="24"/>
      <c r="IG297">
        <v>3211</v>
      </c>
      <c r="IH297">
        <v>3284</v>
      </c>
      <c r="II297">
        <v>3283</v>
      </c>
      <c r="IJ297">
        <v>1806838</v>
      </c>
      <c r="IK297">
        <v>121</v>
      </c>
      <c r="IM297" s="24"/>
      <c r="IN297">
        <v>85719000</v>
      </c>
      <c r="IO297">
        <v>89999999</v>
      </c>
      <c r="IP297">
        <v>87928000</v>
      </c>
      <c r="IQ297">
        <v>164</v>
      </c>
      <c r="IR297">
        <v>76</v>
      </c>
      <c r="IT297" s="24"/>
      <c r="IU297">
        <v>7213</v>
      </c>
      <c r="IV297">
        <v>7389</v>
      </c>
      <c r="IW297">
        <v>7389</v>
      </c>
      <c r="IX297">
        <v>1326690</v>
      </c>
      <c r="IY297">
        <v>120</v>
      </c>
      <c r="JA297" s="24"/>
      <c r="JB297">
        <v>85705310</v>
      </c>
      <c r="JC297">
        <v>89337000</v>
      </c>
      <c r="JD297">
        <v>89123000</v>
      </c>
      <c r="JE297">
        <v>248</v>
      </c>
      <c r="JF297">
        <v>128</v>
      </c>
      <c r="JH297" s="24"/>
      <c r="JI297">
        <v>85612203</v>
      </c>
      <c r="JJ297">
        <v>90505001</v>
      </c>
      <c r="JK297">
        <v>86310066</v>
      </c>
      <c r="JL297">
        <v>186</v>
      </c>
      <c r="JM297">
        <v>92</v>
      </c>
      <c r="JO297" s="24"/>
      <c r="JP297">
        <v>108</v>
      </c>
      <c r="JQ297">
        <v>113</v>
      </c>
      <c r="JR297">
        <v>112</v>
      </c>
      <c r="JS297">
        <v>189433572</v>
      </c>
      <c r="JT297">
        <v>139</v>
      </c>
      <c r="JV297" s="24"/>
      <c r="JW297">
        <v>102</v>
      </c>
      <c r="JX297">
        <v>107</v>
      </c>
      <c r="JY297">
        <v>106</v>
      </c>
      <c r="JZ297">
        <v>84930386</v>
      </c>
      <c r="KA297">
        <v>89</v>
      </c>
      <c r="KC297" s="24"/>
      <c r="KD297">
        <v>21</v>
      </c>
      <c r="KE297">
        <v>22</v>
      </c>
      <c r="KF297">
        <v>21</v>
      </c>
      <c r="KG297">
        <v>64003585</v>
      </c>
      <c r="KH297">
        <v>258</v>
      </c>
      <c r="KJ297" s="24"/>
      <c r="KK297">
        <v>121</v>
      </c>
      <c r="KL297">
        <v>125</v>
      </c>
      <c r="KM297">
        <v>125</v>
      </c>
      <c r="KN297">
        <v>82308975</v>
      </c>
      <c r="KO297">
        <v>95</v>
      </c>
      <c r="KQ297" s="24"/>
      <c r="KR297">
        <v>122006</v>
      </c>
      <c r="KS297">
        <v>122015</v>
      </c>
      <c r="KT297">
        <v>122009</v>
      </c>
      <c r="KU297">
        <v>101693</v>
      </c>
      <c r="KV297">
        <v>538</v>
      </c>
      <c r="KX297" s="24"/>
      <c r="KY297">
        <v>720</v>
      </c>
      <c r="KZ297">
        <v>721</v>
      </c>
      <c r="LA297">
        <v>721</v>
      </c>
      <c r="LB297">
        <v>6486650</v>
      </c>
      <c r="LC297">
        <v>158</v>
      </c>
      <c r="LE297" s="24"/>
      <c r="LF297">
        <v>181007</v>
      </c>
      <c r="LG297">
        <v>183500</v>
      </c>
      <c r="LH297">
        <v>181010</v>
      </c>
      <c r="LI297">
        <v>163309</v>
      </c>
      <c r="LJ297">
        <v>750</v>
      </c>
      <c r="LL297" s="24"/>
      <c r="LM297">
        <v>65006</v>
      </c>
      <c r="LN297">
        <v>70543</v>
      </c>
      <c r="LO297">
        <v>68999</v>
      </c>
      <c r="LP297">
        <v>367308</v>
      </c>
      <c r="LQ297">
        <v>1028</v>
      </c>
      <c r="LS297" s="24"/>
      <c r="LT297">
        <v>463</v>
      </c>
      <c r="LU297">
        <v>465</v>
      </c>
      <c r="LV297">
        <v>465</v>
      </c>
      <c r="LW297">
        <v>73157687</v>
      </c>
      <c r="LX297">
        <v>293</v>
      </c>
      <c r="LZ297" s="24"/>
      <c r="MA297">
        <v>94489</v>
      </c>
      <c r="MB297">
        <v>99999</v>
      </c>
      <c r="MC297">
        <v>98498</v>
      </c>
      <c r="MD297">
        <v>1294159</v>
      </c>
      <c r="ME297">
        <v>105</v>
      </c>
    </row>
    <row r="298" spans="2:343" x14ac:dyDescent="0.25">
      <c r="B298" s="24"/>
      <c r="C298">
        <v>3</v>
      </c>
      <c r="D298">
        <v>3</v>
      </c>
      <c r="E298">
        <v>3</v>
      </c>
      <c r="F298">
        <v>29537945506</v>
      </c>
      <c r="G298">
        <v>2036</v>
      </c>
      <c r="I298" s="24"/>
      <c r="J298">
        <v>4</v>
      </c>
      <c r="K298">
        <v>4</v>
      </c>
      <c r="L298">
        <v>4</v>
      </c>
      <c r="M298">
        <v>6035293462</v>
      </c>
      <c r="N298">
        <v>1522</v>
      </c>
      <c r="P298" s="24"/>
      <c r="Q298">
        <v>31</v>
      </c>
      <c r="R298">
        <v>32</v>
      </c>
      <c r="S298">
        <v>32</v>
      </c>
      <c r="T298">
        <v>1828502149</v>
      </c>
      <c r="U298">
        <v>1505</v>
      </c>
      <c r="W298" s="24"/>
      <c r="X298">
        <v>59</v>
      </c>
      <c r="Y298">
        <v>63</v>
      </c>
      <c r="Z298">
        <v>62</v>
      </c>
      <c r="AA298">
        <v>337740122</v>
      </c>
      <c r="AB298">
        <v>1184</v>
      </c>
      <c r="AD298" s="24"/>
      <c r="AE298">
        <v>410</v>
      </c>
      <c r="AF298">
        <v>414</v>
      </c>
      <c r="AG298">
        <v>414</v>
      </c>
      <c r="AH298">
        <v>92068634</v>
      </c>
      <c r="AI298">
        <v>1123</v>
      </c>
      <c r="AK298" s="24"/>
      <c r="AL298">
        <v>714</v>
      </c>
      <c r="AM298">
        <v>724</v>
      </c>
      <c r="AN298">
        <v>714</v>
      </c>
      <c r="AO298">
        <v>53842970</v>
      </c>
      <c r="AP298">
        <v>983</v>
      </c>
      <c r="AR298" s="24"/>
      <c r="AS298">
        <v>2810</v>
      </c>
      <c r="AT298">
        <v>2900</v>
      </c>
      <c r="AU298">
        <v>2820</v>
      </c>
      <c r="AV298">
        <v>13639090</v>
      </c>
      <c r="AW298">
        <v>1001</v>
      </c>
      <c r="AY298" s="24"/>
      <c r="AZ298">
        <v>382533000</v>
      </c>
      <c r="BA298">
        <v>390356080</v>
      </c>
      <c r="BB298">
        <v>386000000</v>
      </c>
      <c r="BC298">
        <v>2258</v>
      </c>
      <c r="BD298">
        <v>1579</v>
      </c>
      <c r="BF298" s="24"/>
      <c r="BG298">
        <v>25000</v>
      </c>
      <c r="BH298">
        <v>25400</v>
      </c>
      <c r="BI298">
        <v>25300</v>
      </c>
      <c r="BJ298">
        <v>2053188</v>
      </c>
      <c r="BK298">
        <v>168</v>
      </c>
      <c r="BM298" s="24"/>
      <c r="BN298">
        <v>6561003</v>
      </c>
      <c r="BO298">
        <v>6650000</v>
      </c>
      <c r="BP298">
        <v>6649999</v>
      </c>
      <c r="BQ298">
        <v>13618</v>
      </c>
      <c r="BR298">
        <v>307</v>
      </c>
      <c r="BT298" s="24"/>
      <c r="BU298">
        <v>2000</v>
      </c>
      <c r="BV298">
        <v>2048</v>
      </c>
      <c r="BW298">
        <v>2025</v>
      </c>
      <c r="BX298">
        <v>19806814</v>
      </c>
      <c r="BY298">
        <v>197</v>
      </c>
      <c r="CA298" s="24"/>
      <c r="CB298">
        <v>507</v>
      </c>
      <c r="CC298">
        <v>529</v>
      </c>
      <c r="CD298">
        <v>520</v>
      </c>
      <c r="CE298">
        <v>87378476</v>
      </c>
      <c r="CF298">
        <v>279</v>
      </c>
      <c r="CH298" s="24"/>
      <c r="CI298">
        <v>23882</v>
      </c>
      <c r="CJ298">
        <v>23882</v>
      </c>
      <c r="CK298">
        <v>23882</v>
      </c>
      <c r="CL298">
        <v>2220950</v>
      </c>
      <c r="CM298">
        <v>168</v>
      </c>
      <c r="CO298" s="24"/>
      <c r="CP298">
        <v>7212</v>
      </c>
      <c r="CQ298">
        <v>7494</v>
      </c>
      <c r="CR298">
        <v>7440</v>
      </c>
      <c r="CS298">
        <v>1084943</v>
      </c>
      <c r="CT298">
        <v>316</v>
      </c>
      <c r="CV298" s="24"/>
      <c r="CW298">
        <v>1299000</v>
      </c>
      <c r="CX298">
        <v>1310984</v>
      </c>
      <c r="CY298">
        <v>1310982</v>
      </c>
      <c r="CZ298">
        <v>11528</v>
      </c>
      <c r="DA298">
        <v>31</v>
      </c>
      <c r="DC298" s="24"/>
      <c r="DD298">
        <v>439</v>
      </c>
      <c r="DE298">
        <v>449</v>
      </c>
      <c r="DF298">
        <v>448</v>
      </c>
      <c r="DG298">
        <v>44009146</v>
      </c>
      <c r="DH298">
        <v>160</v>
      </c>
      <c r="DJ298" s="24"/>
      <c r="DK298">
        <v>31700003</v>
      </c>
      <c r="DL298">
        <v>32189699</v>
      </c>
      <c r="DM298">
        <v>31700005</v>
      </c>
      <c r="DN298">
        <v>239</v>
      </c>
      <c r="DO298">
        <v>64</v>
      </c>
      <c r="DQ298" s="24"/>
      <c r="DR298">
        <v>1321001</v>
      </c>
      <c r="DS298">
        <v>1398991</v>
      </c>
      <c r="DT298">
        <v>1360000</v>
      </c>
      <c r="DU298">
        <v>5673</v>
      </c>
      <c r="DV298">
        <v>219</v>
      </c>
      <c r="DX298" s="24"/>
      <c r="DY298">
        <v>22400003</v>
      </c>
      <c r="DZ298">
        <v>22950000</v>
      </c>
      <c r="EA298">
        <v>22401000</v>
      </c>
      <c r="EB298">
        <v>277</v>
      </c>
      <c r="EC298">
        <v>82</v>
      </c>
      <c r="EE298" s="24"/>
      <c r="EF298">
        <v>199</v>
      </c>
      <c r="EG298">
        <v>204</v>
      </c>
      <c r="EH298">
        <v>199</v>
      </c>
      <c r="EI298">
        <v>71552008</v>
      </c>
      <c r="EJ298">
        <v>139</v>
      </c>
      <c r="EL298" s="24"/>
      <c r="EM298">
        <v>56750</v>
      </c>
      <c r="EN298">
        <v>57000</v>
      </c>
      <c r="EO298">
        <v>56750</v>
      </c>
      <c r="EP298">
        <v>51356</v>
      </c>
      <c r="EQ298">
        <v>486</v>
      </c>
      <c r="ES298" s="24"/>
      <c r="ET298">
        <v>286</v>
      </c>
      <c r="EU298">
        <v>294</v>
      </c>
      <c r="EV298">
        <v>293</v>
      </c>
      <c r="EW298">
        <v>42186598</v>
      </c>
      <c r="EX298">
        <v>503</v>
      </c>
      <c r="EZ298" s="24"/>
      <c r="FA298">
        <v>3250013</v>
      </c>
      <c r="FB298">
        <v>3399998</v>
      </c>
      <c r="FC298">
        <v>3250013</v>
      </c>
      <c r="FD298">
        <v>1058</v>
      </c>
      <c r="FE298">
        <v>19</v>
      </c>
      <c r="FG298" s="24"/>
      <c r="FH298">
        <v>7953</v>
      </c>
      <c r="FI298">
        <v>8189</v>
      </c>
      <c r="FJ298">
        <v>8177</v>
      </c>
      <c r="FK298">
        <v>1579121</v>
      </c>
      <c r="FL298">
        <v>397</v>
      </c>
      <c r="FN298" s="24"/>
      <c r="FO298">
        <v>17887</v>
      </c>
      <c r="FP298">
        <v>17991</v>
      </c>
      <c r="FQ298">
        <v>17887</v>
      </c>
      <c r="FR298">
        <v>243225</v>
      </c>
      <c r="FS298">
        <v>64</v>
      </c>
      <c r="FU298" s="24"/>
      <c r="FV298">
        <v>15010</v>
      </c>
      <c r="FW298">
        <v>15100</v>
      </c>
      <c r="FX298">
        <v>15023</v>
      </c>
      <c r="FY298">
        <v>285809</v>
      </c>
      <c r="FZ298">
        <v>919</v>
      </c>
      <c r="GB298" s="24"/>
      <c r="GC298">
        <v>80901003</v>
      </c>
      <c r="GD298">
        <v>86900981</v>
      </c>
      <c r="GE298">
        <v>86800000</v>
      </c>
      <c r="GF298">
        <v>165</v>
      </c>
      <c r="GG298">
        <v>93</v>
      </c>
      <c r="GI298" s="24"/>
      <c r="GJ298">
        <v>20650000</v>
      </c>
      <c r="GK298">
        <v>21092993</v>
      </c>
      <c r="GL298">
        <v>20650000</v>
      </c>
      <c r="GM298">
        <v>435</v>
      </c>
      <c r="GN298">
        <v>70</v>
      </c>
      <c r="GP298" s="24"/>
      <c r="GQ298">
        <v>116</v>
      </c>
      <c r="GR298">
        <v>117</v>
      </c>
      <c r="GS298">
        <v>117</v>
      </c>
      <c r="GT298">
        <v>68880730</v>
      </c>
      <c r="GU298">
        <v>106</v>
      </c>
      <c r="GW298" s="24"/>
      <c r="GX298">
        <v>415</v>
      </c>
      <c r="GY298">
        <v>428</v>
      </c>
      <c r="GZ298">
        <v>425</v>
      </c>
      <c r="HA298">
        <v>48171890</v>
      </c>
      <c r="HB298">
        <v>220</v>
      </c>
      <c r="HD298" s="24"/>
      <c r="HE298">
        <v>5281</v>
      </c>
      <c r="HF298">
        <v>5417</v>
      </c>
      <c r="HG298">
        <v>5350</v>
      </c>
      <c r="HH298">
        <v>11040938</v>
      </c>
      <c r="HI298">
        <v>212</v>
      </c>
      <c r="HK298" s="24"/>
      <c r="HL298">
        <v>85500003</v>
      </c>
      <c r="HM298">
        <v>93980436</v>
      </c>
      <c r="HN298">
        <v>89905139</v>
      </c>
      <c r="HO298">
        <v>77</v>
      </c>
      <c r="HP298">
        <v>54</v>
      </c>
      <c r="HR298" s="24"/>
      <c r="HS298">
        <v>8108</v>
      </c>
      <c r="HT298">
        <v>8900</v>
      </c>
      <c r="HU298">
        <v>8724</v>
      </c>
      <c r="HV298">
        <v>943716</v>
      </c>
      <c r="HW298">
        <v>160</v>
      </c>
      <c r="HY298" s="24"/>
      <c r="HZ298">
        <v>7130</v>
      </c>
      <c r="IA298">
        <v>7328</v>
      </c>
      <c r="IB298">
        <v>7228</v>
      </c>
      <c r="IC298">
        <v>1802497</v>
      </c>
      <c r="ID298">
        <v>344</v>
      </c>
      <c r="IF298" s="24"/>
      <c r="IG298">
        <v>3140</v>
      </c>
      <c r="IH298">
        <v>3283</v>
      </c>
      <c r="II298">
        <v>3283</v>
      </c>
      <c r="IJ298">
        <v>878737</v>
      </c>
      <c r="IK298">
        <v>114</v>
      </c>
      <c r="IM298" s="24"/>
      <c r="IN298">
        <v>83500000</v>
      </c>
      <c r="IO298">
        <v>91997436</v>
      </c>
      <c r="IP298">
        <v>85201302</v>
      </c>
      <c r="IQ298">
        <v>150</v>
      </c>
      <c r="IR298">
        <v>77</v>
      </c>
      <c r="IT298" s="24"/>
      <c r="IU298">
        <v>7390</v>
      </c>
      <c r="IV298">
        <v>7390</v>
      </c>
      <c r="IW298">
        <v>7390</v>
      </c>
      <c r="IX298">
        <v>617204</v>
      </c>
      <c r="IY298">
        <v>96</v>
      </c>
      <c r="JA298" s="24"/>
      <c r="JB298">
        <v>85700255</v>
      </c>
      <c r="JC298">
        <v>94990999</v>
      </c>
      <c r="JD298">
        <v>90529167</v>
      </c>
      <c r="JE298">
        <v>66</v>
      </c>
      <c r="JF298">
        <v>43</v>
      </c>
      <c r="JH298" s="24"/>
      <c r="JI298">
        <v>85323003</v>
      </c>
      <c r="JJ298">
        <v>104000747</v>
      </c>
      <c r="JK298">
        <v>90714607</v>
      </c>
      <c r="JL298">
        <v>47</v>
      </c>
      <c r="JM298">
        <v>31</v>
      </c>
      <c r="JO298" s="24"/>
      <c r="JP298">
        <v>108</v>
      </c>
      <c r="JQ298">
        <v>111</v>
      </c>
      <c r="JR298">
        <v>108</v>
      </c>
      <c r="JS298">
        <v>88449228</v>
      </c>
      <c r="JT298">
        <v>87</v>
      </c>
      <c r="JV298" s="24"/>
      <c r="JW298">
        <v>102</v>
      </c>
      <c r="JX298">
        <v>106</v>
      </c>
      <c r="JY298">
        <v>103</v>
      </c>
      <c r="JZ298">
        <v>125721064</v>
      </c>
      <c r="KA298">
        <v>94</v>
      </c>
      <c r="KC298" s="24"/>
      <c r="KD298">
        <v>21</v>
      </c>
      <c r="KE298">
        <v>21</v>
      </c>
      <c r="KF298">
        <v>21</v>
      </c>
      <c r="KG298">
        <v>59045484</v>
      </c>
      <c r="KH298">
        <v>294</v>
      </c>
      <c r="KJ298" s="24"/>
      <c r="KK298">
        <v>123</v>
      </c>
      <c r="KL298">
        <v>132</v>
      </c>
      <c r="KM298">
        <v>125</v>
      </c>
      <c r="KN298">
        <v>111976352</v>
      </c>
      <c r="KO298">
        <v>121</v>
      </c>
      <c r="KQ298" s="24"/>
      <c r="KR298">
        <v>123000</v>
      </c>
      <c r="KS298">
        <v>123001</v>
      </c>
      <c r="KT298">
        <v>123000</v>
      </c>
      <c r="KU298">
        <v>34911</v>
      </c>
      <c r="KV298">
        <v>490</v>
      </c>
      <c r="KX298" s="24"/>
      <c r="KY298">
        <v>710</v>
      </c>
      <c r="KZ298">
        <v>720</v>
      </c>
      <c r="LA298">
        <v>711</v>
      </c>
      <c r="LB298">
        <v>5204329</v>
      </c>
      <c r="LC298">
        <v>139</v>
      </c>
      <c r="LE298" s="24"/>
      <c r="LF298">
        <v>182000</v>
      </c>
      <c r="LG298">
        <v>183000</v>
      </c>
      <c r="LH298">
        <v>182200</v>
      </c>
      <c r="LI298">
        <v>67082</v>
      </c>
      <c r="LJ298">
        <v>682</v>
      </c>
      <c r="LL298" s="24"/>
      <c r="LM298">
        <v>68002</v>
      </c>
      <c r="LN298">
        <v>69001</v>
      </c>
      <c r="LO298">
        <v>68110</v>
      </c>
      <c r="LP298">
        <v>290964</v>
      </c>
      <c r="LQ298">
        <v>930</v>
      </c>
      <c r="LS298" s="24"/>
      <c r="LT298">
        <v>460</v>
      </c>
      <c r="LU298">
        <v>463</v>
      </c>
      <c r="LV298">
        <v>463</v>
      </c>
      <c r="LW298">
        <v>73771233</v>
      </c>
      <c r="LX298">
        <v>307</v>
      </c>
      <c r="LZ298" s="24"/>
      <c r="MA298">
        <v>93991</v>
      </c>
      <c r="MB298">
        <v>99988</v>
      </c>
      <c r="MC298">
        <v>96001</v>
      </c>
      <c r="MD298">
        <v>1213992</v>
      </c>
      <c r="ME298">
        <v>91</v>
      </c>
    </row>
    <row r="299" spans="2:343" x14ac:dyDescent="0.25">
      <c r="B299" s="24"/>
      <c r="C299">
        <v>3</v>
      </c>
      <c r="D299">
        <v>3</v>
      </c>
      <c r="E299">
        <v>3</v>
      </c>
      <c r="F299">
        <v>29268451041</v>
      </c>
      <c r="G299">
        <v>2474</v>
      </c>
      <c r="I299" s="24"/>
      <c r="J299">
        <v>4</v>
      </c>
      <c r="K299">
        <v>4</v>
      </c>
      <c r="L299">
        <v>4</v>
      </c>
      <c r="M299">
        <v>7597784043</v>
      </c>
      <c r="N299">
        <v>1876</v>
      </c>
      <c r="P299" s="24"/>
      <c r="Q299">
        <v>32</v>
      </c>
      <c r="R299">
        <v>33</v>
      </c>
      <c r="S299">
        <v>33</v>
      </c>
      <c r="T299">
        <v>1922894427</v>
      </c>
      <c r="U299">
        <v>1759</v>
      </c>
      <c r="W299" s="24"/>
      <c r="X299">
        <v>61</v>
      </c>
      <c r="Y299">
        <v>64</v>
      </c>
      <c r="Z299">
        <v>63</v>
      </c>
      <c r="AA299">
        <v>305968781</v>
      </c>
      <c r="AB299">
        <v>1352</v>
      </c>
      <c r="AD299" s="24"/>
      <c r="AE299">
        <v>408</v>
      </c>
      <c r="AF299">
        <v>417</v>
      </c>
      <c r="AG299">
        <v>413</v>
      </c>
      <c r="AH299">
        <v>93990040</v>
      </c>
      <c r="AI299">
        <v>1421</v>
      </c>
      <c r="AK299" s="24"/>
      <c r="AL299">
        <v>715</v>
      </c>
      <c r="AM299">
        <v>723</v>
      </c>
      <c r="AN299">
        <v>719</v>
      </c>
      <c r="AO299">
        <v>34283473</v>
      </c>
      <c r="AP299">
        <v>1160</v>
      </c>
      <c r="AR299" s="24"/>
      <c r="AS299">
        <v>2818</v>
      </c>
      <c r="AT299">
        <v>2904</v>
      </c>
      <c r="AU299">
        <v>2840</v>
      </c>
      <c r="AV299">
        <v>12973514</v>
      </c>
      <c r="AW299">
        <v>1133</v>
      </c>
      <c r="AY299" s="24"/>
      <c r="AZ299">
        <v>382500000</v>
      </c>
      <c r="BA299">
        <v>387999998</v>
      </c>
      <c r="BB299">
        <v>386000000</v>
      </c>
      <c r="BC299">
        <v>2533</v>
      </c>
      <c r="BD299">
        <v>1741</v>
      </c>
      <c r="BF299" s="24"/>
      <c r="BG299">
        <v>25305</v>
      </c>
      <c r="BH299">
        <v>25305</v>
      </c>
      <c r="BI299">
        <v>25305</v>
      </c>
      <c r="BJ299">
        <v>1049845</v>
      </c>
      <c r="BK299">
        <v>213</v>
      </c>
      <c r="BM299" s="24"/>
      <c r="BN299">
        <v>6610020</v>
      </c>
      <c r="BO299">
        <v>6850000</v>
      </c>
      <c r="BP299">
        <v>6660000</v>
      </c>
      <c r="BQ299">
        <v>11050</v>
      </c>
      <c r="BR299">
        <v>316</v>
      </c>
      <c r="BT299" s="24"/>
      <c r="BU299">
        <v>2013</v>
      </c>
      <c r="BV299">
        <v>2045</v>
      </c>
      <c r="BW299">
        <v>2045</v>
      </c>
      <c r="BX299">
        <v>24913681</v>
      </c>
      <c r="BY299">
        <v>263</v>
      </c>
      <c r="CA299" s="24"/>
      <c r="CB299">
        <v>475</v>
      </c>
      <c r="CC299">
        <v>492</v>
      </c>
      <c r="CD299">
        <v>479</v>
      </c>
      <c r="CE299">
        <v>80543219</v>
      </c>
      <c r="CF299">
        <v>282</v>
      </c>
      <c r="CH299" s="24"/>
      <c r="CI299">
        <v>24800</v>
      </c>
      <c r="CJ299">
        <v>24800</v>
      </c>
      <c r="CK299">
        <v>24800</v>
      </c>
      <c r="CL299">
        <v>717786</v>
      </c>
      <c r="CM299">
        <v>175</v>
      </c>
      <c r="CO299" s="24"/>
      <c r="CP299">
        <v>7500</v>
      </c>
      <c r="CQ299">
        <v>7794</v>
      </c>
      <c r="CR299">
        <v>7688</v>
      </c>
      <c r="CS299">
        <v>955881</v>
      </c>
      <c r="CT299">
        <v>325</v>
      </c>
      <c r="CV299" s="24"/>
      <c r="CW299">
        <v>1297999</v>
      </c>
      <c r="CX299">
        <v>1298998</v>
      </c>
      <c r="CY299">
        <v>1298000</v>
      </c>
      <c r="CZ299">
        <v>12522</v>
      </c>
      <c r="DA299">
        <v>43</v>
      </c>
      <c r="DC299" s="24"/>
      <c r="DD299">
        <v>443</v>
      </c>
      <c r="DE299">
        <v>448</v>
      </c>
      <c r="DF299">
        <v>448</v>
      </c>
      <c r="DG299">
        <v>30385104</v>
      </c>
      <c r="DH299">
        <v>150</v>
      </c>
      <c r="DJ299" s="24"/>
      <c r="DK299">
        <v>31700005</v>
      </c>
      <c r="DL299">
        <v>32197998</v>
      </c>
      <c r="DM299">
        <v>32197998</v>
      </c>
      <c r="DN299">
        <v>482</v>
      </c>
      <c r="DO299">
        <v>88</v>
      </c>
      <c r="DQ299" s="24"/>
      <c r="DR299">
        <v>1370000</v>
      </c>
      <c r="DS299">
        <v>1429994</v>
      </c>
      <c r="DT299">
        <v>1399000</v>
      </c>
      <c r="DU299">
        <v>10741</v>
      </c>
      <c r="DV299">
        <v>250</v>
      </c>
      <c r="DX299" s="24"/>
      <c r="DY299">
        <v>23000009</v>
      </c>
      <c r="DZ299">
        <v>23870000</v>
      </c>
      <c r="EA299">
        <v>23866000</v>
      </c>
      <c r="EB299">
        <v>515</v>
      </c>
      <c r="EC299">
        <v>113</v>
      </c>
      <c r="EE299" s="24"/>
      <c r="EF299">
        <v>201</v>
      </c>
      <c r="EG299">
        <v>204</v>
      </c>
      <c r="EH299">
        <v>204</v>
      </c>
      <c r="EI299">
        <v>95339316</v>
      </c>
      <c r="EJ299">
        <v>203</v>
      </c>
      <c r="EL299" s="24"/>
      <c r="EM299">
        <v>51000</v>
      </c>
      <c r="EN299">
        <v>56750</v>
      </c>
      <c r="EO299">
        <v>55000</v>
      </c>
      <c r="EP299">
        <v>119237</v>
      </c>
      <c r="EQ299">
        <v>633</v>
      </c>
      <c r="ES299" s="24"/>
      <c r="ET299">
        <v>290</v>
      </c>
      <c r="EU299">
        <v>294</v>
      </c>
      <c r="EV299">
        <v>293</v>
      </c>
      <c r="EW299">
        <v>28727694</v>
      </c>
      <c r="EX299">
        <v>520</v>
      </c>
      <c r="EZ299" s="24"/>
      <c r="FA299">
        <v>3300000</v>
      </c>
      <c r="FB299">
        <v>3400013</v>
      </c>
      <c r="FC299">
        <v>3399998</v>
      </c>
      <c r="FD299">
        <v>2446</v>
      </c>
      <c r="FE299">
        <v>24</v>
      </c>
      <c r="FG299" s="24"/>
      <c r="FH299">
        <v>7743</v>
      </c>
      <c r="FI299">
        <v>8149</v>
      </c>
      <c r="FJ299">
        <v>7900</v>
      </c>
      <c r="FK299">
        <v>1514098</v>
      </c>
      <c r="FL299">
        <v>420</v>
      </c>
      <c r="FN299" s="24"/>
      <c r="FO299">
        <v>18934</v>
      </c>
      <c r="FP299">
        <v>18934</v>
      </c>
      <c r="FQ299">
        <v>18934</v>
      </c>
      <c r="FR299">
        <v>199851</v>
      </c>
      <c r="FS299">
        <v>88</v>
      </c>
      <c r="FU299" s="24"/>
      <c r="FV299">
        <v>14700</v>
      </c>
      <c r="FW299">
        <v>15105</v>
      </c>
      <c r="FX299">
        <v>15105</v>
      </c>
      <c r="FY299">
        <v>363587</v>
      </c>
      <c r="FZ299">
        <v>1115</v>
      </c>
      <c r="GB299" s="24"/>
      <c r="GC299">
        <v>86234000</v>
      </c>
      <c r="GD299">
        <v>91989000</v>
      </c>
      <c r="GE299">
        <v>86900987</v>
      </c>
      <c r="GF299">
        <v>103</v>
      </c>
      <c r="GG299">
        <v>61</v>
      </c>
      <c r="GI299" s="24"/>
      <c r="GJ299">
        <v>20500001</v>
      </c>
      <c r="GK299">
        <v>21097000</v>
      </c>
      <c r="GL299">
        <v>21091996</v>
      </c>
      <c r="GM299">
        <v>1068</v>
      </c>
      <c r="GN299">
        <v>104</v>
      </c>
      <c r="GP299" s="24"/>
      <c r="GQ299">
        <v>115</v>
      </c>
      <c r="GR299">
        <v>117</v>
      </c>
      <c r="GS299">
        <v>117</v>
      </c>
      <c r="GT299">
        <v>152860261</v>
      </c>
      <c r="GU299">
        <v>189</v>
      </c>
      <c r="GW299" s="24"/>
      <c r="GX299">
        <v>403</v>
      </c>
      <c r="GY299">
        <v>427</v>
      </c>
      <c r="GZ299">
        <v>425</v>
      </c>
      <c r="HA299">
        <v>41450544</v>
      </c>
      <c r="HB299">
        <v>205</v>
      </c>
      <c r="HD299" s="24"/>
      <c r="HE299">
        <v>5416</v>
      </c>
      <c r="HF299">
        <v>5417</v>
      </c>
      <c r="HG299">
        <v>5416</v>
      </c>
      <c r="HH299">
        <v>21842870</v>
      </c>
      <c r="HI299">
        <v>326</v>
      </c>
      <c r="HK299" s="24"/>
      <c r="HL299">
        <v>85500000</v>
      </c>
      <c r="HM299">
        <v>93789876</v>
      </c>
      <c r="HN299">
        <v>85509003</v>
      </c>
      <c r="HO299">
        <v>130</v>
      </c>
      <c r="HP299">
        <v>78</v>
      </c>
      <c r="HR299" s="24"/>
      <c r="HS299">
        <v>8110</v>
      </c>
      <c r="HT299">
        <v>8397</v>
      </c>
      <c r="HU299">
        <v>8111</v>
      </c>
      <c r="HV299">
        <v>690594</v>
      </c>
      <c r="HW299">
        <v>139</v>
      </c>
      <c r="HY299" s="24"/>
      <c r="HZ299">
        <v>7100</v>
      </c>
      <c r="IA299">
        <v>7299</v>
      </c>
      <c r="IB299">
        <v>7200</v>
      </c>
      <c r="IC299">
        <v>1651186</v>
      </c>
      <c r="ID299">
        <v>408</v>
      </c>
      <c r="IF299" s="24"/>
      <c r="IG299">
        <v>3282</v>
      </c>
      <c r="IH299">
        <v>3282</v>
      </c>
      <c r="II299">
        <v>3282</v>
      </c>
      <c r="IJ299">
        <v>1679655</v>
      </c>
      <c r="IK299">
        <v>171</v>
      </c>
      <c r="IM299" s="24"/>
      <c r="IN299">
        <v>84208009</v>
      </c>
      <c r="IO299">
        <v>89998879</v>
      </c>
      <c r="IP299">
        <v>89996999</v>
      </c>
      <c r="IQ299">
        <v>116</v>
      </c>
      <c r="IR299">
        <v>79</v>
      </c>
      <c r="IT299" s="24"/>
      <c r="IU299">
        <v>7396</v>
      </c>
      <c r="IV299">
        <v>7396</v>
      </c>
      <c r="IW299">
        <v>7396</v>
      </c>
      <c r="IX299">
        <v>1850047</v>
      </c>
      <c r="IY299">
        <v>154</v>
      </c>
      <c r="JA299" s="24"/>
      <c r="JB299">
        <v>87000003</v>
      </c>
      <c r="JC299">
        <v>93701666</v>
      </c>
      <c r="JD299">
        <v>89745602</v>
      </c>
      <c r="JE299">
        <v>84</v>
      </c>
      <c r="JF299">
        <v>55</v>
      </c>
      <c r="JH299" s="24"/>
      <c r="JI299">
        <v>86750002</v>
      </c>
      <c r="JJ299">
        <v>89999988</v>
      </c>
      <c r="JK299">
        <v>89638634</v>
      </c>
      <c r="JL299">
        <v>61</v>
      </c>
      <c r="JM299">
        <v>44</v>
      </c>
      <c r="JO299" s="24"/>
      <c r="JP299">
        <v>108</v>
      </c>
      <c r="JQ299">
        <v>111</v>
      </c>
      <c r="JR299">
        <v>109</v>
      </c>
      <c r="JS299">
        <v>135714335</v>
      </c>
      <c r="JT299">
        <v>132</v>
      </c>
      <c r="JV299" s="24"/>
      <c r="JW299">
        <v>101</v>
      </c>
      <c r="JX299">
        <v>106</v>
      </c>
      <c r="JY299">
        <v>103</v>
      </c>
      <c r="JZ299">
        <v>185415586</v>
      </c>
      <c r="KA299">
        <v>163</v>
      </c>
      <c r="KC299" s="24"/>
      <c r="KD299">
        <v>21</v>
      </c>
      <c r="KE299">
        <v>21</v>
      </c>
      <c r="KF299">
        <v>21</v>
      </c>
      <c r="KG299">
        <v>48329232</v>
      </c>
      <c r="KH299">
        <v>308</v>
      </c>
      <c r="KJ299" s="24"/>
      <c r="KK299">
        <v>125</v>
      </c>
      <c r="KL299">
        <v>132</v>
      </c>
      <c r="KM299">
        <v>132</v>
      </c>
      <c r="KN299">
        <v>143612462</v>
      </c>
      <c r="KO299">
        <v>162</v>
      </c>
      <c r="KQ299" s="24"/>
      <c r="KR299">
        <v>122008</v>
      </c>
      <c r="KS299">
        <v>123999</v>
      </c>
      <c r="KT299">
        <v>123000</v>
      </c>
      <c r="KU299">
        <v>195988</v>
      </c>
      <c r="KV299">
        <v>641</v>
      </c>
      <c r="KX299" s="24"/>
      <c r="KY299">
        <v>723</v>
      </c>
      <c r="KZ299">
        <v>724</v>
      </c>
      <c r="LA299">
        <v>724</v>
      </c>
      <c r="LB299">
        <v>4484978</v>
      </c>
      <c r="LC299">
        <v>191</v>
      </c>
      <c r="LE299" s="24"/>
      <c r="LF299">
        <v>182102</v>
      </c>
      <c r="LG299">
        <v>185989</v>
      </c>
      <c r="LH299">
        <v>182150</v>
      </c>
      <c r="LI299">
        <v>184242</v>
      </c>
      <c r="LJ299">
        <v>876</v>
      </c>
      <c r="LL299" s="24"/>
      <c r="LM299">
        <v>68501</v>
      </c>
      <c r="LN299">
        <v>68502</v>
      </c>
      <c r="LO299">
        <v>68501</v>
      </c>
      <c r="LP299">
        <v>381623</v>
      </c>
      <c r="LQ299">
        <v>1168</v>
      </c>
      <c r="LS299" s="24"/>
      <c r="LT299">
        <v>453</v>
      </c>
      <c r="LU299">
        <v>460</v>
      </c>
      <c r="LV299">
        <v>460</v>
      </c>
      <c r="LW299">
        <v>85182726</v>
      </c>
      <c r="LX299">
        <v>345</v>
      </c>
      <c r="LZ299" s="24"/>
      <c r="MA299">
        <v>90053</v>
      </c>
      <c r="MB299">
        <v>94505</v>
      </c>
      <c r="MC299">
        <v>94500</v>
      </c>
      <c r="MD299">
        <v>1303529</v>
      </c>
      <c r="ME299">
        <v>98</v>
      </c>
    </row>
    <row r="300" spans="2:343" x14ac:dyDescent="0.25">
      <c r="B300" s="24"/>
      <c r="C300">
        <v>3</v>
      </c>
      <c r="D300">
        <v>3</v>
      </c>
      <c r="E300">
        <v>3</v>
      </c>
      <c r="F300">
        <v>27086856342</v>
      </c>
      <c r="G300">
        <v>2718</v>
      </c>
      <c r="I300" s="24"/>
      <c r="J300">
        <v>4</v>
      </c>
      <c r="K300">
        <v>4</v>
      </c>
      <c r="L300">
        <v>4</v>
      </c>
      <c r="M300">
        <v>4532165514</v>
      </c>
      <c r="N300">
        <v>2005</v>
      </c>
      <c r="P300" s="24"/>
      <c r="Q300">
        <v>32</v>
      </c>
      <c r="R300">
        <v>32</v>
      </c>
      <c r="S300">
        <v>32</v>
      </c>
      <c r="T300">
        <v>2054982447</v>
      </c>
      <c r="U300">
        <v>1850</v>
      </c>
      <c r="W300" s="24"/>
      <c r="X300">
        <v>62</v>
      </c>
      <c r="Y300">
        <v>63</v>
      </c>
      <c r="Z300">
        <v>62</v>
      </c>
      <c r="AA300">
        <v>403539324</v>
      </c>
      <c r="AB300">
        <v>1524</v>
      </c>
      <c r="AD300" s="24"/>
      <c r="AE300">
        <v>413</v>
      </c>
      <c r="AF300">
        <v>414</v>
      </c>
      <c r="AG300">
        <v>414</v>
      </c>
      <c r="AH300">
        <v>103686849</v>
      </c>
      <c r="AI300">
        <v>1483</v>
      </c>
      <c r="AK300" s="24"/>
      <c r="AL300">
        <v>721</v>
      </c>
      <c r="AM300">
        <v>736</v>
      </c>
      <c r="AN300">
        <v>725</v>
      </c>
      <c r="AO300">
        <v>29264500</v>
      </c>
      <c r="AP300">
        <v>1251</v>
      </c>
      <c r="AR300" s="24"/>
      <c r="AS300">
        <v>2822</v>
      </c>
      <c r="AT300">
        <v>2899</v>
      </c>
      <c r="AU300">
        <v>2850</v>
      </c>
      <c r="AV300">
        <v>10876235</v>
      </c>
      <c r="AW300">
        <v>1681</v>
      </c>
      <c r="AY300" s="24"/>
      <c r="AZ300">
        <v>381285045</v>
      </c>
      <c r="BA300">
        <v>387831700</v>
      </c>
      <c r="BB300">
        <v>385697498</v>
      </c>
      <c r="BC300">
        <v>2562</v>
      </c>
      <c r="BD300">
        <v>1795</v>
      </c>
      <c r="BF300" s="24"/>
      <c r="BG300">
        <v>25006</v>
      </c>
      <c r="BH300">
        <v>25415</v>
      </c>
      <c r="BI300">
        <v>25415</v>
      </c>
      <c r="BJ300">
        <v>3370452</v>
      </c>
      <c r="BK300">
        <v>238</v>
      </c>
      <c r="BM300" s="24"/>
      <c r="BN300">
        <v>6670021</v>
      </c>
      <c r="BO300">
        <v>6830996</v>
      </c>
      <c r="BP300">
        <v>6687023</v>
      </c>
      <c r="BQ300">
        <v>17585</v>
      </c>
      <c r="BR300">
        <v>425</v>
      </c>
      <c r="BT300" s="24"/>
      <c r="BU300">
        <v>2030</v>
      </c>
      <c r="BV300">
        <v>2046</v>
      </c>
      <c r="BW300">
        <v>2045</v>
      </c>
      <c r="BX300">
        <v>30086169</v>
      </c>
      <c r="BY300">
        <v>317</v>
      </c>
      <c r="CA300" s="24"/>
      <c r="CB300">
        <v>476</v>
      </c>
      <c r="CC300">
        <v>508</v>
      </c>
      <c r="CD300">
        <v>479</v>
      </c>
      <c r="CE300">
        <v>97516835</v>
      </c>
      <c r="CF300">
        <v>328</v>
      </c>
      <c r="CH300" s="24"/>
      <c r="CI300">
        <v>24300</v>
      </c>
      <c r="CJ300">
        <v>24800</v>
      </c>
      <c r="CK300">
        <v>24300</v>
      </c>
      <c r="CL300">
        <v>1869076</v>
      </c>
      <c r="CM300">
        <v>186</v>
      </c>
      <c r="CO300" s="24"/>
      <c r="CP300">
        <v>7500</v>
      </c>
      <c r="CQ300">
        <v>7749</v>
      </c>
      <c r="CR300">
        <v>7501</v>
      </c>
      <c r="CS300">
        <v>1449166</v>
      </c>
      <c r="CT300">
        <v>424</v>
      </c>
      <c r="CV300" s="24"/>
      <c r="CW300">
        <v>1250001</v>
      </c>
      <c r="CX300">
        <v>1300000</v>
      </c>
      <c r="CY300">
        <v>1299999</v>
      </c>
      <c r="CZ300">
        <v>14503</v>
      </c>
      <c r="DA300">
        <v>48</v>
      </c>
      <c r="DC300" s="24"/>
      <c r="DD300">
        <v>434</v>
      </c>
      <c r="DE300">
        <v>450</v>
      </c>
      <c r="DF300">
        <v>443</v>
      </c>
      <c r="DG300">
        <v>56808403</v>
      </c>
      <c r="DH300">
        <v>227</v>
      </c>
      <c r="DJ300" s="24"/>
      <c r="DK300">
        <v>31700020</v>
      </c>
      <c r="DL300">
        <v>32999909</v>
      </c>
      <c r="DM300">
        <v>31850042</v>
      </c>
      <c r="DN300">
        <v>243</v>
      </c>
      <c r="DO300">
        <v>73</v>
      </c>
      <c r="DQ300" s="24"/>
      <c r="DR300">
        <v>1325147</v>
      </c>
      <c r="DS300">
        <v>1394400</v>
      </c>
      <c r="DT300">
        <v>1330017</v>
      </c>
      <c r="DU300">
        <v>8551</v>
      </c>
      <c r="DV300">
        <v>268</v>
      </c>
      <c r="DX300" s="24"/>
      <c r="DY300">
        <v>23500000</v>
      </c>
      <c r="DZ300">
        <v>23899998</v>
      </c>
      <c r="EA300">
        <v>23500019</v>
      </c>
      <c r="EB300">
        <v>490</v>
      </c>
      <c r="EC300">
        <v>113</v>
      </c>
      <c r="EE300" s="24"/>
      <c r="EF300">
        <v>199</v>
      </c>
      <c r="EG300">
        <v>202</v>
      </c>
      <c r="EH300">
        <v>199</v>
      </c>
      <c r="EI300">
        <v>125243315</v>
      </c>
      <c r="EJ300">
        <v>242</v>
      </c>
      <c r="EL300" s="24"/>
      <c r="EM300">
        <v>50426</v>
      </c>
      <c r="EN300">
        <v>52999</v>
      </c>
      <c r="EO300">
        <v>50427</v>
      </c>
      <c r="EP300">
        <v>96126</v>
      </c>
      <c r="EQ300">
        <v>710</v>
      </c>
      <c r="ES300" s="24"/>
      <c r="ET300">
        <v>287</v>
      </c>
      <c r="EU300">
        <v>294</v>
      </c>
      <c r="EV300">
        <v>293</v>
      </c>
      <c r="EW300">
        <v>47834989</v>
      </c>
      <c r="EX300">
        <v>629</v>
      </c>
      <c r="EZ300" s="24"/>
      <c r="FA300">
        <v>3351000</v>
      </c>
      <c r="FB300">
        <v>3534997</v>
      </c>
      <c r="FC300">
        <v>3534997</v>
      </c>
      <c r="FD300">
        <v>2394</v>
      </c>
      <c r="FE300">
        <v>21</v>
      </c>
      <c r="FG300" s="24"/>
      <c r="FH300">
        <v>7742</v>
      </c>
      <c r="FI300">
        <v>7997</v>
      </c>
      <c r="FJ300">
        <v>7910</v>
      </c>
      <c r="FK300">
        <v>1850067</v>
      </c>
      <c r="FL300">
        <v>505</v>
      </c>
      <c r="FN300" s="24"/>
      <c r="FO300">
        <v>18311</v>
      </c>
      <c r="FP300">
        <v>18933</v>
      </c>
      <c r="FQ300">
        <v>18932</v>
      </c>
      <c r="FR300">
        <v>477079</v>
      </c>
      <c r="FS300">
        <v>126</v>
      </c>
      <c r="FU300" s="24"/>
      <c r="FV300">
        <v>14327</v>
      </c>
      <c r="FW300">
        <v>14898</v>
      </c>
      <c r="FX300">
        <v>14327</v>
      </c>
      <c r="FY300">
        <v>437531</v>
      </c>
      <c r="FZ300">
        <v>1207</v>
      </c>
      <c r="GB300" s="24"/>
      <c r="GC300">
        <v>86233051</v>
      </c>
      <c r="GD300">
        <v>91985000</v>
      </c>
      <c r="GE300">
        <v>89066481</v>
      </c>
      <c r="GF300">
        <v>71</v>
      </c>
      <c r="GG300">
        <v>51</v>
      </c>
      <c r="GI300" s="24"/>
      <c r="GJ300">
        <v>20210013</v>
      </c>
      <c r="GK300">
        <v>20400000</v>
      </c>
      <c r="GL300">
        <v>20300001</v>
      </c>
      <c r="GM300">
        <v>452</v>
      </c>
      <c r="GN300">
        <v>72</v>
      </c>
      <c r="GP300" s="24"/>
      <c r="GQ300">
        <v>115</v>
      </c>
      <c r="GR300">
        <v>121</v>
      </c>
      <c r="GS300">
        <v>115</v>
      </c>
      <c r="GT300">
        <v>224547797</v>
      </c>
      <c r="GU300">
        <v>229</v>
      </c>
      <c r="GW300" s="24"/>
      <c r="GX300">
        <v>409</v>
      </c>
      <c r="GY300">
        <v>425</v>
      </c>
      <c r="GZ300">
        <v>410</v>
      </c>
      <c r="HA300">
        <v>72230995</v>
      </c>
      <c r="HB300">
        <v>275</v>
      </c>
      <c r="HD300" s="24"/>
      <c r="HE300">
        <v>5598</v>
      </c>
      <c r="HF300">
        <v>5599</v>
      </c>
      <c r="HG300">
        <v>5598</v>
      </c>
      <c r="HH300">
        <v>15274844</v>
      </c>
      <c r="HI300">
        <v>305</v>
      </c>
      <c r="HK300" s="24"/>
      <c r="HL300">
        <v>85000000</v>
      </c>
      <c r="HM300">
        <v>89998999</v>
      </c>
      <c r="HN300">
        <v>86000005</v>
      </c>
      <c r="HO300">
        <v>234</v>
      </c>
      <c r="HP300">
        <v>90</v>
      </c>
      <c r="HR300" s="24"/>
      <c r="HS300">
        <v>8123</v>
      </c>
      <c r="HT300">
        <v>8390</v>
      </c>
      <c r="HU300">
        <v>8379</v>
      </c>
      <c r="HV300">
        <v>1028920</v>
      </c>
      <c r="HW300">
        <v>188</v>
      </c>
      <c r="HY300" s="24"/>
      <c r="HZ300">
        <v>7100</v>
      </c>
      <c r="IA300">
        <v>7320</v>
      </c>
      <c r="IB300">
        <v>7297</v>
      </c>
      <c r="IC300">
        <v>2088063</v>
      </c>
      <c r="ID300">
        <v>568</v>
      </c>
      <c r="IF300" s="24"/>
      <c r="IG300">
        <v>3137</v>
      </c>
      <c r="IH300">
        <v>3280</v>
      </c>
      <c r="II300">
        <v>3140</v>
      </c>
      <c r="IJ300">
        <v>2631869</v>
      </c>
      <c r="IK300">
        <v>190</v>
      </c>
      <c r="IM300" s="24"/>
      <c r="IN300">
        <v>85000000</v>
      </c>
      <c r="IO300">
        <v>89989997</v>
      </c>
      <c r="IP300">
        <v>85000000</v>
      </c>
      <c r="IQ300">
        <v>288</v>
      </c>
      <c r="IR300">
        <v>94</v>
      </c>
      <c r="IT300" s="24"/>
      <c r="IU300">
        <v>7600</v>
      </c>
      <c r="IV300">
        <v>7600</v>
      </c>
      <c r="IW300">
        <v>7600</v>
      </c>
      <c r="IX300">
        <v>870419</v>
      </c>
      <c r="IY300">
        <v>143</v>
      </c>
      <c r="JA300" s="24"/>
      <c r="JB300">
        <v>86231013</v>
      </c>
      <c r="JC300">
        <v>88949895</v>
      </c>
      <c r="JD300">
        <v>87000000</v>
      </c>
      <c r="JE300">
        <v>185</v>
      </c>
      <c r="JF300">
        <v>115</v>
      </c>
      <c r="JH300" s="24"/>
      <c r="JI300">
        <v>86845004</v>
      </c>
      <c r="JJ300">
        <v>89984994</v>
      </c>
      <c r="JK300">
        <v>89057723</v>
      </c>
      <c r="JL300">
        <v>85</v>
      </c>
      <c r="JM300">
        <v>51</v>
      </c>
      <c r="JO300" s="24"/>
      <c r="JP300">
        <v>105</v>
      </c>
      <c r="JQ300">
        <v>109</v>
      </c>
      <c r="JR300">
        <v>105</v>
      </c>
      <c r="JS300">
        <v>134629657</v>
      </c>
      <c r="JT300">
        <v>143</v>
      </c>
      <c r="JV300" s="24"/>
      <c r="JW300">
        <v>100</v>
      </c>
      <c r="JX300">
        <v>104</v>
      </c>
      <c r="JY300">
        <v>101</v>
      </c>
      <c r="JZ300">
        <v>168939161</v>
      </c>
      <c r="KA300">
        <v>148</v>
      </c>
      <c r="KC300" s="24"/>
      <c r="KD300">
        <v>21</v>
      </c>
      <c r="KE300">
        <v>21</v>
      </c>
      <c r="KF300">
        <v>21</v>
      </c>
      <c r="KG300">
        <v>58406209</v>
      </c>
      <c r="KH300">
        <v>370</v>
      </c>
      <c r="KJ300" s="24"/>
      <c r="KK300">
        <v>126</v>
      </c>
      <c r="KL300">
        <v>131</v>
      </c>
      <c r="KM300">
        <v>131</v>
      </c>
      <c r="KN300">
        <v>208675162</v>
      </c>
      <c r="KO300">
        <v>187</v>
      </c>
      <c r="KQ300" s="24"/>
      <c r="KR300">
        <v>123000</v>
      </c>
      <c r="KS300">
        <v>124000</v>
      </c>
      <c r="KT300">
        <v>123500</v>
      </c>
      <c r="KU300">
        <v>55918</v>
      </c>
      <c r="KV300">
        <v>653</v>
      </c>
      <c r="KX300" s="24"/>
      <c r="KY300">
        <v>705</v>
      </c>
      <c r="KZ300">
        <v>723</v>
      </c>
      <c r="LA300">
        <v>705</v>
      </c>
      <c r="LB300">
        <v>8831356</v>
      </c>
      <c r="LC300">
        <v>247</v>
      </c>
      <c r="LE300" s="24"/>
      <c r="LF300">
        <v>182102</v>
      </c>
      <c r="LG300">
        <v>186898</v>
      </c>
      <c r="LH300">
        <v>183000</v>
      </c>
      <c r="LI300">
        <v>171336</v>
      </c>
      <c r="LJ300">
        <v>893</v>
      </c>
      <c r="LL300" s="24"/>
      <c r="LM300">
        <v>68103</v>
      </c>
      <c r="LN300">
        <v>69000</v>
      </c>
      <c r="LO300">
        <v>68501</v>
      </c>
      <c r="LP300">
        <v>417575</v>
      </c>
      <c r="LQ300">
        <v>1276</v>
      </c>
      <c r="LS300" s="24"/>
      <c r="LT300">
        <v>453</v>
      </c>
      <c r="LU300">
        <v>458</v>
      </c>
      <c r="LV300">
        <v>458</v>
      </c>
      <c r="LW300">
        <v>107410444</v>
      </c>
      <c r="LX300">
        <v>439</v>
      </c>
      <c r="LZ300" s="24"/>
      <c r="MA300">
        <v>92108</v>
      </c>
      <c r="MB300">
        <v>95988</v>
      </c>
      <c r="MC300">
        <v>94000</v>
      </c>
      <c r="MD300">
        <v>1307070</v>
      </c>
      <c r="ME300">
        <v>96</v>
      </c>
    </row>
    <row r="301" spans="2:343" x14ac:dyDescent="0.25">
      <c r="B301" s="24"/>
      <c r="C301">
        <v>3</v>
      </c>
      <c r="D301">
        <v>3</v>
      </c>
      <c r="E301">
        <v>3</v>
      </c>
      <c r="F301">
        <v>32816880611</v>
      </c>
      <c r="G301">
        <v>2095</v>
      </c>
      <c r="I301" s="24"/>
      <c r="J301">
        <v>4</v>
      </c>
      <c r="K301">
        <v>4</v>
      </c>
      <c r="L301">
        <v>4</v>
      </c>
      <c r="M301">
        <v>5146658730</v>
      </c>
      <c r="N301">
        <v>1524</v>
      </c>
      <c r="P301" s="24"/>
      <c r="Q301">
        <v>32</v>
      </c>
      <c r="R301">
        <v>33</v>
      </c>
      <c r="S301">
        <v>32</v>
      </c>
      <c r="T301">
        <v>2359253419</v>
      </c>
      <c r="U301">
        <v>1464</v>
      </c>
      <c r="W301" s="24"/>
      <c r="X301">
        <v>62</v>
      </c>
      <c r="Y301">
        <v>63</v>
      </c>
      <c r="Z301">
        <v>62</v>
      </c>
      <c r="AA301">
        <v>307883174</v>
      </c>
      <c r="AB301">
        <v>1102</v>
      </c>
      <c r="AD301" s="24"/>
      <c r="AE301">
        <v>410</v>
      </c>
      <c r="AF301">
        <v>414</v>
      </c>
      <c r="AG301">
        <v>414</v>
      </c>
      <c r="AH301">
        <v>133401878</v>
      </c>
      <c r="AI301">
        <v>1252</v>
      </c>
      <c r="AK301" s="24"/>
      <c r="AL301">
        <v>721</v>
      </c>
      <c r="AM301">
        <v>734</v>
      </c>
      <c r="AN301">
        <v>730</v>
      </c>
      <c r="AO301">
        <v>60662644</v>
      </c>
      <c r="AP301">
        <v>1056</v>
      </c>
      <c r="AR301" s="24"/>
      <c r="AS301">
        <v>2805</v>
      </c>
      <c r="AT301">
        <v>2891</v>
      </c>
      <c r="AU301">
        <v>2807</v>
      </c>
      <c r="AV301">
        <v>12106301</v>
      </c>
      <c r="AW301">
        <v>990</v>
      </c>
      <c r="AY301" s="24"/>
      <c r="AZ301">
        <v>383000000</v>
      </c>
      <c r="BA301">
        <v>389999995</v>
      </c>
      <c r="BB301">
        <v>387499999</v>
      </c>
      <c r="BC301">
        <v>2048</v>
      </c>
      <c r="BD301">
        <v>1371</v>
      </c>
      <c r="BF301" s="24"/>
      <c r="BG301">
        <v>24457</v>
      </c>
      <c r="BH301">
        <v>24556</v>
      </c>
      <c r="BI301">
        <v>24457</v>
      </c>
      <c r="BJ301">
        <v>2683073</v>
      </c>
      <c r="BK301">
        <v>194</v>
      </c>
      <c r="BM301" s="24"/>
      <c r="BN301">
        <v>6677037</v>
      </c>
      <c r="BO301">
        <v>6867937</v>
      </c>
      <c r="BP301">
        <v>6688999</v>
      </c>
      <c r="BQ301">
        <v>14823</v>
      </c>
      <c r="BR301">
        <v>315</v>
      </c>
      <c r="BT301" s="24"/>
      <c r="BU301">
        <v>2025</v>
      </c>
      <c r="BV301">
        <v>2049</v>
      </c>
      <c r="BW301">
        <v>2049</v>
      </c>
      <c r="BX301">
        <v>20107659</v>
      </c>
      <c r="BY301">
        <v>212</v>
      </c>
      <c r="CA301" s="24"/>
      <c r="CB301">
        <v>569</v>
      </c>
      <c r="CC301">
        <v>636</v>
      </c>
      <c r="CD301">
        <v>589</v>
      </c>
      <c r="CE301">
        <v>76109150</v>
      </c>
      <c r="CF301">
        <v>295</v>
      </c>
      <c r="CH301" s="24"/>
      <c r="CI301">
        <v>24300</v>
      </c>
      <c r="CJ301">
        <v>24300</v>
      </c>
      <c r="CK301">
        <v>24300</v>
      </c>
      <c r="CL301">
        <v>955133</v>
      </c>
      <c r="CM301">
        <v>153</v>
      </c>
      <c r="CO301" s="24"/>
      <c r="CP301">
        <v>7742</v>
      </c>
      <c r="CQ301">
        <v>7999</v>
      </c>
      <c r="CR301">
        <v>7750</v>
      </c>
      <c r="CS301">
        <v>1179565</v>
      </c>
      <c r="CT301">
        <v>417</v>
      </c>
      <c r="CV301" s="24"/>
      <c r="CW301">
        <v>1250000</v>
      </c>
      <c r="CX301">
        <v>1299998</v>
      </c>
      <c r="CY301">
        <v>1290984</v>
      </c>
      <c r="CZ301">
        <v>11089</v>
      </c>
      <c r="DA301">
        <v>39</v>
      </c>
      <c r="DC301" s="24"/>
      <c r="DD301">
        <v>441</v>
      </c>
      <c r="DE301">
        <v>443</v>
      </c>
      <c r="DF301">
        <v>443</v>
      </c>
      <c r="DG301">
        <v>26763079</v>
      </c>
      <c r="DH301">
        <v>164</v>
      </c>
      <c r="DJ301" s="24"/>
      <c r="DK301">
        <v>31937035</v>
      </c>
      <c r="DL301">
        <v>33399000</v>
      </c>
      <c r="DM301">
        <v>31950029</v>
      </c>
      <c r="DN301">
        <v>287</v>
      </c>
      <c r="DO301">
        <v>80</v>
      </c>
      <c r="DQ301" s="24"/>
      <c r="DR301">
        <v>1331000</v>
      </c>
      <c r="DS301">
        <v>1399954</v>
      </c>
      <c r="DT301">
        <v>1332001</v>
      </c>
      <c r="DU301">
        <v>9607</v>
      </c>
      <c r="DV301">
        <v>241</v>
      </c>
      <c r="DX301" s="24"/>
      <c r="DY301">
        <v>22402019</v>
      </c>
      <c r="DZ301">
        <v>23900000</v>
      </c>
      <c r="EA301">
        <v>23000011</v>
      </c>
      <c r="EB301">
        <v>578</v>
      </c>
      <c r="EC301">
        <v>109</v>
      </c>
      <c r="EE301" s="24"/>
      <c r="EF301">
        <v>196</v>
      </c>
      <c r="EG301">
        <v>204</v>
      </c>
      <c r="EH301">
        <v>202</v>
      </c>
      <c r="EI301">
        <v>74934404</v>
      </c>
      <c r="EJ301">
        <v>130</v>
      </c>
      <c r="EL301" s="24"/>
      <c r="EM301">
        <v>51000</v>
      </c>
      <c r="EN301">
        <v>51000</v>
      </c>
      <c r="EO301">
        <v>51000</v>
      </c>
      <c r="EP301">
        <v>121726</v>
      </c>
      <c r="EQ301">
        <v>611</v>
      </c>
      <c r="ES301" s="24"/>
      <c r="ET301">
        <v>287</v>
      </c>
      <c r="EU301">
        <v>294</v>
      </c>
      <c r="EV301">
        <v>294</v>
      </c>
      <c r="EW301">
        <v>39468800</v>
      </c>
      <c r="EX301">
        <v>508</v>
      </c>
      <c r="EZ301" s="24"/>
      <c r="FA301">
        <v>3251002</v>
      </c>
      <c r="FB301">
        <v>3533895</v>
      </c>
      <c r="FC301">
        <v>3351000</v>
      </c>
      <c r="FD301">
        <v>1553</v>
      </c>
      <c r="FE301">
        <v>17</v>
      </c>
      <c r="FG301" s="24"/>
      <c r="FH301">
        <v>7622</v>
      </c>
      <c r="FI301">
        <v>7938</v>
      </c>
      <c r="FJ301">
        <v>7930</v>
      </c>
      <c r="FK301">
        <v>1518483</v>
      </c>
      <c r="FL301">
        <v>476</v>
      </c>
      <c r="FN301" s="24"/>
      <c r="FO301">
        <v>18004</v>
      </c>
      <c r="FP301">
        <v>18004</v>
      </c>
      <c r="FQ301">
        <v>18004</v>
      </c>
      <c r="FR301">
        <v>191706</v>
      </c>
      <c r="FS301">
        <v>74</v>
      </c>
      <c r="FU301" s="24"/>
      <c r="FV301">
        <v>14327</v>
      </c>
      <c r="FW301">
        <v>14500</v>
      </c>
      <c r="FX301">
        <v>14500</v>
      </c>
      <c r="FY301">
        <v>472808</v>
      </c>
      <c r="FZ301">
        <v>1131</v>
      </c>
      <c r="GB301" s="24"/>
      <c r="GC301">
        <v>86861077</v>
      </c>
      <c r="GD301">
        <v>90998989</v>
      </c>
      <c r="GE301">
        <v>89229827</v>
      </c>
      <c r="GF301">
        <v>71</v>
      </c>
      <c r="GG301">
        <v>50</v>
      </c>
      <c r="GI301" s="24"/>
      <c r="GJ301">
        <v>20334000</v>
      </c>
      <c r="GK301">
        <v>21000000</v>
      </c>
      <c r="GL301">
        <v>20334000</v>
      </c>
      <c r="GM301">
        <v>744</v>
      </c>
      <c r="GN301">
        <v>106</v>
      </c>
      <c r="GP301" s="24"/>
      <c r="GQ301">
        <v>118</v>
      </c>
      <c r="GR301">
        <v>120</v>
      </c>
      <c r="GS301">
        <v>120</v>
      </c>
      <c r="GT301">
        <v>131274134</v>
      </c>
      <c r="GU301">
        <v>159</v>
      </c>
      <c r="GW301" s="24"/>
      <c r="GX301">
        <v>407</v>
      </c>
      <c r="GY301">
        <v>421</v>
      </c>
      <c r="GZ301">
        <v>421</v>
      </c>
      <c r="HA301">
        <v>49388573</v>
      </c>
      <c r="HB301">
        <v>223</v>
      </c>
      <c r="HD301" s="24"/>
      <c r="HE301">
        <v>5521</v>
      </c>
      <c r="HF301">
        <v>5598</v>
      </c>
      <c r="HG301">
        <v>5598</v>
      </c>
      <c r="HH301">
        <v>18557683</v>
      </c>
      <c r="HI301">
        <v>282</v>
      </c>
      <c r="HK301" s="24"/>
      <c r="HL301">
        <v>82217375</v>
      </c>
      <c r="HM301">
        <v>91049499</v>
      </c>
      <c r="HN301">
        <v>87302347</v>
      </c>
      <c r="HO301">
        <v>74</v>
      </c>
      <c r="HP301">
        <v>50</v>
      </c>
      <c r="HR301" s="24"/>
      <c r="HS301">
        <v>8300</v>
      </c>
      <c r="HT301">
        <v>8487</v>
      </c>
      <c r="HU301">
        <v>8483</v>
      </c>
      <c r="HV301">
        <v>613163</v>
      </c>
      <c r="HW301">
        <v>149</v>
      </c>
      <c r="HY301" s="24"/>
      <c r="HZ301">
        <v>7000</v>
      </c>
      <c r="IA301">
        <v>7299</v>
      </c>
      <c r="IB301">
        <v>7293</v>
      </c>
      <c r="IC301">
        <v>2327404</v>
      </c>
      <c r="ID301">
        <v>481</v>
      </c>
      <c r="IF301" s="24"/>
      <c r="IG301">
        <v>3138</v>
      </c>
      <c r="IH301">
        <v>3279</v>
      </c>
      <c r="II301">
        <v>3279</v>
      </c>
      <c r="IJ301">
        <v>2204086</v>
      </c>
      <c r="IK301">
        <v>148</v>
      </c>
      <c r="IM301" s="24"/>
      <c r="IN301">
        <v>90100037</v>
      </c>
      <c r="IO301">
        <v>92995000</v>
      </c>
      <c r="IP301">
        <v>90100038</v>
      </c>
      <c r="IQ301">
        <v>200</v>
      </c>
      <c r="IR301">
        <v>75</v>
      </c>
      <c r="IT301" s="24"/>
      <c r="IU301">
        <v>7500</v>
      </c>
      <c r="IV301">
        <v>7600</v>
      </c>
      <c r="IW301">
        <v>7600</v>
      </c>
      <c r="IX301">
        <v>1314056</v>
      </c>
      <c r="IY301">
        <v>121</v>
      </c>
      <c r="JA301" s="24"/>
      <c r="JB301">
        <v>86233086</v>
      </c>
      <c r="JC301">
        <v>88949878</v>
      </c>
      <c r="JD301">
        <v>88875886</v>
      </c>
      <c r="JE301">
        <v>139</v>
      </c>
      <c r="JF301">
        <v>81</v>
      </c>
      <c r="JH301" s="24"/>
      <c r="JI301">
        <v>86868028</v>
      </c>
      <c r="JJ301">
        <v>89984980</v>
      </c>
      <c r="JK301">
        <v>88644739</v>
      </c>
      <c r="JL301">
        <v>80</v>
      </c>
      <c r="JM301">
        <v>52</v>
      </c>
      <c r="JO301" s="24"/>
      <c r="JP301">
        <v>105</v>
      </c>
      <c r="JQ301">
        <v>107</v>
      </c>
      <c r="JR301">
        <v>105</v>
      </c>
      <c r="JS301">
        <v>86782823</v>
      </c>
      <c r="JT301">
        <v>98</v>
      </c>
      <c r="JV301" s="24"/>
      <c r="JW301">
        <v>100</v>
      </c>
      <c r="JX301">
        <v>103</v>
      </c>
      <c r="JY301">
        <v>100</v>
      </c>
      <c r="JZ301">
        <v>98713694</v>
      </c>
      <c r="KA301">
        <v>115</v>
      </c>
      <c r="KC301" s="24"/>
      <c r="KD301">
        <v>21</v>
      </c>
      <c r="KE301">
        <v>21</v>
      </c>
      <c r="KF301">
        <v>21</v>
      </c>
      <c r="KG301">
        <v>41505472</v>
      </c>
      <c r="KH301">
        <v>307</v>
      </c>
      <c r="KJ301" s="24"/>
      <c r="KK301">
        <v>126</v>
      </c>
      <c r="KL301">
        <v>131</v>
      </c>
      <c r="KM301">
        <v>126</v>
      </c>
      <c r="KN301">
        <v>118751289</v>
      </c>
      <c r="KO301">
        <v>138</v>
      </c>
      <c r="KQ301" s="24"/>
      <c r="KR301">
        <v>124002</v>
      </c>
      <c r="KS301">
        <v>124003</v>
      </c>
      <c r="KT301">
        <v>124003</v>
      </c>
      <c r="KU301">
        <v>81846</v>
      </c>
      <c r="KV301">
        <v>560</v>
      </c>
      <c r="KX301" s="24"/>
      <c r="KY301">
        <v>710</v>
      </c>
      <c r="KZ301">
        <v>723</v>
      </c>
      <c r="LA301">
        <v>723</v>
      </c>
      <c r="LB301">
        <v>5308939</v>
      </c>
      <c r="LC301">
        <v>158</v>
      </c>
      <c r="LE301" s="24"/>
      <c r="LF301">
        <v>183001</v>
      </c>
      <c r="LG301">
        <v>183001</v>
      </c>
      <c r="LH301">
        <v>183001</v>
      </c>
      <c r="LI301">
        <v>205387</v>
      </c>
      <c r="LJ301">
        <v>797</v>
      </c>
      <c r="LL301" s="24"/>
      <c r="LM301">
        <v>68103</v>
      </c>
      <c r="LN301">
        <v>68105</v>
      </c>
      <c r="LO301">
        <v>68105</v>
      </c>
      <c r="LP301">
        <v>468188</v>
      </c>
      <c r="LQ301">
        <v>1129</v>
      </c>
      <c r="LS301" s="24"/>
      <c r="LT301">
        <v>463</v>
      </c>
      <c r="LU301">
        <v>464</v>
      </c>
      <c r="LV301">
        <v>464</v>
      </c>
      <c r="LW301">
        <v>81447178</v>
      </c>
      <c r="LX301">
        <v>348</v>
      </c>
      <c r="LZ301" s="24"/>
      <c r="MA301">
        <v>87009</v>
      </c>
      <c r="MB301">
        <v>87096</v>
      </c>
      <c r="MC301">
        <v>87091</v>
      </c>
      <c r="MD301">
        <v>766674</v>
      </c>
      <c r="ME301">
        <v>59</v>
      </c>
    </row>
    <row r="302" spans="2:343" x14ac:dyDescent="0.25">
      <c r="B302" s="24"/>
      <c r="C302">
        <v>3</v>
      </c>
      <c r="D302">
        <v>3</v>
      </c>
      <c r="E302">
        <v>3</v>
      </c>
      <c r="F302">
        <v>33952296530</v>
      </c>
      <c r="G302">
        <v>1889</v>
      </c>
      <c r="I302" s="24"/>
      <c r="J302">
        <v>4</v>
      </c>
      <c r="K302">
        <v>4</v>
      </c>
      <c r="L302">
        <v>4</v>
      </c>
      <c r="M302">
        <v>6000577097</v>
      </c>
      <c r="N302">
        <v>1354</v>
      </c>
      <c r="P302" s="24"/>
      <c r="Q302">
        <v>31</v>
      </c>
      <c r="R302">
        <v>35</v>
      </c>
      <c r="S302">
        <v>32</v>
      </c>
      <c r="T302">
        <v>1694035928</v>
      </c>
      <c r="U302">
        <v>1277</v>
      </c>
      <c r="W302" s="24"/>
      <c r="X302">
        <v>61</v>
      </c>
      <c r="Y302">
        <v>64</v>
      </c>
      <c r="Z302">
        <v>63</v>
      </c>
      <c r="AA302">
        <v>452210757</v>
      </c>
      <c r="AB302">
        <v>1040</v>
      </c>
      <c r="AD302" s="24"/>
      <c r="AE302">
        <v>408</v>
      </c>
      <c r="AF302">
        <v>434</v>
      </c>
      <c r="AG302">
        <v>423</v>
      </c>
      <c r="AH302">
        <v>109583432</v>
      </c>
      <c r="AI302">
        <v>1094</v>
      </c>
      <c r="AK302" s="24"/>
      <c r="AL302">
        <v>731</v>
      </c>
      <c r="AM302">
        <v>755</v>
      </c>
      <c r="AN302">
        <v>739</v>
      </c>
      <c r="AO302">
        <v>45709869</v>
      </c>
      <c r="AP302">
        <v>901</v>
      </c>
      <c r="AR302" s="24"/>
      <c r="AS302">
        <v>2807</v>
      </c>
      <c r="AT302">
        <v>2879</v>
      </c>
      <c r="AU302">
        <v>2879</v>
      </c>
      <c r="AV302">
        <v>18305338</v>
      </c>
      <c r="AW302">
        <v>911</v>
      </c>
      <c r="AY302" s="24"/>
      <c r="AZ302">
        <v>385105050</v>
      </c>
      <c r="BA302">
        <v>391700000</v>
      </c>
      <c r="BB302">
        <v>390000004</v>
      </c>
      <c r="BC302">
        <v>2090</v>
      </c>
      <c r="BD302">
        <v>1464</v>
      </c>
      <c r="BF302" s="24"/>
      <c r="BG302">
        <v>24463</v>
      </c>
      <c r="BH302">
        <v>25120</v>
      </c>
      <c r="BI302">
        <v>24860</v>
      </c>
      <c r="BJ302">
        <v>4781289</v>
      </c>
      <c r="BK302">
        <v>231</v>
      </c>
      <c r="BM302" s="24"/>
      <c r="BN302">
        <v>6850000</v>
      </c>
      <c r="BO302">
        <v>7006000</v>
      </c>
      <c r="BP302">
        <v>6850008</v>
      </c>
      <c r="BQ302">
        <v>11696</v>
      </c>
      <c r="BR302">
        <v>281</v>
      </c>
      <c r="BT302" s="24"/>
      <c r="BU302">
        <v>2048</v>
      </c>
      <c r="BV302">
        <v>2049</v>
      </c>
      <c r="BW302">
        <v>2049</v>
      </c>
      <c r="BX302">
        <v>23256183</v>
      </c>
      <c r="BY302">
        <v>217</v>
      </c>
      <c r="CA302" s="24"/>
      <c r="CB302">
        <v>552</v>
      </c>
      <c r="CC302">
        <v>573</v>
      </c>
      <c r="CD302">
        <v>561</v>
      </c>
      <c r="CE302">
        <v>55016563</v>
      </c>
      <c r="CF302">
        <v>249</v>
      </c>
      <c r="CH302" s="24"/>
      <c r="CI302">
        <v>24302</v>
      </c>
      <c r="CJ302">
        <v>24302</v>
      </c>
      <c r="CK302">
        <v>24302</v>
      </c>
      <c r="CL302">
        <v>1473409</v>
      </c>
      <c r="CM302">
        <v>162</v>
      </c>
      <c r="CO302" s="24"/>
      <c r="CP302">
        <v>7600</v>
      </c>
      <c r="CQ302">
        <v>7999</v>
      </c>
      <c r="CR302">
        <v>7979</v>
      </c>
      <c r="CS302">
        <v>1285154</v>
      </c>
      <c r="CT302">
        <v>344</v>
      </c>
      <c r="CV302" s="24"/>
      <c r="CW302">
        <v>1250000</v>
      </c>
      <c r="CX302">
        <v>1298999</v>
      </c>
      <c r="CY302">
        <v>1298999</v>
      </c>
      <c r="CZ302">
        <v>6022</v>
      </c>
      <c r="DA302">
        <v>20</v>
      </c>
      <c r="DC302" s="24"/>
      <c r="DD302">
        <v>427</v>
      </c>
      <c r="DE302">
        <v>450</v>
      </c>
      <c r="DF302">
        <v>441</v>
      </c>
      <c r="DG302">
        <v>48329263</v>
      </c>
      <c r="DH302">
        <v>168</v>
      </c>
      <c r="DJ302" s="24"/>
      <c r="DK302">
        <v>31937055</v>
      </c>
      <c r="DL302">
        <v>31938000</v>
      </c>
      <c r="DM302">
        <v>31937056</v>
      </c>
      <c r="DN302">
        <v>392</v>
      </c>
      <c r="DO302">
        <v>60</v>
      </c>
      <c r="DQ302" s="24"/>
      <c r="DR302">
        <v>1332332</v>
      </c>
      <c r="DS302">
        <v>1334331</v>
      </c>
      <c r="DT302">
        <v>1334001</v>
      </c>
      <c r="DU302">
        <v>10998</v>
      </c>
      <c r="DV302">
        <v>205</v>
      </c>
      <c r="DX302" s="24"/>
      <c r="DY302">
        <v>21502001</v>
      </c>
      <c r="DZ302">
        <v>23000000</v>
      </c>
      <c r="EA302">
        <v>22402019</v>
      </c>
      <c r="EB302">
        <v>639</v>
      </c>
      <c r="EC302">
        <v>110</v>
      </c>
      <c r="EE302" s="24"/>
      <c r="EF302">
        <v>196</v>
      </c>
      <c r="EG302">
        <v>203</v>
      </c>
      <c r="EH302">
        <v>203</v>
      </c>
      <c r="EI302">
        <v>80760991</v>
      </c>
      <c r="EJ302">
        <v>187</v>
      </c>
      <c r="EL302" s="24"/>
      <c r="EM302">
        <v>53006</v>
      </c>
      <c r="EN302">
        <v>55000</v>
      </c>
      <c r="EO302">
        <v>53006</v>
      </c>
      <c r="EP302">
        <v>120020</v>
      </c>
      <c r="EQ302">
        <v>583</v>
      </c>
      <c r="ES302" s="24"/>
      <c r="ET302">
        <v>287</v>
      </c>
      <c r="EU302">
        <v>294</v>
      </c>
      <c r="EV302">
        <v>294</v>
      </c>
      <c r="EW302">
        <v>38273993</v>
      </c>
      <c r="EX302">
        <v>494</v>
      </c>
      <c r="EZ302" s="24"/>
      <c r="FA302">
        <v>3533895</v>
      </c>
      <c r="FB302">
        <v>3533895</v>
      </c>
      <c r="FC302">
        <v>3533895</v>
      </c>
      <c r="FD302">
        <v>1788</v>
      </c>
      <c r="FE302">
        <v>23</v>
      </c>
      <c r="FG302" s="24"/>
      <c r="FH302">
        <v>7625</v>
      </c>
      <c r="FI302">
        <v>7937</v>
      </c>
      <c r="FJ302">
        <v>7899</v>
      </c>
      <c r="FK302">
        <v>1568381</v>
      </c>
      <c r="FL302">
        <v>392</v>
      </c>
      <c r="FN302" s="24"/>
      <c r="FO302">
        <v>16805</v>
      </c>
      <c r="FP302">
        <v>17800</v>
      </c>
      <c r="FQ302">
        <v>17799</v>
      </c>
      <c r="FR302">
        <v>152224</v>
      </c>
      <c r="FS302">
        <v>79</v>
      </c>
      <c r="FU302" s="24"/>
      <c r="FV302">
        <v>14326</v>
      </c>
      <c r="FW302">
        <v>14330</v>
      </c>
      <c r="FX302">
        <v>14327</v>
      </c>
      <c r="FY302">
        <v>309337</v>
      </c>
      <c r="FZ302">
        <v>926</v>
      </c>
      <c r="GB302" s="24"/>
      <c r="GC302">
        <v>86872000</v>
      </c>
      <c r="GD302">
        <v>89999996</v>
      </c>
      <c r="GE302">
        <v>89999987</v>
      </c>
      <c r="GF302">
        <v>130</v>
      </c>
      <c r="GG302">
        <v>71</v>
      </c>
      <c r="GI302" s="24"/>
      <c r="GJ302">
        <v>20334001</v>
      </c>
      <c r="GK302">
        <v>20399999</v>
      </c>
      <c r="GL302">
        <v>20399997</v>
      </c>
      <c r="GM302">
        <v>915</v>
      </c>
      <c r="GN302">
        <v>90</v>
      </c>
      <c r="GP302" s="24"/>
      <c r="GQ302">
        <v>114</v>
      </c>
      <c r="GR302">
        <v>119</v>
      </c>
      <c r="GS302">
        <v>119</v>
      </c>
      <c r="GT302">
        <v>93883361</v>
      </c>
      <c r="GU302">
        <v>143</v>
      </c>
      <c r="GW302" s="24"/>
      <c r="GX302">
        <v>407</v>
      </c>
      <c r="GY302">
        <v>419</v>
      </c>
      <c r="GZ302">
        <v>419</v>
      </c>
      <c r="HA302">
        <v>45147508</v>
      </c>
      <c r="HB302">
        <v>208</v>
      </c>
      <c r="HD302" s="24"/>
      <c r="HE302">
        <v>5598</v>
      </c>
      <c r="HF302">
        <v>5963</v>
      </c>
      <c r="HG302">
        <v>5615</v>
      </c>
      <c r="HH302">
        <v>12713177</v>
      </c>
      <c r="HI302">
        <v>238</v>
      </c>
      <c r="HK302" s="24"/>
      <c r="HL302">
        <v>86374022</v>
      </c>
      <c r="HM302">
        <v>90999999</v>
      </c>
      <c r="HN302">
        <v>90999990</v>
      </c>
      <c r="HO302">
        <v>111</v>
      </c>
      <c r="HP302">
        <v>73</v>
      </c>
      <c r="HR302" s="24"/>
      <c r="HS302">
        <v>8123</v>
      </c>
      <c r="HT302">
        <v>8288</v>
      </c>
      <c r="HU302">
        <v>8124</v>
      </c>
      <c r="HV302">
        <v>828149</v>
      </c>
      <c r="HW302">
        <v>138</v>
      </c>
      <c r="HY302" s="24"/>
      <c r="HZ302">
        <v>7011</v>
      </c>
      <c r="IA302">
        <v>7314</v>
      </c>
      <c r="IB302">
        <v>7310</v>
      </c>
      <c r="IC302">
        <v>1818558</v>
      </c>
      <c r="ID302">
        <v>367</v>
      </c>
      <c r="IF302" s="24"/>
      <c r="IG302">
        <v>3010</v>
      </c>
      <c r="IH302">
        <v>3278</v>
      </c>
      <c r="II302">
        <v>3210</v>
      </c>
      <c r="IJ302">
        <v>1218968</v>
      </c>
      <c r="IK302">
        <v>111</v>
      </c>
      <c r="IM302" s="24"/>
      <c r="IN302">
        <v>84212000</v>
      </c>
      <c r="IO302">
        <v>93981999</v>
      </c>
      <c r="IP302">
        <v>90180004</v>
      </c>
      <c r="IQ302">
        <v>130</v>
      </c>
      <c r="IR302">
        <v>74</v>
      </c>
      <c r="IT302" s="24"/>
      <c r="IU302">
        <v>7600</v>
      </c>
      <c r="IV302">
        <v>7600</v>
      </c>
      <c r="IW302">
        <v>7600</v>
      </c>
      <c r="IX302">
        <v>837805</v>
      </c>
      <c r="IY302">
        <v>132</v>
      </c>
      <c r="JA302" s="24"/>
      <c r="JB302">
        <v>86369056</v>
      </c>
      <c r="JC302">
        <v>89417949</v>
      </c>
      <c r="JD302">
        <v>86469006</v>
      </c>
      <c r="JE302">
        <v>130</v>
      </c>
      <c r="JF302">
        <v>84</v>
      </c>
      <c r="JH302" s="24"/>
      <c r="JI302">
        <v>86879058</v>
      </c>
      <c r="JJ302">
        <v>89984978</v>
      </c>
      <c r="JK302">
        <v>89245445</v>
      </c>
      <c r="JL302">
        <v>42</v>
      </c>
      <c r="JM302">
        <v>36</v>
      </c>
      <c r="JO302" s="24"/>
      <c r="JP302">
        <v>105</v>
      </c>
      <c r="JQ302">
        <v>107</v>
      </c>
      <c r="JR302">
        <v>107</v>
      </c>
      <c r="JS302">
        <v>113114298</v>
      </c>
      <c r="JT302">
        <v>100</v>
      </c>
      <c r="JV302" s="24"/>
      <c r="JW302">
        <v>96</v>
      </c>
      <c r="JX302">
        <v>102</v>
      </c>
      <c r="JY302">
        <v>101</v>
      </c>
      <c r="JZ302">
        <v>125069524</v>
      </c>
      <c r="KA302">
        <v>124</v>
      </c>
      <c r="KC302" s="24"/>
      <c r="KD302">
        <v>21</v>
      </c>
      <c r="KE302">
        <v>21</v>
      </c>
      <c r="KF302">
        <v>21</v>
      </c>
      <c r="KG302">
        <v>39244605</v>
      </c>
      <c r="KH302">
        <v>258</v>
      </c>
      <c r="KJ302" s="24"/>
      <c r="KK302">
        <v>124</v>
      </c>
      <c r="KL302">
        <v>131</v>
      </c>
      <c r="KM302">
        <v>125</v>
      </c>
      <c r="KN302">
        <v>58523449</v>
      </c>
      <c r="KO302">
        <v>100</v>
      </c>
      <c r="KQ302" s="24"/>
      <c r="KR302">
        <v>120128</v>
      </c>
      <c r="KS302">
        <v>121001</v>
      </c>
      <c r="KT302">
        <v>120129</v>
      </c>
      <c r="KU302">
        <v>56896</v>
      </c>
      <c r="KV302">
        <v>478</v>
      </c>
      <c r="KX302" s="24"/>
      <c r="KY302">
        <v>712</v>
      </c>
      <c r="KZ302">
        <v>723</v>
      </c>
      <c r="LA302">
        <v>723</v>
      </c>
      <c r="LB302">
        <v>4492584</v>
      </c>
      <c r="LC302">
        <v>146</v>
      </c>
      <c r="LE302" s="24"/>
      <c r="LF302">
        <v>179002</v>
      </c>
      <c r="LG302">
        <v>182998</v>
      </c>
      <c r="LH302">
        <v>180000</v>
      </c>
      <c r="LI302">
        <v>156378</v>
      </c>
      <c r="LJ302">
        <v>687</v>
      </c>
      <c r="LL302" s="24"/>
      <c r="LM302">
        <v>68006</v>
      </c>
      <c r="LN302">
        <v>68500</v>
      </c>
      <c r="LO302">
        <v>68007</v>
      </c>
      <c r="LP302">
        <v>375900</v>
      </c>
      <c r="LQ302">
        <v>959</v>
      </c>
      <c r="LS302" s="24"/>
      <c r="LT302">
        <v>451</v>
      </c>
      <c r="LU302">
        <v>463</v>
      </c>
      <c r="LV302">
        <v>463</v>
      </c>
      <c r="LW302">
        <v>82886800</v>
      </c>
      <c r="LX302">
        <v>335</v>
      </c>
      <c r="LZ302" s="24"/>
      <c r="MA302">
        <v>87505</v>
      </c>
      <c r="MB302">
        <v>90998</v>
      </c>
      <c r="MC302">
        <v>89002</v>
      </c>
      <c r="MD302">
        <v>497599</v>
      </c>
      <c r="ME302">
        <v>56</v>
      </c>
    </row>
    <row r="303" spans="2:343" x14ac:dyDescent="0.25">
      <c r="B303" s="24"/>
      <c r="C303">
        <v>3</v>
      </c>
      <c r="D303">
        <v>3</v>
      </c>
      <c r="E303">
        <v>3</v>
      </c>
      <c r="F303">
        <v>23637919683</v>
      </c>
      <c r="G303">
        <v>2078</v>
      </c>
      <c r="I303" s="24"/>
      <c r="J303">
        <v>4</v>
      </c>
      <c r="K303">
        <v>4</v>
      </c>
      <c r="L303">
        <v>4</v>
      </c>
      <c r="M303">
        <v>4103378632</v>
      </c>
      <c r="N303">
        <v>1478</v>
      </c>
      <c r="P303" s="24"/>
      <c r="Q303">
        <v>32</v>
      </c>
      <c r="R303">
        <v>32</v>
      </c>
      <c r="S303">
        <v>32</v>
      </c>
      <c r="T303">
        <v>1509571286</v>
      </c>
      <c r="U303">
        <v>1411</v>
      </c>
      <c r="W303" s="24"/>
      <c r="X303">
        <v>62</v>
      </c>
      <c r="Y303">
        <v>63</v>
      </c>
      <c r="Z303">
        <v>63</v>
      </c>
      <c r="AA303">
        <v>329612842</v>
      </c>
      <c r="AB303">
        <v>1086</v>
      </c>
      <c r="AD303" s="24"/>
      <c r="AE303">
        <v>415</v>
      </c>
      <c r="AF303">
        <v>428</v>
      </c>
      <c r="AG303">
        <v>427</v>
      </c>
      <c r="AH303">
        <v>73130832</v>
      </c>
      <c r="AI303">
        <v>1217</v>
      </c>
      <c r="AK303" s="24"/>
      <c r="AL303">
        <v>737</v>
      </c>
      <c r="AM303">
        <v>746</v>
      </c>
      <c r="AN303">
        <v>737</v>
      </c>
      <c r="AO303">
        <v>26085616</v>
      </c>
      <c r="AP303">
        <v>939</v>
      </c>
      <c r="AR303" s="24"/>
      <c r="AS303">
        <v>2811</v>
      </c>
      <c r="AT303">
        <v>2945</v>
      </c>
      <c r="AU303">
        <v>2812</v>
      </c>
      <c r="AV303">
        <v>11695781</v>
      </c>
      <c r="AW303">
        <v>958</v>
      </c>
      <c r="AY303" s="24"/>
      <c r="AZ303">
        <v>388100000</v>
      </c>
      <c r="BA303">
        <v>397000000</v>
      </c>
      <c r="BB303">
        <v>392999996</v>
      </c>
      <c r="BC303">
        <v>2557</v>
      </c>
      <c r="BD303">
        <v>1605</v>
      </c>
      <c r="BF303" s="24"/>
      <c r="BG303">
        <v>24864</v>
      </c>
      <c r="BH303">
        <v>24864</v>
      </c>
      <c r="BI303">
        <v>24864</v>
      </c>
      <c r="BJ303">
        <v>3614613</v>
      </c>
      <c r="BK303">
        <v>216</v>
      </c>
      <c r="BM303" s="24"/>
      <c r="BN303">
        <v>6850000</v>
      </c>
      <c r="BO303">
        <v>7142999</v>
      </c>
      <c r="BP303">
        <v>6850000</v>
      </c>
      <c r="BQ303">
        <v>10695</v>
      </c>
      <c r="BR303">
        <v>306</v>
      </c>
      <c r="BT303" s="24"/>
      <c r="BU303">
        <v>2022</v>
      </c>
      <c r="BV303">
        <v>2097</v>
      </c>
      <c r="BW303">
        <v>2096</v>
      </c>
      <c r="BX303">
        <v>27995737</v>
      </c>
      <c r="BY303">
        <v>206</v>
      </c>
      <c r="CA303" s="24"/>
      <c r="CB303">
        <v>532</v>
      </c>
      <c r="CC303">
        <v>559</v>
      </c>
      <c r="CD303">
        <v>537</v>
      </c>
      <c r="CE303">
        <v>101812180</v>
      </c>
      <c r="CF303">
        <v>274</v>
      </c>
      <c r="CH303" s="24"/>
      <c r="CI303">
        <v>24303</v>
      </c>
      <c r="CJ303">
        <v>24503</v>
      </c>
      <c r="CK303">
        <v>24503</v>
      </c>
      <c r="CL303">
        <v>1377773</v>
      </c>
      <c r="CM303">
        <v>170</v>
      </c>
      <c r="CO303" s="24"/>
      <c r="CP303">
        <v>8300</v>
      </c>
      <c r="CQ303">
        <v>8999</v>
      </c>
      <c r="CR303">
        <v>8500</v>
      </c>
      <c r="CS303">
        <v>888262</v>
      </c>
      <c r="CT303">
        <v>324</v>
      </c>
      <c r="CV303" s="24"/>
      <c r="CW303">
        <v>1250000</v>
      </c>
      <c r="CX303">
        <v>1292900</v>
      </c>
      <c r="CY303">
        <v>1265000</v>
      </c>
      <c r="CZ303">
        <v>5716</v>
      </c>
      <c r="DA303">
        <v>20</v>
      </c>
      <c r="DC303" s="24"/>
      <c r="DD303">
        <v>440</v>
      </c>
      <c r="DE303">
        <v>454</v>
      </c>
      <c r="DF303">
        <v>453</v>
      </c>
      <c r="DG303">
        <v>53169778</v>
      </c>
      <c r="DH303">
        <v>170</v>
      </c>
      <c r="DJ303" s="24"/>
      <c r="DK303">
        <v>31938026</v>
      </c>
      <c r="DL303">
        <v>32000000</v>
      </c>
      <c r="DM303">
        <v>31938029</v>
      </c>
      <c r="DN303">
        <v>352</v>
      </c>
      <c r="DO303">
        <v>72</v>
      </c>
      <c r="DQ303" s="24"/>
      <c r="DR303">
        <v>1335003</v>
      </c>
      <c r="DS303">
        <v>1425000</v>
      </c>
      <c r="DT303">
        <v>1400000</v>
      </c>
      <c r="DU303">
        <v>11806</v>
      </c>
      <c r="DV303">
        <v>199</v>
      </c>
      <c r="DX303" s="24"/>
      <c r="DY303">
        <v>22000000</v>
      </c>
      <c r="DZ303">
        <v>22993000</v>
      </c>
      <c r="EA303">
        <v>22400007</v>
      </c>
      <c r="EB303">
        <v>287</v>
      </c>
      <c r="EC303">
        <v>83</v>
      </c>
      <c r="EE303" s="24"/>
      <c r="EF303">
        <v>190</v>
      </c>
      <c r="EG303">
        <v>199</v>
      </c>
      <c r="EH303">
        <v>199</v>
      </c>
      <c r="EI303">
        <v>84148686</v>
      </c>
      <c r="EJ303">
        <v>149</v>
      </c>
      <c r="EL303" s="24"/>
      <c r="EM303">
        <v>51002</v>
      </c>
      <c r="EN303">
        <v>53006</v>
      </c>
      <c r="EO303">
        <v>51013</v>
      </c>
      <c r="EP303">
        <v>61255</v>
      </c>
      <c r="EQ303">
        <v>566</v>
      </c>
      <c r="ES303" s="24"/>
      <c r="ET303">
        <v>287</v>
      </c>
      <c r="EU303">
        <v>294</v>
      </c>
      <c r="EV303">
        <v>294</v>
      </c>
      <c r="EW303">
        <v>40219989</v>
      </c>
      <c r="EX303">
        <v>496</v>
      </c>
      <c r="EZ303" s="24"/>
      <c r="FA303">
        <v>3430895</v>
      </c>
      <c r="FB303">
        <v>3430895</v>
      </c>
      <c r="FC303">
        <v>3430895</v>
      </c>
      <c r="FD303">
        <v>748</v>
      </c>
      <c r="FE303">
        <v>13</v>
      </c>
      <c r="FG303" s="24"/>
      <c r="FH303">
        <v>7900</v>
      </c>
      <c r="FI303">
        <v>8154</v>
      </c>
      <c r="FJ303">
        <v>7938</v>
      </c>
      <c r="FK303">
        <v>1297255</v>
      </c>
      <c r="FL303">
        <v>411</v>
      </c>
      <c r="FN303" s="24"/>
      <c r="FO303">
        <v>17799</v>
      </c>
      <c r="FP303">
        <v>17799</v>
      </c>
      <c r="FQ303">
        <v>17799</v>
      </c>
      <c r="FR303">
        <v>91509</v>
      </c>
      <c r="FS303">
        <v>59</v>
      </c>
      <c r="FU303" s="24"/>
      <c r="FV303">
        <v>14332</v>
      </c>
      <c r="FW303">
        <v>14337</v>
      </c>
      <c r="FX303">
        <v>14334</v>
      </c>
      <c r="FY303">
        <v>277676</v>
      </c>
      <c r="FZ303">
        <v>972</v>
      </c>
      <c r="GB303" s="24"/>
      <c r="GC303">
        <v>86876034</v>
      </c>
      <c r="GD303">
        <v>90981000</v>
      </c>
      <c r="GE303">
        <v>90819274</v>
      </c>
      <c r="GF303">
        <v>51</v>
      </c>
      <c r="GG303">
        <v>43</v>
      </c>
      <c r="GI303" s="24"/>
      <c r="GJ303">
        <v>20399998</v>
      </c>
      <c r="GK303">
        <v>20996999</v>
      </c>
      <c r="GL303">
        <v>20400018</v>
      </c>
      <c r="GM303">
        <v>310</v>
      </c>
      <c r="GN303">
        <v>56</v>
      </c>
      <c r="GP303" s="24"/>
      <c r="GQ303">
        <v>114</v>
      </c>
      <c r="GR303">
        <v>119</v>
      </c>
      <c r="GS303">
        <v>119</v>
      </c>
      <c r="GT303">
        <v>131075261</v>
      </c>
      <c r="GU303">
        <v>141</v>
      </c>
      <c r="GW303" s="24"/>
      <c r="GX303">
        <v>414</v>
      </c>
      <c r="GY303">
        <v>417</v>
      </c>
      <c r="GZ303">
        <v>415</v>
      </c>
      <c r="HA303">
        <v>51096577</v>
      </c>
      <c r="HB303">
        <v>203</v>
      </c>
      <c r="HD303" s="24"/>
      <c r="HE303">
        <v>5814</v>
      </c>
      <c r="HF303">
        <v>5993</v>
      </c>
      <c r="HG303">
        <v>5817</v>
      </c>
      <c r="HH303">
        <v>13412891</v>
      </c>
      <c r="HI303">
        <v>249</v>
      </c>
      <c r="HK303" s="24"/>
      <c r="HL303">
        <v>86387421</v>
      </c>
      <c r="HM303">
        <v>90997000</v>
      </c>
      <c r="HN303">
        <v>90413348</v>
      </c>
      <c r="HO303">
        <v>60</v>
      </c>
      <c r="HP303">
        <v>47</v>
      </c>
      <c r="HR303" s="24"/>
      <c r="HS303">
        <v>8106</v>
      </c>
      <c r="HT303">
        <v>8288</v>
      </c>
      <c r="HU303">
        <v>8110</v>
      </c>
      <c r="HV303">
        <v>544095</v>
      </c>
      <c r="HW303">
        <v>104</v>
      </c>
      <c r="HY303" s="24"/>
      <c r="HZ303">
        <v>7014</v>
      </c>
      <c r="IA303">
        <v>7319</v>
      </c>
      <c r="IB303">
        <v>7298</v>
      </c>
      <c r="IC303">
        <v>1705186</v>
      </c>
      <c r="ID303">
        <v>389</v>
      </c>
      <c r="IF303" s="24"/>
      <c r="IG303">
        <v>3010</v>
      </c>
      <c r="IH303">
        <v>3157</v>
      </c>
      <c r="II303">
        <v>3024</v>
      </c>
      <c r="IJ303">
        <v>2458940</v>
      </c>
      <c r="IK303">
        <v>128</v>
      </c>
      <c r="IM303" s="24"/>
      <c r="IN303">
        <v>90000004</v>
      </c>
      <c r="IO303">
        <v>93978950</v>
      </c>
      <c r="IP303">
        <v>92951765</v>
      </c>
      <c r="IQ303">
        <v>50</v>
      </c>
      <c r="IR303">
        <v>47</v>
      </c>
      <c r="IT303" s="24"/>
      <c r="IU303">
        <v>7599</v>
      </c>
      <c r="IV303">
        <v>7600</v>
      </c>
      <c r="IW303">
        <v>7599</v>
      </c>
      <c r="IX303">
        <v>717987</v>
      </c>
      <c r="IY303">
        <v>104</v>
      </c>
      <c r="JA303" s="24"/>
      <c r="JB303">
        <v>86380251</v>
      </c>
      <c r="JC303">
        <v>89417906</v>
      </c>
      <c r="JD303">
        <v>88889787</v>
      </c>
      <c r="JE303">
        <v>69</v>
      </c>
      <c r="JF303">
        <v>53</v>
      </c>
      <c r="JH303" s="24"/>
      <c r="JI303">
        <v>89983991</v>
      </c>
      <c r="JJ303">
        <v>98997997</v>
      </c>
      <c r="JK303">
        <v>92680287</v>
      </c>
      <c r="JL303">
        <v>31</v>
      </c>
      <c r="JM303">
        <v>31</v>
      </c>
      <c r="JO303" s="24"/>
      <c r="JP303">
        <v>105</v>
      </c>
      <c r="JQ303">
        <v>106</v>
      </c>
      <c r="JR303">
        <v>105</v>
      </c>
      <c r="JS303">
        <v>79286929</v>
      </c>
      <c r="JT303">
        <v>87</v>
      </c>
      <c r="JV303" s="24"/>
      <c r="JW303">
        <v>97</v>
      </c>
      <c r="JX303">
        <v>99</v>
      </c>
      <c r="JY303">
        <v>99</v>
      </c>
      <c r="JZ303">
        <v>120919316</v>
      </c>
      <c r="KA303">
        <v>92</v>
      </c>
      <c r="KC303" s="24"/>
      <c r="KD303">
        <v>21</v>
      </c>
      <c r="KE303">
        <v>21</v>
      </c>
      <c r="KF303">
        <v>21</v>
      </c>
      <c r="KG303">
        <v>55360421</v>
      </c>
      <c r="KH303">
        <v>293</v>
      </c>
      <c r="KJ303" s="24"/>
      <c r="KK303">
        <v>124</v>
      </c>
      <c r="KL303">
        <v>128</v>
      </c>
      <c r="KM303">
        <v>125</v>
      </c>
      <c r="KN303">
        <v>130330055</v>
      </c>
      <c r="KO303">
        <v>139</v>
      </c>
      <c r="KQ303" s="24"/>
      <c r="KR303">
        <v>121005</v>
      </c>
      <c r="KS303">
        <v>123896</v>
      </c>
      <c r="KT303">
        <v>121015</v>
      </c>
      <c r="KU303">
        <v>61392</v>
      </c>
      <c r="KV303">
        <v>554</v>
      </c>
      <c r="KX303" s="24"/>
      <c r="KY303">
        <v>713</v>
      </c>
      <c r="KZ303">
        <v>723</v>
      </c>
      <c r="LA303">
        <v>723</v>
      </c>
      <c r="LB303">
        <v>3712159</v>
      </c>
      <c r="LC303">
        <v>142</v>
      </c>
      <c r="LE303" s="24"/>
      <c r="LF303">
        <v>180014</v>
      </c>
      <c r="LG303">
        <v>181902</v>
      </c>
      <c r="LH303">
        <v>180076</v>
      </c>
      <c r="LI303">
        <v>74919</v>
      </c>
      <c r="LJ303">
        <v>750</v>
      </c>
      <c r="LL303" s="24"/>
      <c r="LM303">
        <v>68031</v>
      </c>
      <c r="LN303">
        <v>68041</v>
      </c>
      <c r="LO303">
        <v>68035</v>
      </c>
      <c r="LP303">
        <v>297263</v>
      </c>
      <c r="LQ303">
        <v>1003</v>
      </c>
      <c r="LS303" s="24"/>
      <c r="LT303">
        <v>459</v>
      </c>
      <c r="LU303">
        <v>462</v>
      </c>
      <c r="LV303">
        <v>460</v>
      </c>
      <c r="LW303">
        <v>73845072</v>
      </c>
      <c r="LX303">
        <v>288</v>
      </c>
      <c r="LZ303" s="24"/>
      <c r="MA303">
        <v>90997</v>
      </c>
      <c r="MB303">
        <v>90997</v>
      </c>
      <c r="MC303">
        <v>90997</v>
      </c>
      <c r="MD303">
        <v>750631</v>
      </c>
      <c r="ME303">
        <v>78</v>
      </c>
    </row>
    <row r="304" spans="2:343" x14ac:dyDescent="0.25">
      <c r="B304" s="24"/>
      <c r="C304">
        <v>3</v>
      </c>
      <c r="D304">
        <v>3</v>
      </c>
      <c r="E304">
        <v>3</v>
      </c>
      <c r="F304">
        <v>20510484139</v>
      </c>
      <c r="G304">
        <v>2033</v>
      </c>
      <c r="I304" s="24"/>
      <c r="J304">
        <v>4</v>
      </c>
      <c r="K304">
        <v>4</v>
      </c>
      <c r="L304">
        <v>4</v>
      </c>
      <c r="M304">
        <v>4372339967</v>
      </c>
      <c r="N304">
        <v>1428</v>
      </c>
      <c r="P304" s="24"/>
      <c r="Q304">
        <v>32</v>
      </c>
      <c r="R304">
        <v>33</v>
      </c>
      <c r="S304">
        <v>32</v>
      </c>
      <c r="T304">
        <v>1911260325</v>
      </c>
      <c r="U304">
        <v>1448</v>
      </c>
      <c r="W304" s="24"/>
      <c r="X304">
        <v>61</v>
      </c>
      <c r="Y304">
        <v>62</v>
      </c>
      <c r="Z304">
        <v>62</v>
      </c>
      <c r="AA304">
        <v>220797230</v>
      </c>
      <c r="AB304">
        <v>1117</v>
      </c>
      <c r="AD304" s="24"/>
      <c r="AE304">
        <v>421</v>
      </c>
      <c r="AF304">
        <v>427</v>
      </c>
      <c r="AG304">
        <v>426</v>
      </c>
      <c r="AH304">
        <v>64498145</v>
      </c>
      <c r="AI304">
        <v>1148</v>
      </c>
      <c r="AK304" s="24"/>
      <c r="AL304">
        <v>721</v>
      </c>
      <c r="AM304">
        <v>737</v>
      </c>
      <c r="AN304">
        <v>731</v>
      </c>
      <c r="AO304">
        <v>41395297</v>
      </c>
      <c r="AP304">
        <v>963</v>
      </c>
      <c r="AR304" s="24"/>
      <c r="AS304">
        <v>2800</v>
      </c>
      <c r="AT304">
        <v>2892</v>
      </c>
      <c r="AU304">
        <v>2812</v>
      </c>
      <c r="AV304">
        <v>10478896</v>
      </c>
      <c r="AW304">
        <v>948</v>
      </c>
      <c r="AY304" s="24"/>
      <c r="AZ304">
        <v>386966967</v>
      </c>
      <c r="BA304">
        <v>396850850</v>
      </c>
      <c r="BB304">
        <v>394998996</v>
      </c>
      <c r="BC304">
        <v>2192</v>
      </c>
      <c r="BD304">
        <v>1500</v>
      </c>
      <c r="BF304" s="24"/>
      <c r="BG304">
        <v>24866</v>
      </c>
      <c r="BH304">
        <v>25100</v>
      </c>
      <c r="BI304">
        <v>24866</v>
      </c>
      <c r="BJ304">
        <v>2578781</v>
      </c>
      <c r="BK304">
        <v>201</v>
      </c>
      <c r="BM304" s="24"/>
      <c r="BN304">
        <v>6675021</v>
      </c>
      <c r="BO304">
        <v>7119898</v>
      </c>
      <c r="BP304">
        <v>6850000</v>
      </c>
      <c r="BQ304">
        <v>19248</v>
      </c>
      <c r="BR304">
        <v>385</v>
      </c>
      <c r="BT304" s="24"/>
      <c r="BU304">
        <v>2090</v>
      </c>
      <c r="BV304">
        <v>2096</v>
      </c>
      <c r="BW304">
        <v>2096</v>
      </c>
      <c r="BX304">
        <v>12669869</v>
      </c>
      <c r="BY304">
        <v>190</v>
      </c>
      <c r="CA304" s="24"/>
      <c r="CB304">
        <v>568</v>
      </c>
      <c r="CC304">
        <v>654</v>
      </c>
      <c r="CD304">
        <v>588</v>
      </c>
      <c r="CE304">
        <v>118858609</v>
      </c>
      <c r="CF304">
        <v>292</v>
      </c>
      <c r="CH304" s="24"/>
      <c r="CI304">
        <v>24304</v>
      </c>
      <c r="CJ304">
        <v>24949</v>
      </c>
      <c r="CK304">
        <v>24704</v>
      </c>
      <c r="CL304">
        <v>776728</v>
      </c>
      <c r="CM304">
        <v>165</v>
      </c>
      <c r="CO304" s="24"/>
      <c r="CP304">
        <v>8400</v>
      </c>
      <c r="CQ304">
        <v>8830</v>
      </c>
      <c r="CR304">
        <v>8801</v>
      </c>
      <c r="CS304">
        <v>1613420</v>
      </c>
      <c r="CT304">
        <v>365</v>
      </c>
      <c r="CV304" s="24"/>
      <c r="CW304">
        <v>1250000</v>
      </c>
      <c r="CX304">
        <v>1294998</v>
      </c>
      <c r="CY304">
        <v>1255501</v>
      </c>
      <c r="CZ304">
        <v>11357</v>
      </c>
      <c r="DA304">
        <v>40</v>
      </c>
      <c r="DC304" s="24"/>
      <c r="DD304">
        <v>433</v>
      </c>
      <c r="DE304">
        <v>450</v>
      </c>
      <c r="DF304">
        <v>449</v>
      </c>
      <c r="DG304">
        <v>42744887</v>
      </c>
      <c r="DH304">
        <v>137</v>
      </c>
      <c r="DJ304" s="24"/>
      <c r="DK304">
        <v>31951034</v>
      </c>
      <c r="DL304">
        <v>34479998</v>
      </c>
      <c r="DM304">
        <v>32937049</v>
      </c>
      <c r="DN304">
        <v>240</v>
      </c>
      <c r="DO304">
        <v>62</v>
      </c>
      <c r="DQ304" s="24"/>
      <c r="DR304">
        <v>1350007</v>
      </c>
      <c r="DS304">
        <v>1532000</v>
      </c>
      <c r="DT304">
        <v>1361332</v>
      </c>
      <c r="DU304">
        <v>10949</v>
      </c>
      <c r="DV304">
        <v>219</v>
      </c>
      <c r="DX304" s="24"/>
      <c r="DY304">
        <v>22000021</v>
      </c>
      <c r="DZ304">
        <v>23188999</v>
      </c>
      <c r="EA304">
        <v>22500015</v>
      </c>
      <c r="EB304">
        <v>502</v>
      </c>
      <c r="EC304">
        <v>102</v>
      </c>
      <c r="EE304" s="24"/>
      <c r="EF304">
        <v>192</v>
      </c>
      <c r="EG304">
        <v>199</v>
      </c>
      <c r="EH304">
        <v>195</v>
      </c>
      <c r="EI304">
        <v>53922820</v>
      </c>
      <c r="EJ304">
        <v>161</v>
      </c>
      <c r="EL304" s="24"/>
      <c r="EM304">
        <v>53000</v>
      </c>
      <c r="EN304">
        <v>54004</v>
      </c>
      <c r="EO304">
        <v>54002</v>
      </c>
      <c r="EP304">
        <v>59414</v>
      </c>
      <c r="EQ304">
        <v>582</v>
      </c>
      <c r="ES304" s="24"/>
      <c r="ET304">
        <v>287</v>
      </c>
      <c r="EU304">
        <v>294</v>
      </c>
      <c r="EV304">
        <v>287</v>
      </c>
      <c r="EW304">
        <v>56229910</v>
      </c>
      <c r="EX304">
        <v>558</v>
      </c>
      <c r="EZ304" s="24"/>
      <c r="FA304">
        <v>3252007</v>
      </c>
      <c r="FB304">
        <v>3252008</v>
      </c>
      <c r="FC304">
        <v>3252007</v>
      </c>
      <c r="FD304">
        <v>2783</v>
      </c>
      <c r="FE304">
        <v>18</v>
      </c>
      <c r="FG304" s="24"/>
      <c r="FH304">
        <v>7900</v>
      </c>
      <c r="FI304">
        <v>8199</v>
      </c>
      <c r="FJ304">
        <v>7901</v>
      </c>
      <c r="FK304">
        <v>1228445</v>
      </c>
      <c r="FL304">
        <v>381</v>
      </c>
      <c r="FN304" s="24"/>
      <c r="FO304">
        <v>18930</v>
      </c>
      <c r="FP304">
        <v>18932</v>
      </c>
      <c r="FQ304">
        <v>18932</v>
      </c>
      <c r="FR304">
        <v>494401</v>
      </c>
      <c r="FS304">
        <v>92</v>
      </c>
      <c r="FU304" s="24"/>
      <c r="FV304">
        <v>14401</v>
      </c>
      <c r="FW304">
        <v>14501</v>
      </c>
      <c r="FX304">
        <v>14501</v>
      </c>
      <c r="FY304">
        <v>268226</v>
      </c>
      <c r="FZ304">
        <v>1019</v>
      </c>
      <c r="GB304" s="24"/>
      <c r="GC304">
        <v>88000010</v>
      </c>
      <c r="GD304">
        <v>91922497</v>
      </c>
      <c r="GE304">
        <v>88502020</v>
      </c>
      <c r="GF304">
        <v>136</v>
      </c>
      <c r="GG304">
        <v>95</v>
      </c>
      <c r="GI304" s="24"/>
      <c r="GJ304">
        <v>20400026</v>
      </c>
      <c r="GK304">
        <v>20900028</v>
      </c>
      <c r="GL304">
        <v>20899999</v>
      </c>
      <c r="GM304">
        <v>530</v>
      </c>
      <c r="GN304">
        <v>85</v>
      </c>
      <c r="GP304" s="24"/>
      <c r="GQ304">
        <v>114</v>
      </c>
      <c r="GR304">
        <v>118</v>
      </c>
      <c r="GS304">
        <v>114</v>
      </c>
      <c r="GT304">
        <v>98392647</v>
      </c>
      <c r="GU304">
        <v>128</v>
      </c>
      <c r="GW304" s="24"/>
      <c r="GX304">
        <v>410</v>
      </c>
      <c r="GY304">
        <v>418</v>
      </c>
      <c r="GZ304">
        <v>417</v>
      </c>
      <c r="HA304">
        <v>42802814</v>
      </c>
      <c r="HB304">
        <v>168</v>
      </c>
      <c r="HD304" s="24"/>
      <c r="HE304">
        <v>5654</v>
      </c>
      <c r="HF304">
        <v>5880</v>
      </c>
      <c r="HG304">
        <v>5790</v>
      </c>
      <c r="HH304">
        <v>10595786</v>
      </c>
      <c r="HI304">
        <v>256</v>
      </c>
      <c r="HK304" s="24"/>
      <c r="HL304">
        <v>89002000</v>
      </c>
      <c r="HM304">
        <v>90974000</v>
      </c>
      <c r="HN304">
        <v>89300000</v>
      </c>
      <c r="HO304">
        <v>113</v>
      </c>
      <c r="HP304">
        <v>85</v>
      </c>
      <c r="HR304" s="24"/>
      <c r="HS304">
        <v>7912</v>
      </c>
      <c r="HT304">
        <v>8219</v>
      </c>
      <c r="HU304">
        <v>8129</v>
      </c>
      <c r="HV304">
        <v>781622</v>
      </c>
      <c r="HW304">
        <v>136</v>
      </c>
      <c r="HY304" s="24"/>
      <c r="HZ304">
        <v>7024</v>
      </c>
      <c r="IA304">
        <v>7321</v>
      </c>
      <c r="IB304">
        <v>7320</v>
      </c>
      <c r="IC304">
        <v>1465958</v>
      </c>
      <c r="ID304">
        <v>373</v>
      </c>
      <c r="IF304" s="24"/>
      <c r="IG304">
        <v>3010</v>
      </c>
      <c r="IH304">
        <v>3156</v>
      </c>
      <c r="II304">
        <v>3156</v>
      </c>
      <c r="IJ304">
        <v>1760881</v>
      </c>
      <c r="IK304">
        <v>134</v>
      </c>
      <c r="IM304" s="24"/>
      <c r="IN304">
        <v>91500048</v>
      </c>
      <c r="IO304">
        <v>93962969</v>
      </c>
      <c r="IP304">
        <v>91500068</v>
      </c>
      <c r="IQ304">
        <v>151</v>
      </c>
      <c r="IR304">
        <v>95</v>
      </c>
      <c r="IT304" s="24"/>
      <c r="IU304">
        <v>7453</v>
      </c>
      <c r="IV304">
        <v>7454</v>
      </c>
      <c r="IW304">
        <v>7454</v>
      </c>
      <c r="IX304">
        <v>1215072</v>
      </c>
      <c r="IY304">
        <v>126</v>
      </c>
      <c r="JA304" s="24"/>
      <c r="JB304">
        <v>87000009</v>
      </c>
      <c r="JC304">
        <v>89999999</v>
      </c>
      <c r="JD304">
        <v>87006002</v>
      </c>
      <c r="JE304">
        <v>147</v>
      </c>
      <c r="JF304">
        <v>84</v>
      </c>
      <c r="JH304" s="24"/>
      <c r="JI304">
        <v>86935005</v>
      </c>
      <c r="JJ304">
        <v>98970994</v>
      </c>
      <c r="JK304">
        <v>92913197</v>
      </c>
      <c r="JL304">
        <v>79</v>
      </c>
      <c r="JM304">
        <v>51</v>
      </c>
      <c r="JO304" s="24"/>
      <c r="JP304">
        <v>102</v>
      </c>
      <c r="JQ304">
        <v>109</v>
      </c>
      <c r="JR304">
        <v>106</v>
      </c>
      <c r="JS304">
        <v>216431020</v>
      </c>
      <c r="JT304">
        <v>141</v>
      </c>
      <c r="JV304" s="24"/>
      <c r="JW304">
        <v>96</v>
      </c>
      <c r="JX304">
        <v>99</v>
      </c>
      <c r="JY304">
        <v>96</v>
      </c>
      <c r="JZ304">
        <v>67182346</v>
      </c>
      <c r="KA304">
        <v>114</v>
      </c>
      <c r="KC304" s="24"/>
      <c r="KD304">
        <v>20</v>
      </c>
      <c r="KE304">
        <v>21</v>
      </c>
      <c r="KF304">
        <v>20</v>
      </c>
      <c r="KG304">
        <v>63015673</v>
      </c>
      <c r="KH304">
        <v>342</v>
      </c>
      <c r="KJ304" s="24"/>
      <c r="KK304">
        <v>116</v>
      </c>
      <c r="KL304">
        <v>121</v>
      </c>
      <c r="KM304">
        <v>120</v>
      </c>
      <c r="KN304">
        <v>116182453</v>
      </c>
      <c r="KO304">
        <v>113</v>
      </c>
      <c r="KQ304" s="24"/>
      <c r="KR304">
        <v>124001</v>
      </c>
      <c r="KS304">
        <v>124500</v>
      </c>
      <c r="KT304">
        <v>124001</v>
      </c>
      <c r="KU304">
        <v>76893</v>
      </c>
      <c r="KV304">
        <v>536</v>
      </c>
      <c r="KX304" s="24"/>
      <c r="KY304">
        <v>725</v>
      </c>
      <c r="KZ304">
        <v>725</v>
      </c>
      <c r="LA304">
        <v>725</v>
      </c>
      <c r="LB304">
        <v>3987173</v>
      </c>
      <c r="LC304">
        <v>157</v>
      </c>
      <c r="LE304" s="24"/>
      <c r="LF304">
        <v>182001</v>
      </c>
      <c r="LG304">
        <v>182001</v>
      </c>
      <c r="LH304">
        <v>182001</v>
      </c>
      <c r="LI304">
        <v>91651</v>
      </c>
      <c r="LJ304">
        <v>755</v>
      </c>
      <c r="LL304" s="24"/>
      <c r="LM304">
        <v>68501</v>
      </c>
      <c r="LN304">
        <v>69002</v>
      </c>
      <c r="LO304">
        <v>69002</v>
      </c>
      <c r="LP304">
        <v>281343</v>
      </c>
      <c r="LQ304">
        <v>1082</v>
      </c>
      <c r="LS304" s="24"/>
      <c r="LT304">
        <v>451</v>
      </c>
      <c r="LU304">
        <v>458</v>
      </c>
      <c r="LV304">
        <v>454</v>
      </c>
      <c r="LW304">
        <v>101719230</v>
      </c>
      <c r="LX304">
        <v>313</v>
      </c>
      <c r="LZ304" s="24"/>
      <c r="MA304">
        <v>89255</v>
      </c>
      <c r="MB304">
        <v>92263</v>
      </c>
      <c r="MC304">
        <v>90997</v>
      </c>
      <c r="MD304">
        <v>446539</v>
      </c>
      <c r="ME304">
        <v>50</v>
      </c>
    </row>
    <row r="305" spans="2:343" x14ac:dyDescent="0.25">
      <c r="B305" s="24"/>
      <c r="C305">
        <v>3</v>
      </c>
      <c r="D305">
        <v>3</v>
      </c>
      <c r="E305">
        <v>3</v>
      </c>
      <c r="F305">
        <v>30025893140</v>
      </c>
      <c r="G305">
        <v>2102</v>
      </c>
      <c r="I305" s="24"/>
      <c r="J305">
        <v>4</v>
      </c>
      <c r="K305">
        <v>4</v>
      </c>
      <c r="L305">
        <v>4</v>
      </c>
      <c r="M305">
        <v>7510436171</v>
      </c>
      <c r="N305">
        <v>1436</v>
      </c>
      <c r="P305" s="24"/>
      <c r="Q305">
        <v>32</v>
      </c>
      <c r="R305">
        <v>33</v>
      </c>
      <c r="S305">
        <v>32</v>
      </c>
      <c r="T305">
        <v>1582739977</v>
      </c>
      <c r="U305">
        <v>1382</v>
      </c>
      <c r="W305" s="24"/>
      <c r="X305">
        <v>61</v>
      </c>
      <c r="Y305">
        <v>62</v>
      </c>
      <c r="Z305">
        <v>62</v>
      </c>
      <c r="AA305">
        <v>428533676</v>
      </c>
      <c r="AB305">
        <v>1084</v>
      </c>
      <c r="AD305" s="24"/>
      <c r="AE305">
        <v>418</v>
      </c>
      <c r="AF305">
        <v>430</v>
      </c>
      <c r="AG305">
        <v>421</v>
      </c>
      <c r="AH305">
        <v>120981468</v>
      </c>
      <c r="AI305">
        <v>1148</v>
      </c>
      <c r="AK305" s="24"/>
      <c r="AL305">
        <v>714</v>
      </c>
      <c r="AM305">
        <v>730</v>
      </c>
      <c r="AN305">
        <v>721</v>
      </c>
      <c r="AO305">
        <v>43038544</v>
      </c>
      <c r="AP305">
        <v>898</v>
      </c>
      <c r="AR305" s="24"/>
      <c r="AS305">
        <v>2790</v>
      </c>
      <c r="AT305">
        <v>2845</v>
      </c>
      <c r="AU305">
        <v>2796</v>
      </c>
      <c r="AV305">
        <v>13832994</v>
      </c>
      <c r="AW305">
        <v>929</v>
      </c>
      <c r="AY305" s="24"/>
      <c r="AZ305">
        <v>384050001</v>
      </c>
      <c r="BA305">
        <v>393450450</v>
      </c>
      <c r="BB305">
        <v>388461597</v>
      </c>
      <c r="BC305">
        <v>2666</v>
      </c>
      <c r="BD305">
        <v>1685</v>
      </c>
      <c r="BF305" s="24"/>
      <c r="BG305">
        <v>25121</v>
      </c>
      <c r="BH305">
        <v>25121</v>
      </c>
      <c r="BI305">
        <v>25121</v>
      </c>
      <c r="BJ305">
        <v>3386138</v>
      </c>
      <c r="BK305">
        <v>198</v>
      </c>
      <c r="BM305" s="24"/>
      <c r="BN305">
        <v>6793100</v>
      </c>
      <c r="BO305">
        <v>6989999</v>
      </c>
      <c r="BP305">
        <v>6793100</v>
      </c>
      <c r="BQ305">
        <v>12552</v>
      </c>
      <c r="BR305">
        <v>337</v>
      </c>
      <c r="BT305" s="24"/>
      <c r="BU305">
        <v>2028</v>
      </c>
      <c r="BV305">
        <v>2087</v>
      </c>
      <c r="BW305">
        <v>2086</v>
      </c>
      <c r="BX305">
        <v>27967833</v>
      </c>
      <c r="BY305">
        <v>228</v>
      </c>
      <c r="CA305" s="24"/>
      <c r="CB305">
        <v>689</v>
      </c>
      <c r="CC305">
        <v>999</v>
      </c>
      <c r="CD305">
        <v>842</v>
      </c>
      <c r="CE305">
        <v>349008265</v>
      </c>
      <c r="CF305">
        <v>691</v>
      </c>
      <c r="CH305" s="24"/>
      <c r="CI305">
        <v>24606</v>
      </c>
      <c r="CJ305">
        <v>24805</v>
      </c>
      <c r="CK305">
        <v>24805</v>
      </c>
      <c r="CL305">
        <v>1595098</v>
      </c>
      <c r="CM305">
        <v>150</v>
      </c>
      <c r="CO305" s="24"/>
      <c r="CP305">
        <v>7723</v>
      </c>
      <c r="CQ305">
        <v>8044</v>
      </c>
      <c r="CR305">
        <v>7824</v>
      </c>
      <c r="CS305">
        <v>2149123</v>
      </c>
      <c r="CT305">
        <v>335</v>
      </c>
      <c r="CV305" s="24"/>
      <c r="CW305">
        <v>1293994</v>
      </c>
      <c r="CX305">
        <v>1293995</v>
      </c>
      <c r="CY305">
        <v>1293994</v>
      </c>
      <c r="CZ305">
        <v>6828</v>
      </c>
      <c r="DA305">
        <v>26</v>
      </c>
      <c r="DC305" s="24"/>
      <c r="DD305">
        <v>460</v>
      </c>
      <c r="DE305">
        <v>474</v>
      </c>
      <c r="DF305">
        <v>474</v>
      </c>
      <c r="DG305">
        <v>44435205</v>
      </c>
      <c r="DH305">
        <v>200</v>
      </c>
      <c r="DJ305" s="24"/>
      <c r="DK305">
        <v>31955004</v>
      </c>
      <c r="DL305">
        <v>33000019</v>
      </c>
      <c r="DM305">
        <v>31955059</v>
      </c>
      <c r="DN305">
        <v>170</v>
      </c>
      <c r="DO305">
        <v>60</v>
      </c>
      <c r="DQ305" s="24"/>
      <c r="DR305">
        <v>1250000</v>
      </c>
      <c r="DS305">
        <v>1361331</v>
      </c>
      <c r="DT305">
        <v>1270002</v>
      </c>
      <c r="DU305">
        <v>27486</v>
      </c>
      <c r="DV305">
        <v>217</v>
      </c>
      <c r="DX305" s="24"/>
      <c r="DY305">
        <v>20400000</v>
      </c>
      <c r="DZ305">
        <v>22002005</v>
      </c>
      <c r="EA305">
        <v>21000000</v>
      </c>
      <c r="EB305">
        <v>1166</v>
      </c>
      <c r="EC305">
        <v>97</v>
      </c>
      <c r="EE305" s="24"/>
      <c r="EF305">
        <v>192</v>
      </c>
      <c r="EG305">
        <v>196</v>
      </c>
      <c r="EH305">
        <v>194</v>
      </c>
      <c r="EI305">
        <v>85071443</v>
      </c>
      <c r="EJ305">
        <v>188</v>
      </c>
      <c r="EL305" s="24"/>
      <c r="EM305">
        <v>56002</v>
      </c>
      <c r="EN305">
        <v>56997</v>
      </c>
      <c r="EO305">
        <v>56004</v>
      </c>
      <c r="EP305">
        <v>60369</v>
      </c>
      <c r="EQ305">
        <v>564</v>
      </c>
      <c r="ES305" s="24"/>
      <c r="ET305">
        <v>287</v>
      </c>
      <c r="EU305">
        <v>296</v>
      </c>
      <c r="EV305">
        <v>294</v>
      </c>
      <c r="EW305">
        <v>73323865</v>
      </c>
      <c r="EX305">
        <v>577</v>
      </c>
      <c r="EZ305" s="24"/>
      <c r="FA305">
        <v>3252008</v>
      </c>
      <c r="FB305">
        <v>3420789</v>
      </c>
      <c r="FC305">
        <v>3253000</v>
      </c>
      <c r="FD305">
        <v>675</v>
      </c>
      <c r="FE305">
        <v>9</v>
      </c>
      <c r="FG305" s="24"/>
      <c r="FH305">
        <v>7629</v>
      </c>
      <c r="FI305">
        <v>7874</v>
      </c>
      <c r="FJ305">
        <v>7847</v>
      </c>
      <c r="FK305">
        <v>1706164</v>
      </c>
      <c r="FL305">
        <v>383</v>
      </c>
      <c r="FN305" s="24"/>
      <c r="FO305">
        <v>20989</v>
      </c>
      <c r="FP305">
        <v>20989</v>
      </c>
      <c r="FQ305">
        <v>20989</v>
      </c>
      <c r="FR305">
        <v>144315</v>
      </c>
      <c r="FS305">
        <v>76</v>
      </c>
      <c r="FU305" s="24"/>
      <c r="FV305">
        <v>14651</v>
      </c>
      <c r="FW305">
        <v>14651</v>
      </c>
      <c r="FX305">
        <v>14651</v>
      </c>
      <c r="FY305">
        <v>312387</v>
      </c>
      <c r="FZ305">
        <v>961</v>
      </c>
      <c r="GB305" s="24"/>
      <c r="GC305">
        <v>88502017</v>
      </c>
      <c r="GD305">
        <v>91933994</v>
      </c>
      <c r="GE305">
        <v>89000018</v>
      </c>
      <c r="GF305">
        <v>108</v>
      </c>
      <c r="GG305">
        <v>71</v>
      </c>
      <c r="GI305" s="24"/>
      <c r="GJ305">
        <v>20300002</v>
      </c>
      <c r="GK305">
        <v>20400027</v>
      </c>
      <c r="GL305">
        <v>20400027</v>
      </c>
      <c r="GM305">
        <v>759</v>
      </c>
      <c r="GN305">
        <v>72</v>
      </c>
      <c r="GP305" s="24"/>
      <c r="GQ305">
        <v>114</v>
      </c>
      <c r="GR305">
        <v>118</v>
      </c>
      <c r="GS305">
        <v>118</v>
      </c>
      <c r="GT305">
        <v>254564320</v>
      </c>
      <c r="GU305">
        <v>166</v>
      </c>
      <c r="GW305" s="24"/>
      <c r="GX305">
        <v>407</v>
      </c>
      <c r="GY305">
        <v>419</v>
      </c>
      <c r="GZ305">
        <v>419</v>
      </c>
      <c r="HA305">
        <v>73133585</v>
      </c>
      <c r="HB305">
        <v>205</v>
      </c>
      <c r="HD305" s="24"/>
      <c r="HE305">
        <v>5405</v>
      </c>
      <c r="HF305">
        <v>5768</v>
      </c>
      <c r="HG305">
        <v>5650</v>
      </c>
      <c r="HH305">
        <v>18610469</v>
      </c>
      <c r="HI305">
        <v>276</v>
      </c>
      <c r="HK305" s="24"/>
      <c r="HL305">
        <v>86393134</v>
      </c>
      <c r="HM305">
        <v>90081996</v>
      </c>
      <c r="HN305">
        <v>89447368</v>
      </c>
      <c r="HO305">
        <v>85</v>
      </c>
      <c r="HP305">
        <v>65</v>
      </c>
      <c r="HR305" s="24"/>
      <c r="HS305">
        <v>7770</v>
      </c>
      <c r="HT305">
        <v>8147</v>
      </c>
      <c r="HU305">
        <v>7999</v>
      </c>
      <c r="HV305">
        <v>1112065</v>
      </c>
      <c r="HW305">
        <v>164</v>
      </c>
      <c r="HY305" s="24"/>
      <c r="HZ305">
        <v>7190</v>
      </c>
      <c r="IA305">
        <v>7425</v>
      </c>
      <c r="IB305">
        <v>7334</v>
      </c>
      <c r="IC305">
        <v>2329821</v>
      </c>
      <c r="ID305">
        <v>450</v>
      </c>
      <c r="IF305" s="24"/>
      <c r="IG305">
        <v>3013</v>
      </c>
      <c r="IH305">
        <v>3149</v>
      </c>
      <c r="II305">
        <v>3148</v>
      </c>
      <c r="IJ305">
        <v>3052436</v>
      </c>
      <c r="IK305">
        <v>138</v>
      </c>
      <c r="IM305" s="24"/>
      <c r="IN305">
        <v>91500088</v>
      </c>
      <c r="IO305">
        <v>93494999</v>
      </c>
      <c r="IP305">
        <v>92830146</v>
      </c>
      <c r="IQ305">
        <v>62</v>
      </c>
      <c r="IR305">
        <v>50</v>
      </c>
      <c r="IT305" s="24"/>
      <c r="IU305">
        <v>7589</v>
      </c>
      <c r="IV305">
        <v>7589</v>
      </c>
      <c r="IW305">
        <v>7589</v>
      </c>
      <c r="IX305">
        <v>1312360</v>
      </c>
      <c r="IY305">
        <v>133</v>
      </c>
      <c r="JA305" s="24"/>
      <c r="JB305">
        <v>87005011</v>
      </c>
      <c r="JC305">
        <v>92994995</v>
      </c>
      <c r="JD305">
        <v>89649753</v>
      </c>
      <c r="JE305">
        <v>80</v>
      </c>
      <c r="JF305">
        <v>58</v>
      </c>
      <c r="JH305" s="24"/>
      <c r="JI305">
        <v>90004005</v>
      </c>
      <c r="JJ305">
        <v>97947999</v>
      </c>
      <c r="JK305">
        <v>94798128</v>
      </c>
      <c r="JL305">
        <v>47</v>
      </c>
      <c r="JM305">
        <v>34</v>
      </c>
      <c r="JO305" s="24"/>
      <c r="JP305">
        <v>101</v>
      </c>
      <c r="JQ305">
        <v>109</v>
      </c>
      <c r="JR305">
        <v>106</v>
      </c>
      <c r="JS305">
        <v>109174754</v>
      </c>
      <c r="JT305">
        <v>99</v>
      </c>
      <c r="JV305" s="24"/>
      <c r="JW305">
        <v>96</v>
      </c>
      <c r="JX305">
        <v>99</v>
      </c>
      <c r="JY305">
        <v>99</v>
      </c>
      <c r="JZ305">
        <v>163577827</v>
      </c>
      <c r="KA305">
        <v>114</v>
      </c>
      <c r="KC305" s="24"/>
      <c r="KD305">
        <v>20</v>
      </c>
      <c r="KE305">
        <v>21</v>
      </c>
      <c r="KF305">
        <v>21</v>
      </c>
      <c r="KG305">
        <v>68369004</v>
      </c>
      <c r="KH305">
        <v>308</v>
      </c>
      <c r="KJ305" s="24"/>
      <c r="KK305">
        <v>115</v>
      </c>
      <c r="KL305">
        <v>115</v>
      </c>
      <c r="KM305">
        <v>115</v>
      </c>
      <c r="KN305">
        <v>131926801</v>
      </c>
      <c r="KO305">
        <v>95</v>
      </c>
      <c r="KQ305" s="24"/>
      <c r="KR305">
        <v>124002</v>
      </c>
      <c r="KS305">
        <v>124002</v>
      </c>
      <c r="KT305">
        <v>124002</v>
      </c>
      <c r="KU305">
        <v>56730</v>
      </c>
      <c r="KV305">
        <v>515</v>
      </c>
      <c r="KX305" s="24"/>
      <c r="KY305">
        <v>829</v>
      </c>
      <c r="KZ305">
        <v>847</v>
      </c>
      <c r="LA305">
        <v>845</v>
      </c>
      <c r="LB305">
        <v>3894586</v>
      </c>
      <c r="LC305">
        <v>146</v>
      </c>
      <c r="LE305" s="24"/>
      <c r="LF305">
        <v>184001</v>
      </c>
      <c r="LG305">
        <v>185000</v>
      </c>
      <c r="LH305">
        <v>184002</v>
      </c>
      <c r="LI305">
        <v>72575</v>
      </c>
      <c r="LJ305">
        <v>732</v>
      </c>
      <c r="LL305" s="24"/>
      <c r="LM305">
        <v>69702</v>
      </c>
      <c r="LN305">
        <v>69703</v>
      </c>
      <c r="LO305">
        <v>69702</v>
      </c>
      <c r="LP305">
        <v>306915</v>
      </c>
      <c r="LQ305">
        <v>1050</v>
      </c>
      <c r="LS305" s="24"/>
      <c r="LT305">
        <v>455</v>
      </c>
      <c r="LU305">
        <v>456</v>
      </c>
      <c r="LV305">
        <v>456</v>
      </c>
      <c r="LW305">
        <v>126021265</v>
      </c>
      <c r="LX305">
        <v>372</v>
      </c>
      <c r="LZ305" s="24"/>
      <c r="MA305">
        <v>89100</v>
      </c>
      <c r="MB305">
        <v>92263</v>
      </c>
      <c r="MC305">
        <v>92263</v>
      </c>
      <c r="MD305">
        <v>1130687</v>
      </c>
      <c r="ME305">
        <v>88</v>
      </c>
    </row>
    <row r="306" spans="2:343" x14ac:dyDescent="0.25">
      <c r="B306" s="24"/>
      <c r="C306">
        <v>3</v>
      </c>
      <c r="D306">
        <v>3</v>
      </c>
      <c r="E306">
        <v>3</v>
      </c>
      <c r="F306">
        <v>28581701082</v>
      </c>
      <c r="G306">
        <v>2413</v>
      </c>
      <c r="I306" s="24"/>
      <c r="J306">
        <v>4</v>
      </c>
      <c r="K306">
        <v>4</v>
      </c>
      <c r="L306">
        <v>4</v>
      </c>
      <c r="M306">
        <v>4293591857</v>
      </c>
      <c r="N306">
        <v>1722</v>
      </c>
      <c r="P306" s="24"/>
      <c r="Q306">
        <v>32</v>
      </c>
      <c r="R306">
        <v>33</v>
      </c>
      <c r="S306">
        <v>32</v>
      </c>
      <c r="T306">
        <v>1931041727</v>
      </c>
      <c r="U306">
        <v>1795</v>
      </c>
      <c r="W306" s="24"/>
      <c r="X306">
        <v>61</v>
      </c>
      <c r="Y306">
        <v>63</v>
      </c>
      <c r="Z306">
        <v>63</v>
      </c>
      <c r="AA306">
        <v>292591351</v>
      </c>
      <c r="AB306">
        <v>1314</v>
      </c>
      <c r="AD306" s="24"/>
      <c r="AE306">
        <v>419</v>
      </c>
      <c r="AF306">
        <v>438</v>
      </c>
      <c r="AG306">
        <v>432</v>
      </c>
      <c r="AH306">
        <v>75834888</v>
      </c>
      <c r="AI306">
        <v>1389</v>
      </c>
      <c r="AK306" s="24"/>
      <c r="AL306">
        <v>715</v>
      </c>
      <c r="AM306">
        <v>730</v>
      </c>
      <c r="AN306">
        <v>729</v>
      </c>
      <c r="AO306">
        <v>32425839</v>
      </c>
      <c r="AP306">
        <v>1106</v>
      </c>
      <c r="AR306" s="24"/>
      <c r="AS306">
        <v>2710</v>
      </c>
      <c r="AT306">
        <v>2811</v>
      </c>
      <c r="AU306">
        <v>2810</v>
      </c>
      <c r="AV306">
        <v>13573286</v>
      </c>
      <c r="AW306">
        <v>1136</v>
      </c>
      <c r="AY306" s="24"/>
      <c r="AZ306">
        <v>381500000</v>
      </c>
      <c r="BA306">
        <v>389354000</v>
      </c>
      <c r="BB306">
        <v>385625625</v>
      </c>
      <c r="BC306">
        <v>2722</v>
      </c>
      <c r="BD306">
        <v>1908</v>
      </c>
      <c r="BF306" s="24"/>
      <c r="BG306">
        <v>24702</v>
      </c>
      <c r="BH306">
        <v>24900</v>
      </c>
      <c r="BI306">
        <v>24706</v>
      </c>
      <c r="BJ306">
        <v>2276673</v>
      </c>
      <c r="BK306">
        <v>211</v>
      </c>
      <c r="BM306" s="24"/>
      <c r="BN306">
        <v>6700003</v>
      </c>
      <c r="BO306">
        <v>6750001</v>
      </c>
      <c r="BP306">
        <v>6700025</v>
      </c>
      <c r="BQ306">
        <v>18640</v>
      </c>
      <c r="BR306">
        <v>377</v>
      </c>
      <c r="BT306" s="24"/>
      <c r="BU306">
        <v>2048</v>
      </c>
      <c r="BV306">
        <v>2086</v>
      </c>
      <c r="BW306">
        <v>2048</v>
      </c>
      <c r="BX306">
        <v>27834199</v>
      </c>
      <c r="BY306">
        <v>270</v>
      </c>
      <c r="CA306" s="24"/>
      <c r="CB306">
        <v>979</v>
      </c>
      <c r="CC306">
        <v>1100</v>
      </c>
      <c r="CD306">
        <v>1012</v>
      </c>
      <c r="CE306">
        <v>294534440</v>
      </c>
      <c r="CF306">
        <v>1380</v>
      </c>
      <c r="CH306" s="24"/>
      <c r="CI306">
        <v>25006</v>
      </c>
      <c r="CJ306">
        <v>25006</v>
      </c>
      <c r="CK306">
        <v>25006</v>
      </c>
      <c r="CL306">
        <v>1165097</v>
      </c>
      <c r="CM306">
        <v>159</v>
      </c>
      <c r="CO306" s="24"/>
      <c r="CP306">
        <v>7594</v>
      </c>
      <c r="CQ306">
        <v>7744</v>
      </c>
      <c r="CR306">
        <v>7721</v>
      </c>
      <c r="CS306">
        <v>1267003</v>
      </c>
      <c r="CT306">
        <v>364</v>
      </c>
      <c r="CV306" s="24"/>
      <c r="CW306">
        <v>1293798</v>
      </c>
      <c r="CX306">
        <v>1293798</v>
      </c>
      <c r="CY306">
        <v>1293798</v>
      </c>
      <c r="CZ306">
        <v>8313</v>
      </c>
      <c r="DA306">
        <v>47</v>
      </c>
      <c r="DC306" s="24"/>
      <c r="DD306">
        <v>456</v>
      </c>
      <c r="DE306">
        <v>475</v>
      </c>
      <c r="DF306">
        <v>457</v>
      </c>
      <c r="DG306">
        <v>48872365</v>
      </c>
      <c r="DH306">
        <v>210</v>
      </c>
      <c r="DJ306" s="24"/>
      <c r="DK306">
        <v>33800002</v>
      </c>
      <c r="DL306">
        <v>33800005</v>
      </c>
      <c r="DM306">
        <v>33800005</v>
      </c>
      <c r="DN306">
        <v>301</v>
      </c>
      <c r="DO306">
        <v>64</v>
      </c>
      <c r="DQ306" s="24"/>
      <c r="DR306">
        <v>1100000</v>
      </c>
      <c r="DS306">
        <v>1250003</v>
      </c>
      <c r="DT306">
        <v>1250000</v>
      </c>
      <c r="DU306">
        <v>10638</v>
      </c>
      <c r="DV306">
        <v>243</v>
      </c>
      <c r="DX306" s="24"/>
      <c r="DY306">
        <v>21000003</v>
      </c>
      <c r="DZ306">
        <v>21100000</v>
      </c>
      <c r="EA306">
        <v>21000018</v>
      </c>
      <c r="EB306">
        <v>269</v>
      </c>
      <c r="EC306">
        <v>71</v>
      </c>
      <c r="EE306" s="24"/>
      <c r="EF306">
        <v>190</v>
      </c>
      <c r="EG306">
        <v>196</v>
      </c>
      <c r="EH306">
        <v>190</v>
      </c>
      <c r="EI306">
        <v>108401517</v>
      </c>
      <c r="EJ306">
        <v>228</v>
      </c>
      <c r="EL306" s="24"/>
      <c r="EM306">
        <v>54006</v>
      </c>
      <c r="EN306">
        <v>56500</v>
      </c>
      <c r="EO306">
        <v>54006</v>
      </c>
      <c r="EP306">
        <v>91820</v>
      </c>
      <c r="EQ306">
        <v>632</v>
      </c>
      <c r="ES306" s="24"/>
      <c r="ET306">
        <v>290</v>
      </c>
      <c r="EU306">
        <v>335</v>
      </c>
      <c r="EV306">
        <v>300</v>
      </c>
      <c r="EW306">
        <v>76110156</v>
      </c>
      <c r="EX306">
        <v>701</v>
      </c>
      <c r="EZ306" s="24"/>
      <c r="FA306">
        <v>3359000</v>
      </c>
      <c r="FB306">
        <v>3359999</v>
      </c>
      <c r="FC306">
        <v>3359000</v>
      </c>
      <c r="FD306">
        <v>2388</v>
      </c>
      <c r="FE306">
        <v>32</v>
      </c>
      <c r="FG306" s="24"/>
      <c r="FH306">
        <v>7052</v>
      </c>
      <c r="FI306">
        <v>7743</v>
      </c>
      <c r="FJ306">
        <v>7598</v>
      </c>
      <c r="FK306">
        <v>1709515</v>
      </c>
      <c r="FL306">
        <v>416</v>
      </c>
      <c r="FN306" s="24"/>
      <c r="FO306">
        <v>18700</v>
      </c>
      <c r="FP306">
        <v>20984</v>
      </c>
      <c r="FQ306">
        <v>20964</v>
      </c>
      <c r="FR306">
        <v>211870</v>
      </c>
      <c r="FS306">
        <v>103</v>
      </c>
      <c r="FU306" s="24"/>
      <c r="FV306">
        <v>14332</v>
      </c>
      <c r="FW306">
        <v>14652</v>
      </c>
      <c r="FX306">
        <v>14651</v>
      </c>
      <c r="FY306">
        <v>349578</v>
      </c>
      <c r="FZ306">
        <v>1113</v>
      </c>
      <c r="GB306" s="24"/>
      <c r="GC306">
        <v>89511011</v>
      </c>
      <c r="GD306">
        <v>91926998</v>
      </c>
      <c r="GE306">
        <v>90942919</v>
      </c>
      <c r="GF306">
        <v>70</v>
      </c>
      <c r="GG306">
        <v>54</v>
      </c>
      <c r="GI306" s="24"/>
      <c r="GJ306">
        <v>20210009</v>
      </c>
      <c r="GK306">
        <v>21500000</v>
      </c>
      <c r="GL306">
        <v>21000000</v>
      </c>
      <c r="GM306">
        <v>848</v>
      </c>
      <c r="GN306">
        <v>90</v>
      </c>
      <c r="GP306" s="24"/>
      <c r="GQ306">
        <v>118</v>
      </c>
      <c r="GR306">
        <v>119</v>
      </c>
      <c r="GS306">
        <v>118</v>
      </c>
      <c r="GT306">
        <v>140000215</v>
      </c>
      <c r="GU306">
        <v>171</v>
      </c>
      <c r="GW306" s="24"/>
      <c r="GX306">
        <v>421</v>
      </c>
      <c r="GY306">
        <v>428</v>
      </c>
      <c r="GZ306">
        <v>422</v>
      </c>
      <c r="HA306">
        <v>53227774</v>
      </c>
      <c r="HB306">
        <v>200</v>
      </c>
      <c r="HD306" s="24"/>
      <c r="HE306">
        <v>5490</v>
      </c>
      <c r="HF306">
        <v>5728</v>
      </c>
      <c r="HG306">
        <v>5519</v>
      </c>
      <c r="HH306">
        <v>15246115</v>
      </c>
      <c r="HI306">
        <v>308</v>
      </c>
      <c r="HK306" s="24"/>
      <c r="HL306">
        <v>86419002</v>
      </c>
      <c r="HM306">
        <v>90973000</v>
      </c>
      <c r="HN306">
        <v>90549211</v>
      </c>
      <c r="HO306">
        <v>56</v>
      </c>
      <c r="HP306">
        <v>51</v>
      </c>
      <c r="HR306" s="24"/>
      <c r="HS306">
        <v>7771</v>
      </c>
      <c r="HT306">
        <v>8049</v>
      </c>
      <c r="HU306">
        <v>7999</v>
      </c>
      <c r="HV306">
        <v>868907</v>
      </c>
      <c r="HW306">
        <v>154</v>
      </c>
      <c r="HY306" s="24"/>
      <c r="HZ306">
        <v>7208</v>
      </c>
      <c r="IA306">
        <v>7437</v>
      </c>
      <c r="IB306">
        <v>7424</v>
      </c>
      <c r="IC306">
        <v>2073852</v>
      </c>
      <c r="ID306">
        <v>449</v>
      </c>
      <c r="IF306" s="24"/>
      <c r="IG306">
        <v>3011</v>
      </c>
      <c r="IH306">
        <v>3142</v>
      </c>
      <c r="II306">
        <v>3141</v>
      </c>
      <c r="IJ306">
        <v>2148426</v>
      </c>
      <c r="IK306">
        <v>199</v>
      </c>
      <c r="IM306" s="24"/>
      <c r="IN306">
        <v>84600000</v>
      </c>
      <c r="IO306">
        <v>93399997</v>
      </c>
      <c r="IP306">
        <v>91188466</v>
      </c>
      <c r="IQ306">
        <v>69</v>
      </c>
      <c r="IR306">
        <v>51</v>
      </c>
      <c r="IT306" s="24"/>
      <c r="IU306">
        <v>7589</v>
      </c>
      <c r="IV306">
        <v>7599</v>
      </c>
      <c r="IW306">
        <v>7589</v>
      </c>
      <c r="IX306">
        <v>996831</v>
      </c>
      <c r="IY306">
        <v>155</v>
      </c>
      <c r="JA306" s="24"/>
      <c r="JB306">
        <v>88112403</v>
      </c>
      <c r="JC306">
        <v>90970994</v>
      </c>
      <c r="JD306">
        <v>89140207</v>
      </c>
      <c r="JE306">
        <v>76</v>
      </c>
      <c r="JF306">
        <v>62</v>
      </c>
      <c r="JH306" s="24"/>
      <c r="JI306">
        <v>90019003</v>
      </c>
      <c r="JJ306">
        <v>96517983</v>
      </c>
      <c r="JK306">
        <v>93127636</v>
      </c>
      <c r="JL306">
        <v>69</v>
      </c>
      <c r="JM306">
        <v>42</v>
      </c>
      <c r="JO306" s="24"/>
      <c r="JP306">
        <v>101</v>
      </c>
      <c r="JQ306">
        <v>103</v>
      </c>
      <c r="JR306">
        <v>102</v>
      </c>
      <c r="JS306">
        <v>165360070</v>
      </c>
      <c r="JT306">
        <v>119</v>
      </c>
      <c r="JV306" s="24"/>
      <c r="JW306">
        <v>97</v>
      </c>
      <c r="JX306">
        <v>102</v>
      </c>
      <c r="JY306">
        <v>100</v>
      </c>
      <c r="JZ306">
        <v>118570656</v>
      </c>
      <c r="KA306">
        <v>123</v>
      </c>
      <c r="KC306" s="24"/>
      <c r="KD306">
        <v>21</v>
      </c>
      <c r="KE306">
        <v>21</v>
      </c>
      <c r="KF306">
        <v>21</v>
      </c>
      <c r="KG306">
        <v>68923986</v>
      </c>
      <c r="KH306">
        <v>344</v>
      </c>
      <c r="KJ306" s="24"/>
      <c r="KK306">
        <v>111</v>
      </c>
      <c r="KL306">
        <v>116</v>
      </c>
      <c r="KM306">
        <v>113</v>
      </c>
      <c r="KN306">
        <v>117761826</v>
      </c>
      <c r="KO306">
        <v>149</v>
      </c>
      <c r="KQ306" s="24"/>
      <c r="KR306">
        <v>124002</v>
      </c>
      <c r="KS306">
        <v>127199</v>
      </c>
      <c r="KT306">
        <v>124002</v>
      </c>
      <c r="KU306">
        <v>97171</v>
      </c>
      <c r="KV306">
        <v>621</v>
      </c>
      <c r="KX306" s="24"/>
      <c r="KY306">
        <v>801</v>
      </c>
      <c r="KZ306">
        <v>834</v>
      </c>
      <c r="LA306">
        <v>802</v>
      </c>
      <c r="LB306">
        <v>11038697</v>
      </c>
      <c r="LC306">
        <v>220</v>
      </c>
      <c r="LE306" s="24"/>
      <c r="LF306">
        <v>180076</v>
      </c>
      <c r="LG306">
        <v>184001</v>
      </c>
      <c r="LH306">
        <v>183500</v>
      </c>
      <c r="LI306">
        <v>233233</v>
      </c>
      <c r="LJ306">
        <v>833</v>
      </c>
      <c r="LL306" s="24"/>
      <c r="LM306">
        <v>69702</v>
      </c>
      <c r="LN306">
        <v>69703</v>
      </c>
      <c r="LO306">
        <v>69702</v>
      </c>
      <c r="LP306">
        <v>368904</v>
      </c>
      <c r="LQ306">
        <v>1197</v>
      </c>
      <c r="LS306" s="24"/>
      <c r="LT306">
        <v>455</v>
      </c>
      <c r="LU306">
        <v>456</v>
      </c>
      <c r="LV306">
        <v>456</v>
      </c>
      <c r="LW306">
        <v>146928966</v>
      </c>
      <c r="LX306">
        <v>402</v>
      </c>
      <c r="LZ306" s="24"/>
      <c r="MA306">
        <v>91001</v>
      </c>
      <c r="MB306">
        <v>92263</v>
      </c>
      <c r="MC306">
        <v>92261</v>
      </c>
      <c r="MD306">
        <v>1344741</v>
      </c>
      <c r="ME306">
        <v>110</v>
      </c>
    </row>
    <row r="307" spans="2:343" x14ac:dyDescent="0.25">
      <c r="B307" s="24"/>
      <c r="C307">
        <v>3</v>
      </c>
      <c r="D307">
        <v>3</v>
      </c>
      <c r="E307">
        <v>3</v>
      </c>
      <c r="F307">
        <v>29696556580</v>
      </c>
      <c r="G307">
        <v>2560</v>
      </c>
      <c r="I307" s="24"/>
      <c r="J307">
        <v>4</v>
      </c>
      <c r="K307">
        <v>4</v>
      </c>
      <c r="L307">
        <v>4</v>
      </c>
      <c r="M307">
        <v>6986547036</v>
      </c>
      <c r="N307">
        <v>1840</v>
      </c>
      <c r="P307" s="24"/>
      <c r="Q307">
        <v>32</v>
      </c>
      <c r="R307">
        <v>33</v>
      </c>
      <c r="S307">
        <v>33</v>
      </c>
      <c r="T307">
        <v>1726304333</v>
      </c>
      <c r="U307">
        <v>1682</v>
      </c>
      <c r="W307" s="24"/>
      <c r="X307">
        <v>63</v>
      </c>
      <c r="Y307">
        <v>65</v>
      </c>
      <c r="Z307">
        <v>64</v>
      </c>
      <c r="AA307">
        <v>332732334</v>
      </c>
      <c r="AB307">
        <v>1341</v>
      </c>
      <c r="AD307" s="24"/>
      <c r="AE307">
        <v>420</v>
      </c>
      <c r="AF307">
        <v>436</v>
      </c>
      <c r="AG307">
        <v>431</v>
      </c>
      <c r="AH307">
        <v>94831288</v>
      </c>
      <c r="AI307">
        <v>1495</v>
      </c>
      <c r="AK307" s="24"/>
      <c r="AL307">
        <v>718</v>
      </c>
      <c r="AM307">
        <v>730</v>
      </c>
      <c r="AN307">
        <v>730</v>
      </c>
      <c r="AO307">
        <v>34855214</v>
      </c>
      <c r="AP307">
        <v>1242</v>
      </c>
      <c r="AR307" s="24"/>
      <c r="AS307">
        <v>2803</v>
      </c>
      <c r="AT307">
        <v>2850</v>
      </c>
      <c r="AU307">
        <v>2828</v>
      </c>
      <c r="AV307">
        <v>17543344</v>
      </c>
      <c r="AW307">
        <v>1210</v>
      </c>
      <c r="AY307" s="24"/>
      <c r="AZ307">
        <v>386250000</v>
      </c>
      <c r="BA307">
        <v>393984000</v>
      </c>
      <c r="BB307">
        <v>389607999</v>
      </c>
      <c r="BC307">
        <v>2556</v>
      </c>
      <c r="BD307">
        <v>1851</v>
      </c>
      <c r="BF307" s="24"/>
      <c r="BG307">
        <v>24750</v>
      </c>
      <c r="BH307">
        <v>24804</v>
      </c>
      <c r="BI307">
        <v>24800</v>
      </c>
      <c r="BJ307">
        <v>2307136</v>
      </c>
      <c r="BK307">
        <v>207</v>
      </c>
      <c r="BM307" s="24"/>
      <c r="BN307">
        <v>6750006</v>
      </c>
      <c r="BO307">
        <v>6850000</v>
      </c>
      <c r="BP307">
        <v>6750008</v>
      </c>
      <c r="BQ307">
        <v>17830</v>
      </c>
      <c r="BR307">
        <v>434</v>
      </c>
      <c r="BT307" s="24"/>
      <c r="BU307">
        <v>2095</v>
      </c>
      <c r="BV307">
        <v>2189</v>
      </c>
      <c r="BW307">
        <v>2098</v>
      </c>
      <c r="BX307">
        <v>29913311</v>
      </c>
      <c r="BY307">
        <v>301</v>
      </c>
      <c r="CA307" s="24"/>
      <c r="CB307">
        <v>843</v>
      </c>
      <c r="CC307">
        <v>999</v>
      </c>
      <c r="CD307">
        <v>900</v>
      </c>
      <c r="CE307">
        <v>194555518</v>
      </c>
      <c r="CF307">
        <v>761</v>
      </c>
      <c r="CH307" s="24"/>
      <c r="CI307">
        <v>24855</v>
      </c>
      <c r="CJ307">
        <v>25013</v>
      </c>
      <c r="CK307">
        <v>25011</v>
      </c>
      <c r="CL307">
        <v>1381697</v>
      </c>
      <c r="CM307">
        <v>168</v>
      </c>
      <c r="CO307" s="24"/>
      <c r="CP307">
        <v>7502</v>
      </c>
      <c r="CQ307">
        <v>8000</v>
      </c>
      <c r="CR307">
        <v>7769</v>
      </c>
      <c r="CS307">
        <v>1696505</v>
      </c>
      <c r="CT307">
        <v>398</v>
      </c>
      <c r="CV307" s="24"/>
      <c r="CW307">
        <v>1292000</v>
      </c>
      <c r="CX307">
        <v>1294998</v>
      </c>
      <c r="CY307">
        <v>1293997</v>
      </c>
      <c r="CZ307">
        <v>11708</v>
      </c>
      <c r="DA307">
        <v>51</v>
      </c>
      <c r="DC307" s="24"/>
      <c r="DD307">
        <v>454</v>
      </c>
      <c r="DE307">
        <v>474</v>
      </c>
      <c r="DF307">
        <v>470</v>
      </c>
      <c r="DG307">
        <v>48077226</v>
      </c>
      <c r="DH307">
        <v>213</v>
      </c>
      <c r="DJ307" s="24"/>
      <c r="DK307">
        <v>33506000</v>
      </c>
      <c r="DL307">
        <v>33800021</v>
      </c>
      <c r="DM307">
        <v>33506001</v>
      </c>
      <c r="DN307">
        <v>286</v>
      </c>
      <c r="DO307">
        <v>72</v>
      </c>
      <c r="DQ307" s="24"/>
      <c r="DR307">
        <v>941002</v>
      </c>
      <c r="DS307">
        <v>1190000</v>
      </c>
      <c r="DT307">
        <v>1188996</v>
      </c>
      <c r="DU307">
        <v>8233</v>
      </c>
      <c r="DV307">
        <v>231</v>
      </c>
      <c r="DX307" s="24"/>
      <c r="DY307">
        <v>21000013</v>
      </c>
      <c r="DZ307">
        <v>21799998</v>
      </c>
      <c r="EA307">
        <v>21000024</v>
      </c>
      <c r="EB307">
        <v>467</v>
      </c>
      <c r="EC307">
        <v>105</v>
      </c>
      <c r="EE307" s="24"/>
      <c r="EF307">
        <v>195</v>
      </c>
      <c r="EG307">
        <v>199</v>
      </c>
      <c r="EH307">
        <v>199</v>
      </c>
      <c r="EI307">
        <v>90425622</v>
      </c>
      <c r="EJ307">
        <v>214</v>
      </c>
      <c r="EL307" s="24"/>
      <c r="EM307">
        <v>51068</v>
      </c>
      <c r="EN307">
        <v>53003</v>
      </c>
      <c r="EO307">
        <v>51070</v>
      </c>
      <c r="EP307">
        <v>110323</v>
      </c>
      <c r="EQ307">
        <v>706</v>
      </c>
      <c r="ES307" s="24"/>
      <c r="ET307">
        <v>300</v>
      </c>
      <c r="EU307">
        <v>302</v>
      </c>
      <c r="EV307">
        <v>300</v>
      </c>
      <c r="EW307">
        <v>54850555</v>
      </c>
      <c r="EX307">
        <v>747</v>
      </c>
      <c r="EZ307" s="24"/>
      <c r="FA307">
        <v>3260000</v>
      </c>
      <c r="FB307">
        <v>3359999</v>
      </c>
      <c r="FC307">
        <v>3260007</v>
      </c>
      <c r="FD307">
        <v>996</v>
      </c>
      <c r="FE307">
        <v>17</v>
      </c>
      <c r="FG307" s="24"/>
      <c r="FH307">
        <v>7200</v>
      </c>
      <c r="FI307">
        <v>7489</v>
      </c>
      <c r="FJ307">
        <v>7400</v>
      </c>
      <c r="FK307">
        <v>2000301</v>
      </c>
      <c r="FL307">
        <v>447</v>
      </c>
      <c r="FN307" s="24"/>
      <c r="FO307">
        <v>20000</v>
      </c>
      <c r="FP307">
        <v>20959</v>
      </c>
      <c r="FQ307">
        <v>20959</v>
      </c>
      <c r="FR307">
        <v>350745</v>
      </c>
      <c r="FS307">
        <v>108</v>
      </c>
      <c r="FU307" s="24"/>
      <c r="FV307">
        <v>12162</v>
      </c>
      <c r="FW307">
        <v>13004</v>
      </c>
      <c r="FX307">
        <v>13000</v>
      </c>
      <c r="FY307">
        <v>628971</v>
      </c>
      <c r="FZ307">
        <v>1212</v>
      </c>
      <c r="GB307" s="24"/>
      <c r="GC307">
        <v>89525500</v>
      </c>
      <c r="GD307">
        <v>91924955</v>
      </c>
      <c r="GE307">
        <v>91350602</v>
      </c>
      <c r="GF307">
        <v>71</v>
      </c>
      <c r="GG307">
        <v>65</v>
      </c>
      <c r="GI307" s="24"/>
      <c r="GJ307">
        <v>19600067</v>
      </c>
      <c r="GK307">
        <v>20689988</v>
      </c>
      <c r="GL307">
        <v>19600077</v>
      </c>
      <c r="GM307">
        <v>458</v>
      </c>
      <c r="GN307">
        <v>69</v>
      </c>
      <c r="GP307" s="24"/>
      <c r="GQ307">
        <v>117</v>
      </c>
      <c r="GR307">
        <v>120</v>
      </c>
      <c r="GS307">
        <v>119</v>
      </c>
      <c r="GT307">
        <v>152425084</v>
      </c>
      <c r="GU307">
        <v>183</v>
      </c>
      <c r="GW307" s="24"/>
      <c r="GX307">
        <v>438</v>
      </c>
      <c r="GY307">
        <v>459</v>
      </c>
      <c r="GZ307">
        <v>439</v>
      </c>
      <c r="HA307">
        <v>70146008</v>
      </c>
      <c r="HB307">
        <v>254</v>
      </c>
      <c r="HD307" s="24"/>
      <c r="HE307">
        <v>5598</v>
      </c>
      <c r="HF307">
        <v>5717</v>
      </c>
      <c r="HG307">
        <v>5639</v>
      </c>
      <c r="HH307">
        <v>20221779</v>
      </c>
      <c r="HI307">
        <v>356</v>
      </c>
      <c r="HK307" s="24"/>
      <c r="HL307">
        <v>86425095</v>
      </c>
      <c r="HM307">
        <v>91000000</v>
      </c>
      <c r="HN307">
        <v>90966586</v>
      </c>
      <c r="HO307">
        <v>68</v>
      </c>
      <c r="HP307">
        <v>53</v>
      </c>
      <c r="HR307" s="24"/>
      <c r="HS307">
        <v>7780</v>
      </c>
      <c r="HT307">
        <v>8100</v>
      </c>
      <c r="HU307">
        <v>8019</v>
      </c>
      <c r="HV307">
        <v>917508</v>
      </c>
      <c r="HW307">
        <v>181</v>
      </c>
      <c r="HY307" s="24"/>
      <c r="HZ307">
        <v>7215</v>
      </c>
      <c r="IA307">
        <v>7500</v>
      </c>
      <c r="IB307">
        <v>7432</v>
      </c>
      <c r="IC307">
        <v>2777853</v>
      </c>
      <c r="ID307">
        <v>575</v>
      </c>
      <c r="IF307" s="24"/>
      <c r="IG307">
        <v>3127</v>
      </c>
      <c r="IH307">
        <v>3139</v>
      </c>
      <c r="II307">
        <v>3139</v>
      </c>
      <c r="IJ307">
        <v>2361228</v>
      </c>
      <c r="IK307">
        <v>183</v>
      </c>
      <c r="IM307" s="24"/>
      <c r="IN307">
        <v>88999988</v>
      </c>
      <c r="IO307">
        <v>93962954</v>
      </c>
      <c r="IP307">
        <v>89596064</v>
      </c>
      <c r="IQ307">
        <v>79</v>
      </c>
      <c r="IR307">
        <v>65</v>
      </c>
      <c r="IT307" s="24"/>
      <c r="IU307">
        <v>7599</v>
      </c>
      <c r="IV307">
        <v>7599</v>
      </c>
      <c r="IW307">
        <v>7599</v>
      </c>
      <c r="IX307">
        <v>2382422</v>
      </c>
      <c r="IY307">
        <v>146</v>
      </c>
      <c r="JA307" s="24"/>
      <c r="JB307">
        <v>87400023</v>
      </c>
      <c r="JC307">
        <v>90982975</v>
      </c>
      <c r="JD307">
        <v>89913559</v>
      </c>
      <c r="JE307">
        <v>88</v>
      </c>
      <c r="JF307">
        <v>61</v>
      </c>
      <c r="JH307" s="24"/>
      <c r="JI307">
        <v>90030021</v>
      </c>
      <c r="JJ307">
        <v>96516925</v>
      </c>
      <c r="JK307">
        <v>92130927</v>
      </c>
      <c r="JL307">
        <v>72</v>
      </c>
      <c r="JM307">
        <v>54</v>
      </c>
      <c r="JO307" s="24"/>
      <c r="JP307">
        <v>101</v>
      </c>
      <c r="JQ307">
        <v>103</v>
      </c>
      <c r="JR307">
        <v>102</v>
      </c>
      <c r="JS307">
        <v>129842880</v>
      </c>
      <c r="JT307">
        <v>134</v>
      </c>
      <c r="JV307" s="24"/>
      <c r="JW307">
        <v>100</v>
      </c>
      <c r="JX307">
        <v>102</v>
      </c>
      <c r="JY307">
        <v>102</v>
      </c>
      <c r="JZ307">
        <v>235598862</v>
      </c>
      <c r="KA307">
        <v>153</v>
      </c>
      <c r="KC307" s="24"/>
      <c r="KD307">
        <v>21</v>
      </c>
      <c r="KE307">
        <v>21</v>
      </c>
      <c r="KF307">
        <v>21</v>
      </c>
      <c r="KG307">
        <v>75694268</v>
      </c>
      <c r="KH307">
        <v>414</v>
      </c>
      <c r="KJ307" s="24"/>
      <c r="KK307">
        <v>111</v>
      </c>
      <c r="KL307">
        <v>116</v>
      </c>
      <c r="KM307">
        <v>116</v>
      </c>
      <c r="KN307">
        <v>140630793</v>
      </c>
      <c r="KO307">
        <v>157</v>
      </c>
      <c r="KQ307" s="24"/>
      <c r="KR307">
        <v>121000</v>
      </c>
      <c r="KS307">
        <v>121005</v>
      </c>
      <c r="KT307">
        <v>121003</v>
      </c>
      <c r="KU307">
        <v>167594</v>
      </c>
      <c r="KV307">
        <v>676</v>
      </c>
      <c r="KX307" s="24"/>
      <c r="KY307">
        <v>809</v>
      </c>
      <c r="KZ307">
        <v>809</v>
      </c>
      <c r="LA307">
        <v>809</v>
      </c>
      <c r="LB307">
        <v>6948997</v>
      </c>
      <c r="LC307">
        <v>212</v>
      </c>
      <c r="LE307" s="24"/>
      <c r="LF307">
        <v>178402</v>
      </c>
      <c r="LG307">
        <v>178403</v>
      </c>
      <c r="LH307">
        <v>178403</v>
      </c>
      <c r="LI307">
        <v>156973</v>
      </c>
      <c r="LJ307">
        <v>901</v>
      </c>
      <c r="LL307" s="24"/>
      <c r="LM307">
        <v>61046</v>
      </c>
      <c r="LN307">
        <v>68026</v>
      </c>
      <c r="LO307">
        <v>66000</v>
      </c>
      <c r="LP307">
        <v>558005</v>
      </c>
      <c r="LQ307">
        <v>1239</v>
      </c>
      <c r="LS307" s="24"/>
      <c r="LT307">
        <v>459</v>
      </c>
      <c r="LU307">
        <v>464</v>
      </c>
      <c r="LV307">
        <v>463</v>
      </c>
      <c r="LW307">
        <v>169452070</v>
      </c>
      <c r="LX307">
        <v>458</v>
      </c>
      <c r="LZ307" s="24"/>
      <c r="MA307">
        <v>91513</v>
      </c>
      <c r="MB307">
        <v>97899</v>
      </c>
      <c r="MC307">
        <v>91614</v>
      </c>
      <c r="MD307">
        <v>1873158</v>
      </c>
      <c r="ME307">
        <v>180</v>
      </c>
    </row>
    <row r="308" spans="2:343" x14ac:dyDescent="0.25">
      <c r="B308" s="24"/>
      <c r="C308">
        <v>3</v>
      </c>
      <c r="D308">
        <v>3</v>
      </c>
      <c r="E308">
        <v>3</v>
      </c>
      <c r="F308">
        <v>47523922239</v>
      </c>
      <c r="G308">
        <v>2228</v>
      </c>
      <c r="I308" s="24"/>
      <c r="J308">
        <v>4</v>
      </c>
      <c r="K308">
        <v>4</v>
      </c>
      <c r="L308">
        <v>4</v>
      </c>
      <c r="M308">
        <v>6256094239</v>
      </c>
      <c r="N308">
        <v>1534</v>
      </c>
      <c r="P308" s="24"/>
      <c r="Q308">
        <v>32</v>
      </c>
      <c r="R308">
        <v>32</v>
      </c>
      <c r="S308">
        <v>32</v>
      </c>
      <c r="T308">
        <v>2186528662</v>
      </c>
      <c r="U308">
        <v>1481</v>
      </c>
      <c r="W308" s="24"/>
      <c r="X308">
        <v>63</v>
      </c>
      <c r="Y308">
        <v>64</v>
      </c>
      <c r="Z308">
        <v>64</v>
      </c>
      <c r="AA308">
        <v>438284576</v>
      </c>
      <c r="AB308">
        <v>1199</v>
      </c>
      <c r="AD308" s="24"/>
      <c r="AE308">
        <v>421</v>
      </c>
      <c r="AF308">
        <v>429</v>
      </c>
      <c r="AG308">
        <v>428</v>
      </c>
      <c r="AH308">
        <v>134703198</v>
      </c>
      <c r="AI308">
        <v>1258</v>
      </c>
      <c r="AK308" s="24"/>
      <c r="AL308">
        <v>733</v>
      </c>
      <c r="AM308">
        <v>742</v>
      </c>
      <c r="AN308">
        <v>738</v>
      </c>
      <c r="AO308">
        <v>50852998</v>
      </c>
      <c r="AP308">
        <v>1051</v>
      </c>
      <c r="AR308" s="24"/>
      <c r="AS308">
        <v>2793</v>
      </c>
      <c r="AT308">
        <v>2875</v>
      </c>
      <c r="AU308">
        <v>2873</v>
      </c>
      <c r="AV308">
        <v>13718736</v>
      </c>
      <c r="AW308">
        <v>1008</v>
      </c>
      <c r="AY308" s="24"/>
      <c r="AZ308">
        <v>389000000</v>
      </c>
      <c r="BA308">
        <v>395000000</v>
      </c>
      <c r="BB308">
        <v>392500000</v>
      </c>
      <c r="BC308">
        <v>2610</v>
      </c>
      <c r="BD308">
        <v>1869</v>
      </c>
      <c r="BF308" s="24"/>
      <c r="BG308">
        <v>24857</v>
      </c>
      <c r="BH308">
        <v>24956</v>
      </c>
      <c r="BI308">
        <v>24857</v>
      </c>
      <c r="BJ308">
        <v>3599697</v>
      </c>
      <c r="BK308">
        <v>219</v>
      </c>
      <c r="BM308" s="24"/>
      <c r="BN308">
        <v>6411019</v>
      </c>
      <c r="BO308">
        <v>6648500</v>
      </c>
      <c r="BP308">
        <v>6600000</v>
      </c>
      <c r="BQ308">
        <v>14372</v>
      </c>
      <c r="BR308">
        <v>346</v>
      </c>
      <c r="BT308" s="24"/>
      <c r="BU308">
        <v>2027</v>
      </c>
      <c r="BV308">
        <v>2187</v>
      </c>
      <c r="BW308">
        <v>2030</v>
      </c>
      <c r="BX308">
        <v>45383787</v>
      </c>
      <c r="BY308">
        <v>274</v>
      </c>
      <c r="CA308" s="24"/>
      <c r="CB308">
        <v>700</v>
      </c>
      <c r="CC308">
        <v>776</v>
      </c>
      <c r="CD308">
        <v>710</v>
      </c>
      <c r="CE308">
        <v>171345604</v>
      </c>
      <c r="CF308">
        <v>612</v>
      </c>
      <c r="CH308" s="24"/>
      <c r="CI308">
        <v>24858</v>
      </c>
      <c r="CJ308">
        <v>24858</v>
      </c>
      <c r="CK308">
        <v>24858</v>
      </c>
      <c r="CL308">
        <v>1571341</v>
      </c>
      <c r="CM308">
        <v>145</v>
      </c>
      <c r="CO308" s="24"/>
      <c r="CP308">
        <v>7999</v>
      </c>
      <c r="CQ308">
        <v>8044</v>
      </c>
      <c r="CR308">
        <v>8041</v>
      </c>
      <c r="CS308">
        <v>1281469</v>
      </c>
      <c r="CT308">
        <v>335</v>
      </c>
      <c r="CV308" s="24"/>
      <c r="CW308">
        <v>1241003</v>
      </c>
      <c r="CX308">
        <v>1299998</v>
      </c>
      <c r="CY308">
        <v>1289999</v>
      </c>
      <c r="CZ308">
        <v>14124</v>
      </c>
      <c r="DA308">
        <v>54</v>
      </c>
      <c r="DC308" s="24"/>
      <c r="DD308">
        <v>456</v>
      </c>
      <c r="DE308">
        <v>468</v>
      </c>
      <c r="DF308">
        <v>468</v>
      </c>
      <c r="DG308">
        <v>48187978</v>
      </c>
      <c r="DH308">
        <v>213</v>
      </c>
      <c r="DJ308" s="24"/>
      <c r="DK308">
        <v>33507000</v>
      </c>
      <c r="DL308">
        <v>34384991</v>
      </c>
      <c r="DM308">
        <v>33998999</v>
      </c>
      <c r="DN308">
        <v>394</v>
      </c>
      <c r="DO308">
        <v>84</v>
      </c>
      <c r="DQ308" s="24"/>
      <c r="DR308">
        <v>1000002</v>
      </c>
      <c r="DS308">
        <v>1199999</v>
      </c>
      <c r="DT308">
        <v>1121000</v>
      </c>
      <c r="DU308">
        <v>11529</v>
      </c>
      <c r="DV308">
        <v>226</v>
      </c>
      <c r="DX308" s="24"/>
      <c r="DY308">
        <v>20500001</v>
      </c>
      <c r="DZ308">
        <v>21000013</v>
      </c>
      <c r="EA308">
        <v>21000013</v>
      </c>
      <c r="EB308">
        <v>686</v>
      </c>
      <c r="EC308">
        <v>92</v>
      </c>
      <c r="EE308" s="24"/>
      <c r="EF308">
        <v>192</v>
      </c>
      <c r="EG308">
        <v>200</v>
      </c>
      <c r="EH308">
        <v>199</v>
      </c>
      <c r="EI308">
        <v>139547820</v>
      </c>
      <c r="EJ308">
        <v>224</v>
      </c>
      <c r="EL308" s="24"/>
      <c r="EM308">
        <v>54001</v>
      </c>
      <c r="EN308">
        <v>57499</v>
      </c>
      <c r="EO308">
        <v>54001</v>
      </c>
      <c r="EP308">
        <v>77681</v>
      </c>
      <c r="EQ308">
        <v>596</v>
      </c>
      <c r="ES308" s="24"/>
      <c r="ET308">
        <v>302</v>
      </c>
      <c r="EU308">
        <v>313</v>
      </c>
      <c r="EV308">
        <v>312</v>
      </c>
      <c r="EW308">
        <v>60401386</v>
      </c>
      <c r="EX308">
        <v>641</v>
      </c>
      <c r="EZ308" s="24"/>
      <c r="FA308">
        <v>3260007</v>
      </c>
      <c r="FB308">
        <v>3299792</v>
      </c>
      <c r="FC308">
        <v>3260008</v>
      </c>
      <c r="FD308">
        <v>2274</v>
      </c>
      <c r="FE308">
        <v>36</v>
      </c>
      <c r="FG308" s="24"/>
      <c r="FH308">
        <v>7649</v>
      </c>
      <c r="FI308">
        <v>7749</v>
      </c>
      <c r="FJ308">
        <v>7722</v>
      </c>
      <c r="FK308">
        <v>1794773</v>
      </c>
      <c r="FL308">
        <v>428</v>
      </c>
      <c r="FN308" s="24"/>
      <c r="FO308">
        <v>20958</v>
      </c>
      <c r="FP308">
        <v>20958</v>
      </c>
      <c r="FQ308">
        <v>20958</v>
      </c>
      <c r="FR308">
        <v>283870</v>
      </c>
      <c r="FS308">
        <v>90</v>
      </c>
      <c r="FU308" s="24"/>
      <c r="FV308">
        <v>13000</v>
      </c>
      <c r="FW308">
        <v>13500</v>
      </c>
      <c r="FX308">
        <v>13405</v>
      </c>
      <c r="FY308">
        <v>372890</v>
      </c>
      <c r="FZ308">
        <v>1013</v>
      </c>
      <c r="GB308" s="24"/>
      <c r="GC308">
        <v>89525624</v>
      </c>
      <c r="GD308">
        <v>91923936</v>
      </c>
      <c r="GE308">
        <v>90669212</v>
      </c>
      <c r="GF308">
        <v>90</v>
      </c>
      <c r="GG308">
        <v>59</v>
      </c>
      <c r="GI308" s="24"/>
      <c r="GJ308">
        <v>19600078</v>
      </c>
      <c r="GK308">
        <v>20000000</v>
      </c>
      <c r="GL308">
        <v>19600079</v>
      </c>
      <c r="GM308">
        <v>797</v>
      </c>
      <c r="GN308">
        <v>85</v>
      </c>
      <c r="GP308" s="24"/>
      <c r="GQ308">
        <v>115</v>
      </c>
      <c r="GR308">
        <v>118</v>
      </c>
      <c r="GS308">
        <v>117</v>
      </c>
      <c r="GT308">
        <v>132601330</v>
      </c>
      <c r="GU308">
        <v>119</v>
      </c>
      <c r="GW308" s="24"/>
      <c r="GX308">
        <v>433</v>
      </c>
      <c r="GY308">
        <v>454</v>
      </c>
      <c r="GZ308">
        <v>453</v>
      </c>
      <c r="HA308">
        <v>44652171</v>
      </c>
      <c r="HB308">
        <v>201</v>
      </c>
      <c r="HD308" s="24"/>
      <c r="HE308">
        <v>5405</v>
      </c>
      <c r="HF308">
        <v>5631</v>
      </c>
      <c r="HG308">
        <v>5519</v>
      </c>
      <c r="HH308">
        <v>18142920</v>
      </c>
      <c r="HI308">
        <v>288</v>
      </c>
      <c r="HK308" s="24"/>
      <c r="HL308">
        <v>87410065</v>
      </c>
      <c r="HM308">
        <v>93073999</v>
      </c>
      <c r="HN308">
        <v>91084448</v>
      </c>
      <c r="HO308">
        <v>85</v>
      </c>
      <c r="HP308">
        <v>60</v>
      </c>
      <c r="HR308" s="24"/>
      <c r="HS308">
        <v>8057</v>
      </c>
      <c r="HT308">
        <v>8244</v>
      </c>
      <c r="HU308">
        <v>8197</v>
      </c>
      <c r="HV308">
        <v>978453</v>
      </c>
      <c r="HW308">
        <v>171</v>
      </c>
      <c r="HY308" s="24"/>
      <c r="HZ308">
        <v>7455</v>
      </c>
      <c r="IA308">
        <v>7800</v>
      </c>
      <c r="IB308">
        <v>7650</v>
      </c>
      <c r="IC308">
        <v>2843569</v>
      </c>
      <c r="ID308">
        <v>502</v>
      </c>
      <c r="IF308" s="24"/>
      <c r="IG308">
        <v>3050</v>
      </c>
      <c r="IH308">
        <v>3139</v>
      </c>
      <c r="II308">
        <v>3050</v>
      </c>
      <c r="IJ308">
        <v>2591266</v>
      </c>
      <c r="IK308">
        <v>157</v>
      </c>
      <c r="IM308" s="24"/>
      <c r="IN308">
        <v>92000007</v>
      </c>
      <c r="IO308">
        <v>94881999</v>
      </c>
      <c r="IP308">
        <v>93215740</v>
      </c>
      <c r="IQ308">
        <v>88</v>
      </c>
      <c r="IR308">
        <v>61</v>
      </c>
      <c r="IT308" s="24"/>
      <c r="IU308">
        <v>7700</v>
      </c>
      <c r="IV308">
        <v>8100</v>
      </c>
      <c r="IW308">
        <v>8100</v>
      </c>
      <c r="IX308">
        <v>1071384</v>
      </c>
      <c r="IY308">
        <v>128</v>
      </c>
      <c r="JA308" s="24"/>
      <c r="JB308">
        <v>90048044</v>
      </c>
      <c r="JC308">
        <v>92048057</v>
      </c>
      <c r="JD308">
        <v>90059022</v>
      </c>
      <c r="JE308">
        <v>121</v>
      </c>
      <c r="JF308">
        <v>77</v>
      </c>
      <c r="JH308" s="24"/>
      <c r="JI308">
        <v>90048012</v>
      </c>
      <c r="JJ308">
        <v>96505878</v>
      </c>
      <c r="JK308">
        <v>92780168</v>
      </c>
      <c r="JL308">
        <v>59</v>
      </c>
      <c r="JM308">
        <v>38</v>
      </c>
      <c r="JO308" s="24"/>
      <c r="JP308">
        <v>97</v>
      </c>
      <c r="JQ308">
        <v>100</v>
      </c>
      <c r="JR308">
        <v>98</v>
      </c>
      <c r="JS308">
        <v>134409411</v>
      </c>
      <c r="JT308">
        <v>118</v>
      </c>
      <c r="JV308" s="24"/>
      <c r="JW308">
        <v>102</v>
      </c>
      <c r="JX308">
        <v>103</v>
      </c>
      <c r="JY308">
        <v>103</v>
      </c>
      <c r="JZ308">
        <v>144808837</v>
      </c>
      <c r="KA308">
        <v>119</v>
      </c>
      <c r="KC308" s="24"/>
      <c r="KD308">
        <v>21</v>
      </c>
      <c r="KE308">
        <v>21</v>
      </c>
      <c r="KF308">
        <v>21</v>
      </c>
      <c r="KG308">
        <v>46922753</v>
      </c>
      <c r="KH308">
        <v>327</v>
      </c>
      <c r="KJ308" s="24"/>
      <c r="KK308">
        <v>109</v>
      </c>
      <c r="KL308">
        <v>116</v>
      </c>
      <c r="KM308">
        <v>110</v>
      </c>
      <c r="KN308">
        <v>161198849</v>
      </c>
      <c r="KO308">
        <v>136</v>
      </c>
      <c r="KQ308" s="24"/>
      <c r="KR308">
        <v>119031</v>
      </c>
      <c r="KS308">
        <v>120500</v>
      </c>
      <c r="KT308">
        <v>119031</v>
      </c>
      <c r="KU308">
        <v>42609</v>
      </c>
      <c r="KV308">
        <v>513</v>
      </c>
      <c r="KX308" s="24"/>
      <c r="KY308">
        <v>801</v>
      </c>
      <c r="KZ308">
        <v>829</v>
      </c>
      <c r="LA308">
        <v>803</v>
      </c>
      <c r="LB308">
        <v>6631027</v>
      </c>
      <c r="LC308">
        <v>171</v>
      </c>
      <c r="LE308" s="24"/>
      <c r="LF308">
        <v>176016</v>
      </c>
      <c r="LG308">
        <v>177000</v>
      </c>
      <c r="LH308">
        <v>176016</v>
      </c>
      <c r="LI308">
        <v>237239</v>
      </c>
      <c r="LJ308">
        <v>791</v>
      </c>
      <c r="LL308" s="24"/>
      <c r="LM308">
        <v>61077</v>
      </c>
      <c r="LN308">
        <v>64398</v>
      </c>
      <c r="LO308">
        <v>61200</v>
      </c>
      <c r="LP308">
        <v>409095</v>
      </c>
      <c r="LQ308">
        <v>1089</v>
      </c>
      <c r="LS308" s="24"/>
      <c r="LT308">
        <v>462</v>
      </c>
      <c r="LU308">
        <v>463</v>
      </c>
      <c r="LV308">
        <v>463</v>
      </c>
      <c r="LW308">
        <v>129934373</v>
      </c>
      <c r="LX308">
        <v>404</v>
      </c>
      <c r="LZ308" s="24"/>
      <c r="MA308">
        <v>93000</v>
      </c>
      <c r="MB308">
        <v>97998</v>
      </c>
      <c r="MC308">
        <v>96000</v>
      </c>
      <c r="MD308">
        <v>1314510</v>
      </c>
      <c r="ME308">
        <v>115</v>
      </c>
    </row>
    <row r="309" spans="2:343" x14ac:dyDescent="0.25">
      <c r="B309" s="24"/>
      <c r="C309">
        <v>3</v>
      </c>
      <c r="D309">
        <v>3</v>
      </c>
      <c r="E309">
        <v>3</v>
      </c>
      <c r="F309">
        <v>21711986229</v>
      </c>
      <c r="G309">
        <v>1962</v>
      </c>
      <c r="I309" s="24"/>
      <c r="J309">
        <v>4</v>
      </c>
      <c r="K309">
        <v>4</v>
      </c>
      <c r="L309">
        <v>4</v>
      </c>
      <c r="M309">
        <v>5249042944</v>
      </c>
      <c r="N309">
        <v>1413</v>
      </c>
      <c r="P309" s="24"/>
      <c r="Q309">
        <v>32</v>
      </c>
      <c r="R309">
        <v>33</v>
      </c>
      <c r="S309">
        <v>33</v>
      </c>
      <c r="T309">
        <v>1313752315</v>
      </c>
      <c r="U309">
        <v>1382</v>
      </c>
      <c r="W309" s="24"/>
      <c r="X309">
        <v>62</v>
      </c>
      <c r="Y309">
        <v>64</v>
      </c>
      <c r="Z309">
        <v>64</v>
      </c>
      <c r="AA309">
        <v>413332655</v>
      </c>
      <c r="AB309">
        <v>1079</v>
      </c>
      <c r="AD309" s="24"/>
      <c r="AE309">
        <v>422</v>
      </c>
      <c r="AF309">
        <v>432</v>
      </c>
      <c r="AG309">
        <v>430</v>
      </c>
      <c r="AH309">
        <v>104451984</v>
      </c>
      <c r="AI309">
        <v>1144</v>
      </c>
      <c r="AK309" s="24"/>
      <c r="AL309">
        <v>718</v>
      </c>
      <c r="AM309">
        <v>731</v>
      </c>
      <c r="AN309">
        <v>722</v>
      </c>
      <c r="AO309">
        <v>50424421</v>
      </c>
      <c r="AP309">
        <v>968</v>
      </c>
      <c r="AR309" s="24"/>
      <c r="AS309">
        <v>2791</v>
      </c>
      <c r="AT309">
        <v>2879</v>
      </c>
      <c r="AU309">
        <v>2792</v>
      </c>
      <c r="AV309">
        <v>13756727</v>
      </c>
      <c r="AW309">
        <v>956</v>
      </c>
      <c r="AY309" s="24"/>
      <c r="AZ309">
        <v>393101101</v>
      </c>
      <c r="BA309">
        <v>401223040</v>
      </c>
      <c r="BB309">
        <v>398350348</v>
      </c>
      <c r="BC309">
        <v>2369</v>
      </c>
      <c r="BD309">
        <v>1603</v>
      </c>
      <c r="BF309" s="24"/>
      <c r="BG309">
        <v>24861</v>
      </c>
      <c r="BH309">
        <v>25300</v>
      </c>
      <c r="BI309">
        <v>24861</v>
      </c>
      <c r="BJ309">
        <v>3613705</v>
      </c>
      <c r="BK309">
        <v>204</v>
      </c>
      <c r="BM309" s="24"/>
      <c r="BN309">
        <v>6430000</v>
      </c>
      <c r="BO309">
        <v>6549999</v>
      </c>
      <c r="BP309">
        <v>6430001</v>
      </c>
      <c r="BQ309">
        <v>11942</v>
      </c>
      <c r="BR309">
        <v>297</v>
      </c>
      <c r="BT309" s="24"/>
      <c r="BU309">
        <v>2022</v>
      </c>
      <c r="BV309">
        <v>2110</v>
      </c>
      <c r="BW309">
        <v>2039</v>
      </c>
      <c r="BX309">
        <v>28945505</v>
      </c>
      <c r="BY309">
        <v>222</v>
      </c>
      <c r="CA309" s="24"/>
      <c r="CB309">
        <v>804</v>
      </c>
      <c r="CC309">
        <v>933</v>
      </c>
      <c r="CD309">
        <v>897</v>
      </c>
      <c r="CE309">
        <v>88617020</v>
      </c>
      <c r="CF309">
        <v>424</v>
      </c>
      <c r="CH309" s="24"/>
      <c r="CI309">
        <v>24863</v>
      </c>
      <c r="CJ309">
        <v>25000</v>
      </c>
      <c r="CK309">
        <v>24863</v>
      </c>
      <c r="CL309">
        <v>1752545</v>
      </c>
      <c r="CM309">
        <v>135</v>
      </c>
      <c r="CO309" s="24"/>
      <c r="CP309">
        <v>7779</v>
      </c>
      <c r="CQ309">
        <v>8045</v>
      </c>
      <c r="CR309">
        <v>7995</v>
      </c>
      <c r="CS309">
        <v>886785</v>
      </c>
      <c r="CT309">
        <v>310</v>
      </c>
      <c r="CV309" s="24"/>
      <c r="CW309">
        <v>1235318</v>
      </c>
      <c r="CX309">
        <v>1289999</v>
      </c>
      <c r="CY309">
        <v>1289999</v>
      </c>
      <c r="CZ309">
        <v>12788</v>
      </c>
      <c r="DA309">
        <v>35</v>
      </c>
      <c r="DC309" s="24"/>
      <c r="DD309">
        <v>446</v>
      </c>
      <c r="DE309">
        <v>464</v>
      </c>
      <c r="DF309">
        <v>464</v>
      </c>
      <c r="DG309">
        <v>35876029</v>
      </c>
      <c r="DH309">
        <v>178</v>
      </c>
      <c r="DJ309" s="24"/>
      <c r="DK309">
        <v>33507001</v>
      </c>
      <c r="DL309">
        <v>34384991</v>
      </c>
      <c r="DM309">
        <v>33507001</v>
      </c>
      <c r="DN309">
        <v>249</v>
      </c>
      <c r="DO309">
        <v>64</v>
      </c>
      <c r="DQ309" s="24"/>
      <c r="DR309">
        <v>1000004</v>
      </c>
      <c r="DS309">
        <v>1200005</v>
      </c>
      <c r="DT309">
        <v>1150001</v>
      </c>
      <c r="DU309">
        <v>12854</v>
      </c>
      <c r="DV309">
        <v>236</v>
      </c>
      <c r="DX309" s="24"/>
      <c r="DY309">
        <v>20020034</v>
      </c>
      <c r="DZ309">
        <v>20999998</v>
      </c>
      <c r="EA309">
        <v>20020036</v>
      </c>
      <c r="EB309">
        <v>507</v>
      </c>
      <c r="EC309">
        <v>92</v>
      </c>
      <c r="EE309" s="24"/>
      <c r="EF309">
        <v>189</v>
      </c>
      <c r="EG309">
        <v>193</v>
      </c>
      <c r="EH309">
        <v>190</v>
      </c>
      <c r="EI309">
        <v>81955854</v>
      </c>
      <c r="EJ309">
        <v>158</v>
      </c>
      <c r="EL309" s="24"/>
      <c r="EM309">
        <v>54004</v>
      </c>
      <c r="EN309">
        <v>54011</v>
      </c>
      <c r="EO309">
        <v>54010</v>
      </c>
      <c r="EP309">
        <v>70473</v>
      </c>
      <c r="EQ309">
        <v>506</v>
      </c>
      <c r="ES309" s="24"/>
      <c r="ET309">
        <v>304</v>
      </c>
      <c r="EU309">
        <v>314</v>
      </c>
      <c r="EV309">
        <v>304</v>
      </c>
      <c r="EW309">
        <v>60605626</v>
      </c>
      <c r="EX309">
        <v>577</v>
      </c>
      <c r="EZ309" s="24"/>
      <c r="FA309">
        <v>3002000</v>
      </c>
      <c r="FB309">
        <v>3003001</v>
      </c>
      <c r="FC309">
        <v>3002000</v>
      </c>
      <c r="FD309">
        <v>1655</v>
      </c>
      <c r="FE309">
        <v>21</v>
      </c>
      <c r="FG309" s="24"/>
      <c r="FH309">
        <v>7650</v>
      </c>
      <c r="FI309">
        <v>7997</v>
      </c>
      <c r="FJ309">
        <v>7667</v>
      </c>
      <c r="FK309">
        <v>1883288</v>
      </c>
      <c r="FL309">
        <v>381</v>
      </c>
      <c r="FN309" s="24"/>
      <c r="FO309">
        <v>19000</v>
      </c>
      <c r="FP309">
        <v>20947</v>
      </c>
      <c r="FQ309">
        <v>19510</v>
      </c>
      <c r="FR309">
        <v>296974</v>
      </c>
      <c r="FS309">
        <v>80</v>
      </c>
      <c r="FU309" s="24"/>
      <c r="FV309">
        <v>13608</v>
      </c>
      <c r="FW309">
        <v>13688</v>
      </c>
      <c r="FX309">
        <v>13685</v>
      </c>
      <c r="FY309">
        <v>365763</v>
      </c>
      <c r="FZ309">
        <v>962</v>
      </c>
      <c r="GB309" s="24"/>
      <c r="GC309">
        <v>89000010</v>
      </c>
      <c r="GD309">
        <v>91922995</v>
      </c>
      <c r="GE309">
        <v>89500031</v>
      </c>
      <c r="GF309">
        <v>202</v>
      </c>
      <c r="GG309">
        <v>100</v>
      </c>
      <c r="GI309" s="24"/>
      <c r="GJ309">
        <v>19000035</v>
      </c>
      <c r="GK309">
        <v>19001001</v>
      </c>
      <c r="GL309">
        <v>19000045</v>
      </c>
      <c r="GM309">
        <v>722</v>
      </c>
      <c r="GN309">
        <v>83</v>
      </c>
      <c r="GP309" s="24"/>
      <c r="GQ309">
        <v>113</v>
      </c>
      <c r="GR309">
        <v>117</v>
      </c>
      <c r="GS309">
        <v>113</v>
      </c>
      <c r="GT309">
        <v>109513056</v>
      </c>
      <c r="GU309">
        <v>128</v>
      </c>
      <c r="GW309" s="24"/>
      <c r="GX309">
        <v>441</v>
      </c>
      <c r="GY309">
        <v>454</v>
      </c>
      <c r="GZ309">
        <v>453</v>
      </c>
      <c r="HA309">
        <v>53192628</v>
      </c>
      <c r="HB309">
        <v>222</v>
      </c>
      <c r="HD309" s="24"/>
      <c r="HE309">
        <v>5401</v>
      </c>
      <c r="HF309">
        <v>5559</v>
      </c>
      <c r="HG309">
        <v>5479</v>
      </c>
      <c r="HH309">
        <v>22085204</v>
      </c>
      <c r="HI309">
        <v>266</v>
      </c>
      <c r="HK309" s="24"/>
      <c r="HL309">
        <v>88898000</v>
      </c>
      <c r="HM309">
        <v>93072960</v>
      </c>
      <c r="HN309">
        <v>88898007</v>
      </c>
      <c r="HO309">
        <v>115</v>
      </c>
      <c r="HP309">
        <v>75</v>
      </c>
      <c r="HR309" s="24"/>
      <c r="HS309">
        <v>8155</v>
      </c>
      <c r="HT309">
        <v>8399</v>
      </c>
      <c r="HU309">
        <v>8384</v>
      </c>
      <c r="HV309">
        <v>561807</v>
      </c>
      <c r="HW309">
        <v>123</v>
      </c>
      <c r="HY309" s="24"/>
      <c r="HZ309">
        <v>7474</v>
      </c>
      <c r="IA309">
        <v>7749</v>
      </c>
      <c r="IB309">
        <v>7549</v>
      </c>
      <c r="IC309">
        <v>2004308</v>
      </c>
      <c r="ID309">
        <v>402</v>
      </c>
      <c r="IF309" s="24"/>
      <c r="IG309">
        <v>3015</v>
      </c>
      <c r="IH309">
        <v>3131</v>
      </c>
      <c r="II309">
        <v>3017</v>
      </c>
      <c r="IJ309">
        <v>2519352</v>
      </c>
      <c r="IK309">
        <v>127</v>
      </c>
      <c r="IM309" s="24"/>
      <c r="IN309">
        <v>85026000</v>
      </c>
      <c r="IO309">
        <v>94881995</v>
      </c>
      <c r="IP309">
        <v>90000007</v>
      </c>
      <c r="IQ309">
        <v>180</v>
      </c>
      <c r="IR309">
        <v>88</v>
      </c>
      <c r="IT309" s="24"/>
      <c r="IU309">
        <v>8098</v>
      </c>
      <c r="IV309">
        <v>8100</v>
      </c>
      <c r="IW309">
        <v>8098</v>
      </c>
      <c r="IX309">
        <v>1219535</v>
      </c>
      <c r="IY309">
        <v>133</v>
      </c>
      <c r="JA309" s="24"/>
      <c r="JB309">
        <v>88888905</v>
      </c>
      <c r="JC309">
        <v>91987985</v>
      </c>
      <c r="JD309">
        <v>88896003</v>
      </c>
      <c r="JE309">
        <v>168</v>
      </c>
      <c r="JF309">
        <v>96</v>
      </c>
      <c r="JH309" s="24"/>
      <c r="JI309">
        <v>90054003</v>
      </c>
      <c r="JJ309">
        <v>91000019</v>
      </c>
      <c r="JK309">
        <v>91000002</v>
      </c>
      <c r="JL309">
        <v>141</v>
      </c>
      <c r="JM309">
        <v>79</v>
      </c>
      <c r="JO309" s="24"/>
      <c r="JP309">
        <v>98</v>
      </c>
      <c r="JQ309">
        <v>101</v>
      </c>
      <c r="JR309">
        <v>98</v>
      </c>
      <c r="JS309">
        <v>109104837</v>
      </c>
      <c r="JT309">
        <v>91</v>
      </c>
      <c r="JV309" s="24"/>
      <c r="JW309">
        <v>105</v>
      </c>
      <c r="JX309">
        <v>106</v>
      </c>
      <c r="JY309">
        <v>106</v>
      </c>
      <c r="JZ309">
        <v>137606473</v>
      </c>
      <c r="KA309">
        <v>102</v>
      </c>
      <c r="KC309" s="24"/>
      <c r="KD309">
        <v>21</v>
      </c>
      <c r="KE309">
        <v>21</v>
      </c>
      <c r="KF309">
        <v>21</v>
      </c>
      <c r="KG309">
        <v>63352424</v>
      </c>
      <c r="KH309">
        <v>319</v>
      </c>
      <c r="KJ309" s="24"/>
      <c r="KK309">
        <v>108</v>
      </c>
      <c r="KL309">
        <v>109</v>
      </c>
      <c r="KM309">
        <v>109</v>
      </c>
      <c r="KN309">
        <v>110291261</v>
      </c>
      <c r="KO309">
        <v>122</v>
      </c>
      <c r="KQ309" s="24"/>
      <c r="KR309">
        <v>119037</v>
      </c>
      <c r="KS309">
        <v>119052</v>
      </c>
      <c r="KT309">
        <v>119045</v>
      </c>
      <c r="KU309">
        <v>42146</v>
      </c>
      <c r="KV309">
        <v>479</v>
      </c>
      <c r="KX309" s="24"/>
      <c r="KY309">
        <v>801</v>
      </c>
      <c r="KZ309">
        <v>813</v>
      </c>
      <c r="LA309">
        <v>813</v>
      </c>
      <c r="LB309">
        <v>3718944</v>
      </c>
      <c r="LC309">
        <v>146</v>
      </c>
      <c r="LE309" s="24"/>
      <c r="LF309">
        <v>175123</v>
      </c>
      <c r="LG309">
        <v>175124</v>
      </c>
      <c r="LH309">
        <v>175124</v>
      </c>
      <c r="LI309">
        <v>86143</v>
      </c>
      <c r="LJ309">
        <v>682</v>
      </c>
      <c r="LL309" s="24"/>
      <c r="LM309">
        <v>61614</v>
      </c>
      <c r="LN309">
        <v>62140</v>
      </c>
      <c r="LO309">
        <v>61821</v>
      </c>
      <c r="LP309">
        <v>321001</v>
      </c>
      <c r="LQ309">
        <v>973</v>
      </c>
      <c r="LS309" s="24"/>
      <c r="LT309">
        <v>453</v>
      </c>
      <c r="LU309">
        <v>465</v>
      </c>
      <c r="LV309">
        <v>465</v>
      </c>
      <c r="LW309">
        <v>101223876</v>
      </c>
      <c r="LX309">
        <v>397</v>
      </c>
      <c r="LZ309" s="24"/>
      <c r="MA309">
        <v>93000</v>
      </c>
      <c r="MB309">
        <v>95998</v>
      </c>
      <c r="MC309">
        <v>93003</v>
      </c>
      <c r="MD309">
        <v>653347</v>
      </c>
      <c r="ME309">
        <v>73</v>
      </c>
    </row>
    <row r="310" spans="2:343" x14ac:dyDescent="0.25">
      <c r="B310" s="24"/>
      <c r="C310">
        <v>3</v>
      </c>
      <c r="D310">
        <v>3</v>
      </c>
      <c r="E310">
        <v>3</v>
      </c>
      <c r="F310">
        <v>24065853732</v>
      </c>
      <c r="G310">
        <v>1968</v>
      </c>
      <c r="I310" s="24"/>
      <c r="J310">
        <v>4</v>
      </c>
      <c r="K310">
        <v>4</v>
      </c>
      <c r="L310">
        <v>4</v>
      </c>
      <c r="M310">
        <v>4589354600</v>
      </c>
      <c r="N310">
        <v>1495</v>
      </c>
      <c r="P310" s="24"/>
      <c r="Q310">
        <v>32</v>
      </c>
      <c r="R310">
        <v>32</v>
      </c>
      <c r="S310">
        <v>32</v>
      </c>
      <c r="T310">
        <v>1314975977</v>
      </c>
      <c r="U310">
        <v>1357</v>
      </c>
      <c r="W310" s="24"/>
      <c r="X310">
        <v>63</v>
      </c>
      <c r="Y310">
        <v>63</v>
      </c>
      <c r="Z310">
        <v>63</v>
      </c>
      <c r="AA310">
        <v>309768898</v>
      </c>
      <c r="AB310">
        <v>1100</v>
      </c>
      <c r="AD310" s="24"/>
      <c r="AE310">
        <v>425</v>
      </c>
      <c r="AF310">
        <v>430</v>
      </c>
      <c r="AG310">
        <v>430</v>
      </c>
      <c r="AH310">
        <v>104146871</v>
      </c>
      <c r="AI310">
        <v>1155</v>
      </c>
      <c r="AK310" s="24"/>
      <c r="AL310">
        <v>717</v>
      </c>
      <c r="AM310">
        <v>730</v>
      </c>
      <c r="AN310">
        <v>729</v>
      </c>
      <c r="AO310">
        <v>27027007</v>
      </c>
      <c r="AP310">
        <v>939</v>
      </c>
      <c r="AR310" s="24"/>
      <c r="AS310">
        <v>2805</v>
      </c>
      <c r="AT310">
        <v>2849</v>
      </c>
      <c r="AU310">
        <v>2825</v>
      </c>
      <c r="AV310">
        <v>11663780</v>
      </c>
      <c r="AW310">
        <v>942</v>
      </c>
      <c r="AY310" s="24"/>
      <c r="AZ310">
        <v>396000000</v>
      </c>
      <c r="BA310">
        <v>403899992</v>
      </c>
      <c r="BB310">
        <v>402000000</v>
      </c>
      <c r="BC310">
        <v>2659</v>
      </c>
      <c r="BD310">
        <v>1557</v>
      </c>
      <c r="BF310" s="24"/>
      <c r="BG310">
        <v>24863</v>
      </c>
      <c r="BH310">
        <v>24966</v>
      </c>
      <c r="BI310">
        <v>24863</v>
      </c>
      <c r="BJ310">
        <v>2547734</v>
      </c>
      <c r="BK310">
        <v>177</v>
      </c>
      <c r="BM310" s="24"/>
      <c r="BN310">
        <v>6430002</v>
      </c>
      <c r="BO310">
        <v>6431000</v>
      </c>
      <c r="BP310">
        <v>6430008</v>
      </c>
      <c r="BQ310">
        <v>7609</v>
      </c>
      <c r="BR310">
        <v>249</v>
      </c>
      <c r="BT310" s="24"/>
      <c r="BU310">
        <v>2029</v>
      </c>
      <c r="BV310">
        <v>2046</v>
      </c>
      <c r="BW310">
        <v>2039</v>
      </c>
      <c r="BX310">
        <v>28157437</v>
      </c>
      <c r="BY310">
        <v>253</v>
      </c>
      <c r="CA310" s="24"/>
      <c r="CB310">
        <v>863</v>
      </c>
      <c r="CC310">
        <v>929</v>
      </c>
      <c r="CD310">
        <v>910</v>
      </c>
      <c r="CE310">
        <v>86994971</v>
      </c>
      <c r="CF310">
        <v>375</v>
      </c>
      <c r="CH310" s="24"/>
      <c r="CI310">
        <v>25064</v>
      </c>
      <c r="CJ310">
        <v>25066</v>
      </c>
      <c r="CK310">
        <v>25065</v>
      </c>
      <c r="CL310">
        <v>957592</v>
      </c>
      <c r="CM310">
        <v>149</v>
      </c>
      <c r="CO310" s="24"/>
      <c r="CP310">
        <v>7999</v>
      </c>
      <c r="CQ310">
        <v>9291</v>
      </c>
      <c r="CR310">
        <v>8195</v>
      </c>
      <c r="CS310">
        <v>845170</v>
      </c>
      <c r="CT310">
        <v>346</v>
      </c>
      <c r="CV310" s="24"/>
      <c r="CW310">
        <v>1220000</v>
      </c>
      <c r="CX310">
        <v>1220000</v>
      </c>
      <c r="CY310">
        <v>1220000</v>
      </c>
      <c r="CZ310">
        <v>10969</v>
      </c>
      <c r="DA310">
        <v>29</v>
      </c>
      <c r="DC310" s="24"/>
      <c r="DD310">
        <v>464</v>
      </c>
      <c r="DE310">
        <v>464</v>
      </c>
      <c r="DF310">
        <v>464</v>
      </c>
      <c r="DG310">
        <v>25763054</v>
      </c>
      <c r="DH310">
        <v>141</v>
      </c>
      <c r="DJ310" s="24"/>
      <c r="DK310">
        <v>33508001</v>
      </c>
      <c r="DL310">
        <v>33800000</v>
      </c>
      <c r="DM310">
        <v>33508001</v>
      </c>
      <c r="DN310">
        <v>319</v>
      </c>
      <c r="DO310">
        <v>69</v>
      </c>
      <c r="DQ310" s="24"/>
      <c r="DR310">
        <v>1056000</v>
      </c>
      <c r="DS310">
        <v>1151000</v>
      </c>
      <c r="DT310">
        <v>1150005</v>
      </c>
      <c r="DU310">
        <v>7263</v>
      </c>
      <c r="DV310">
        <v>177</v>
      </c>
      <c r="DX310" s="24"/>
      <c r="DY310">
        <v>20352011</v>
      </c>
      <c r="DZ310">
        <v>21399996</v>
      </c>
      <c r="EA310">
        <v>20353012</v>
      </c>
      <c r="EB310">
        <v>486</v>
      </c>
      <c r="EC310">
        <v>97</v>
      </c>
      <c r="EE310" s="24"/>
      <c r="EF310">
        <v>189</v>
      </c>
      <c r="EG310">
        <v>194</v>
      </c>
      <c r="EH310">
        <v>194</v>
      </c>
      <c r="EI310">
        <v>82996739</v>
      </c>
      <c r="EJ310">
        <v>143</v>
      </c>
      <c r="EL310" s="24"/>
      <c r="EM310">
        <v>52605</v>
      </c>
      <c r="EN310">
        <v>54001</v>
      </c>
      <c r="EO310">
        <v>53000</v>
      </c>
      <c r="EP310">
        <v>94435</v>
      </c>
      <c r="EQ310">
        <v>560</v>
      </c>
      <c r="ES310" s="24"/>
      <c r="ET310">
        <v>304</v>
      </c>
      <c r="EU310">
        <v>313</v>
      </c>
      <c r="EV310">
        <v>304</v>
      </c>
      <c r="EW310">
        <v>57555137</v>
      </c>
      <c r="EX310">
        <v>545</v>
      </c>
      <c r="EZ310" s="24"/>
      <c r="FA310">
        <v>3030006</v>
      </c>
      <c r="FB310">
        <v>3225004</v>
      </c>
      <c r="FC310">
        <v>3030006</v>
      </c>
      <c r="FD310">
        <v>851</v>
      </c>
      <c r="FE310">
        <v>18</v>
      </c>
      <c r="FG310" s="24"/>
      <c r="FH310">
        <v>7599</v>
      </c>
      <c r="FI310">
        <v>7997</v>
      </c>
      <c r="FJ310">
        <v>7698</v>
      </c>
      <c r="FK310">
        <v>1188524</v>
      </c>
      <c r="FL310">
        <v>377</v>
      </c>
      <c r="FN310" s="24"/>
      <c r="FO310">
        <v>19003</v>
      </c>
      <c r="FP310">
        <v>20930</v>
      </c>
      <c r="FQ310">
        <v>19003</v>
      </c>
      <c r="FR310">
        <v>117614</v>
      </c>
      <c r="FS310">
        <v>68</v>
      </c>
      <c r="FU310" s="24"/>
      <c r="FV310">
        <v>13700</v>
      </c>
      <c r="FW310">
        <v>13701</v>
      </c>
      <c r="FX310">
        <v>13700</v>
      </c>
      <c r="FY310">
        <v>298082</v>
      </c>
      <c r="FZ310">
        <v>1008</v>
      </c>
      <c r="GB310" s="24"/>
      <c r="GC310">
        <v>88000021</v>
      </c>
      <c r="GD310">
        <v>90999985</v>
      </c>
      <c r="GE310">
        <v>89466666</v>
      </c>
      <c r="GF310">
        <v>92</v>
      </c>
      <c r="GG310">
        <v>54</v>
      </c>
      <c r="GI310" s="24"/>
      <c r="GJ310">
        <v>19001002</v>
      </c>
      <c r="GK310">
        <v>19500000</v>
      </c>
      <c r="GL310">
        <v>19012002</v>
      </c>
      <c r="GM310">
        <v>396</v>
      </c>
      <c r="GN310">
        <v>64</v>
      </c>
      <c r="GP310" s="24"/>
      <c r="GQ310">
        <v>112</v>
      </c>
      <c r="GR310">
        <v>117</v>
      </c>
      <c r="GS310">
        <v>115</v>
      </c>
      <c r="GT310">
        <v>141085463</v>
      </c>
      <c r="GU310">
        <v>133</v>
      </c>
      <c r="GW310" s="24"/>
      <c r="GX310">
        <v>450</v>
      </c>
      <c r="GY310">
        <v>459</v>
      </c>
      <c r="GZ310">
        <v>452</v>
      </c>
      <c r="HA310">
        <v>56642417</v>
      </c>
      <c r="HB310">
        <v>244</v>
      </c>
      <c r="HD310" s="24"/>
      <c r="HE310">
        <v>5478</v>
      </c>
      <c r="HF310">
        <v>5861</v>
      </c>
      <c r="HG310">
        <v>5549</v>
      </c>
      <c r="HH310">
        <v>29016097</v>
      </c>
      <c r="HI310">
        <v>301</v>
      </c>
      <c r="HK310" s="24"/>
      <c r="HL310">
        <v>91000000</v>
      </c>
      <c r="HM310">
        <v>92998987</v>
      </c>
      <c r="HN310">
        <v>92142525</v>
      </c>
      <c r="HO310">
        <v>49</v>
      </c>
      <c r="HP310">
        <v>44</v>
      </c>
      <c r="HR310" s="24"/>
      <c r="HS310">
        <v>8102</v>
      </c>
      <c r="HT310">
        <v>8399</v>
      </c>
      <c r="HU310">
        <v>8395</v>
      </c>
      <c r="HV310">
        <v>816632</v>
      </c>
      <c r="HW310">
        <v>160</v>
      </c>
      <c r="HY310" s="24"/>
      <c r="HZ310">
        <v>7414</v>
      </c>
      <c r="IA310">
        <v>7748</v>
      </c>
      <c r="IB310">
        <v>7729</v>
      </c>
      <c r="IC310">
        <v>1509120</v>
      </c>
      <c r="ID310">
        <v>385</v>
      </c>
      <c r="IF310" s="24"/>
      <c r="IG310">
        <v>3009</v>
      </c>
      <c r="IH310">
        <v>3085</v>
      </c>
      <c r="II310">
        <v>3011</v>
      </c>
      <c r="IJ310">
        <v>2392654</v>
      </c>
      <c r="IK310">
        <v>164</v>
      </c>
      <c r="IM310" s="24"/>
      <c r="IN310">
        <v>85027005</v>
      </c>
      <c r="IO310">
        <v>93799999</v>
      </c>
      <c r="IP310">
        <v>91365559</v>
      </c>
      <c r="IQ310">
        <v>59</v>
      </c>
      <c r="IR310">
        <v>47</v>
      </c>
      <c r="IT310" s="24"/>
      <c r="IU310">
        <v>7900</v>
      </c>
      <c r="IV310">
        <v>7922</v>
      </c>
      <c r="IW310">
        <v>7900</v>
      </c>
      <c r="IX310">
        <v>941045</v>
      </c>
      <c r="IY310">
        <v>113</v>
      </c>
      <c r="JA310" s="24"/>
      <c r="JB310">
        <v>87993007</v>
      </c>
      <c r="JC310">
        <v>90149999</v>
      </c>
      <c r="JD310">
        <v>89000000</v>
      </c>
      <c r="JE310">
        <v>107</v>
      </c>
      <c r="JF310">
        <v>65</v>
      </c>
      <c r="JH310" s="24"/>
      <c r="JI310">
        <v>90024021</v>
      </c>
      <c r="JJ310">
        <v>91877995</v>
      </c>
      <c r="JK310">
        <v>90741080</v>
      </c>
      <c r="JL310">
        <v>70</v>
      </c>
      <c r="JM310">
        <v>47</v>
      </c>
      <c r="JO310" s="24"/>
      <c r="JP310">
        <v>98</v>
      </c>
      <c r="JQ310">
        <v>101</v>
      </c>
      <c r="JR310">
        <v>101</v>
      </c>
      <c r="JS310">
        <v>69263889</v>
      </c>
      <c r="JT310">
        <v>94</v>
      </c>
      <c r="JV310" s="24"/>
      <c r="JW310">
        <v>107</v>
      </c>
      <c r="JX310">
        <v>109</v>
      </c>
      <c r="JY310">
        <v>109</v>
      </c>
      <c r="JZ310">
        <v>95589961</v>
      </c>
      <c r="KA310">
        <v>96</v>
      </c>
      <c r="KC310" s="24"/>
      <c r="KD310">
        <v>21</v>
      </c>
      <c r="KE310">
        <v>21</v>
      </c>
      <c r="KF310">
        <v>21</v>
      </c>
      <c r="KG310">
        <v>71103346</v>
      </c>
      <c r="KH310">
        <v>293</v>
      </c>
      <c r="KJ310" s="24"/>
      <c r="KK310">
        <v>105</v>
      </c>
      <c r="KL310">
        <v>108</v>
      </c>
      <c r="KM310">
        <v>108</v>
      </c>
      <c r="KN310">
        <v>143158393</v>
      </c>
      <c r="KO310">
        <v>114</v>
      </c>
      <c r="KQ310" s="24"/>
      <c r="KR310">
        <v>119051</v>
      </c>
      <c r="KS310">
        <v>123997</v>
      </c>
      <c r="KT310">
        <v>119063</v>
      </c>
      <c r="KU310">
        <v>54662</v>
      </c>
      <c r="KV310">
        <v>536</v>
      </c>
      <c r="KX310" s="24"/>
      <c r="KY310">
        <v>811</v>
      </c>
      <c r="KZ310">
        <v>813</v>
      </c>
      <c r="LA310">
        <v>811</v>
      </c>
      <c r="LB310">
        <v>3232032</v>
      </c>
      <c r="LC310">
        <v>159</v>
      </c>
      <c r="LE310" s="24"/>
      <c r="LF310">
        <v>175127</v>
      </c>
      <c r="LG310">
        <v>176000</v>
      </c>
      <c r="LH310">
        <v>175227</v>
      </c>
      <c r="LI310">
        <v>76150</v>
      </c>
      <c r="LJ310">
        <v>735</v>
      </c>
      <c r="LL310" s="24"/>
      <c r="LM310">
        <v>62316</v>
      </c>
      <c r="LN310">
        <v>62333</v>
      </c>
      <c r="LO310">
        <v>62330</v>
      </c>
      <c r="LP310">
        <v>286654</v>
      </c>
      <c r="LQ310">
        <v>1075</v>
      </c>
      <c r="LS310" s="24"/>
      <c r="LT310">
        <v>459</v>
      </c>
      <c r="LU310">
        <v>464</v>
      </c>
      <c r="LV310">
        <v>464</v>
      </c>
      <c r="LW310">
        <v>96619733</v>
      </c>
      <c r="LX310">
        <v>362</v>
      </c>
      <c r="LZ310" s="24"/>
      <c r="MA310">
        <v>91503</v>
      </c>
      <c r="MB310">
        <v>97000</v>
      </c>
      <c r="MC310">
        <v>93004</v>
      </c>
      <c r="MD310">
        <v>1250350</v>
      </c>
      <c r="ME310">
        <v>122</v>
      </c>
    </row>
    <row r="311" spans="2:343" x14ac:dyDescent="0.25">
      <c r="B311" s="24"/>
      <c r="C311">
        <v>3</v>
      </c>
      <c r="D311">
        <v>3</v>
      </c>
      <c r="E311">
        <v>3</v>
      </c>
      <c r="F311">
        <v>21296681783</v>
      </c>
      <c r="G311">
        <v>1811</v>
      </c>
      <c r="I311" s="24"/>
      <c r="J311">
        <v>4</v>
      </c>
      <c r="K311">
        <v>4</v>
      </c>
      <c r="L311">
        <v>4</v>
      </c>
      <c r="M311">
        <v>4507054136</v>
      </c>
      <c r="N311">
        <v>1317</v>
      </c>
      <c r="P311" s="24"/>
      <c r="Q311">
        <v>32</v>
      </c>
      <c r="R311">
        <v>32</v>
      </c>
      <c r="S311">
        <v>32</v>
      </c>
      <c r="T311">
        <v>1181091780</v>
      </c>
      <c r="U311">
        <v>1262</v>
      </c>
      <c r="W311" s="24"/>
      <c r="X311">
        <v>63</v>
      </c>
      <c r="Y311">
        <v>64</v>
      </c>
      <c r="Z311">
        <v>63</v>
      </c>
      <c r="AA311">
        <v>498924293</v>
      </c>
      <c r="AB311">
        <v>999</v>
      </c>
      <c r="AD311" s="24"/>
      <c r="AE311">
        <v>422</v>
      </c>
      <c r="AF311">
        <v>426</v>
      </c>
      <c r="AG311">
        <v>422</v>
      </c>
      <c r="AH311">
        <v>73357439</v>
      </c>
      <c r="AI311">
        <v>1057</v>
      </c>
      <c r="AK311" s="24"/>
      <c r="AL311">
        <v>718</v>
      </c>
      <c r="AM311">
        <v>729</v>
      </c>
      <c r="AN311">
        <v>724</v>
      </c>
      <c r="AO311">
        <v>35449777</v>
      </c>
      <c r="AP311">
        <v>919</v>
      </c>
      <c r="AR311" s="24"/>
      <c r="AS311">
        <v>2807</v>
      </c>
      <c r="AT311">
        <v>2824</v>
      </c>
      <c r="AU311">
        <v>2807</v>
      </c>
      <c r="AV311">
        <v>11457770</v>
      </c>
      <c r="AW311">
        <v>854</v>
      </c>
      <c r="AY311" s="24"/>
      <c r="AZ311">
        <v>405000000</v>
      </c>
      <c r="BA311">
        <v>414389998</v>
      </c>
      <c r="BB311">
        <v>410000000</v>
      </c>
      <c r="BC311">
        <v>2214</v>
      </c>
      <c r="BD311">
        <v>1556</v>
      </c>
      <c r="BF311" s="24"/>
      <c r="BG311">
        <v>25050</v>
      </c>
      <c r="BH311">
        <v>25050</v>
      </c>
      <c r="BI311">
        <v>25050</v>
      </c>
      <c r="BJ311">
        <v>954196</v>
      </c>
      <c r="BK311">
        <v>164</v>
      </c>
      <c r="BM311" s="24"/>
      <c r="BN311">
        <v>6350010</v>
      </c>
      <c r="BO311">
        <v>6354001</v>
      </c>
      <c r="BP311">
        <v>6351000</v>
      </c>
      <c r="BQ311">
        <v>10842</v>
      </c>
      <c r="BR311">
        <v>269</v>
      </c>
      <c r="BT311" s="24"/>
      <c r="BU311">
        <v>2028</v>
      </c>
      <c r="BV311">
        <v>2046</v>
      </c>
      <c r="BW311">
        <v>2039</v>
      </c>
      <c r="BX311">
        <v>26168564</v>
      </c>
      <c r="BY311">
        <v>204</v>
      </c>
      <c r="CA311" s="24"/>
      <c r="CB311">
        <v>829</v>
      </c>
      <c r="CC311">
        <v>864</v>
      </c>
      <c r="CD311">
        <v>835</v>
      </c>
      <c r="CE311">
        <v>97139479</v>
      </c>
      <c r="CF311">
        <v>392</v>
      </c>
      <c r="CH311" s="24"/>
      <c r="CI311">
        <v>24871</v>
      </c>
      <c r="CJ311">
        <v>25167</v>
      </c>
      <c r="CK311">
        <v>24871</v>
      </c>
      <c r="CL311">
        <v>2007381</v>
      </c>
      <c r="CM311">
        <v>182</v>
      </c>
      <c r="CO311" s="24"/>
      <c r="CP311">
        <v>7900</v>
      </c>
      <c r="CQ311">
        <v>9190</v>
      </c>
      <c r="CR311">
        <v>8350</v>
      </c>
      <c r="CS311">
        <v>836948</v>
      </c>
      <c r="CT311">
        <v>323</v>
      </c>
      <c r="CV311" s="24"/>
      <c r="CW311">
        <v>1200000</v>
      </c>
      <c r="CX311">
        <v>1229993</v>
      </c>
      <c r="CY311">
        <v>1229989</v>
      </c>
      <c r="CZ311">
        <v>6483</v>
      </c>
      <c r="DA311">
        <v>28</v>
      </c>
      <c r="DC311" s="24"/>
      <c r="DD311">
        <v>449</v>
      </c>
      <c r="DE311">
        <v>462</v>
      </c>
      <c r="DF311">
        <v>462</v>
      </c>
      <c r="DG311">
        <v>37876899</v>
      </c>
      <c r="DH311">
        <v>159</v>
      </c>
      <c r="DJ311" s="24"/>
      <c r="DK311">
        <v>32603006</v>
      </c>
      <c r="DL311">
        <v>33700000</v>
      </c>
      <c r="DM311">
        <v>33506795</v>
      </c>
      <c r="DN311">
        <v>450</v>
      </c>
      <c r="DO311">
        <v>60</v>
      </c>
      <c r="DQ311" s="24"/>
      <c r="DR311">
        <v>1100000</v>
      </c>
      <c r="DS311">
        <v>1149803</v>
      </c>
      <c r="DT311">
        <v>1100002</v>
      </c>
      <c r="DU311">
        <v>8335</v>
      </c>
      <c r="DV311">
        <v>187</v>
      </c>
      <c r="DX311" s="24"/>
      <c r="DY311">
        <v>20400000</v>
      </c>
      <c r="DZ311">
        <v>20999004</v>
      </c>
      <c r="EA311">
        <v>20400016</v>
      </c>
      <c r="EB311">
        <v>406</v>
      </c>
      <c r="EC311">
        <v>72</v>
      </c>
      <c r="EE311" s="24"/>
      <c r="EF311">
        <v>191</v>
      </c>
      <c r="EG311">
        <v>200</v>
      </c>
      <c r="EH311">
        <v>200</v>
      </c>
      <c r="EI311">
        <v>59628161</v>
      </c>
      <c r="EJ311">
        <v>130</v>
      </c>
      <c r="EL311" s="24"/>
      <c r="EM311">
        <v>53470</v>
      </c>
      <c r="EN311">
        <v>53499</v>
      </c>
      <c r="EO311">
        <v>53488</v>
      </c>
      <c r="EP311">
        <v>86680</v>
      </c>
      <c r="EQ311">
        <v>545</v>
      </c>
      <c r="ES311" s="24"/>
      <c r="ET311">
        <v>300</v>
      </c>
      <c r="EU311">
        <v>305</v>
      </c>
      <c r="EV311">
        <v>304</v>
      </c>
      <c r="EW311">
        <v>35380939</v>
      </c>
      <c r="EX311">
        <v>526</v>
      </c>
      <c r="EZ311" s="24"/>
      <c r="FA311">
        <v>3225000</v>
      </c>
      <c r="FB311">
        <v>3225000</v>
      </c>
      <c r="FC311">
        <v>3225000</v>
      </c>
      <c r="FD311">
        <v>1516</v>
      </c>
      <c r="FE311">
        <v>21</v>
      </c>
      <c r="FG311" s="24"/>
      <c r="FH311">
        <v>7600</v>
      </c>
      <c r="FI311">
        <v>7899</v>
      </c>
      <c r="FJ311">
        <v>7849</v>
      </c>
      <c r="FK311">
        <v>1335423</v>
      </c>
      <c r="FL311">
        <v>378</v>
      </c>
      <c r="FN311" s="24"/>
      <c r="FO311">
        <v>19503</v>
      </c>
      <c r="FP311">
        <v>20899</v>
      </c>
      <c r="FQ311">
        <v>20898</v>
      </c>
      <c r="FR311">
        <v>238478</v>
      </c>
      <c r="FS311">
        <v>74</v>
      </c>
      <c r="FU311" s="24"/>
      <c r="FV311">
        <v>13701</v>
      </c>
      <c r="FW311">
        <v>13748</v>
      </c>
      <c r="FX311">
        <v>13730</v>
      </c>
      <c r="FY311">
        <v>371426</v>
      </c>
      <c r="FZ311">
        <v>944</v>
      </c>
      <c r="GB311" s="24"/>
      <c r="GC311">
        <v>88251002</v>
      </c>
      <c r="GD311">
        <v>89994989</v>
      </c>
      <c r="GE311">
        <v>89895619</v>
      </c>
      <c r="GF311">
        <v>35</v>
      </c>
      <c r="GG311">
        <v>31</v>
      </c>
      <c r="GI311" s="24"/>
      <c r="GJ311">
        <v>19013000</v>
      </c>
      <c r="GK311">
        <v>19013002</v>
      </c>
      <c r="GL311">
        <v>19013002</v>
      </c>
      <c r="GM311">
        <v>742</v>
      </c>
      <c r="GN311">
        <v>87</v>
      </c>
      <c r="GP311" s="24"/>
      <c r="GQ311">
        <v>113</v>
      </c>
      <c r="GR311">
        <v>115</v>
      </c>
      <c r="GS311">
        <v>115</v>
      </c>
      <c r="GT311">
        <v>86357908</v>
      </c>
      <c r="GU311">
        <v>100</v>
      </c>
      <c r="GW311" s="24"/>
      <c r="GX311">
        <v>441</v>
      </c>
      <c r="GY311">
        <v>454</v>
      </c>
      <c r="GZ311">
        <v>454</v>
      </c>
      <c r="HA311">
        <v>42961503</v>
      </c>
      <c r="HB311">
        <v>172</v>
      </c>
      <c r="HD311" s="24"/>
      <c r="HE311">
        <v>5600</v>
      </c>
      <c r="HF311">
        <v>5947</v>
      </c>
      <c r="HG311">
        <v>5740</v>
      </c>
      <c r="HH311">
        <v>17658992</v>
      </c>
      <c r="HI311">
        <v>246</v>
      </c>
      <c r="HK311" s="24"/>
      <c r="HL311">
        <v>92105513</v>
      </c>
      <c r="HM311">
        <v>101172104</v>
      </c>
      <c r="HN311">
        <v>94201636</v>
      </c>
      <c r="HO311">
        <v>92</v>
      </c>
      <c r="HP311">
        <v>60</v>
      </c>
      <c r="HR311" s="24"/>
      <c r="HS311">
        <v>8347</v>
      </c>
      <c r="HT311">
        <v>8797</v>
      </c>
      <c r="HU311">
        <v>8499</v>
      </c>
      <c r="HV311">
        <v>1424818</v>
      </c>
      <c r="HW311">
        <v>173</v>
      </c>
      <c r="HY311" s="24"/>
      <c r="HZ311">
        <v>7450</v>
      </c>
      <c r="IA311">
        <v>7722</v>
      </c>
      <c r="IB311">
        <v>7719</v>
      </c>
      <c r="IC311">
        <v>1497219</v>
      </c>
      <c r="ID311">
        <v>382</v>
      </c>
      <c r="IF311" s="24"/>
      <c r="IG311">
        <v>2904</v>
      </c>
      <c r="IH311">
        <v>3084</v>
      </c>
      <c r="II311">
        <v>2904</v>
      </c>
      <c r="IJ311">
        <v>1718402</v>
      </c>
      <c r="IK311">
        <v>120</v>
      </c>
      <c r="IM311" s="24"/>
      <c r="IN311">
        <v>88202004</v>
      </c>
      <c r="IO311">
        <v>92999981</v>
      </c>
      <c r="IP311">
        <v>90494119</v>
      </c>
      <c r="IQ311">
        <v>41</v>
      </c>
      <c r="IR311">
        <v>35</v>
      </c>
      <c r="IT311" s="24"/>
      <c r="IU311">
        <v>7770</v>
      </c>
      <c r="IV311">
        <v>7849</v>
      </c>
      <c r="IW311">
        <v>7770</v>
      </c>
      <c r="IX311">
        <v>1264564</v>
      </c>
      <c r="IY311">
        <v>122</v>
      </c>
      <c r="JA311" s="24"/>
      <c r="JB311">
        <v>89543998</v>
      </c>
      <c r="JC311">
        <v>89999000</v>
      </c>
      <c r="JD311">
        <v>89598701</v>
      </c>
      <c r="JE311">
        <v>67</v>
      </c>
      <c r="JF311">
        <v>49</v>
      </c>
      <c r="JH311" s="24"/>
      <c r="JI311">
        <v>87869000</v>
      </c>
      <c r="JJ311">
        <v>90999867</v>
      </c>
      <c r="JK311">
        <v>90907803</v>
      </c>
      <c r="JL311">
        <v>34</v>
      </c>
      <c r="JM311">
        <v>26</v>
      </c>
      <c r="JO311" s="24"/>
      <c r="JP311">
        <v>98</v>
      </c>
      <c r="JQ311">
        <v>100</v>
      </c>
      <c r="JR311">
        <v>98</v>
      </c>
      <c r="JS311">
        <v>92759766</v>
      </c>
      <c r="JT311">
        <v>76</v>
      </c>
      <c r="JV311" s="24"/>
      <c r="JW311">
        <v>112</v>
      </c>
      <c r="JX311">
        <v>116</v>
      </c>
      <c r="JY311">
        <v>113</v>
      </c>
      <c r="JZ311">
        <v>96048464</v>
      </c>
      <c r="KA311">
        <v>100</v>
      </c>
      <c r="KC311" s="24"/>
      <c r="KD311">
        <v>20</v>
      </c>
      <c r="KE311">
        <v>20</v>
      </c>
      <c r="KF311">
        <v>20</v>
      </c>
      <c r="KG311">
        <v>64725622</v>
      </c>
      <c r="KH311">
        <v>298</v>
      </c>
      <c r="KJ311" s="24"/>
      <c r="KK311">
        <v>105</v>
      </c>
      <c r="KL311">
        <v>106</v>
      </c>
      <c r="KM311">
        <v>106</v>
      </c>
      <c r="KN311">
        <v>140404404</v>
      </c>
      <c r="KO311">
        <v>93</v>
      </c>
      <c r="KQ311" s="24"/>
      <c r="KR311">
        <v>119068</v>
      </c>
      <c r="KS311">
        <v>119500</v>
      </c>
      <c r="KT311">
        <v>119071</v>
      </c>
      <c r="KU311">
        <v>60045</v>
      </c>
      <c r="KV311">
        <v>527</v>
      </c>
      <c r="KX311" s="24"/>
      <c r="KY311">
        <v>811</v>
      </c>
      <c r="KZ311">
        <v>811</v>
      </c>
      <c r="LA311">
        <v>811</v>
      </c>
      <c r="LB311">
        <v>4142014</v>
      </c>
      <c r="LC311">
        <v>152</v>
      </c>
      <c r="LE311" s="24"/>
      <c r="LF311">
        <v>176016</v>
      </c>
      <c r="LG311">
        <v>176101</v>
      </c>
      <c r="LH311">
        <v>176068</v>
      </c>
      <c r="LI311">
        <v>105122</v>
      </c>
      <c r="LJ311">
        <v>691</v>
      </c>
      <c r="LL311" s="24"/>
      <c r="LM311">
        <v>62406</v>
      </c>
      <c r="LN311">
        <v>63501</v>
      </c>
      <c r="LO311">
        <v>62744</v>
      </c>
      <c r="LP311">
        <v>371448</v>
      </c>
      <c r="LQ311">
        <v>1026</v>
      </c>
      <c r="LS311" s="24"/>
      <c r="LT311">
        <v>460</v>
      </c>
      <c r="LU311">
        <v>461</v>
      </c>
      <c r="LV311">
        <v>461</v>
      </c>
      <c r="LW311">
        <v>73874175</v>
      </c>
      <c r="LX311">
        <v>327</v>
      </c>
      <c r="LZ311" s="24"/>
      <c r="MA311">
        <v>94203</v>
      </c>
      <c r="MB311">
        <v>97495</v>
      </c>
      <c r="MC311">
        <v>97399</v>
      </c>
      <c r="MD311">
        <v>824108</v>
      </c>
      <c r="ME311">
        <v>94</v>
      </c>
    </row>
    <row r="312" spans="2:343" x14ac:dyDescent="0.25">
      <c r="B312" s="24"/>
      <c r="C312">
        <v>3</v>
      </c>
      <c r="D312">
        <v>3</v>
      </c>
      <c r="E312">
        <v>3</v>
      </c>
      <c r="F312">
        <v>26621967212</v>
      </c>
      <c r="G312">
        <v>2088</v>
      </c>
      <c r="I312" s="24"/>
      <c r="J312">
        <v>4</v>
      </c>
      <c r="K312">
        <v>4</v>
      </c>
      <c r="L312">
        <v>4</v>
      </c>
      <c r="M312">
        <v>9072184499</v>
      </c>
      <c r="N312">
        <v>1508</v>
      </c>
      <c r="P312" s="24"/>
      <c r="Q312">
        <v>32</v>
      </c>
      <c r="R312">
        <v>32</v>
      </c>
      <c r="S312">
        <v>32</v>
      </c>
      <c r="T312">
        <v>1494835701</v>
      </c>
      <c r="U312">
        <v>1338</v>
      </c>
      <c r="W312" s="24"/>
      <c r="X312">
        <v>63</v>
      </c>
      <c r="Y312">
        <v>63</v>
      </c>
      <c r="Z312">
        <v>63</v>
      </c>
      <c r="AA312">
        <v>323489657</v>
      </c>
      <c r="AB312">
        <v>1083</v>
      </c>
      <c r="AD312" s="24"/>
      <c r="AE312">
        <v>424</v>
      </c>
      <c r="AF312">
        <v>425</v>
      </c>
      <c r="AG312">
        <v>425</v>
      </c>
      <c r="AH312">
        <v>73940756</v>
      </c>
      <c r="AI312">
        <v>1145</v>
      </c>
      <c r="AK312" s="24"/>
      <c r="AL312">
        <v>729</v>
      </c>
      <c r="AM312">
        <v>731</v>
      </c>
      <c r="AN312">
        <v>730</v>
      </c>
      <c r="AO312">
        <v>31086309</v>
      </c>
      <c r="AP312">
        <v>930</v>
      </c>
      <c r="AR312" s="24"/>
      <c r="AS312">
        <v>2800</v>
      </c>
      <c r="AT312">
        <v>2877</v>
      </c>
      <c r="AU312">
        <v>2845</v>
      </c>
      <c r="AV312">
        <v>10649153</v>
      </c>
      <c r="AW312">
        <v>925</v>
      </c>
      <c r="AY312" s="24"/>
      <c r="AZ312">
        <v>402255000</v>
      </c>
      <c r="BA312">
        <v>411850999</v>
      </c>
      <c r="BB312">
        <v>409847994</v>
      </c>
      <c r="BC312">
        <v>2679</v>
      </c>
      <c r="BD312">
        <v>1791</v>
      </c>
      <c r="BF312" s="24"/>
      <c r="BG312">
        <v>25051</v>
      </c>
      <c r="BH312">
        <v>25200</v>
      </c>
      <c r="BI312">
        <v>25051</v>
      </c>
      <c r="BJ312">
        <v>5485767</v>
      </c>
      <c r="BK312">
        <v>229</v>
      </c>
      <c r="BM312" s="24"/>
      <c r="BN312">
        <v>6450001</v>
      </c>
      <c r="BO312">
        <v>6579990</v>
      </c>
      <c r="BP312">
        <v>6477698</v>
      </c>
      <c r="BQ312">
        <v>10169</v>
      </c>
      <c r="BR312">
        <v>283</v>
      </c>
      <c r="BT312" s="24"/>
      <c r="BU312">
        <v>2003</v>
      </c>
      <c r="BV312">
        <v>2088</v>
      </c>
      <c r="BW312">
        <v>2048</v>
      </c>
      <c r="BX312">
        <v>22786414</v>
      </c>
      <c r="BY312">
        <v>222</v>
      </c>
      <c r="CA312" s="24"/>
      <c r="CB312">
        <v>800</v>
      </c>
      <c r="CC312">
        <v>849</v>
      </c>
      <c r="CD312">
        <v>820</v>
      </c>
      <c r="CE312">
        <v>100528849</v>
      </c>
      <c r="CF312">
        <v>371</v>
      </c>
      <c r="CH312" s="24"/>
      <c r="CI312">
        <v>24871</v>
      </c>
      <c r="CJ312">
        <v>25000</v>
      </c>
      <c r="CK312">
        <v>24871</v>
      </c>
      <c r="CL312">
        <v>2124755</v>
      </c>
      <c r="CM312">
        <v>169</v>
      </c>
      <c r="CO312" s="24"/>
      <c r="CP312">
        <v>7835</v>
      </c>
      <c r="CQ312">
        <v>9191</v>
      </c>
      <c r="CR312">
        <v>9125</v>
      </c>
      <c r="CS312">
        <v>1332822</v>
      </c>
      <c r="CT312">
        <v>376</v>
      </c>
      <c r="CV312" s="24"/>
      <c r="CW312">
        <v>1229938</v>
      </c>
      <c r="CX312">
        <v>1229939</v>
      </c>
      <c r="CY312">
        <v>1229939</v>
      </c>
      <c r="CZ312">
        <v>7446</v>
      </c>
      <c r="DA312">
        <v>29</v>
      </c>
      <c r="DC312" s="24"/>
      <c r="DD312">
        <v>446</v>
      </c>
      <c r="DE312">
        <v>461</v>
      </c>
      <c r="DF312">
        <v>446</v>
      </c>
      <c r="DG312">
        <v>56615311</v>
      </c>
      <c r="DH312">
        <v>173</v>
      </c>
      <c r="DJ312" s="24"/>
      <c r="DK312">
        <v>32602003</v>
      </c>
      <c r="DL312">
        <v>32603006</v>
      </c>
      <c r="DM312">
        <v>32603006</v>
      </c>
      <c r="DN312">
        <v>150</v>
      </c>
      <c r="DO312">
        <v>55</v>
      </c>
      <c r="DQ312" s="24"/>
      <c r="DR312">
        <v>1110000</v>
      </c>
      <c r="DS312">
        <v>1149804</v>
      </c>
      <c r="DT312">
        <v>1128004</v>
      </c>
      <c r="DU312">
        <v>10789</v>
      </c>
      <c r="DV312">
        <v>241</v>
      </c>
      <c r="DX312" s="24"/>
      <c r="DY312">
        <v>20400685</v>
      </c>
      <c r="DZ312">
        <v>20999998</v>
      </c>
      <c r="EA312">
        <v>20405002</v>
      </c>
      <c r="EB312">
        <v>416</v>
      </c>
      <c r="EC312">
        <v>94</v>
      </c>
      <c r="EE312" s="24"/>
      <c r="EF312">
        <v>203</v>
      </c>
      <c r="EG312">
        <v>204</v>
      </c>
      <c r="EH312">
        <v>204</v>
      </c>
      <c r="EI312">
        <v>74038071</v>
      </c>
      <c r="EJ312">
        <v>182</v>
      </c>
      <c r="EL312" s="24"/>
      <c r="EM312">
        <v>55799</v>
      </c>
      <c r="EN312">
        <v>55800</v>
      </c>
      <c r="EO312">
        <v>55800</v>
      </c>
      <c r="EP312">
        <v>155149</v>
      </c>
      <c r="EQ312">
        <v>577</v>
      </c>
      <c r="ES312" s="24"/>
      <c r="ET312">
        <v>293</v>
      </c>
      <c r="EU312">
        <v>300</v>
      </c>
      <c r="EV312">
        <v>299</v>
      </c>
      <c r="EW312">
        <v>46762445</v>
      </c>
      <c r="EX312">
        <v>552</v>
      </c>
      <c r="EZ312" s="24"/>
      <c r="FA312">
        <v>3220000</v>
      </c>
      <c r="FB312">
        <v>3222792</v>
      </c>
      <c r="FC312">
        <v>3220004</v>
      </c>
      <c r="FD312">
        <v>1556</v>
      </c>
      <c r="FE312">
        <v>21</v>
      </c>
      <c r="FG312" s="24"/>
      <c r="FH312">
        <v>7722</v>
      </c>
      <c r="FI312">
        <v>8197</v>
      </c>
      <c r="FJ312">
        <v>7997</v>
      </c>
      <c r="FK312">
        <v>2039954</v>
      </c>
      <c r="FL312">
        <v>434</v>
      </c>
      <c r="FN312" s="24"/>
      <c r="FO312">
        <v>19028</v>
      </c>
      <c r="FP312">
        <v>20498</v>
      </c>
      <c r="FQ312">
        <v>20498</v>
      </c>
      <c r="FR312">
        <v>154301</v>
      </c>
      <c r="FS312">
        <v>77</v>
      </c>
      <c r="FU312" s="24"/>
      <c r="FV312">
        <v>13900</v>
      </c>
      <c r="FW312">
        <v>14114</v>
      </c>
      <c r="FX312">
        <v>14010</v>
      </c>
      <c r="FY312">
        <v>440714</v>
      </c>
      <c r="FZ312">
        <v>923</v>
      </c>
      <c r="GB312" s="24"/>
      <c r="GC312">
        <v>89994996</v>
      </c>
      <c r="GD312">
        <v>93991000</v>
      </c>
      <c r="GE312">
        <v>91911013</v>
      </c>
      <c r="GF312">
        <v>67</v>
      </c>
      <c r="GG312">
        <v>50</v>
      </c>
      <c r="GI312" s="24"/>
      <c r="GJ312">
        <v>17000000</v>
      </c>
      <c r="GK312">
        <v>19888886</v>
      </c>
      <c r="GL312">
        <v>17888888</v>
      </c>
      <c r="GM312">
        <v>385</v>
      </c>
      <c r="GN312">
        <v>61</v>
      </c>
      <c r="GP312" s="24"/>
      <c r="GQ312">
        <v>113</v>
      </c>
      <c r="GR312">
        <v>115</v>
      </c>
      <c r="GS312">
        <v>115</v>
      </c>
      <c r="GT312">
        <v>126858624</v>
      </c>
      <c r="GU312">
        <v>131</v>
      </c>
      <c r="GW312" s="24"/>
      <c r="GX312">
        <v>454</v>
      </c>
      <c r="GY312">
        <v>459</v>
      </c>
      <c r="GZ312">
        <v>459</v>
      </c>
      <c r="HA312">
        <v>69254412</v>
      </c>
      <c r="HB312">
        <v>207</v>
      </c>
      <c r="HD312" s="24"/>
      <c r="HE312">
        <v>5619</v>
      </c>
      <c r="HF312">
        <v>5721</v>
      </c>
      <c r="HG312">
        <v>5677</v>
      </c>
      <c r="HH312">
        <v>24464294</v>
      </c>
      <c r="HI312">
        <v>324</v>
      </c>
      <c r="HK312" s="24"/>
      <c r="HL312">
        <v>92172055</v>
      </c>
      <c r="HM312">
        <v>94999994</v>
      </c>
      <c r="HN312">
        <v>94005640</v>
      </c>
      <c r="HO312">
        <v>95</v>
      </c>
      <c r="HP312">
        <v>56</v>
      </c>
      <c r="HR312" s="24"/>
      <c r="HS312">
        <v>8222</v>
      </c>
      <c r="HT312">
        <v>9000</v>
      </c>
      <c r="HU312">
        <v>8945</v>
      </c>
      <c r="HV312">
        <v>1002702</v>
      </c>
      <c r="HW312">
        <v>156</v>
      </c>
      <c r="HY312" s="24"/>
      <c r="HZ312">
        <v>7454</v>
      </c>
      <c r="IA312">
        <v>7800</v>
      </c>
      <c r="IB312">
        <v>7720</v>
      </c>
      <c r="IC312">
        <v>2118122</v>
      </c>
      <c r="ID312">
        <v>468</v>
      </c>
      <c r="IF312" s="24"/>
      <c r="IG312">
        <v>2998</v>
      </c>
      <c r="IH312">
        <v>3023</v>
      </c>
      <c r="II312">
        <v>3020</v>
      </c>
      <c r="IJ312">
        <v>1654503</v>
      </c>
      <c r="IK312">
        <v>137</v>
      </c>
      <c r="IM312" s="24"/>
      <c r="IN312">
        <v>89398030</v>
      </c>
      <c r="IO312">
        <v>92000000</v>
      </c>
      <c r="IP312">
        <v>91236949</v>
      </c>
      <c r="IQ312">
        <v>85</v>
      </c>
      <c r="IR312">
        <v>59</v>
      </c>
      <c r="IT312" s="24"/>
      <c r="IU312">
        <v>7515</v>
      </c>
      <c r="IV312">
        <v>7750</v>
      </c>
      <c r="IW312">
        <v>7515</v>
      </c>
      <c r="IX312">
        <v>1996080</v>
      </c>
      <c r="IY312">
        <v>156</v>
      </c>
      <c r="JA312" s="24"/>
      <c r="JB312">
        <v>89999000</v>
      </c>
      <c r="JC312">
        <v>90999997</v>
      </c>
      <c r="JD312">
        <v>90281712</v>
      </c>
      <c r="JE312">
        <v>57</v>
      </c>
      <c r="JF312">
        <v>41</v>
      </c>
      <c r="JH312" s="24"/>
      <c r="JI312">
        <v>89998009</v>
      </c>
      <c r="JJ312">
        <v>90999869</v>
      </c>
      <c r="JK312">
        <v>90769247</v>
      </c>
      <c r="JL312">
        <v>70</v>
      </c>
      <c r="JM312">
        <v>47</v>
      </c>
      <c r="JO312" s="24"/>
      <c r="JP312">
        <v>93</v>
      </c>
      <c r="JQ312">
        <v>95</v>
      </c>
      <c r="JR312">
        <v>94</v>
      </c>
      <c r="JS312">
        <v>97167332</v>
      </c>
      <c r="JT312">
        <v>99</v>
      </c>
      <c r="JV312" s="24"/>
      <c r="JW312">
        <v>109</v>
      </c>
      <c r="JX312">
        <v>115</v>
      </c>
      <c r="JY312">
        <v>111</v>
      </c>
      <c r="JZ312">
        <v>94277692</v>
      </c>
      <c r="KA312">
        <v>116</v>
      </c>
      <c r="KC312" s="24"/>
      <c r="KD312">
        <v>19</v>
      </c>
      <c r="KE312">
        <v>21</v>
      </c>
      <c r="KF312">
        <v>21</v>
      </c>
      <c r="KG312">
        <v>48016495</v>
      </c>
      <c r="KH312">
        <v>294</v>
      </c>
      <c r="KJ312" s="24"/>
      <c r="KK312">
        <v>103</v>
      </c>
      <c r="KL312">
        <v>108</v>
      </c>
      <c r="KM312">
        <v>106</v>
      </c>
      <c r="KN312">
        <v>100780452</v>
      </c>
      <c r="KO312">
        <v>115</v>
      </c>
      <c r="KQ312" s="24"/>
      <c r="KR312">
        <v>121000</v>
      </c>
      <c r="KS312">
        <v>123899</v>
      </c>
      <c r="KT312">
        <v>121000</v>
      </c>
      <c r="KU312">
        <v>75262</v>
      </c>
      <c r="KV312">
        <v>528</v>
      </c>
      <c r="KX312" s="24"/>
      <c r="KY312">
        <v>810</v>
      </c>
      <c r="KZ312">
        <v>811</v>
      </c>
      <c r="LA312">
        <v>811</v>
      </c>
      <c r="LB312">
        <v>5313132</v>
      </c>
      <c r="LC312">
        <v>175</v>
      </c>
      <c r="LE312" s="24"/>
      <c r="LF312">
        <v>176500</v>
      </c>
      <c r="LG312">
        <v>176507</v>
      </c>
      <c r="LH312">
        <v>176505</v>
      </c>
      <c r="LI312">
        <v>137917</v>
      </c>
      <c r="LJ312">
        <v>772</v>
      </c>
      <c r="LL312" s="24"/>
      <c r="LM312">
        <v>64100</v>
      </c>
      <c r="LN312">
        <v>64217</v>
      </c>
      <c r="LO312">
        <v>64101</v>
      </c>
      <c r="LP312">
        <v>376066</v>
      </c>
      <c r="LQ312">
        <v>1004</v>
      </c>
      <c r="LS312" s="24"/>
      <c r="LT312">
        <v>455</v>
      </c>
      <c r="LU312">
        <v>461</v>
      </c>
      <c r="LV312">
        <v>460</v>
      </c>
      <c r="LW312">
        <v>126674153</v>
      </c>
      <c r="LX312">
        <v>355</v>
      </c>
      <c r="LZ312" s="24"/>
      <c r="MA312">
        <v>95000</v>
      </c>
      <c r="MB312">
        <v>97201</v>
      </c>
      <c r="MC312">
        <v>96999</v>
      </c>
      <c r="MD312">
        <v>436776</v>
      </c>
      <c r="ME312">
        <v>63</v>
      </c>
    </row>
    <row r="313" spans="2:343" x14ac:dyDescent="0.25">
      <c r="B313" s="24"/>
      <c r="C313">
        <v>3</v>
      </c>
      <c r="D313">
        <v>3</v>
      </c>
      <c r="E313">
        <v>3</v>
      </c>
      <c r="F313">
        <v>22922810158</v>
      </c>
      <c r="G313">
        <v>2030</v>
      </c>
      <c r="I313" s="24"/>
      <c r="J313">
        <v>4</v>
      </c>
      <c r="K313">
        <v>4</v>
      </c>
      <c r="L313">
        <v>4</v>
      </c>
      <c r="M313">
        <v>6276885280</v>
      </c>
      <c r="N313">
        <v>1556</v>
      </c>
      <c r="P313" s="24"/>
      <c r="Q313">
        <v>31</v>
      </c>
      <c r="R313">
        <v>32</v>
      </c>
      <c r="S313">
        <v>32</v>
      </c>
      <c r="T313">
        <v>1119444367</v>
      </c>
      <c r="U313">
        <v>1363</v>
      </c>
      <c r="W313" s="24"/>
      <c r="X313">
        <v>61</v>
      </c>
      <c r="Y313">
        <v>63</v>
      </c>
      <c r="Z313">
        <v>63</v>
      </c>
      <c r="AA313">
        <v>283290085</v>
      </c>
      <c r="AB313">
        <v>1106</v>
      </c>
      <c r="AD313" s="24"/>
      <c r="AE313">
        <v>416</v>
      </c>
      <c r="AF313">
        <v>421</v>
      </c>
      <c r="AG313">
        <v>420</v>
      </c>
      <c r="AH313">
        <v>94617571</v>
      </c>
      <c r="AI313">
        <v>1153</v>
      </c>
      <c r="AK313" s="24"/>
      <c r="AL313">
        <v>729</v>
      </c>
      <c r="AM313">
        <v>749</v>
      </c>
      <c r="AN313">
        <v>744</v>
      </c>
      <c r="AO313">
        <v>34984214</v>
      </c>
      <c r="AP313">
        <v>1008</v>
      </c>
      <c r="AR313" s="24"/>
      <c r="AS313">
        <v>2768</v>
      </c>
      <c r="AT313">
        <v>2849</v>
      </c>
      <c r="AU313">
        <v>2796</v>
      </c>
      <c r="AV313">
        <v>10995258</v>
      </c>
      <c r="AW313">
        <v>949</v>
      </c>
      <c r="AY313" s="24"/>
      <c r="AZ313">
        <v>403500000</v>
      </c>
      <c r="BA313">
        <v>412000000</v>
      </c>
      <c r="BB313">
        <v>408998000</v>
      </c>
      <c r="BC313">
        <v>2535</v>
      </c>
      <c r="BD313">
        <v>1737</v>
      </c>
      <c r="BF313" s="24"/>
      <c r="BG313">
        <v>25004</v>
      </c>
      <c r="BH313">
        <v>25004</v>
      </c>
      <c r="BI313">
        <v>25004</v>
      </c>
      <c r="BJ313">
        <v>3168048</v>
      </c>
      <c r="BK313">
        <v>194</v>
      </c>
      <c r="BM313" s="24"/>
      <c r="BN313">
        <v>6300002</v>
      </c>
      <c r="BO313">
        <v>6450000</v>
      </c>
      <c r="BP313">
        <v>6313001</v>
      </c>
      <c r="BQ313">
        <v>9189</v>
      </c>
      <c r="BR313">
        <v>244</v>
      </c>
      <c r="BT313" s="24"/>
      <c r="BU313">
        <v>2004</v>
      </c>
      <c r="BV313">
        <v>2085</v>
      </c>
      <c r="BW313">
        <v>2085</v>
      </c>
      <c r="BX313">
        <v>37808478</v>
      </c>
      <c r="BY313">
        <v>264</v>
      </c>
      <c r="CA313" s="24"/>
      <c r="CB313">
        <v>788</v>
      </c>
      <c r="CC313">
        <v>873</v>
      </c>
      <c r="CD313">
        <v>813</v>
      </c>
      <c r="CE313">
        <v>56798575</v>
      </c>
      <c r="CF313">
        <v>291</v>
      </c>
      <c r="CH313" s="24"/>
      <c r="CI313">
        <v>24879</v>
      </c>
      <c r="CJ313">
        <v>24879</v>
      </c>
      <c r="CK313">
        <v>24879</v>
      </c>
      <c r="CL313">
        <v>1167708</v>
      </c>
      <c r="CM313">
        <v>145</v>
      </c>
      <c r="CO313" s="24"/>
      <c r="CP313">
        <v>8010</v>
      </c>
      <c r="CQ313">
        <v>9099</v>
      </c>
      <c r="CR313">
        <v>8448</v>
      </c>
      <c r="CS313">
        <v>1218589</v>
      </c>
      <c r="CT313">
        <v>345</v>
      </c>
      <c r="CV313" s="24"/>
      <c r="CW313">
        <v>1200000</v>
      </c>
      <c r="CX313">
        <v>1200000</v>
      </c>
      <c r="CY313">
        <v>1200000</v>
      </c>
      <c r="CZ313">
        <v>11310</v>
      </c>
      <c r="DA313">
        <v>36</v>
      </c>
      <c r="DC313" s="24"/>
      <c r="DD313">
        <v>445</v>
      </c>
      <c r="DE313">
        <v>461</v>
      </c>
      <c r="DF313">
        <v>460</v>
      </c>
      <c r="DG313">
        <v>41612622</v>
      </c>
      <c r="DH313">
        <v>185</v>
      </c>
      <c r="DJ313" s="24"/>
      <c r="DK313">
        <v>31962001</v>
      </c>
      <c r="DL313">
        <v>32000000</v>
      </c>
      <c r="DM313">
        <v>32000000</v>
      </c>
      <c r="DN313">
        <v>388</v>
      </c>
      <c r="DO313">
        <v>85</v>
      </c>
      <c r="DQ313" s="24"/>
      <c r="DR313">
        <v>1075202</v>
      </c>
      <c r="DS313">
        <v>1150150</v>
      </c>
      <c r="DT313">
        <v>1150101</v>
      </c>
      <c r="DU313">
        <v>10850</v>
      </c>
      <c r="DV313">
        <v>234</v>
      </c>
      <c r="DX313" s="24"/>
      <c r="DY313">
        <v>20477782</v>
      </c>
      <c r="DZ313">
        <v>21298990</v>
      </c>
      <c r="EA313">
        <v>20669711</v>
      </c>
      <c r="EB313">
        <v>565</v>
      </c>
      <c r="EC313">
        <v>103</v>
      </c>
      <c r="EE313" s="24"/>
      <c r="EF313">
        <v>198</v>
      </c>
      <c r="EG313">
        <v>206</v>
      </c>
      <c r="EH313">
        <v>205</v>
      </c>
      <c r="EI313">
        <v>102016743</v>
      </c>
      <c r="EJ313">
        <v>172</v>
      </c>
      <c r="EL313" s="24"/>
      <c r="EM313">
        <v>58500</v>
      </c>
      <c r="EN313">
        <v>59000</v>
      </c>
      <c r="EO313">
        <v>58699</v>
      </c>
      <c r="EP313">
        <v>102285</v>
      </c>
      <c r="EQ313">
        <v>531</v>
      </c>
      <c r="ES313" s="24"/>
      <c r="ET313">
        <v>294</v>
      </c>
      <c r="EU313">
        <v>299</v>
      </c>
      <c r="EV313">
        <v>296</v>
      </c>
      <c r="EW313">
        <v>41491809</v>
      </c>
      <c r="EX313">
        <v>490</v>
      </c>
      <c r="EZ313" s="24"/>
      <c r="FA313">
        <v>3114105</v>
      </c>
      <c r="FB313">
        <v>3212777</v>
      </c>
      <c r="FC313">
        <v>3212777</v>
      </c>
      <c r="FD313">
        <v>1750</v>
      </c>
      <c r="FE313">
        <v>22</v>
      </c>
      <c r="FG313" s="24"/>
      <c r="FH313">
        <v>7728</v>
      </c>
      <c r="FI313">
        <v>8095</v>
      </c>
      <c r="FJ313">
        <v>7989</v>
      </c>
      <c r="FK313">
        <v>1482615</v>
      </c>
      <c r="FL313">
        <v>440</v>
      </c>
      <c r="FN313" s="24"/>
      <c r="FO313">
        <v>19029</v>
      </c>
      <c r="FP313">
        <v>20099</v>
      </c>
      <c r="FQ313">
        <v>19700</v>
      </c>
      <c r="FR313">
        <v>246382</v>
      </c>
      <c r="FS313">
        <v>94</v>
      </c>
      <c r="FU313" s="24"/>
      <c r="FV313">
        <v>14012</v>
      </c>
      <c r="FW313">
        <v>14100</v>
      </c>
      <c r="FX313">
        <v>14013</v>
      </c>
      <c r="FY313">
        <v>275499</v>
      </c>
      <c r="FZ313">
        <v>922</v>
      </c>
      <c r="GB313" s="24"/>
      <c r="GC313">
        <v>88925000</v>
      </c>
      <c r="GD313">
        <v>98634123</v>
      </c>
      <c r="GE313">
        <v>96353479</v>
      </c>
      <c r="GF313">
        <v>51</v>
      </c>
      <c r="GG313">
        <v>48</v>
      </c>
      <c r="GI313" s="24"/>
      <c r="GJ313">
        <v>17216806</v>
      </c>
      <c r="GK313">
        <v>18000000</v>
      </c>
      <c r="GL313">
        <v>17216806</v>
      </c>
      <c r="GM313">
        <v>639</v>
      </c>
      <c r="GN313">
        <v>67</v>
      </c>
      <c r="GP313" s="24"/>
      <c r="GQ313">
        <v>112</v>
      </c>
      <c r="GR313">
        <v>115</v>
      </c>
      <c r="GS313">
        <v>115</v>
      </c>
      <c r="GT313">
        <v>142123799</v>
      </c>
      <c r="GU313">
        <v>147</v>
      </c>
      <c r="GW313" s="24"/>
      <c r="GX313">
        <v>454</v>
      </c>
      <c r="GY313">
        <v>462</v>
      </c>
      <c r="GZ313">
        <v>462</v>
      </c>
      <c r="HA313">
        <v>40545045</v>
      </c>
      <c r="HB313">
        <v>202</v>
      </c>
      <c r="HD313" s="24"/>
      <c r="HE313">
        <v>5887</v>
      </c>
      <c r="HF313">
        <v>5938</v>
      </c>
      <c r="HG313">
        <v>5888</v>
      </c>
      <c r="HH313">
        <v>15331578</v>
      </c>
      <c r="HI313">
        <v>253</v>
      </c>
      <c r="HK313" s="24"/>
      <c r="HL313">
        <v>92314036</v>
      </c>
      <c r="HM313">
        <v>94991936</v>
      </c>
      <c r="HN313">
        <v>94788167</v>
      </c>
      <c r="HO313">
        <v>95</v>
      </c>
      <c r="HP313">
        <v>68</v>
      </c>
      <c r="HR313" s="24"/>
      <c r="HS313">
        <v>8235</v>
      </c>
      <c r="HT313">
        <v>8849</v>
      </c>
      <c r="HU313">
        <v>8749</v>
      </c>
      <c r="HV313">
        <v>619223</v>
      </c>
      <c r="HW313">
        <v>141</v>
      </c>
      <c r="HY313" s="24"/>
      <c r="HZ313">
        <v>7457</v>
      </c>
      <c r="IA313">
        <v>7738</v>
      </c>
      <c r="IB313">
        <v>7698</v>
      </c>
      <c r="IC313">
        <v>1633175</v>
      </c>
      <c r="ID313">
        <v>406</v>
      </c>
      <c r="IF313" s="24"/>
      <c r="IG313">
        <v>2905</v>
      </c>
      <c r="IH313">
        <v>3022</v>
      </c>
      <c r="II313">
        <v>3001</v>
      </c>
      <c r="IJ313">
        <v>2814685</v>
      </c>
      <c r="IK313">
        <v>155</v>
      </c>
      <c r="IM313" s="24"/>
      <c r="IN313">
        <v>89398065</v>
      </c>
      <c r="IO313">
        <v>91999995</v>
      </c>
      <c r="IP313">
        <v>91368707</v>
      </c>
      <c r="IQ313">
        <v>62</v>
      </c>
      <c r="IR313">
        <v>53</v>
      </c>
      <c r="IT313" s="24"/>
      <c r="IU313">
        <v>7748</v>
      </c>
      <c r="IV313">
        <v>7748</v>
      </c>
      <c r="IW313">
        <v>7748</v>
      </c>
      <c r="IX313">
        <v>1075394</v>
      </c>
      <c r="IY313">
        <v>117</v>
      </c>
      <c r="JA313" s="24"/>
      <c r="JB313">
        <v>92045049</v>
      </c>
      <c r="JC313">
        <v>93001000</v>
      </c>
      <c r="JD313">
        <v>92995998</v>
      </c>
      <c r="JE313">
        <v>110</v>
      </c>
      <c r="JF313">
        <v>72</v>
      </c>
      <c r="JH313" s="24"/>
      <c r="JI313">
        <v>90999938</v>
      </c>
      <c r="JJ313">
        <v>95879999</v>
      </c>
      <c r="JK313">
        <v>91910709</v>
      </c>
      <c r="JL313">
        <v>42</v>
      </c>
      <c r="JM313">
        <v>35</v>
      </c>
      <c r="JO313" s="24"/>
      <c r="JP313">
        <v>93</v>
      </c>
      <c r="JQ313">
        <v>96</v>
      </c>
      <c r="JR313">
        <v>94</v>
      </c>
      <c r="JS313">
        <v>194614077</v>
      </c>
      <c r="JT313">
        <v>109</v>
      </c>
      <c r="JV313" s="24"/>
      <c r="JW313">
        <v>112</v>
      </c>
      <c r="JX313">
        <v>113</v>
      </c>
      <c r="JY313">
        <v>113</v>
      </c>
      <c r="JZ313">
        <v>110789358</v>
      </c>
      <c r="KA313">
        <v>105</v>
      </c>
      <c r="KC313" s="24"/>
      <c r="KD313">
        <v>19</v>
      </c>
      <c r="KE313">
        <v>21</v>
      </c>
      <c r="KF313">
        <v>21</v>
      </c>
      <c r="KG313">
        <v>40931435</v>
      </c>
      <c r="KH313">
        <v>263</v>
      </c>
      <c r="KJ313" s="24"/>
      <c r="KK313">
        <v>105</v>
      </c>
      <c r="KL313">
        <v>107</v>
      </c>
      <c r="KM313">
        <v>107</v>
      </c>
      <c r="KN313">
        <v>137301452</v>
      </c>
      <c r="KO313">
        <v>124</v>
      </c>
      <c r="KQ313" s="24"/>
      <c r="KR313">
        <v>120001</v>
      </c>
      <c r="KS313">
        <v>121001</v>
      </c>
      <c r="KT313">
        <v>120002</v>
      </c>
      <c r="KU313">
        <v>63822</v>
      </c>
      <c r="KV313">
        <v>505</v>
      </c>
      <c r="KX313" s="24"/>
      <c r="KY313">
        <v>810</v>
      </c>
      <c r="KZ313">
        <v>811</v>
      </c>
      <c r="LA313">
        <v>811</v>
      </c>
      <c r="LB313">
        <v>5516879</v>
      </c>
      <c r="LC313">
        <v>159</v>
      </c>
      <c r="LE313" s="24"/>
      <c r="LF313">
        <v>177101</v>
      </c>
      <c r="LG313">
        <v>177500</v>
      </c>
      <c r="LH313">
        <v>177101</v>
      </c>
      <c r="LI313">
        <v>80635</v>
      </c>
      <c r="LJ313">
        <v>664</v>
      </c>
      <c r="LL313" s="24"/>
      <c r="LM313">
        <v>65000</v>
      </c>
      <c r="LN313">
        <v>68218</v>
      </c>
      <c r="LO313">
        <v>66504</v>
      </c>
      <c r="LP313">
        <v>419101</v>
      </c>
      <c r="LQ313">
        <v>957</v>
      </c>
      <c r="LS313" s="24"/>
      <c r="LT313">
        <v>460</v>
      </c>
      <c r="LU313">
        <v>462</v>
      </c>
      <c r="LV313">
        <v>461</v>
      </c>
      <c r="LW313">
        <v>90851038</v>
      </c>
      <c r="LX313">
        <v>335</v>
      </c>
      <c r="LZ313" s="24"/>
      <c r="MA313">
        <v>94102</v>
      </c>
      <c r="MB313">
        <v>97144</v>
      </c>
      <c r="MC313">
        <v>96999</v>
      </c>
      <c r="MD313">
        <v>1598141</v>
      </c>
      <c r="ME313">
        <v>137</v>
      </c>
    </row>
    <row r="314" spans="2:343" x14ac:dyDescent="0.25">
      <c r="B314" s="24"/>
      <c r="C314">
        <v>3</v>
      </c>
      <c r="D314">
        <v>3</v>
      </c>
      <c r="E314">
        <v>3</v>
      </c>
      <c r="F314">
        <v>26242436105</v>
      </c>
      <c r="G314">
        <v>2535</v>
      </c>
      <c r="I314" s="24"/>
      <c r="J314">
        <v>4</v>
      </c>
      <c r="K314">
        <v>4</v>
      </c>
      <c r="L314">
        <v>4</v>
      </c>
      <c r="M314">
        <v>6080780793</v>
      </c>
      <c r="N314">
        <v>1838</v>
      </c>
      <c r="P314" s="24"/>
      <c r="Q314">
        <v>31</v>
      </c>
      <c r="R314">
        <v>32</v>
      </c>
      <c r="S314">
        <v>31</v>
      </c>
      <c r="T314">
        <v>1901431268</v>
      </c>
      <c r="U314">
        <v>1661</v>
      </c>
      <c r="W314" s="24"/>
      <c r="X314">
        <v>62</v>
      </c>
      <c r="Y314">
        <v>63</v>
      </c>
      <c r="Z314">
        <v>63</v>
      </c>
      <c r="AA314">
        <v>417392877</v>
      </c>
      <c r="AB314">
        <v>1359</v>
      </c>
      <c r="AD314" s="24"/>
      <c r="AE314">
        <v>417</v>
      </c>
      <c r="AF314">
        <v>421</v>
      </c>
      <c r="AG314">
        <v>419</v>
      </c>
      <c r="AH314">
        <v>119428676</v>
      </c>
      <c r="AI314">
        <v>1405</v>
      </c>
      <c r="AK314" s="24"/>
      <c r="AL314">
        <v>737</v>
      </c>
      <c r="AM314">
        <v>747</v>
      </c>
      <c r="AN314">
        <v>737</v>
      </c>
      <c r="AO314">
        <v>64429254</v>
      </c>
      <c r="AP314">
        <v>1207</v>
      </c>
      <c r="AR314" s="24"/>
      <c r="AS314">
        <v>2792</v>
      </c>
      <c r="AT314">
        <v>2868</v>
      </c>
      <c r="AU314">
        <v>2813</v>
      </c>
      <c r="AV314">
        <v>17007721</v>
      </c>
      <c r="AW314">
        <v>1150</v>
      </c>
      <c r="AY314" s="24"/>
      <c r="AZ314">
        <v>405180000</v>
      </c>
      <c r="BA314">
        <v>411943999</v>
      </c>
      <c r="BB314">
        <v>409999999</v>
      </c>
      <c r="BC314">
        <v>2891</v>
      </c>
      <c r="BD314">
        <v>1918</v>
      </c>
      <c r="BF314" s="24"/>
      <c r="BG314">
        <v>24864</v>
      </c>
      <c r="BH314">
        <v>25100</v>
      </c>
      <c r="BI314">
        <v>24866</v>
      </c>
      <c r="BJ314">
        <v>3842039</v>
      </c>
      <c r="BK314">
        <v>244</v>
      </c>
      <c r="BM314" s="24"/>
      <c r="BN314">
        <v>6403104</v>
      </c>
      <c r="BO314">
        <v>6649097</v>
      </c>
      <c r="BP314">
        <v>6404129</v>
      </c>
      <c r="BQ314">
        <v>17400</v>
      </c>
      <c r="BR314">
        <v>450</v>
      </c>
      <c r="BT314" s="24"/>
      <c r="BU314">
        <v>2082</v>
      </c>
      <c r="BV314">
        <v>2084</v>
      </c>
      <c r="BW314">
        <v>2083</v>
      </c>
      <c r="BX314">
        <v>28195676</v>
      </c>
      <c r="BY314">
        <v>262</v>
      </c>
      <c r="CA314" s="24"/>
      <c r="CB314">
        <v>750</v>
      </c>
      <c r="CC314">
        <v>823</v>
      </c>
      <c r="CD314">
        <v>774</v>
      </c>
      <c r="CE314">
        <v>88893599</v>
      </c>
      <c r="CF314">
        <v>416</v>
      </c>
      <c r="CH314" s="24"/>
      <c r="CI314">
        <v>24310</v>
      </c>
      <c r="CJ314">
        <v>24879</v>
      </c>
      <c r="CK314">
        <v>24310</v>
      </c>
      <c r="CL314">
        <v>2160954</v>
      </c>
      <c r="CM314">
        <v>216</v>
      </c>
      <c r="CO314" s="24"/>
      <c r="CP314">
        <v>8301</v>
      </c>
      <c r="CQ314">
        <v>8498</v>
      </c>
      <c r="CR314">
        <v>8494</v>
      </c>
      <c r="CS314">
        <v>1526298</v>
      </c>
      <c r="CT314">
        <v>383</v>
      </c>
      <c r="CV314" s="24"/>
      <c r="CW314">
        <v>1221998</v>
      </c>
      <c r="CX314">
        <v>1221999</v>
      </c>
      <c r="CY314">
        <v>1221998</v>
      </c>
      <c r="CZ314">
        <v>13913</v>
      </c>
      <c r="DA314">
        <v>40</v>
      </c>
      <c r="DC314" s="24"/>
      <c r="DD314">
        <v>445</v>
      </c>
      <c r="DE314">
        <v>458</v>
      </c>
      <c r="DF314">
        <v>458</v>
      </c>
      <c r="DG314">
        <v>49878990</v>
      </c>
      <c r="DH314">
        <v>208</v>
      </c>
      <c r="DJ314" s="24"/>
      <c r="DK314">
        <v>32500000</v>
      </c>
      <c r="DL314">
        <v>32500012</v>
      </c>
      <c r="DM314">
        <v>32500001</v>
      </c>
      <c r="DN314">
        <v>314</v>
      </c>
      <c r="DO314">
        <v>71</v>
      </c>
      <c r="DQ314" s="24"/>
      <c r="DR314">
        <v>1155101</v>
      </c>
      <c r="DS314">
        <v>1291798</v>
      </c>
      <c r="DT314">
        <v>1200000</v>
      </c>
      <c r="DU314">
        <v>9868</v>
      </c>
      <c r="DV314">
        <v>279</v>
      </c>
      <c r="DX314" s="24"/>
      <c r="DY314">
        <v>21000008</v>
      </c>
      <c r="DZ314">
        <v>21999959</v>
      </c>
      <c r="EA314">
        <v>21000009</v>
      </c>
      <c r="EB314">
        <v>478</v>
      </c>
      <c r="EC314">
        <v>123</v>
      </c>
      <c r="EE314" s="24"/>
      <c r="EF314">
        <v>198</v>
      </c>
      <c r="EG314">
        <v>202</v>
      </c>
      <c r="EH314">
        <v>198</v>
      </c>
      <c r="EI314">
        <v>158842113</v>
      </c>
      <c r="EJ314">
        <v>231</v>
      </c>
      <c r="EL314" s="24"/>
      <c r="EM314">
        <v>54121</v>
      </c>
      <c r="EN314">
        <v>56502</v>
      </c>
      <c r="EO314">
        <v>56502</v>
      </c>
      <c r="EP314">
        <v>115641</v>
      </c>
      <c r="EQ314">
        <v>711</v>
      </c>
      <c r="ES314" s="24"/>
      <c r="ET314">
        <v>300</v>
      </c>
      <c r="EU314">
        <v>300</v>
      </c>
      <c r="EV314">
        <v>300</v>
      </c>
      <c r="EW314">
        <v>44050214</v>
      </c>
      <c r="EX314">
        <v>621</v>
      </c>
      <c r="EZ314" s="24"/>
      <c r="FA314">
        <v>3214103</v>
      </c>
      <c r="FB314">
        <v>3214103</v>
      </c>
      <c r="FC314">
        <v>3214103</v>
      </c>
      <c r="FD314">
        <v>1480</v>
      </c>
      <c r="FE314">
        <v>21</v>
      </c>
      <c r="FG314" s="24"/>
      <c r="FH314">
        <v>7734</v>
      </c>
      <c r="FI314">
        <v>7999</v>
      </c>
      <c r="FJ314">
        <v>7895</v>
      </c>
      <c r="FK314">
        <v>1948735</v>
      </c>
      <c r="FL314">
        <v>447</v>
      </c>
      <c r="FN314" s="24"/>
      <c r="FO314">
        <v>19850</v>
      </c>
      <c r="FP314">
        <v>20095</v>
      </c>
      <c r="FQ314">
        <v>20004</v>
      </c>
      <c r="FR314">
        <v>321026</v>
      </c>
      <c r="FS314">
        <v>107</v>
      </c>
      <c r="FU314" s="24"/>
      <c r="FV314">
        <v>14100</v>
      </c>
      <c r="FW314">
        <v>14140</v>
      </c>
      <c r="FX314">
        <v>14101</v>
      </c>
      <c r="FY314">
        <v>466153</v>
      </c>
      <c r="FZ314">
        <v>1214</v>
      </c>
      <c r="GB314" s="24"/>
      <c r="GC314">
        <v>95634123</v>
      </c>
      <c r="GD314">
        <v>97799999</v>
      </c>
      <c r="GE314">
        <v>96533705</v>
      </c>
      <c r="GF314">
        <v>80</v>
      </c>
      <c r="GG314">
        <v>57</v>
      </c>
      <c r="GI314" s="24"/>
      <c r="GJ314">
        <v>17219789</v>
      </c>
      <c r="GK314">
        <v>17220800</v>
      </c>
      <c r="GL314">
        <v>17220789</v>
      </c>
      <c r="GM314">
        <v>731</v>
      </c>
      <c r="GN314">
        <v>120</v>
      </c>
      <c r="GP314" s="24"/>
      <c r="GQ314">
        <v>109</v>
      </c>
      <c r="GR314">
        <v>112</v>
      </c>
      <c r="GS314">
        <v>109</v>
      </c>
      <c r="GT314">
        <v>215851226</v>
      </c>
      <c r="GU314">
        <v>202</v>
      </c>
      <c r="GW314" s="24"/>
      <c r="GX314">
        <v>445</v>
      </c>
      <c r="GY314">
        <v>460</v>
      </c>
      <c r="GZ314">
        <v>458</v>
      </c>
      <c r="HA314">
        <v>57782595</v>
      </c>
      <c r="HB314">
        <v>239</v>
      </c>
      <c r="HD314" s="24"/>
      <c r="HE314">
        <v>5689</v>
      </c>
      <c r="HF314">
        <v>5925</v>
      </c>
      <c r="HG314">
        <v>5743</v>
      </c>
      <c r="HH314">
        <v>30970928</v>
      </c>
      <c r="HI314">
        <v>403</v>
      </c>
      <c r="HK314" s="24"/>
      <c r="HL314">
        <v>92327222</v>
      </c>
      <c r="HM314">
        <v>99999983</v>
      </c>
      <c r="HN314">
        <v>92327229</v>
      </c>
      <c r="HO314">
        <v>178</v>
      </c>
      <c r="HP314">
        <v>85</v>
      </c>
      <c r="HR314" s="24"/>
      <c r="HS314">
        <v>8309</v>
      </c>
      <c r="HT314">
        <v>8799</v>
      </c>
      <c r="HU314">
        <v>8600</v>
      </c>
      <c r="HV314">
        <v>1121031</v>
      </c>
      <c r="HW314">
        <v>195</v>
      </c>
      <c r="HY314" s="24"/>
      <c r="HZ314">
        <v>7454</v>
      </c>
      <c r="IA314">
        <v>7743</v>
      </c>
      <c r="IB314">
        <v>7698</v>
      </c>
      <c r="IC314">
        <v>2306200</v>
      </c>
      <c r="ID314">
        <v>525</v>
      </c>
      <c r="IF314" s="24"/>
      <c r="IG314">
        <v>2859</v>
      </c>
      <c r="IH314">
        <v>2997</v>
      </c>
      <c r="II314">
        <v>2975</v>
      </c>
      <c r="IJ314">
        <v>1926609</v>
      </c>
      <c r="IK314">
        <v>167</v>
      </c>
      <c r="IM314" s="24"/>
      <c r="IN314">
        <v>89398072</v>
      </c>
      <c r="IO314">
        <v>93992991</v>
      </c>
      <c r="IP314">
        <v>90810048</v>
      </c>
      <c r="IQ314">
        <v>86</v>
      </c>
      <c r="IR314">
        <v>69</v>
      </c>
      <c r="IT314" s="24"/>
      <c r="IU314">
        <v>7748</v>
      </c>
      <c r="IV314">
        <v>7748</v>
      </c>
      <c r="IW314">
        <v>7748</v>
      </c>
      <c r="IX314">
        <v>1226693</v>
      </c>
      <c r="IY314">
        <v>154</v>
      </c>
      <c r="JA314" s="24"/>
      <c r="JB314">
        <v>90000001</v>
      </c>
      <c r="JC314">
        <v>97000003</v>
      </c>
      <c r="JD314">
        <v>97000003</v>
      </c>
      <c r="JE314">
        <v>162</v>
      </c>
      <c r="JF314">
        <v>88</v>
      </c>
      <c r="JH314" s="24"/>
      <c r="JI314">
        <v>92000004</v>
      </c>
      <c r="JJ314">
        <v>95879992</v>
      </c>
      <c r="JK314">
        <v>94062171</v>
      </c>
      <c r="JL314">
        <v>58</v>
      </c>
      <c r="JM314">
        <v>41</v>
      </c>
      <c r="JO314" s="24"/>
      <c r="JP314">
        <v>93</v>
      </c>
      <c r="JQ314">
        <v>94</v>
      </c>
      <c r="JR314">
        <v>94</v>
      </c>
      <c r="JS314">
        <v>160717303</v>
      </c>
      <c r="JT314">
        <v>122</v>
      </c>
      <c r="JV314" s="24"/>
      <c r="JW314">
        <v>108</v>
      </c>
      <c r="JX314">
        <v>112</v>
      </c>
      <c r="JY314">
        <v>109</v>
      </c>
      <c r="JZ314">
        <v>137838898</v>
      </c>
      <c r="KA314">
        <v>147</v>
      </c>
      <c r="KC314" s="24"/>
      <c r="KD314">
        <v>21</v>
      </c>
      <c r="KE314">
        <v>21</v>
      </c>
      <c r="KF314">
        <v>21</v>
      </c>
      <c r="KG314">
        <v>43264557</v>
      </c>
      <c r="KH314">
        <v>358</v>
      </c>
      <c r="KJ314" s="24"/>
      <c r="KK314">
        <v>106</v>
      </c>
      <c r="KL314">
        <v>108</v>
      </c>
      <c r="KM314">
        <v>107</v>
      </c>
      <c r="KN314">
        <v>161506105</v>
      </c>
      <c r="KO314">
        <v>141</v>
      </c>
      <c r="KQ314" s="24"/>
      <c r="KR314">
        <v>120004</v>
      </c>
      <c r="KS314">
        <v>124695</v>
      </c>
      <c r="KT314">
        <v>120006</v>
      </c>
      <c r="KU314">
        <v>65059</v>
      </c>
      <c r="KV314">
        <v>693</v>
      </c>
      <c r="KX314" s="24"/>
      <c r="KY314">
        <v>794</v>
      </c>
      <c r="KZ314">
        <v>811</v>
      </c>
      <c r="LA314">
        <v>811</v>
      </c>
      <c r="LB314">
        <v>11840326</v>
      </c>
      <c r="LC314">
        <v>228</v>
      </c>
      <c r="LE314" s="24"/>
      <c r="LF314">
        <v>177101</v>
      </c>
      <c r="LG314">
        <v>178100</v>
      </c>
      <c r="LH314">
        <v>177102</v>
      </c>
      <c r="LI314">
        <v>153399</v>
      </c>
      <c r="LJ314">
        <v>954</v>
      </c>
      <c r="LL314" s="24"/>
      <c r="LM314">
        <v>66519</v>
      </c>
      <c r="LN314">
        <v>67001</v>
      </c>
      <c r="LO314">
        <v>67000</v>
      </c>
      <c r="LP314">
        <v>484430</v>
      </c>
      <c r="LQ314">
        <v>1267</v>
      </c>
      <c r="LS314" s="24"/>
      <c r="LT314">
        <v>461</v>
      </c>
      <c r="LU314">
        <v>462</v>
      </c>
      <c r="LV314">
        <v>462</v>
      </c>
      <c r="LW314">
        <v>131339947</v>
      </c>
      <c r="LX314">
        <v>410</v>
      </c>
      <c r="LZ314" s="24"/>
      <c r="MA314">
        <v>93500</v>
      </c>
      <c r="MB314">
        <v>97170</v>
      </c>
      <c r="MC314">
        <v>93701</v>
      </c>
      <c r="MD314">
        <v>1219659</v>
      </c>
      <c r="ME314">
        <v>138</v>
      </c>
    </row>
    <row r="315" spans="2:343" x14ac:dyDescent="0.25">
      <c r="B315" s="24"/>
      <c r="C315">
        <v>3</v>
      </c>
      <c r="D315">
        <v>3</v>
      </c>
      <c r="E315">
        <v>3</v>
      </c>
      <c r="F315">
        <v>24785528194</v>
      </c>
      <c r="G315">
        <v>2119</v>
      </c>
      <c r="I315" s="24"/>
      <c r="J315">
        <v>4</v>
      </c>
      <c r="K315">
        <v>4</v>
      </c>
      <c r="L315">
        <v>4</v>
      </c>
      <c r="M315">
        <v>6380304559</v>
      </c>
      <c r="N315">
        <v>1553</v>
      </c>
      <c r="P315" s="24"/>
      <c r="Q315">
        <v>31</v>
      </c>
      <c r="R315">
        <v>32</v>
      </c>
      <c r="S315">
        <v>32</v>
      </c>
      <c r="T315">
        <v>1549109730</v>
      </c>
      <c r="U315">
        <v>1396</v>
      </c>
      <c r="W315" s="24"/>
      <c r="X315">
        <v>61</v>
      </c>
      <c r="Y315">
        <v>62</v>
      </c>
      <c r="Z315">
        <v>62</v>
      </c>
      <c r="AA315">
        <v>330325003</v>
      </c>
      <c r="AB315">
        <v>1092</v>
      </c>
      <c r="AD315" s="24"/>
      <c r="AE315">
        <v>417</v>
      </c>
      <c r="AF315">
        <v>419</v>
      </c>
      <c r="AG315">
        <v>419</v>
      </c>
      <c r="AH315">
        <v>96970291</v>
      </c>
      <c r="AI315">
        <v>1194</v>
      </c>
      <c r="AK315" s="24"/>
      <c r="AL315">
        <v>738</v>
      </c>
      <c r="AM315">
        <v>746</v>
      </c>
      <c r="AN315">
        <v>742</v>
      </c>
      <c r="AO315">
        <v>38944258</v>
      </c>
      <c r="AP315">
        <v>940</v>
      </c>
      <c r="AR315" s="24"/>
      <c r="AS315">
        <v>2762</v>
      </c>
      <c r="AT315">
        <v>2864</v>
      </c>
      <c r="AU315">
        <v>2821</v>
      </c>
      <c r="AV315">
        <v>10876874</v>
      </c>
      <c r="AW315">
        <v>978</v>
      </c>
      <c r="AY315" s="24"/>
      <c r="AZ315">
        <v>407700000</v>
      </c>
      <c r="BA315">
        <v>415000000</v>
      </c>
      <c r="BB315">
        <v>411000000</v>
      </c>
      <c r="BC315">
        <v>2611</v>
      </c>
      <c r="BD315">
        <v>1693</v>
      </c>
      <c r="BF315" s="24"/>
      <c r="BG315">
        <v>24866</v>
      </c>
      <c r="BH315">
        <v>24916</v>
      </c>
      <c r="BI315">
        <v>24870</v>
      </c>
      <c r="BJ315">
        <v>5371176</v>
      </c>
      <c r="BK315">
        <v>270</v>
      </c>
      <c r="BM315" s="24"/>
      <c r="BN315">
        <v>6304294</v>
      </c>
      <c r="BO315">
        <v>6500000</v>
      </c>
      <c r="BP315">
        <v>6450000</v>
      </c>
      <c r="BQ315">
        <v>9723</v>
      </c>
      <c r="BR315">
        <v>287</v>
      </c>
      <c r="BT315" s="24"/>
      <c r="BU315">
        <v>2083</v>
      </c>
      <c r="BV315">
        <v>2083</v>
      </c>
      <c r="BW315">
        <v>2083</v>
      </c>
      <c r="BX315">
        <v>26226659</v>
      </c>
      <c r="BY315">
        <v>206</v>
      </c>
      <c r="CA315" s="24"/>
      <c r="CB315">
        <v>783</v>
      </c>
      <c r="CC315">
        <v>799</v>
      </c>
      <c r="CD315">
        <v>793</v>
      </c>
      <c r="CE315">
        <v>56921787</v>
      </c>
      <c r="CF315">
        <v>361</v>
      </c>
      <c r="CH315" s="24"/>
      <c r="CI315">
        <v>24551</v>
      </c>
      <c r="CJ315">
        <v>24555</v>
      </c>
      <c r="CK315">
        <v>24555</v>
      </c>
      <c r="CL315">
        <v>1339629</v>
      </c>
      <c r="CM315">
        <v>162</v>
      </c>
      <c r="CO315" s="24"/>
      <c r="CP315">
        <v>8100</v>
      </c>
      <c r="CQ315">
        <v>8369</v>
      </c>
      <c r="CR315">
        <v>8358</v>
      </c>
      <c r="CS315">
        <v>1112144</v>
      </c>
      <c r="CT315">
        <v>353</v>
      </c>
      <c r="CV315" s="24"/>
      <c r="CW315">
        <v>1188009</v>
      </c>
      <c r="CX315">
        <v>1221997</v>
      </c>
      <c r="CY315">
        <v>1221996</v>
      </c>
      <c r="CZ315">
        <v>16591</v>
      </c>
      <c r="DA315">
        <v>47</v>
      </c>
      <c r="DC315" s="24"/>
      <c r="DD315">
        <v>457</v>
      </c>
      <c r="DE315">
        <v>457</v>
      </c>
      <c r="DF315">
        <v>457</v>
      </c>
      <c r="DG315">
        <v>30079764</v>
      </c>
      <c r="DH315">
        <v>161</v>
      </c>
      <c r="DJ315" s="24"/>
      <c r="DK315">
        <v>32500017</v>
      </c>
      <c r="DL315">
        <v>33499998</v>
      </c>
      <c r="DM315">
        <v>32505005</v>
      </c>
      <c r="DN315">
        <v>284</v>
      </c>
      <c r="DO315">
        <v>82</v>
      </c>
      <c r="DQ315" s="24"/>
      <c r="DR315">
        <v>1000000</v>
      </c>
      <c r="DS315">
        <v>1185014</v>
      </c>
      <c r="DT315">
        <v>1185002</v>
      </c>
      <c r="DU315">
        <v>12487</v>
      </c>
      <c r="DV315">
        <v>282</v>
      </c>
      <c r="DX315" s="24"/>
      <c r="DY315">
        <v>21000912</v>
      </c>
      <c r="DZ315">
        <v>21001900</v>
      </c>
      <c r="EA315">
        <v>21000912</v>
      </c>
      <c r="EB315">
        <v>582</v>
      </c>
      <c r="EC315">
        <v>109</v>
      </c>
      <c r="EE315" s="24"/>
      <c r="EF315">
        <v>193</v>
      </c>
      <c r="EG315">
        <v>201</v>
      </c>
      <c r="EH315">
        <v>194</v>
      </c>
      <c r="EI315">
        <v>111903164</v>
      </c>
      <c r="EJ315">
        <v>164</v>
      </c>
      <c r="EL315" s="24"/>
      <c r="EM315">
        <v>54412</v>
      </c>
      <c r="EN315">
        <v>56110</v>
      </c>
      <c r="EO315">
        <v>54430</v>
      </c>
      <c r="EP315">
        <v>85982</v>
      </c>
      <c r="EQ315">
        <v>568</v>
      </c>
      <c r="ES315" s="24"/>
      <c r="ET315">
        <v>298</v>
      </c>
      <c r="EU315">
        <v>311</v>
      </c>
      <c r="EV315">
        <v>300</v>
      </c>
      <c r="EW315">
        <v>79554044</v>
      </c>
      <c r="EX315">
        <v>542</v>
      </c>
      <c r="EZ315" s="24"/>
      <c r="FA315">
        <v>3212110</v>
      </c>
      <c r="FB315">
        <v>3212110</v>
      </c>
      <c r="FC315">
        <v>3212110</v>
      </c>
      <c r="FD315">
        <v>1667</v>
      </c>
      <c r="FE315">
        <v>23</v>
      </c>
      <c r="FG315" s="24"/>
      <c r="FH315">
        <v>7501</v>
      </c>
      <c r="FI315">
        <v>7895</v>
      </c>
      <c r="FJ315">
        <v>7718</v>
      </c>
      <c r="FK315">
        <v>1805240</v>
      </c>
      <c r="FL315">
        <v>487</v>
      </c>
      <c r="FN315" s="24"/>
      <c r="FO315">
        <v>18088</v>
      </c>
      <c r="FP315">
        <v>19010</v>
      </c>
      <c r="FQ315">
        <v>18103</v>
      </c>
      <c r="FR315">
        <v>408474</v>
      </c>
      <c r="FS315">
        <v>91</v>
      </c>
      <c r="FU315" s="24"/>
      <c r="FV315">
        <v>14300</v>
      </c>
      <c r="FW315">
        <v>14600</v>
      </c>
      <c r="FX315">
        <v>14301</v>
      </c>
      <c r="FY315">
        <v>419715</v>
      </c>
      <c r="FZ315">
        <v>1023</v>
      </c>
      <c r="GB315" s="24"/>
      <c r="GC315">
        <v>90000000</v>
      </c>
      <c r="GD315">
        <v>92050004</v>
      </c>
      <c r="GE315">
        <v>90002010</v>
      </c>
      <c r="GF315">
        <v>164</v>
      </c>
      <c r="GG315">
        <v>82</v>
      </c>
      <c r="GI315" s="24"/>
      <c r="GJ315">
        <v>17220808</v>
      </c>
      <c r="GK315">
        <v>18000000</v>
      </c>
      <c r="GL315">
        <v>17222222</v>
      </c>
      <c r="GM315">
        <v>481</v>
      </c>
      <c r="GN315">
        <v>80</v>
      </c>
      <c r="GP315" s="24"/>
      <c r="GQ315">
        <v>108</v>
      </c>
      <c r="GR315">
        <v>112</v>
      </c>
      <c r="GS315">
        <v>108</v>
      </c>
      <c r="GT315">
        <v>166810892</v>
      </c>
      <c r="GU315">
        <v>133</v>
      </c>
      <c r="GW315" s="24"/>
      <c r="GX315">
        <v>464</v>
      </c>
      <c r="GY315">
        <v>469</v>
      </c>
      <c r="GZ315">
        <v>468</v>
      </c>
      <c r="HA315">
        <v>58846421</v>
      </c>
      <c r="HB315">
        <v>202</v>
      </c>
      <c r="HD315" s="24"/>
      <c r="HE315">
        <v>5650</v>
      </c>
      <c r="HF315">
        <v>5914</v>
      </c>
      <c r="HG315">
        <v>5904</v>
      </c>
      <c r="HH315">
        <v>11394481</v>
      </c>
      <c r="HI315">
        <v>208</v>
      </c>
      <c r="HK315" s="24"/>
      <c r="HL315">
        <v>92100000</v>
      </c>
      <c r="HM315">
        <v>92334035</v>
      </c>
      <c r="HN315">
        <v>92327211</v>
      </c>
      <c r="HO315">
        <v>265</v>
      </c>
      <c r="HP315">
        <v>115</v>
      </c>
      <c r="HR315" s="24"/>
      <c r="HS315">
        <v>8461</v>
      </c>
      <c r="HT315">
        <v>8887</v>
      </c>
      <c r="HU315">
        <v>8785</v>
      </c>
      <c r="HV315">
        <v>718857</v>
      </c>
      <c r="HW315">
        <v>166</v>
      </c>
      <c r="HY315" s="24"/>
      <c r="HZ315">
        <v>7506</v>
      </c>
      <c r="IA315">
        <v>7873</v>
      </c>
      <c r="IB315">
        <v>7799</v>
      </c>
      <c r="IC315">
        <v>1889212</v>
      </c>
      <c r="ID315">
        <v>425</v>
      </c>
      <c r="IF315" s="24"/>
      <c r="IG315">
        <v>2860</v>
      </c>
      <c r="IH315">
        <v>2954</v>
      </c>
      <c r="II315">
        <v>2877</v>
      </c>
      <c r="IJ315">
        <v>2276723</v>
      </c>
      <c r="IK315">
        <v>137</v>
      </c>
      <c r="IM315" s="24"/>
      <c r="IN315">
        <v>89208001</v>
      </c>
      <c r="IO315">
        <v>89998986</v>
      </c>
      <c r="IP315">
        <v>89212023</v>
      </c>
      <c r="IQ315">
        <v>166</v>
      </c>
      <c r="IR315">
        <v>89</v>
      </c>
      <c r="IT315" s="24"/>
      <c r="IU315">
        <v>7745</v>
      </c>
      <c r="IV315">
        <v>7748</v>
      </c>
      <c r="IW315">
        <v>7746</v>
      </c>
      <c r="IX315">
        <v>1023920</v>
      </c>
      <c r="IY315">
        <v>128</v>
      </c>
      <c r="JA315" s="24"/>
      <c r="JB315">
        <v>87996000</v>
      </c>
      <c r="JC315">
        <v>90009008</v>
      </c>
      <c r="JD315">
        <v>88981986</v>
      </c>
      <c r="JE315">
        <v>199</v>
      </c>
      <c r="JF315">
        <v>112</v>
      </c>
      <c r="JH315" s="24"/>
      <c r="JI315">
        <v>89401020</v>
      </c>
      <c r="JJ315">
        <v>95878999</v>
      </c>
      <c r="JK315">
        <v>92201880</v>
      </c>
      <c r="JL315">
        <v>64</v>
      </c>
      <c r="JM315">
        <v>46</v>
      </c>
      <c r="JO315" s="24"/>
      <c r="JP315">
        <v>90</v>
      </c>
      <c r="JQ315">
        <v>91</v>
      </c>
      <c r="JR315">
        <v>91</v>
      </c>
      <c r="JS315">
        <v>136108751</v>
      </c>
      <c r="JT315">
        <v>84</v>
      </c>
      <c r="JV315" s="24"/>
      <c r="JW315">
        <v>105</v>
      </c>
      <c r="JX315">
        <v>108</v>
      </c>
      <c r="JY315">
        <v>107</v>
      </c>
      <c r="JZ315">
        <v>124655365</v>
      </c>
      <c r="KA315">
        <v>108</v>
      </c>
      <c r="KC315" s="24"/>
      <c r="KD315">
        <v>19</v>
      </c>
      <c r="KE315">
        <v>21</v>
      </c>
      <c r="KF315">
        <v>19</v>
      </c>
      <c r="KG315">
        <v>54039209</v>
      </c>
      <c r="KH315">
        <v>296</v>
      </c>
      <c r="KJ315" s="24"/>
      <c r="KK315">
        <v>113</v>
      </c>
      <c r="KL315">
        <v>119</v>
      </c>
      <c r="KM315">
        <v>115</v>
      </c>
      <c r="KN315">
        <v>104927786</v>
      </c>
      <c r="KO315">
        <v>95</v>
      </c>
      <c r="KQ315" s="24"/>
      <c r="KR315">
        <v>120008</v>
      </c>
      <c r="KS315">
        <v>120011</v>
      </c>
      <c r="KT315">
        <v>120010</v>
      </c>
      <c r="KU315">
        <v>88472</v>
      </c>
      <c r="KV315">
        <v>560</v>
      </c>
      <c r="KX315" s="24"/>
      <c r="KY315">
        <v>810</v>
      </c>
      <c r="KZ315">
        <v>811</v>
      </c>
      <c r="LA315">
        <v>810</v>
      </c>
      <c r="LB315">
        <v>2245073</v>
      </c>
      <c r="LC315">
        <v>119</v>
      </c>
      <c r="LE315" s="24"/>
      <c r="LF315">
        <v>177101</v>
      </c>
      <c r="LG315">
        <v>177123</v>
      </c>
      <c r="LH315">
        <v>177101</v>
      </c>
      <c r="LI315">
        <v>163575</v>
      </c>
      <c r="LJ315">
        <v>781</v>
      </c>
      <c r="LL315" s="24"/>
      <c r="LM315">
        <v>66521</v>
      </c>
      <c r="LN315">
        <v>66551</v>
      </c>
      <c r="LO315">
        <v>66523</v>
      </c>
      <c r="LP315">
        <v>428909</v>
      </c>
      <c r="LQ315">
        <v>1067</v>
      </c>
      <c r="LS315" s="24"/>
      <c r="LT315">
        <v>460</v>
      </c>
      <c r="LU315">
        <v>465</v>
      </c>
      <c r="LV315">
        <v>462</v>
      </c>
      <c r="LW315">
        <v>208660813</v>
      </c>
      <c r="LX315">
        <v>406</v>
      </c>
      <c r="LZ315" s="24"/>
      <c r="MA315">
        <v>95000</v>
      </c>
      <c r="MB315">
        <v>97157</v>
      </c>
      <c r="MC315">
        <v>95999</v>
      </c>
      <c r="MD315">
        <v>805971</v>
      </c>
      <c r="ME315">
        <v>93</v>
      </c>
    </row>
    <row r="316" spans="2:343" x14ac:dyDescent="0.25">
      <c r="B316" s="24"/>
      <c r="C316">
        <v>3</v>
      </c>
      <c r="D316">
        <v>3</v>
      </c>
      <c r="E316">
        <v>3</v>
      </c>
      <c r="F316">
        <v>29822418564</v>
      </c>
      <c r="G316">
        <v>2016</v>
      </c>
      <c r="I316" s="24"/>
      <c r="J316">
        <v>4</v>
      </c>
      <c r="K316">
        <v>4</v>
      </c>
      <c r="L316">
        <v>4</v>
      </c>
      <c r="M316">
        <v>6202788571</v>
      </c>
      <c r="N316">
        <v>1439</v>
      </c>
      <c r="P316" s="24"/>
      <c r="Q316">
        <v>32</v>
      </c>
      <c r="R316">
        <v>32</v>
      </c>
      <c r="S316">
        <v>32</v>
      </c>
      <c r="T316">
        <v>1534661240</v>
      </c>
      <c r="U316">
        <v>1312</v>
      </c>
      <c r="W316" s="24"/>
      <c r="X316">
        <v>62</v>
      </c>
      <c r="Y316">
        <v>62</v>
      </c>
      <c r="Z316">
        <v>62</v>
      </c>
      <c r="AA316">
        <v>305227106</v>
      </c>
      <c r="AB316">
        <v>1036</v>
      </c>
      <c r="AD316" s="24"/>
      <c r="AE316">
        <v>412</v>
      </c>
      <c r="AF316">
        <v>419</v>
      </c>
      <c r="AG316">
        <v>417</v>
      </c>
      <c r="AH316">
        <v>78612410</v>
      </c>
      <c r="AI316">
        <v>1094</v>
      </c>
      <c r="AK316" s="24"/>
      <c r="AL316">
        <v>741</v>
      </c>
      <c r="AM316">
        <v>746</v>
      </c>
      <c r="AN316">
        <v>745</v>
      </c>
      <c r="AO316">
        <v>42605897</v>
      </c>
      <c r="AP316">
        <v>967</v>
      </c>
      <c r="AR316" s="24"/>
      <c r="AS316">
        <v>2775</v>
      </c>
      <c r="AT316">
        <v>2859</v>
      </c>
      <c r="AU316">
        <v>2800</v>
      </c>
      <c r="AV316">
        <v>12045464</v>
      </c>
      <c r="AW316">
        <v>934</v>
      </c>
      <c r="AY316" s="24"/>
      <c r="AZ316">
        <v>408350350</v>
      </c>
      <c r="BA316">
        <v>415999923</v>
      </c>
      <c r="BB316">
        <v>415000006</v>
      </c>
      <c r="BC316">
        <v>2399</v>
      </c>
      <c r="BD316">
        <v>1610</v>
      </c>
      <c r="BF316" s="24"/>
      <c r="BG316">
        <v>24480</v>
      </c>
      <c r="BH316">
        <v>24874</v>
      </c>
      <c r="BI316">
        <v>24873</v>
      </c>
      <c r="BJ316">
        <v>6333049</v>
      </c>
      <c r="BK316">
        <v>252</v>
      </c>
      <c r="BM316" s="24"/>
      <c r="BN316">
        <v>6500001</v>
      </c>
      <c r="BO316">
        <v>6750000</v>
      </c>
      <c r="BP316">
        <v>6649999</v>
      </c>
      <c r="BQ316">
        <v>14224</v>
      </c>
      <c r="BR316">
        <v>357</v>
      </c>
      <c r="BT316" s="24"/>
      <c r="BU316">
        <v>2084</v>
      </c>
      <c r="BV316">
        <v>2195</v>
      </c>
      <c r="BW316">
        <v>2085</v>
      </c>
      <c r="BX316">
        <v>48797734</v>
      </c>
      <c r="BY316">
        <v>287</v>
      </c>
      <c r="CA316" s="24"/>
      <c r="CB316">
        <v>815</v>
      </c>
      <c r="CC316">
        <v>850</v>
      </c>
      <c r="CD316">
        <v>824</v>
      </c>
      <c r="CE316">
        <v>58009738</v>
      </c>
      <c r="CF316">
        <v>307</v>
      </c>
      <c r="CH316" s="24"/>
      <c r="CI316">
        <v>24556</v>
      </c>
      <c r="CJ316">
        <v>24757</v>
      </c>
      <c r="CK316">
        <v>24557</v>
      </c>
      <c r="CL316">
        <v>1757506</v>
      </c>
      <c r="CM316">
        <v>154</v>
      </c>
      <c r="CO316" s="24"/>
      <c r="CP316">
        <v>8017</v>
      </c>
      <c r="CQ316">
        <v>8368</v>
      </c>
      <c r="CR316">
        <v>8199</v>
      </c>
      <c r="CS316">
        <v>1065179</v>
      </c>
      <c r="CT316">
        <v>341</v>
      </c>
      <c r="CV316" s="24"/>
      <c r="CW316">
        <v>1188010</v>
      </c>
      <c r="CX316">
        <v>1221997</v>
      </c>
      <c r="CY316">
        <v>1221500</v>
      </c>
      <c r="CZ316">
        <v>11520</v>
      </c>
      <c r="DA316">
        <v>42</v>
      </c>
      <c r="DC316" s="24"/>
      <c r="DD316">
        <v>457</v>
      </c>
      <c r="DE316">
        <v>461</v>
      </c>
      <c r="DF316">
        <v>459</v>
      </c>
      <c r="DG316">
        <v>32187406</v>
      </c>
      <c r="DH316">
        <v>157</v>
      </c>
      <c r="DJ316" s="24"/>
      <c r="DK316">
        <v>32500042</v>
      </c>
      <c r="DL316">
        <v>33699999</v>
      </c>
      <c r="DM316">
        <v>33498999</v>
      </c>
      <c r="DN316">
        <v>280</v>
      </c>
      <c r="DO316">
        <v>53</v>
      </c>
      <c r="DQ316" s="24"/>
      <c r="DR316">
        <v>1026000</v>
      </c>
      <c r="DS316">
        <v>1050000</v>
      </c>
      <c r="DT316">
        <v>1026000</v>
      </c>
      <c r="DU316">
        <v>7058</v>
      </c>
      <c r="DV316">
        <v>206</v>
      </c>
      <c r="DX316" s="24"/>
      <c r="DY316">
        <v>20650015</v>
      </c>
      <c r="DZ316">
        <v>21674899</v>
      </c>
      <c r="EA316">
        <v>20750000</v>
      </c>
      <c r="EB316">
        <v>523</v>
      </c>
      <c r="EC316">
        <v>96</v>
      </c>
      <c r="EE316" s="24"/>
      <c r="EF316">
        <v>200</v>
      </c>
      <c r="EG316">
        <v>201</v>
      </c>
      <c r="EH316">
        <v>201</v>
      </c>
      <c r="EI316">
        <v>58352772</v>
      </c>
      <c r="EJ316">
        <v>139</v>
      </c>
      <c r="EL316" s="24"/>
      <c r="EM316">
        <v>55105</v>
      </c>
      <c r="EN316">
        <v>57700</v>
      </c>
      <c r="EO316">
        <v>55226</v>
      </c>
      <c r="EP316">
        <v>50085</v>
      </c>
      <c r="EQ316">
        <v>513</v>
      </c>
      <c r="ES316" s="24"/>
      <c r="ET316">
        <v>297</v>
      </c>
      <c r="EU316">
        <v>308</v>
      </c>
      <c r="EV316">
        <v>306</v>
      </c>
      <c r="EW316">
        <v>32198427</v>
      </c>
      <c r="EX316">
        <v>531</v>
      </c>
      <c r="EZ316" s="24"/>
      <c r="FA316">
        <v>3045130</v>
      </c>
      <c r="FB316">
        <v>3212108</v>
      </c>
      <c r="FC316">
        <v>3212108</v>
      </c>
      <c r="FD316">
        <v>1142</v>
      </c>
      <c r="FE316">
        <v>10</v>
      </c>
      <c r="FG316" s="24"/>
      <c r="FH316">
        <v>7700</v>
      </c>
      <c r="FI316">
        <v>8119</v>
      </c>
      <c r="FJ316">
        <v>7996</v>
      </c>
      <c r="FK316">
        <v>1728535</v>
      </c>
      <c r="FL316">
        <v>412</v>
      </c>
      <c r="FN316" s="24"/>
      <c r="FO316">
        <v>18050</v>
      </c>
      <c r="FP316">
        <v>19950</v>
      </c>
      <c r="FQ316">
        <v>18055</v>
      </c>
      <c r="FR316">
        <v>159076</v>
      </c>
      <c r="FS316">
        <v>56</v>
      </c>
      <c r="FU316" s="24"/>
      <c r="FV316">
        <v>14500</v>
      </c>
      <c r="FW316">
        <v>14985</v>
      </c>
      <c r="FX316">
        <v>14501</v>
      </c>
      <c r="FY316">
        <v>331463</v>
      </c>
      <c r="FZ316">
        <v>950</v>
      </c>
      <c r="GB316" s="24"/>
      <c r="GC316">
        <v>86893002</v>
      </c>
      <c r="GD316">
        <v>89999999</v>
      </c>
      <c r="GE316">
        <v>89475000</v>
      </c>
      <c r="GF316">
        <v>156</v>
      </c>
      <c r="GG316">
        <v>93</v>
      </c>
      <c r="GI316" s="24"/>
      <c r="GJ316">
        <v>17222300</v>
      </c>
      <c r="GK316">
        <v>18099998</v>
      </c>
      <c r="GL316">
        <v>17222301</v>
      </c>
      <c r="GM316">
        <v>566</v>
      </c>
      <c r="GN316">
        <v>92</v>
      </c>
      <c r="GP316" s="24"/>
      <c r="GQ316">
        <v>110</v>
      </c>
      <c r="GR316">
        <v>110</v>
      </c>
      <c r="GS316">
        <v>110</v>
      </c>
      <c r="GT316">
        <v>110519415</v>
      </c>
      <c r="GU316">
        <v>123</v>
      </c>
      <c r="GW316" s="24"/>
      <c r="GX316">
        <v>476</v>
      </c>
      <c r="GY316">
        <v>549</v>
      </c>
      <c r="GZ316">
        <v>521</v>
      </c>
      <c r="HA316">
        <v>86723276</v>
      </c>
      <c r="HB316">
        <v>276</v>
      </c>
      <c r="HD316" s="24"/>
      <c r="HE316">
        <v>5663</v>
      </c>
      <c r="HF316">
        <v>5895</v>
      </c>
      <c r="HG316">
        <v>5878</v>
      </c>
      <c r="HH316">
        <v>14274423</v>
      </c>
      <c r="HI316">
        <v>241</v>
      </c>
      <c r="HK316" s="24"/>
      <c r="HL316">
        <v>87514003</v>
      </c>
      <c r="HM316">
        <v>93999977</v>
      </c>
      <c r="HN316">
        <v>88500013</v>
      </c>
      <c r="HO316">
        <v>138</v>
      </c>
      <c r="HP316">
        <v>91</v>
      </c>
      <c r="HR316" s="24"/>
      <c r="HS316">
        <v>8330</v>
      </c>
      <c r="HT316">
        <v>8949</v>
      </c>
      <c r="HU316">
        <v>8646</v>
      </c>
      <c r="HV316">
        <v>673797</v>
      </c>
      <c r="HW316">
        <v>138</v>
      </c>
      <c r="HY316" s="24"/>
      <c r="HZ316">
        <v>7475</v>
      </c>
      <c r="IA316">
        <v>7948</v>
      </c>
      <c r="IB316">
        <v>7945</v>
      </c>
      <c r="IC316">
        <v>1952483</v>
      </c>
      <c r="ID316">
        <v>373</v>
      </c>
      <c r="IF316" s="24"/>
      <c r="IG316">
        <v>2872</v>
      </c>
      <c r="IH316">
        <v>2875</v>
      </c>
      <c r="II316">
        <v>2873</v>
      </c>
      <c r="IJ316">
        <v>2086790</v>
      </c>
      <c r="IK316">
        <v>141</v>
      </c>
      <c r="IM316" s="24"/>
      <c r="IN316">
        <v>86886000</v>
      </c>
      <c r="IO316">
        <v>90000000</v>
      </c>
      <c r="IP316">
        <v>89999999</v>
      </c>
      <c r="IQ316">
        <v>118</v>
      </c>
      <c r="IR316">
        <v>83</v>
      </c>
      <c r="IT316" s="24"/>
      <c r="IU316">
        <v>7748</v>
      </c>
      <c r="IV316">
        <v>7748</v>
      </c>
      <c r="IW316">
        <v>7748</v>
      </c>
      <c r="IX316">
        <v>1091720</v>
      </c>
      <c r="IY316">
        <v>107</v>
      </c>
      <c r="JA316" s="24"/>
      <c r="JB316">
        <v>87999999</v>
      </c>
      <c r="JC316">
        <v>88970972</v>
      </c>
      <c r="JD316">
        <v>88899998</v>
      </c>
      <c r="JE316">
        <v>106</v>
      </c>
      <c r="JF316">
        <v>86</v>
      </c>
      <c r="JH316" s="24"/>
      <c r="JI316">
        <v>91999999</v>
      </c>
      <c r="JJ316">
        <v>95877892</v>
      </c>
      <c r="JK316">
        <v>94029408</v>
      </c>
      <c r="JL316">
        <v>50</v>
      </c>
      <c r="JM316">
        <v>45</v>
      </c>
      <c r="JO316" s="24"/>
      <c r="JP316">
        <v>85</v>
      </c>
      <c r="JQ316">
        <v>89</v>
      </c>
      <c r="JR316">
        <v>89</v>
      </c>
      <c r="JS316">
        <v>109439597</v>
      </c>
      <c r="JT316">
        <v>93</v>
      </c>
      <c r="JV316" s="24"/>
      <c r="JW316">
        <v>109</v>
      </c>
      <c r="JX316">
        <v>112</v>
      </c>
      <c r="JY316">
        <v>109</v>
      </c>
      <c r="JZ316">
        <v>147443614</v>
      </c>
      <c r="KA316">
        <v>128</v>
      </c>
      <c r="KC316" s="24"/>
      <c r="KD316">
        <v>19</v>
      </c>
      <c r="KE316">
        <v>21</v>
      </c>
      <c r="KF316">
        <v>21</v>
      </c>
      <c r="KG316">
        <v>34960661</v>
      </c>
      <c r="KH316">
        <v>289</v>
      </c>
      <c r="KJ316" s="24"/>
      <c r="KK316">
        <v>118</v>
      </c>
      <c r="KL316">
        <v>120</v>
      </c>
      <c r="KM316">
        <v>119</v>
      </c>
      <c r="KN316">
        <v>70686083</v>
      </c>
      <c r="KO316">
        <v>75</v>
      </c>
      <c r="KQ316" s="24"/>
      <c r="KR316">
        <v>120501</v>
      </c>
      <c r="KS316">
        <v>120555</v>
      </c>
      <c r="KT316">
        <v>120507</v>
      </c>
      <c r="KU316">
        <v>60758</v>
      </c>
      <c r="KV316">
        <v>515</v>
      </c>
      <c r="KX316" s="24"/>
      <c r="KY316">
        <v>808</v>
      </c>
      <c r="KZ316">
        <v>808</v>
      </c>
      <c r="LA316">
        <v>808</v>
      </c>
      <c r="LB316">
        <v>5366086</v>
      </c>
      <c r="LC316">
        <v>134</v>
      </c>
      <c r="LE316" s="24"/>
      <c r="LF316">
        <v>178000</v>
      </c>
      <c r="LG316">
        <v>178010</v>
      </c>
      <c r="LH316">
        <v>178000</v>
      </c>
      <c r="LI316">
        <v>88619</v>
      </c>
      <c r="LJ316">
        <v>743</v>
      </c>
      <c r="LL316" s="24"/>
      <c r="LM316">
        <v>67000</v>
      </c>
      <c r="LN316">
        <v>67015</v>
      </c>
      <c r="LO316">
        <v>67002</v>
      </c>
      <c r="LP316">
        <v>298496</v>
      </c>
      <c r="LQ316">
        <v>1031</v>
      </c>
      <c r="LS316" s="24"/>
      <c r="LT316">
        <v>470</v>
      </c>
      <c r="LU316">
        <v>473</v>
      </c>
      <c r="LV316">
        <v>473</v>
      </c>
      <c r="LW316">
        <v>114727941</v>
      </c>
      <c r="LX316">
        <v>410</v>
      </c>
      <c r="LZ316" s="24"/>
      <c r="MA316">
        <v>95000</v>
      </c>
      <c r="MB316">
        <v>96998</v>
      </c>
      <c r="MC316">
        <v>96000</v>
      </c>
      <c r="MD316">
        <v>1181386</v>
      </c>
      <c r="ME316">
        <v>100</v>
      </c>
    </row>
    <row r="317" spans="2:343" x14ac:dyDescent="0.25">
      <c r="B317" s="24"/>
      <c r="C317">
        <v>3</v>
      </c>
      <c r="D317">
        <v>3</v>
      </c>
      <c r="E317">
        <v>3</v>
      </c>
      <c r="F317">
        <v>30635327257</v>
      </c>
      <c r="G317">
        <v>2055</v>
      </c>
      <c r="I317" s="24"/>
      <c r="J317">
        <v>4</v>
      </c>
      <c r="K317">
        <v>4</v>
      </c>
      <c r="L317">
        <v>4</v>
      </c>
      <c r="M317">
        <v>5079277889</v>
      </c>
      <c r="N317">
        <v>1395</v>
      </c>
      <c r="P317" s="24"/>
      <c r="Q317">
        <v>32</v>
      </c>
      <c r="R317">
        <v>32</v>
      </c>
      <c r="S317">
        <v>32</v>
      </c>
      <c r="T317">
        <v>1211225138</v>
      </c>
      <c r="U317">
        <v>1300</v>
      </c>
      <c r="W317" s="24"/>
      <c r="X317">
        <v>61</v>
      </c>
      <c r="Y317">
        <v>62</v>
      </c>
      <c r="Z317">
        <v>62</v>
      </c>
      <c r="AA317">
        <v>297986728</v>
      </c>
      <c r="AB317">
        <v>1031</v>
      </c>
      <c r="AD317" s="24"/>
      <c r="AE317">
        <v>412</v>
      </c>
      <c r="AF317">
        <v>419</v>
      </c>
      <c r="AG317">
        <v>416</v>
      </c>
      <c r="AH317">
        <v>93605038</v>
      </c>
      <c r="AI317">
        <v>1172</v>
      </c>
      <c r="AK317" s="24"/>
      <c r="AL317">
        <v>730</v>
      </c>
      <c r="AM317">
        <v>745</v>
      </c>
      <c r="AN317">
        <v>739</v>
      </c>
      <c r="AO317">
        <v>36253491</v>
      </c>
      <c r="AP317">
        <v>912</v>
      </c>
      <c r="AR317" s="24"/>
      <c r="AS317">
        <v>2787</v>
      </c>
      <c r="AT317">
        <v>2845</v>
      </c>
      <c r="AU317">
        <v>2820</v>
      </c>
      <c r="AV317">
        <v>12178910</v>
      </c>
      <c r="AW317">
        <v>893</v>
      </c>
      <c r="AY317" s="24"/>
      <c r="AZ317">
        <v>408017020</v>
      </c>
      <c r="BA317">
        <v>415666000</v>
      </c>
      <c r="BB317">
        <v>414069444</v>
      </c>
      <c r="BC317">
        <v>2578</v>
      </c>
      <c r="BD317">
        <v>1703</v>
      </c>
      <c r="BF317" s="24"/>
      <c r="BG317">
        <v>25001</v>
      </c>
      <c r="BH317">
        <v>25090</v>
      </c>
      <c r="BI317">
        <v>25001</v>
      </c>
      <c r="BJ317">
        <v>3081451</v>
      </c>
      <c r="BK317">
        <v>202</v>
      </c>
      <c r="BM317" s="24"/>
      <c r="BN317">
        <v>6304418</v>
      </c>
      <c r="BO317">
        <v>6350000</v>
      </c>
      <c r="BP317">
        <v>6304420</v>
      </c>
      <c r="BQ317">
        <v>7327</v>
      </c>
      <c r="BR317">
        <v>244</v>
      </c>
      <c r="BT317" s="24"/>
      <c r="BU317">
        <v>2150</v>
      </c>
      <c r="BV317">
        <v>2198</v>
      </c>
      <c r="BW317">
        <v>2188</v>
      </c>
      <c r="BX317">
        <v>16822481</v>
      </c>
      <c r="BY317">
        <v>177</v>
      </c>
      <c r="CA317" s="24"/>
      <c r="CB317">
        <v>876</v>
      </c>
      <c r="CC317">
        <v>898</v>
      </c>
      <c r="CD317">
        <v>879</v>
      </c>
      <c r="CE317">
        <v>43981365</v>
      </c>
      <c r="CF317">
        <v>234</v>
      </c>
      <c r="CH317" s="24"/>
      <c r="CI317">
        <v>24757</v>
      </c>
      <c r="CJ317">
        <v>24900</v>
      </c>
      <c r="CK317">
        <v>24770</v>
      </c>
      <c r="CL317">
        <v>2366059</v>
      </c>
      <c r="CM317">
        <v>166</v>
      </c>
      <c r="CO317" s="24"/>
      <c r="CP317">
        <v>8028</v>
      </c>
      <c r="CQ317">
        <v>8368</v>
      </c>
      <c r="CR317">
        <v>8348</v>
      </c>
      <c r="CS317">
        <v>967239</v>
      </c>
      <c r="CT317">
        <v>330</v>
      </c>
      <c r="CV317" s="24"/>
      <c r="CW317">
        <v>1180000</v>
      </c>
      <c r="CX317">
        <v>1221997</v>
      </c>
      <c r="CY317">
        <v>1181001</v>
      </c>
      <c r="CZ317">
        <v>9203</v>
      </c>
      <c r="DA317">
        <v>29</v>
      </c>
      <c r="DC317" s="24"/>
      <c r="DD317">
        <v>453</v>
      </c>
      <c r="DE317">
        <v>464</v>
      </c>
      <c r="DF317">
        <v>463</v>
      </c>
      <c r="DG317">
        <v>35994459</v>
      </c>
      <c r="DH317">
        <v>159</v>
      </c>
      <c r="DJ317" s="24"/>
      <c r="DK317">
        <v>32500001</v>
      </c>
      <c r="DL317">
        <v>32500042</v>
      </c>
      <c r="DM317">
        <v>32500042</v>
      </c>
      <c r="DN317">
        <v>549</v>
      </c>
      <c r="DO317">
        <v>74</v>
      </c>
      <c r="DQ317" s="24"/>
      <c r="DR317">
        <v>947013</v>
      </c>
      <c r="DS317">
        <v>1047001</v>
      </c>
      <c r="DT317">
        <v>1026004</v>
      </c>
      <c r="DU317">
        <v>11535</v>
      </c>
      <c r="DV317">
        <v>217</v>
      </c>
      <c r="DX317" s="24"/>
      <c r="DY317">
        <v>20650662</v>
      </c>
      <c r="DZ317">
        <v>20700002</v>
      </c>
      <c r="EA317">
        <v>20650663</v>
      </c>
      <c r="EB317">
        <v>347</v>
      </c>
      <c r="EC317">
        <v>76</v>
      </c>
      <c r="EE317" s="24"/>
      <c r="EF317">
        <v>195</v>
      </c>
      <c r="EG317">
        <v>203</v>
      </c>
      <c r="EH317">
        <v>198</v>
      </c>
      <c r="EI317">
        <v>77194469</v>
      </c>
      <c r="EJ317">
        <v>145</v>
      </c>
      <c r="EL317" s="24"/>
      <c r="EM317">
        <v>57526</v>
      </c>
      <c r="EN317">
        <v>59892</v>
      </c>
      <c r="EO317">
        <v>57531</v>
      </c>
      <c r="EP317">
        <v>103919</v>
      </c>
      <c r="EQ317">
        <v>519</v>
      </c>
      <c r="ES317" s="24"/>
      <c r="ET317">
        <v>302</v>
      </c>
      <c r="EU317">
        <v>310</v>
      </c>
      <c r="EV317">
        <v>309</v>
      </c>
      <c r="EW317">
        <v>31381308</v>
      </c>
      <c r="EX317">
        <v>550</v>
      </c>
      <c r="EZ317" s="24"/>
      <c r="FA317">
        <v>3045133</v>
      </c>
      <c r="FB317">
        <v>3045134</v>
      </c>
      <c r="FC317">
        <v>3045133</v>
      </c>
      <c r="FD317">
        <v>2004</v>
      </c>
      <c r="FE317">
        <v>20</v>
      </c>
      <c r="FG317" s="24"/>
      <c r="FH317">
        <v>7790</v>
      </c>
      <c r="FI317">
        <v>8096</v>
      </c>
      <c r="FJ317">
        <v>8000</v>
      </c>
      <c r="FK317">
        <v>1897008</v>
      </c>
      <c r="FL317">
        <v>408</v>
      </c>
      <c r="FN317" s="24"/>
      <c r="FO317">
        <v>18050</v>
      </c>
      <c r="FP317">
        <v>19931</v>
      </c>
      <c r="FQ317">
        <v>18750</v>
      </c>
      <c r="FR317">
        <v>291871</v>
      </c>
      <c r="FS317">
        <v>74</v>
      </c>
      <c r="FU317" s="24"/>
      <c r="FV317">
        <v>14701</v>
      </c>
      <c r="FW317">
        <v>14999</v>
      </c>
      <c r="FX317">
        <v>14703</v>
      </c>
      <c r="FY317">
        <v>405807</v>
      </c>
      <c r="FZ317">
        <v>988</v>
      </c>
      <c r="GB317" s="24"/>
      <c r="GC317">
        <v>86895000</v>
      </c>
      <c r="GD317">
        <v>88000000</v>
      </c>
      <c r="GE317">
        <v>86895000</v>
      </c>
      <c r="GF317">
        <v>110</v>
      </c>
      <c r="GG317">
        <v>65</v>
      </c>
      <c r="GI317" s="24"/>
      <c r="GJ317">
        <v>18590000</v>
      </c>
      <c r="GK317">
        <v>19000003</v>
      </c>
      <c r="GL317">
        <v>18922421</v>
      </c>
      <c r="GM317">
        <v>516</v>
      </c>
      <c r="GN317">
        <v>74</v>
      </c>
      <c r="GP317" s="24"/>
      <c r="GQ317">
        <v>105</v>
      </c>
      <c r="GR317">
        <v>109</v>
      </c>
      <c r="GS317">
        <v>107</v>
      </c>
      <c r="GT317">
        <v>112760001</v>
      </c>
      <c r="GU317">
        <v>104</v>
      </c>
      <c r="GW317" s="24"/>
      <c r="GX317">
        <v>490</v>
      </c>
      <c r="GY317">
        <v>499</v>
      </c>
      <c r="GZ317">
        <v>499</v>
      </c>
      <c r="HA317">
        <v>43911253</v>
      </c>
      <c r="HB317">
        <v>222</v>
      </c>
      <c r="HD317" s="24"/>
      <c r="HE317">
        <v>5671</v>
      </c>
      <c r="HF317">
        <v>5749</v>
      </c>
      <c r="HG317">
        <v>5745</v>
      </c>
      <c r="HH317">
        <v>13661865</v>
      </c>
      <c r="HI317">
        <v>225</v>
      </c>
      <c r="HK317" s="24"/>
      <c r="HL317">
        <v>87510003</v>
      </c>
      <c r="HM317">
        <v>90996920</v>
      </c>
      <c r="HN317">
        <v>88504005</v>
      </c>
      <c r="HO317">
        <v>108</v>
      </c>
      <c r="HP317">
        <v>75</v>
      </c>
      <c r="HR317" s="24"/>
      <c r="HS317">
        <v>8299</v>
      </c>
      <c r="HT317">
        <v>8330</v>
      </c>
      <c r="HU317">
        <v>8323</v>
      </c>
      <c r="HV317">
        <v>695542</v>
      </c>
      <c r="HW317">
        <v>111</v>
      </c>
      <c r="HY317" s="24"/>
      <c r="HZ317">
        <v>7496</v>
      </c>
      <c r="IA317">
        <v>7931</v>
      </c>
      <c r="IB317">
        <v>7928</v>
      </c>
      <c r="IC317">
        <v>1755586</v>
      </c>
      <c r="ID317">
        <v>379</v>
      </c>
      <c r="IF317" s="24"/>
      <c r="IG317">
        <v>2800</v>
      </c>
      <c r="IH317">
        <v>2868</v>
      </c>
      <c r="II317">
        <v>2825</v>
      </c>
      <c r="IJ317">
        <v>2083639</v>
      </c>
      <c r="IK317">
        <v>117</v>
      </c>
      <c r="IM317" s="24"/>
      <c r="IN317">
        <v>86892000</v>
      </c>
      <c r="IO317">
        <v>92967999</v>
      </c>
      <c r="IP317">
        <v>89210239</v>
      </c>
      <c r="IQ317">
        <v>79</v>
      </c>
      <c r="IR317">
        <v>60</v>
      </c>
      <c r="IT317" s="24"/>
      <c r="IU317">
        <v>7480</v>
      </c>
      <c r="IV317">
        <v>7744</v>
      </c>
      <c r="IW317">
        <v>7742</v>
      </c>
      <c r="IX317">
        <v>1133561</v>
      </c>
      <c r="IY317">
        <v>107</v>
      </c>
      <c r="JA317" s="24"/>
      <c r="JB317">
        <v>85006000</v>
      </c>
      <c r="JC317">
        <v>90000001</v>
      </c>
      <c r="JD317">
        <v>88899999</v>
      </c>
      <c r="JE317">
        <v>116</v>
      </c>
      <c r="JF317">
        <v>70</v>
      </c>
      <c r="JH317" s="24"/>
      <c r="JI317">
        <v>86972001</v>
      </c>
      <c r="JJ317">
        <v>95875997</v>
      </c>
      <c r="JK317">
        <v>91061226</v>
      </c>
      <c r="JL317">
        <v>52</v>
      </c>
      <c r="JM317">
        <v>36</v>
      </c>
      <c r="JO317" s="24"/>
      <c r="JP317">
        <v>89</v>
      </c>
      <c r="JQ317">
        <v>90</v>
      </c>
      <c r="JR317">
        <v>89</v>
      </c>
      <c r="JS317">
        <v>105732031</v>
      </c>
      <c r="JT317">
        <v>99</v>
      </c>
      <c r="JV317" s="24"/>
      <c r="JW317">
        <v>107</v>
      </c>
      <c r="JX317">
        <v>114</v>
      </c>
      <c r="JY317">
        <v>109</v>
      </c>
      <c r="JZ317">
        <v>77518562</v>
      </c>
      <c r="KA317">
        <v>91</v>
      </c>
      <c r="KC317" s="24"/>
      <c r="KD317">
        <v>21</v>
      </c>
      <c r="KE317">
        <v>21</v>
      </c>
      <c r="KF317">
        <v>21</v>
      </c>
      <c r="KG317">
        <v>38357389</v>
      </c>
      <c r="KH317">
        <v>267</v>
      </c>
      <c r="KJ317" s="24"/>
      <c r="KK317">
        <v>121</v>
      </c>
      <c r="KL317">
        <v>127</v>
      </c>
      <c r="KM317">
        <v>121</v>
      </c>
      <c r="KN317">
        <v>149382241</v>
      </c>
      <c r="KO317">
        <v>107</v>
      </c>
      <c r="KQ317" s="24"/>
      <c r="KR317">
        <v>121500</v>
      </c>
      <c r="KS317">
        <v>124878</v>
      </c>
      <c r="KT317">
        <v>122001</v>
      </c>
      <c r="KU317">
        <v>85170</v>
      </c>
      <c r="KV317">
        <v>523</v>
      </c>
      <c r="KX317" s="24"/>
      <c r="KY317">
        <v>796</v>
      </c>
      <c r="KZ317">
        <v>805</v>
      </c>
      <c r="LA317">
        <v>799</v>
      </c>
      <c r="LB317">
        <v>8120294</v>
      </c>
      <c r="LC317">
        <v>158</v>
      </c>
      <c r="LE317" s="24"/>
      <c r="LF317">
        <v>179000</v>
      </c>
      <c r="LG317">
        <v>179000</v>
      </c>
      <c r="LH317">
        <v>179000</v>
      </c>
      <c r="LI317">
        <v>107688</v>
      </c>
      <c r="LJ317">
        <v>714</v>
      </c>
      <c r="LL317" s="24"/>
      <c r="LM317">
        <v>68003</v>
      </c>
      <c r="LN317">
        <v>69203</v>
      </c>
      <c r="LO317">
        <v>68004</v>
      </c>
      <c r="LP317">
        <v>408422</v>
      </c>
      <c r="LQ317">
        <v>1059</v>
      </c>
      <c r="LS317" s="24"/>
      <c r="LT317">
        <v>530</v>
      </c>
      <c r="LU317">
        <v>560</v>
      </c>
      <c r="LV317">
        <v>549</v>
      </c>
      <c r="LW317">
        <v>180222782</v>
      </c>
      <c r="LX317">
        <v>459</v>
      </c>
      <c r="LZ317" s="24"/>
      <c r="MA317">
        <v>95000</v>
      </c>
      <c r="MB317">
        <v>96999</v>
      </c>
      <c r="MC317">
        <v>96000</v>
      </c>
      <c r="MD317">
        <v>764889</v>
      </c>
      <c r="ME317">
        <v>78</v>
      </c>
    </row>
    <row r="318" spans="2:343" x14ac:dyDescent="0.25">
      <c r="B318" s="24"/>
      <c r="C318">
        <v>3</v>
      </c>
      <c r="D318">
        <v>3</v>
      </c>
      <c r="E318">
        <v>3</v>
      </c>
      <c r="F318">
        <v>41459562051</v>
      </c>
      <c r="G318">
        <v>2189</v>
      </c>
      <c r="I318" s="24"/>
      <c r="J318">
        <v>4</v>
      </c>
      <c r="K318">
        <v>4</v>
      </c>
      <c r="L318">
        <v>4</v>
      </c>
      <c r="M318">
        <v>8307460401</v>
      </c>
      <c r="N318">
        <v>1486</v>
      </c>
      <c r="P318" s="24"/>
      <c r="Q318">
        <v>32</v>
      </c>
      <c r="R318">
        <v>32</v>
      </c>
      <c r="S318">
        <v>32</v>
      </c>
      <c r="T318">
        <v>1241092387</v>
      </c>
      <c r="U318">
        <v>1352</v>
      </c>
      <c r="W318" s="24"/>
      <c r="X318">
        <v>60</v>
      </c>
      <c r="Y318">
        <v>61</v>
      </c>
      <c r="Z318">
        <v>61</v>
      </c>
      <c r="AA318">
        <v>370144209</v>
      </c>
      <c r="AB318">
        <v>1085</v>
      </c>
      <c r="AD318" s="24"/>
      <c r="AE318">
        <v>411</v>
      </c>
      <c r="AF318">
        <v>418</v>
      </c>
      <c r="AG318">
        <v>415</v>
      </c>
      <c r="AH318">
        <v>66375910</v>
      </c>
      <c r="AI318">
        <v>1134</v>
      </c>
      <c r="AK318" s="24"/>
      <c r="AL318">
        <v>725</v>
      </c>
      <c r="AM318">
        <v>745</v>
      </c>
      <c r="AN318">
        <v>729</v>
      </c>
      <c r="AO318">
        <v>27735133</v>
      </c>
      <c r="AP318">
        <v>904</v>
      </c>
      <c r="AR318" s="24"/>
      <c r="AS318">
        <v>2783</v>
      </c>
      <c r="AT318">
        <v>2865</v>
      </c>
      <c r="AU318">
        <v>2787</v>
      </c>
      <c r="AV318">
        <v>10898337</v>
      </c>
      <c r="AW318">
        <v>937</v>
      </c>
      <c r="AY318" s="24"/>
      <c r="AZ318">
        <v>410000000</v>
      </c>
      <c r="BA318">
        <v>417498000</v>
      </c>
      <c r="BB318">
        <v>415899500</v>
      </c>
      <c r="BC318">
        <v>2487</v>
      </c>
      <c r="BD318">
        <v>1688</v>
      </c>
      <c r="BF318" s="24"/>
      <c r="BG318">
        <v>24251</v>
      </c>
      <c r="BH318">
        <v>24850</v>
      </c>
      <c r="BI318">
        <v>24652</v>
      </c>
      <c r="BJ318">
        <v>4495876</v>
      </c>
      <c r="BK318">
        <v>225</v>
      </c>
      <c r="BM318" s="24"/>
      <c r="BN318">
        <v>6438997</v>
      </c>
      <c r="BO318">
        <v>6598999</v>
      </c>
      <c r="BP318">
        <v>6500002</v>
      </c>
      <c r="BQ318">
        <v>12987</v>
      </c>
      <c r="BR318">
        <v>348</v>
      </c>
      <c r="BT318" s="24"/>
      <c r="BU318">
        <v>2166</v>
      </c>
      <c r="BV318">
        <v>2187</v>
      </c>
      <c r="BW318">
        <v>2167</v>
      </c>
      <c r="BX318">
        <v>27846835</v>
      </c>
      <c r="BY318">
        <v>212</v>
      </c>
      <c r="CA318" s="24"/>
      <c r="CB318">
        <v>909</v>
      </c>
      <c r="CC318">
        <v>999</v>
      </c>
      <c r="CD318">
        <v>964</v>
      </c>
      <c r="CE318">
        <v>93840420</v>
      </c>
      <c r="CF318">
        <v>289</v>
      </c>
      <c r="CH318" s="24"/>
      <c r="CI318">
        <v>25050</v>
      </c>
      <c r="CJ318">
        <v>25051</v>
      </c>
      <c r="CK318">
        <v>25050</v>
      </c>
      <c r="CL318">
        <v>2283736</v>
      </c>
      <c r="CM318">
        <v>174</v>
      </c>
      <c r="CO318" s="24"/>
      <c r="CP318">
        <v>8033</v>
      </c>
      <c r="CQ318">
        <v>8326</v>
      </c>
      <c r="CR318">
        <v>8053</v>
      </c>
      <c r="CS318">
        <v>839342</v>
      </c>
      <c r="CT318">
        <v>272</v>
      </c>
      <c r="CV318" s="24"/>
      <c r="CW318">
        <v>1170000</v>
      </c>
      <c r="CX318">
        <v>1221997</v>
      </c>
      <c r="CY318">
        <v>1221997</v>
      </c>
      <c r="CZ318">
        <v>9794</v>
      </c>
      <c r="DA318">
        <v>38</v>
      </c>
      <c r="DC318" s="24"/>
      <c r="DD318">
        <v>468</v>
      </c>
      <c r="DE318">
        <v>483</v>
      </c>
      <c r="DF318">
        <v>469</v>
      </c>
      <c r="DG318">
        <v>63417848</v>
      </c>
      <c r="DH318">
        <v>188</v>
      </c>
      <c r="DJ318" s="24"/>
      <c r="DK318">
        <v>33000028</v>
      </c>
      <c r="DL318">
        <v>33499000</v>
      </c>
      <c r="DM318">
        <v>33399999</v>
      </c>
      <c r="DN318">
        <v>335</v>
      </c>
      <c r="DO318">
        <v>73</v>
      </c>
      <c r="DQ318" s="24"/>
      <c r="DR318">
        <v>900004</v>
      </c>
      <c r="DS318">
        <v>1030000</v>
      </c>
      <c r="DT318">
        <v>1000000</v>
      </c>
      <c r="DU318">
        <v>10343</v>
      </c>
      <c r="DV318">
        <v>228</v>
      </c>
      <c r="DX318" s="24"/>
      <c r="DY318">
        <v>20670000</v>
      </c>
      <c r="DZ318">
        <v>21997999</v>
      </c>
      <c r="EA318">
        <v>21075000</v>
      </c>
      <c r="EB318">
        <v>444</v>
      </c>
      <c r="EC318">
        <v>104</v>
      </c>
      <c r="EE318" s="24"/>
      <c r="EF318">
        <v>195</v>
      </c>
      <c r="EG318">
        <v>202</v>
      </c>
      <c r="EH318">
        <v>200</v>
      </c>
      <c r="EI318">
        <v>82250365</v>
      </c>
      <c r="EJ318">
        <v>151</v>
      </c>
      <c r="EL318" s="24"/>
      <c r="EM318">
        <v>57530</v>
      </c>
      <c r="EN318">
        <v>57540</v>
      </c>
      <c r="EO318">
        <v>57534</v>
      </c>
      <c r="EP318">
        <v>82908</v>
      </c>
      <c r="EQ318">
        <v>572</v>
      </c>
      <c r="ES318" s="24"/>
      <c r="ET318">
        <v>309</v>
      </c>
      <c r="EU318">
        <v>312</v>
      </c>
      <c r="EV318">
        <v>311</v>
      </c>
      <c r="EW318">
        <v>24332062</v>
      </c>
      <c r="EX318">
        <v>618</v>
      </c>
      <c r="EZ318" s="24"/>
      <c r="FA318">
        <v>3196134</v>
      </c>
      <c r="FB318">
        <v>3196134</v>
      </c>
      <c r="FC318">
        <v>3196134</v>
      </c>
      <c r="FD318">
        <v>2254</v>
      </c>
      <c r="FE318">
        <v>15</v>
      </c>
      <c r="FG318" s="24"/>
      <c r="FH318">
        <v>7831</v>
      </c>
      <c r="FI318">
        <v>8179</v>
      </c>
      <c r="FJ318">
        <v>8110</v>
      </c>
      <c r="FK318">
        <v>1212868</v>
      </c>
      <c r="FL318">
        <v>423</v>
      </c>
      <c r="FN318" s="24"/>
      <c r="FO318">
        <v>18055</v>
      </c>
      <c r="FP318">
        <v>19003</v>
      </c>
      <c r="FQ318">
        <v>19003</v>
      </c>
      <c r="FR318">
        <v>219779</v>
      </c>
      <c r="FS318">
        <v>63</v>
      </c>
      <c r="FU318" s="24"/>
      <c r="FV318">
        <v>14001</v>
      </c>
      <c r="FW318">
        <v>14901</v>
      </c>
      <c r="FX318">
        <v>14800</v>
      </c>
      <c r="FY318">
        <v>452499</v>
      </c>
      <c r="FZ318">
        <v>941</v>
      </c>
      <c r="GB318" s="24"/>
      <c r="GC318">
        <v>87000002</v>
      </c>
      <c r="GD318">
        <v>89999999</v>
      </c>
      <c r="GE318">
        <v>89149690</v>
      </c>
      <c r="GF318">
        <v>92</v>
      </c>
      <c r="GG318">
        <v>62</v>
      </c>
      <c r="GI318" s="24"/>
      <c r="GJ318">
        <v>18601000</v>
      </c>
      <c r="GK318">
        <v>18790000</v>
      </c>
      <c r="GL318">
        <v>18601002</v>
      </c>
      <c r="GM318">
        <v>710</v>
      </c>
      <c r="GN318">
        <v>83</v>
      </c>
      <c r="GP318" s="24"/>
      <c r="GQ318">
        <v>108</v>
      </c>
      <c r="GR318">
        <v>108</v>
      </c>
      <c r="GS318">
        <v>108</v>
      </c>
      <c r="GT318">
        <v>99784763</v>
      </c>
      <c r="GU318">
        <v>116</v>
      </c>
      <c r="GW318" s="24"/>
      <c r="GX318">
        <v>494</v>
      </c>
      <c r="GY318">
        <v>504</v>
      </c>
      <c r="GZ318">
        <v>501</v>
      </c>
      <c r="HA318">
        <v>69904682</v>
      </c>
      <c r="HB318">
        <v>250</v>
      </c>
      <c r="HD318" s="24"/>
      <c r="HE318">
        <v>5700</v>
      </c>
      <c r="HF318">
        <v>5748</v>
      </c>
      <c r="HG318">
        <v>5747</v>
      </c>
      <c r="HH318">
        <v>15589217</v>
      </c>
      <c r="HI318">
        <v>251</v>
      </c>
      <c r="HK318" s="24"/>
      <c r="HL318">
        <v>86438000</v>
      </c>
      <c r="HM318">
        <v>88987998</v>
      </c>
      <c r="HN318">
        <v>88378294</v>
      </c>
      <c r="HO318">
        <v>81</v>
      </c>
      <c r="HP318">
        <v>61</v>
      </c>
      <c r="HR318" s="24"/>
      <c r="HS318">
        <v>8197</v>
      </c>
      <c r="HT318">
        <v>8404</v>
      </c>
      <c r="HU318">
        <v>8297</v>
      </c>
      <c r="HV318">
        <v>727539</v>
      </c>
      <c r="HW318">
        <v>180</v>
      </c>
      <c r="HY318" s="24"/>
      <c r="HZ318">
        <v>7560</v>
      </c>
      <c r="IA318">
        <v>7896</v>
      </c>
      <c r="IB318">
        <v>7699</v>
      </c>
      <c r="IC318">
        <v>1714270</v>
      </c>
      <c r="ID318">
        <v>387</v>
      </c>
      <c r="IF318" s="24"/>
      <c r="IG318">
        <v>2867</v>
      </c>
      <c r="IH318">
        <v>2868</v>
      </c>
      <c r="II318">
        <v>2867</v>
      </c>
      <c r="IJ318">
        <v>1484874</v>
      </c>
      <c r="IK318">
        <v>124</v>
      </c>
      <c r="IM318" s="24"/>
      <c r="IN318">
        <v>87914008</v>
      </c>
      <c r="IO318">
        <v>92944891</v>
      </c>
      <c r="IP318">
        <v>87914032</v>
      </c>
      <c r="IQ318">
        <v>123</v>
      </c>
      <c r="IR318">
        <v>64</v>
      </c>
      <c r="IT318" s="24"/>
      <c r="IU318">
        <v>7500</v>
      </c>
      <c r="IV318">
        <v>7737</v>
      </c>
      <c r="IW318">
        <v>7737</v>
      </c>
      <c r="IX318">
        <v>2247167</v>
      </c>
      <c r="IY318">
        <v>131</v>
      </c>
      <c r="JA318" s="24"/>
      <c r="JB318">
        <v>87122051</v>
      </c>
      <c r="JC318">
        <v>90120006</v>
      </c>
      <c r="JD318">
        <v>89956683</v>
      </c>
      <c r="JE318">
        <v>97</v>
      </c>
      <c r="JF318">
        <v>76</v>
      </c>
      <c r="JH318" s="24"/>
      <c r="JI318">
        <v>86982003</v>
      </c>
      <c r="JJ318">
        <v>95874981</v>
      </c>
      <c r="JK318">
        <v>92036027</v>
      </c>
      <c r="JL318">
        <v>44</v>
      </c>
      <c r="JM318">
        <v>39</v>
      </c>
      <c r="JO318" s="24"/>
      <c r="JP318">
        <v>86</v>
      </c>
      <c r="JQ318">
        <v>91</v>
      </c>
      <c r="JR318">
        <v>88</v>
      </c>
      <c r="JS318">
        <v>146306422</v>
      </c>
      <c r="JT318">
        <v>101</v>
      </c>
      <c r="JV318" s="24"/>
      <c r="JW318">
        <v>104</v>
      </c>
      <c r="JX318">
        <v>108</v>
      </c>
      <c r="JY318">
        <v>106</v>
      </c>
      <c r="JZ318">
        <v>182456963</v>
      </c>
      <c r="KA318">
        <v>118</v>
      </c>
      <c r="KC318" s="24"/>
      <c r="KD318">
        <v>20</v>
      </c>
      <c r="KE318">
        <v>21</v>
      </c>
      <c r="KF318">
        <v>21</v>
      </c>
      <c r="KG318">
        <v>35832900</v>
      </c>
      <c r="KH318">
        <v>276</v>
      </c>
      <c r="KJ318" s="24"/>
      <c r="KK318">
        <v>120</v>
      </c>
      <c r="KL318">
        <v>123</v>
      </c>
      <c r="KM318">
        <v>121</v>
      </c>
      <c r="KN318">
        <v>97742078</v>
      </c>
      <c r="KO318">
        <v>116</v>
      </c>
      <c r="KQ318" s="24"/>
      <c r="KR318">
        <v>122500</v>
      </c>
      <c r="KS318">
        <v>122500</v>
      </c>
      <c r="KT318">
        <v>122500</v>
      </c>
      <c r="KU318">
        <v>53067</v>
      </c>
      <c r="KV318">
        <v>512</v>
      </c>
      <c r="KX318" s="24"/>
      <c r="KY318">
        <v>797</v>
      </c>
      <c r="KZ318">
        <v>804</v>
      </c>
      <c r="LA318">
        <v>804</v>
      </c>
      <c r="LB318">
        <v>4269935</v>
      </c>
      <c r="LC318">
        <v>158</v>
      </c>
      <c r="LE318" s="24"/>
      <c r="LF318">
        <v>179000</v>
      </c>
      <c r="LG318">
        <v>179500</v>
      </c>
      <c r="LH318">
        <v>179500</v>
      </c>
      <c r="LI318">
        <v>120614</v>
      </c>
      <c r="LJ318">
        <v>743</v>
      </c>
      <c r="LL318" s="24"/>
      <c r="LM318">
        <v>67533</v>
      </c>
      <c r="LN318">
        <v>69334</v>
      </c>
      <c r="LO318">
        <v>68000</v>
      </c>
      <c r="LP318">
        <v>389660</v>
      </c>
      <c r="LQ318">
        <v>1004</v>
      </c>
      <c r="LS318" s="24"/>
      <c r="LT318">
        <v>530</v>
      </c>
      <c r="LU318">
        <v>562</v>
      </c>
      <c r="LV318">
        <v>555</v>
      </c>
      <c r="LW318">
        <v>195819469</v>
      </c>
      <c r="LX318">
        <v>419</v>
      </c>
      <c r="LZ318" s="24"/>
      <c r="MA318">
        <v>95999</v>
      </c>
      <c r="MB318">
        <v>96999</v>
      </c>
      <c r="MC318">
        <v>96000</v>
      </c>
      <c r="MD318">
        <v>565208</v>
      </c>
      <c r="ME318">
        <v>58</v>
      </c>
    </row>
    <row r="319" spans="2:343" x14ac:dyDescent="0.25">
      <c r="B319" s="24"/>
      <c r="C319">
        <v>3</v>
      </c>
      <c r="D319">
        <v>3</v>
      </c>
      <c r="E319">
        <v>3</v>
      </c>
      <c r="F319">
        <v>28728632448</v>
      </c>
      <c r="G319">
        <v>2085</v>
      </c>
      <c r="I319" s="24"/>
      <c r="J319">
        <v>4</v>
      </c>
      <c r="K319">
        <v>4</v>
      </c>
      <c r="L319">
        <v>4</v>
      </c>
      <c r="M319">
        <v>6249782226</v>
      </c>
      <c r="N319">
        <v>1398</v>
      </c>
      <c r="P319" s="24"/>
      <c r="Q319">
        <v>32</v>
      </c>
      <c r="R319">
        <v>33</v>
      </c>
      <c r="S319">
        <v>33</v>
      </c>
      <c r="T319">
        <v>1433706693</v>
      </c>
      <c r="U319">
        <v>1340</v>
      </c>
      <c r="W319" s="24"/>
      <c r="X319">
        <v>61</v>
      </c>
      <c r="Y319">
        <v>62</v>
      </c>
      <c r="Z319">
        <v>61</v>
      </c>
      <c r="AA319">
        <v>507451804</v>
      </c>
      <c r="AB319">
        <v>1034</v>
      </c>
      <c r="AD319" s="24"/>
      <c r="AE319">
        <v>415</v>
      </c>
      <c r="AF319">
        <v>420</v>
      </c>
      <c r="AG319">
        <v>418</v>
      </c>
      <c r="AH319">
        <v>88919639</v>
      </c>
      <c r="AI319">
        <v>1091</v>
      </c>
      <c r="AK319" s="24"/>
      <c r="AL319">
        <v>725</v>
      </c>
      <c r="AM319">
        <v>743</v>
      </c>
      <c r="AN319">
        <v>726</v>
      </c>
      <c r="AO319">
        <v>51178027</v>
      </c>
      <c r="AP319">
        <v>933</v>
      </c>
      <c r="AR319" s="24"/>
      <c r="AS319">
        <v>2782</v>
      </c>
      <c r="AT319">
        <v>2864</v>
      </c>
      <c r="AU319">
        <v>2819</v>
      </c>
      <c r="AV319">
        <v>11497329</v>
      </c>
      <c r="AW319">
        <v>876</v>
      </c>
      <c r="AY319" s="24"/>
      <c r="AZ319">
        <v>410642101</v>
      </c>
      <c r="BA319">
        <v>419920999</v>
      </c>
      <c r="BB319">
        <v>414350001</v>
      </c>
      <c r="BC319">
        <v>3061</v>
      </c>
      <c r="BD319">
        <v>1786</v>
      </c>
      <c r="BF319" s="24"/>
      <c r="BG319">
        <v>24756</v>
      </c>
      <c r="BH319">
        <v>24806</v>
      </c>
      <c r="BI319">
        <v>24805</v>
      </c>
      <c r="BJ319">
        <v>1927152</v>
      </c>
      <c r="BK319">
        <v>193</v>
      </c>
      <c r="BM319" s="24"/>
      <c r="BN319">
        <v>6501105</v>
      </c>
      <c r="BO319">
        <v>6743993</v>
      </c>
      <c r="BP319">
        <v>6502126</v>
      </c>
      <c r="BQ319">
        <v>10796</v>
      </c>
      <c r="BR319">
        <v>351</v>
      </c>
      <c r="BT319" s="24"/>
      <c r="BU319">
        <v>2126</v>
      </c>
      <c r="BV319">
        <v>2297</v>
      </c>
      <c r="BW319">
        <v>2204</v>
      </c>
      <c r="BX319">
        <v>18209404</v>
      </c>
      <c r="BY319">
        <v>201</v>
      </c>
      <c r="CA319" s="24"/>
      <c r="CB319">
        <v>986</v>
      </c>
      <c r="CC319">
        <v>1015</v>
      </c>
      <c r="CD319">
        <v>1013</v>
      </c>
      <c r="CE319">
        <v>50136006</v>
      </c>
      <c r="CF319">
        <v>245</v>
      </c>
      <c r="CH319" s="24"/>
      <c r="CI319">
        <v>24951</v>
      </c>
      <c r="CJ319">
        <v>25300</v>
      </c>
      <c r="CK319">
        <v>24951</v>
      </c>
      <c r="CL319">
        <v>885392</v>
      </c>
      <c r="CM319">
        <v>173</v>
      </c>
      <c r="CO319" s="24"/>
      <c r="CP319">
        <v>8200</v>
      </c>
      <c r="CQ319">
        <v>8495</v>
      </c>
      <c r="CR319">
        <v>8327</v>
      </c>
      <c r="CS319">
        <v>806254</v>
      </c>
      <c r="CT319">
        <v>360</v>
      </c>
      <c r="CV319" s="24"/>
      <c r="CW319">
        <v>1195000</v>
      </c>
      <c r="CX319">
        <v>1221996</v>
      </c>
      <c r="CY319">
        <v>1221995</v>
      </c>
      <c r="CZ319">
        <v>9521</v>
      </c>
      <c r="DA319">
        <v>36</v>
      </c>
      <c r="DC319" s="24"/>
      <c r="DD319">
        <v>490</v>
      </c>
      <c r="DE319">
        <v>519</v>
      </c>
      <c r="DF319">
        <v>514</v>
      </c>
      <c r="DG319">
        <v>82962159</v>
      </c>
      <c r="DH319">
        <v>222</v>
      </c>
      <c r="DJ319" s="24"/>
      <c r="DK319">
        <v>33404404</v>
      </c>
      <c r="DL319">
        <v>34299884</v>
      </c>
      <c r="DM319">
        <v>33799999</v>
      </c>
      <c r="DN319">
        <v>336</v>
      </c>
      <c r="DO319">
        <v>78</v>
      </c>
      <c r="DQ319" s="24"/>
      <c r="DR319">
        <v>910000</v>
      </c>
      <c r="DS319">
        <v>1063999</v>
      </c>
      <c r="DT319">
        <v>950000</v>
      </c>
      <c r="DU319">
        <v>6740</v>
      </c>
      <c r="DV319">
        <v>195</v>
      </c>
      <c r="DX319" s="24"/>
      <c r="DY319">
        <v>20671005</v>
      </c>
      <c r="DZ319">
        <v>21999999</v>
      </c>
      <c r="EA319">
        <v>20683696</v>
      </c>
      <c r="EB319">
        <v>465</v>
      </c>
      <c r="EC319">
        <v>101</v>
      </c>
      <c r="EE319" s="24"/>
      <c r="EF319">
        <v>193</v>
      </c>
      <c r="EG319">
        <v>201</v>
      </c>
      <c r="EH319">
        <v>195</v>
      </c>
      <c r="EI319">
        <v>89913492</v>
      </c>
      <c r="EJ319">
        <v>158</v>
      </c>
      <c r="EL319" s="24"/>
      <c r="EM319">
        <v>54430</v>
      </c>
      <c r="EN319">
        <v>55400</v>
      </c>
      <c r="EO319">
        <v>55227</v>
      </c>
      <c r="EP319">
        <v>80919</v>
      </c>
      <c r="EQ319">
        <v>535</v>
      </c>
      <c r="ES319" s="24"/>
      <c r="ET319">
        <v>302</v>
      </c>
      <c r="EU319">
        <v>309</v>
      </c>
      <c r="EV319">
        <v>309</v>
      </c>
      <c r="EW319">
        <v>34186017</v>
      </c>
      <c r="EX319">
        <v>501</v>
      </c>
      <c r="EZ319" s="24"/>
      <c r="FA319">
        <v>3100004</v>
      </c>
      <c r="FB319">
        <v>3194134</v>
      </c>
      <c r="FC319">
        <v>3194134</v>
      </c>
      <c r="FD319">
        <v>4978</v>
      </c>
      <c r="FE319">
        <v>30</v>
      </c>
      <c r="FG319" s="24"/>
      <c r="FH319">
        <v>7903</v>
      </c>
      <c r="FI319">
        <v>8197</v>
      </c>
      <c r="FJ319">
        <v>8188</v>
      </c>
      <c r="FK319">
        <v>1510775</v>
      </c>
      <c r="FL319">
        <v>426</v>
      </c>
      <c r="FN319" s="24"/>
      <c r="FO319">
        <v>19002</v>
      </c>
      <c r="FP319">
        <v>19002</v>
      </c>
      <c r="FQ319">
        <v>19002</v>
      </c>
      <c r="FR319">
        <v>308250</v>
      </c>
      <c r="FS319">
        <v>71</v>
      </c>
      <c r="FU319" s="24"/>
      <c r="FV319">
        <v>14003</v>
      </c>
      <c r="FW319">
        <v>14899</v>
      </c>
      <c r="FX319">
        <v>14004</v>
      </c>
      <c r="FY319">
        <v>342633</v>
      </c>
      <c r="FZ319">
        <v>944</v>
      </c>
      <c r="GB319" s="24"/>
      <c r="GC319">
        <v>89999999</v>
      </c>
      <c r="GD319">
        <v>93962999</v>
      </c>
      <c r="GE319">
        <v>93961999</v>
      </c>
      <c r="GF319">
        <v>121</v>
      </c>
      <c r="GG319">
        <v>66</v>
      </c>
      <c r="GI319" s="24"/>
      <c r="GJ319">
        <v>18590006</v>
      </c>
      <c r="GK319">
        <v>18590009</v>
      </c>
      <c r="GL319">
        <v>18590006</v>
      </c>
      <c r="GM319">
        <v>403</v>
      </c>
      <c r="GN319">
        <v>62</v>
      </c>
      <c r="GP319" s="24"/>
      <c r="GQ319">
        <v>108</v>
      </c>
      <c r="GR319">
        <v>109</v>
      </c>
      <c r="GS319">
        <v>109</v>
      </c>
      <c r="GT319">
        <v>111034235</v>
      </c>
      <c r="GU319">
        <v>134</v>
      </c>
      <c r="GW319" s="24"/>
      <c r="GX319">
        <v>503</v>
      </c>
      <c r="GY319">
        <v>527</v>
      </c>
      <c r="GZ319">
        <v>503</v>
      </c>
      <c r="HA319">
        <v>73807098</v>
      </c>
      <c r="HB319">
        <v>232</v>
      </c>
      <c r="HD319" s="24"/>
      <c r="HE319">
        <v>5630</v>
      </c>
      <c r="HF319">
        <v>5824</v>
      </c>
      <c r="HG319">
        <v>5748</v>
      </c>
      <c r="HH319">
        <v>13339675</v>
      </c>
      <c r="HI319">
        <v>253</v>
      </c>
      <c r="HK319" s="24"/>
      <c r="HL319">
        <v>86451022</v>
      </c>
      <c r="HM319">
        <v>88499999</v>
      </c>
      <c r="HN319">
        <v>88282315</v>
      </c>
      <c r="HO319">
        <v>88</v>
      </c>
      <c r="HP319">
        <v>64</v>
      </c>
      <c r="HR319" s="24"/>
      <c r="HS319">
        <v>8352</v>
      </c>
      <c r="HT319">
        <v>8638</v>
      </c>
      <c r="HU319">
        <v>8500</v>
      </c>
      <c r="HV319">
        <v>743767</v>
      </c>
      <c r="HW319">
        <v>143</v>
      </c>
      <c r="HY319" s="24"/>
      <c r="HZ319">
        <v>7566</v>
      </c>
      <c r="IA319">
        <v>7800</v>
      </c>
      <c r="IB319">
        <v>7749</v>
      </c>
      <c r="IC319">
        <v>1625437</v>
      </c>
      <c r="ID319">
        <v>409</v>
      </c>
      <c r="IF319" s="24"/>
      <c r="IG319">
        <v>2867</v>
      </c>
      <c r="IH319">
        <v>2867</v>
      </c>
      <c r="II319">
        <v>2867</v>
      </c>
      <c r="IJ319">
        <v>1329254</v>
      </c>
      <c r="IK319">
        <v>122</v>
      </c>
      <c r="IM319" s="24"/>
      <c r="IN319">
        <v>87919001</v>
      </c>
      <c r="IO319">
        <v>91899972</v>
      </c>
      <c r="IP319">
        <v>87919044</v>
      </c>
      <c r="IQ319">
        <v>105</v>
      </c>
      <c r="IR319">
        <v>65</v>
      </c>
      <c r="IT319" s="24"/>
      <c r="IU319">
        <v>7738</v>
      </c>
      <c r="IV319">
        <v>7738</v>
      </c>
      <c r="IW319">
        <v>7738</v>
      </c>
      <c r="IX319">
        <v>622440</v>
      </c>
      <c r="IY319">
        <v>97</v>
      </c>
      <c r="JA319" s="24"/>
      <c r="JB319">
        <v>87318044</v>
      </c>
      <c r="JC319">
        <v>93000998</v>
      </c>
      <c r="JD319">
        <v>92999995</v>
      </c>
      <c r="JE319">
        <v>109</v>
      </c>
      <c r="JF319">
        <v>61</v>
      </c>
      <c r="JH319" s="24"/>
      <c r="JI319">
        <v>87011028</v>
      </c>
      <c r="JJ319">
        <v>94985992</v>
      </c>
      <c r="JK319">
        <v>92167227</v>
      </c>
      <c r="JL319">
        <v>53</v>
      </c>
      <c r="JM319">
        <v>41</v>
      </c>
      <c r="JO319" s="24"/>
      <c r="JP319">
        <v>85</v>
      </c>
      <c r="JQ319">
        <v>86</v>
      </c>
      <c r="JR319">
        <v>85</v>
      </c>
      <c r="JS319">
        <v>218378628</v>
      </c>
      <c r="JT319">
        <v>119</v>
      </c>
      <c r="JV319" s="24"/>
      <c r="JW319">
        <v>101</v>
      </c>
      <c r="JX319">
        <v>104</v>
      </c>
      <c r="JY319">
        <v>104</v>
      </c>
      <c r="JZ319">
        <v>135370169</v>
      </c>
      <c r="KA319">
        <v>113</v>
      </c>
      <c r="KC319" s="24"/>
      <c r="KD319">
        <v>20</v>
      </c>
      <c r="KE319">
        <v>21</v>
      </c>
      <c r="KF319">
        <v>21</v>
      </c>
      <c r="KG319">
        <v>49339596</v>
      </c>
      <c r="KH319">
        <v>311</v>
      </c>
      <c r="KJ319" s="24"/>
      <c r="KK319">
        <v>113</v>
      </c>
      <c r="KL319">
        <v>120</v>
      </c>
      <c r="KM319">
        <v>117</v>
      </c>
      <c r="KN319">
        <v>133908284</v>
      </c>
      <c r="KO319">
        <v>116</v>
      </c>
      <c r="KQ319" s="24"/>
      <c r="KR319">
        <v>122506</v>
      </c>
      <c r="KS319">
        <v>125000</v>
      </c>
      <c r="KT319">
        <v>123000</v>
      </c>
      <c r="KU319">
        <v>39738</v>
      </c>
      <c r="KV319">
        <v>539</v>
      </c>
      <c r="KX319" s="24"/>
      <c r="KY319">
        <v>791</v>
      </c>
      <c r="KZ319">
        <v>803</v>
      </c>
      <c r="LA319">
        <v>796</v>
      </c>
      <c r="LB319">
        <v>7742640</v>
      </c>
      <c r="LC319">
        <v>165</v>
      </c>
      <c r="LE319" s="24"/>
      <c r="LF319">
        <v>179000</v>
      </c>
      <c r="LG319">
        <v>179005</v>
      </c>
      <c r="LH319">
        <v>179001</v>
      </c>
      <c r="LI319">
        <v>67085</v>
      </c>
      <c r="LJ319">
        <v>672</v>
      </c>
      <c r="LL319" s="24"/>
      <c r="LM319">
        <v>67046</v>
      </c>
      <c r="LN319">
        <v>67700</v>
      </c>
      <c r="LO319">
        <v>67534</v>
      </c>
      <c r="LP319">
        <v>390538</v>
      </c>
      <c r="LQ319">
        <v>995</v>
      </c>
      <c r="LS319" s="24"/>
      <c r="LT319">
        <v>564</v>
      </c>
      <c r="LU319">
        <v>680</v>
      </c>
      <c r="LV319">
        <v>647</v>
      </c>
      <c r="LW319">
        <v>227161463</v>
      </c>
      <c r="LX319">
        <v>481</v>
      </c>
      <c r="LZ319" s="24"/>
      <c r="MA319">
        <v>95000</v>
      </c>
      <c r="MB319">
        <v>96999</v>
      </c>
      <c r="MC319">
        <v>95800</v>
      </c>
      <c r="MD319">
        <v>1021563</v>
      </c>
      <c r="ME319">
        <v>73</v>
      </c>
    </row>
    <row r="320" spans="2:343" x14ac:dyDescent="0.25">
      <c r="B320" s="24"/>
      <c r="C320">
        <v>3</v>
      </c>
      <c r="D320">
        <v>3</v>
      </c>
      <c r="E320">
        <v>3</v>
      </c>
      <c r="F320">
        <v>28734494602</v>
      </c>
      <c r="G320">
        <v>2512</v>
      </c>
      <c r="I320" s="24"/>
      <c r="J320">
        <v>4</v>
      </c>
      <c r="K320">
        <v>4</v>
      </c>
      <c r="L320">
        <v>4</v>
      </c>
      <c r="M320">
        <v>6255002244</v>
      </c>
      <c r="N320">
        <v>1829</v>
      </c>
      <c r="P320" s="24"/>
      <c r="Q320">
        <v>33</v>
      </c>
      <c r="R320">
        <v>33</v>
      </c>
      <c r="S320">
        <v>33</v>
      </c>
      <c r="T320">
        <v>1280006512</v>
      </c>
      <c r="U320">
        <v>1710</v>
      </c>
      <c r="W320" s="24"/>
      <c r="X320">
        <v>61</v>
      </c>
      <c r="Y320">
        <v>62</v>
      </c>
      <c r="Z320">
        <v>62</v>
      </c>
      <c r="AA320">
        <v>270745418</v>
      </c>
      <c r="AB320">
        <v>1310</v>
      </c>
      <c r="AD320" s="24"/>
      <c r="AE320">
        <v>412</v>
      </c>
      <c r="AF320">
        <v>429</v>
      </c>
      <c r="AG320">
        <v>421</v>
      </c>
      <c r="AH320">
        <v>63153947</v>
      </c>
      <c r="AI320">
        <v>1424</v>
      </c>
      <c r="AK320" s="24"/>
      <c r="AL320">
        <v>731</v>
      </c>
      <c r="AM320">
        <v>738</v>
      </c>
      <c r="AN320">
        <v>738</v>
      </c>
      <c r="AO320">
        <v>35598002</v>
      </c>
      <c r="AP320">
        <v>1156</v>
      </c>
      <c r="AR320" s="24"/>
      <c r="AS320">
        <v>2785</v>
      </c>
      <c r="AT320">
        <v>2861</v>
      </c>
      <c r="AU320">
        <v>2818</v>
      </c>
      <c r="AV320">
        <v>14031713</v>
      </c>
      <c r="AW320">
        <v>1126</v>
      </c>
      <c r="AY320" s="24"/>
      <c r="AZ320">
        <v>398000000</v>
      </c>
      <c r="BA320">
        <v>405853000</v>
      </c>
      <c r="BB320">
        <v>401000000</v>
      </c>
      <c r="BC320">
        <v>4084</v>
      </c>
      <c r="BD320">
        <v>2394</v>
      </c>
      <c r="BF320" s="24"/>
      <c r="BG320">
        <v>24806</v>
      </c>
      <c r="BH320">
        <v>24905</v>
      </c>
      <c r="BI320">
        <v>24897</v>
      </c>
      <c r="BJ320">
        <v>2614855</v>
      </c>
      <c r="BK320">
        <v>222</v>
      </c>
      <c r="BM320" s="24"/>
      <c r="BN320">
        <v>6570000</v>
      </c>
      <c r="BO320">
        <v>6978000</v>
      </c>
      <c r="BP320">
        <v>6650002</v>
      </c>
      <c r="BQ320">
        <v>15771</v>
      </c>
      <c r="BR320">
        <v>371</v>
      </c>
      <c r="BT320" s="24"/>
      <c r="BU320">
        <v>2199</v>
      </c>
      <c r="BV320">
        <v>2267</v>
      </c>
      <c r="BW320">
        <v>2267</v>
      </c>
      <c r="BX320">
        <v>29649966</v>
      </c>
      <c r="BY320">
        <v>262</v>
      </c>
      <c r="CA320" s="24"/>
      <c r="CB320">
        <v>974</v>
      </c>
      <c r="CC320">
        <v>1013</v>
      </c>
      <c r="CD320">
        <v>974</v>
      </c>
      <c r="CE320">
        <v>73871791</v>
      </c>
      <c r="CF320">
        <v>302</v>
      </c>
      <c r="CH320" s="24"/>
      <c r="CI320">
        <v>25154</v>
      </c>
      <c r="CJ320">
        <v>25304</v>
      </c>
      <c r="CK320">
        <v>25155</v>
      </c>
      <c r="CL320">
        <v>1464599</v>
      </c>
      <c r="CM320">
        <v>185</v>
      </c>
      <c r="CO320" s="24"/>
      <c r="CP320">
        <v>8060</v>
      </c>
      <c r="CQ320">
        <v>8498</v>
      </c>
      <c r="CR320">
        <v>8397</v>
      </c>
      <c r="CS320">
        <v>1367289</v>
      </c>
      <c r="CT320">
        <v>402</v>
      </c>
      <c r="CV320" s="24"/>
      <c r="CW320">
        <v>1221899</v>
      </c>
      <c r="CX320">
        <v>1299998</v>
      </c>
      <c r="CY320">
        <v>1227989</v>
      </c>
      <c r="CZ320">
        <v>13035</v>
      </c>
      <c r="DA320">
        <v>35</v>
      </c>
      <c r="DC320" s="24"/>
      <c r="DD320">
        <v>500</v>
      </c>
      <c r="DE320">
        <v>524</v>
      </c>
      <c r="DF320">
        <v>523</v>
      </c>
      <c r="DG320">
        <v>58990189</v>
      </c>
      <c r="DH320">
        <v>204</v>
      </c>
      <c r="DJ320" s="24"/>
      <c r="DK320">
        <v>33600003</v>
      </c>
      <c r="DL320">
        <v>33600017</v>
      </c>
      <c r="DM320">
        <v>33600017</v>
      </c>
      <c r="DN320">
        <v>186</v>
      </c>
      <c r="DO320">
        <v>59</v>
      </c>
      <c r="DQ320" s="24"/>
      <c r="DR320">
        <v>962001</v>
      </c>
      <c r="DS320">
        <v>1060992</v>
      </c>
      <c r="DT320">
        <v>962008</v>
      </c>
      <c r="DU320">
        <v>7277</v>
      </c>
      <c r="DV320">
        <v>234</v>
      </c>
      <c r="DX320" s="24"/>
      <c r="DY320">
        <v>20808009</v>
      </c>
      <c r="DZ320">
        <v>21000000</v>
      </c>
      <c r="EA320">
        <v>20808014</v>
      </c>
      <c r="EB320">
        <v>389</v>
      </c>
      <c r="EC320">
        <v>88</v>
      </c>
      <c r="EE320" s="24"/>
      <c r="EF320">
        <v>193</v>
      </c>
      <c r="EG320">
        <v>200</v>
      </c>
      <c r="EH320">
        <v>193</v>
      </c>
      <c r="EI320">
        <v>122462090</v>
      </c>
      <c r="EJ320">
        <v>173</v>
      </c>
      <c r="EL320" s="24"/>
      <c r="EM320">
        <v>55506</v>
      </c>
      <c r="EN320">
        <v>56000</v>
      </c>
      <c r="EO320">
        <v>55506</v>
      </c>
      <c r="EP320">
        <v>80180</v>
      </c>
      <c r="EQ320">
        <v>640</v>
      </c>
      <c r="ES320" s="24"/>
      <c r="ET320">
        <v>299</v>
      </c>
      <c r="EU320">
        <v>307</v>
      </c>
      <c r="EV320">
        <v>301</v>
      </c>
      <c r="EW320">
        <v>60253964</v>
      </c>
      <c r="EX320">
        <v>684</v>
      </c>
      <c r="EZ320" s="24"/>
      <c r="FA320">
        <v>3197999</v>
      </c>
      <c r="FB320">
        <v>3199999</v>
      </c>
      <c r="FC320">
        <v>3198000</v>
      </c>
      <c r="FD320">
        <v>1161</v>
      </c>
      <c r="FE320">
        <v>13</v>
      </c>
      <c r="FG320" s="24"/>
      <c r="FH320">
        <v>7954</v>
      </c>
      <c r="FI320">
        <v>8500</v>
      </c>
      <c r="FJ320">
        <v>8397</v>
      </c>
      <c r="FK320">
        <v>1863151</v>
      </c>
      <c r="FL320">
        <v>507</v>
      </c>
      <c r="FN320" s="24"/>
      <c r="FO320">
        <v>18209</v>
      </c>
      <c r="FP320">
        <v>18899</v>
      </c>
      <c r="FQ320">
        <v>18213</v>
      </c>
      <c r="FR320">
        <v>198394</v>
      </c>
      <c r="FS320">
        <v>89</v>
      </c>
      <c r="FU320" s="24"/>
      <c r="FV320">
        <v>14204</v>
      </c>
      <c r="FW320">
        <v>14210</v>
      </c>
      <c r="FX320">
        <v>14205</v>
      </c>
      <c r="FY320">
        <v>432594</v>
      </c>
      <c r="FZ320">
        <v>1103</v>
      </c>
      <c r="GB320" s="24"/>
      <c r="GC320">
        <v>88082007</v>
      </c>
      <c r="GD320">
        <v>103870000</v>
      </c>
      <c r="GE320">
        <v>98600966</v>
      </c>
      <c r="GF320">
        <v>74</v>
      </c>
      <c r="GG320">
        <v>52</v>
      </c>
      <c r="GI320" s="24"/>
      <c r="GJ320">
        <v>18600005</v>
      </c>
      <c r="GK320">
        <v>19287998</v>
      </c>
      <c r="GL320">
        <v>19005000</v>
      </c>
      <c r="GM320">
        <v>527</v>
      </c>
      <c r="GN320">
        <v>96</v>
      </c>
      <c r="GP320" s="24"/>
      <c r="GQ320">
        <v>109</v>
      </c>
      <c r="GR320">
        <v>112</v>
      </c>
      <c r="GS320">
        <v>112</v>
      </c>
      <c r="GT320">
        <v>107463583</v>
      </c>
      <c r="GU320">
        <v>148</v>
      </c>
      <c r="GW320" s="24"/>
      <c r="GX320">
        <v>482</v>
      </c>
      <c r="GY320">
        <v>520</v>
      </c>
      <c r="GZ320">
        <v>505</v>
      </c>
      <c r="HA320">
        <v>51071741</v>
      </c>
      <c r="HB320">
        <v>230</v>
      </c>
      <c r="HD320" s="24"/>
      <c r="HE320">
        <v>5623</v>
      </c>
      <c r="HF320">
        <v>5818</v>
      </c>
      <c r="HG320">
        <v>5817</v>
      </c>
      <c r="HH320">
        <v>11389638</v>
      </c>
      <c r="HI320">
        <v>218</v>
      </c>
      <c r="HK320" s="24"/>
      <c r="HL320">
        <v>86511001</v>
      </c>
      <c r="HM320">
        <v>93999982</v>
      </c>
      <c r="HN320">
        <v>92379149</v>
      </c>
      <c r="HO320">
        <v>97</v>
      </c>
      <c r="HP320">
        <v>55</v>
      </c>
      <c r="HR320" s="24"/>
      <c r="HS320">
        <v>8300</v>
      </c>
      <c r="HT320">
        <v>8604</v>
      </c>
      <c r="HU320">
        <v>8400</v>
      </c>
      <c r="HV320">
        <v>1234585</v>
      </c>
      <c r="HW320">
        <v>209</v>
      </c>
      <c r="HY320" s="24"/>
      <c r="HZ320">
        <v>7570</v>
      </c>
      <c r="IA320">
        <v>7837</v>
      </c>
      <c r="IB320">
        <v>7795</v>
      </c>
      <c r="IC320">
        <v>2172175</v>
      </c>
      <c r="ID320">
        <v>458</v>
      </c>
      <c r="IF320" s="24"/>
      <c r="IG320">
        <v>2801</v>
      </c>
      <c r="IH320">
        <v>2857</v>
      </c>
      <c r="II320">
        <v>2856</v>
      </c>
      <c r="IJ320">
        <v>1804468</v>
      </c>
      <c r="IK320">
        <v>146</v>
      </c>
      <c r="IM320" s="24"/>
      <c r="IN320">
        <v>87005000</v>
      </c>
      <c r="IO320">
        <v>91789998</v>
      </c>
      <c r="IP320">
        <v>89915960</v>
      </c>
      <c r="IQ320">
        <v>76</v>
      </c>
      <c r="IR320">
        <v>48</v>
      </c>
      <c r="IT320" s="24"/>
      <c r="IU320">
        <v>7699</v>
      </c>
      <c r="IV320">
        <v>7738</v>
      </c>
      <c r="IW320">
        <v>7738</v>
      </c>
      <c r="IX320">
        <v>875326</v>
      </c>
      <c r="IY320">
        <v>125</v>
      </c>
      <c r="JA320" s="24"/>
      <c r="JB320">
        <v>88100007</v>
      </c>
      <c r="JC320">
        <v>98399499</v>
      </c>
      <c r="JD320">
        <v>88100010</v>
      </c>
      <c r="JE320">
        <v>155</v>
      </c>
      <c r="JF320">
        <v>94</v>
      </c>
      <c r="JH320" s="24"/>
      <c r="JI320">
        <v>89012025</v>
      </c>
      <c r="JJ320">
        <v>94984999</v>
      </c>
      <c r="JK320">
        <v>91491900</v>
      </c>
      <c r="JL320">
        <v>62</v>
      </c>
      <c r="JM320">
        <v>36</v>
      </c>
      <c r="JO320" s="24"/>
      <c r="JP320">
        <v>89</v>
      </c>
      <c r="JQ320">
        <v>91</v>
      </c>
      <c r="JR320">
        <v>90</v>
      </c>
      <c r="JS320">
        <v>198676569</v>
      </c>
      <c r="JT320">
        <v>129</v>
      </c>
      <c r="JV320" s="24"/>
      <c r="JW320">
        <v>98</v>
      </c>
      <c r="JX320">
        <v>104</v>
      </c>
      <c r="JY320">
        <v>102</v>
      </c>
      <c r="JZ320">
        <v>137669250</v>
      </c>
      <c r="KA320">
        <v>127</v>
      </c>
      <c r="KC320" s="24"/>
      <c r="KD320">
        <v>20</v>
      </c>
      <c r="KE320">
        <v>21</v>
      </c>
      <c r="KF320">
        <v>20</v>
      </c>
      <c r="KG320">
        <v>59178020</v>
      </c>
      <c r="KH320">
        <v>369</v>
      </c>
      <c r="KJ320" s="24"/>
      <c r="KK320">
        <v>107</v>
      </c>
      <c r="KL320">
        <v>112</v>
      </c>
      <c r="KM320">
        <v>111</v>
      </c>
      <c r="KN320">
        <v>109722034</v>
      </c>
      <c r="KO320">
        <v>135</v>
      </c>
      <c r="KQ320" s="24"/>
      <c r="KR320">
        <v>122511</v>
      </c>
      <c r="KS320">
        <v>122750</v>
      </c>
      <c r="KT320">
        <v>122521</v>
      </c>
      <c r="KU320">
        <v>123953</v>
      </c>
      <c r="KV320">
        <v>631</v>
      </c>
      <c r="KX320" s="24"/>
      <c r="KY320">
        <v>773</v>
      </c>
      <c r="KZ320">
        <v>803</v>
      </c>
      <c r="LA320">
        <v>803</v>
      </c>
      <c r="LB320">
        <v>8037166</v>
      </c>
      <c r="LC320">
        <v>208</v>
      </c>
      <c r="LE320" s="24"/>
      <c r="LF320">
        <v>179025</v>
      </c>
      <c r="LG320">
        <v>180000</v>
      </c>
      <c r="LH320">
        <v>179025</v>
      </c>
      <c r="LI320">
        <v>208010</v>
      </c>
      <c r="LJ320">
        <v>868</v>
      </c>
      <c r="LL320" s="24"/>
      <c r="LM320">
        <v>67814</v>
      </c>
      <c r="LN320">
        <v>68000</v>
      </c>
      <c r="LO320">
        <v>67815</v>
      </c>
      <c r="LP320">
        <v>432827</v>
      </c>
      <c r="LQ320">
        <v>1195</v>
      </c>
      <c r="LS320" s="24"/>
      <c r="LT320">
        <v>510</v>
      </c>
      <c r="LU320">
        <v>587</v>
      </c>
      <c r="LV320">
        <v>543</v>
      </c>
      <c r="LW320">
        <v>206629326</v>
      </c>
      <c r="LX320">
        <v>550</v>
      </c>
      <c r="LZ320" s="24"/>
      <c r="MA320">
        <v>94007</v>
      </c>
      <c r="MB320">
        <v>96999</v>
      </c>
      <c r="MC320">
        <v>95000</v>
      </c>
      <c r="MD320">
        <v>1002388</v>
      </c>
      <c r="ME320">
        <v>71</v>
      </c>
    </row>
    <row r="321" spans="2:343" x14ac:dyDescent="0.25">
      <c r="B321" s="24"/>
      <c r="C321">
        <v>3</v>
      </c>
      <c r="D321">
        <v>3</v>
      </c>
      <c r="E321">
        <v>3</v>
      </c>
      <c r="F321">
        <v>34313248845</v>
      </c>
      <c r="G321">
        <v>2622</v>
      </c>
      <c r="I321" s="24"/>
      <c r="J321">
        <v>4</v>
      </c>
      <c r="K321">
        <v>4</v>
      </c>
      <c r="L321">
        <v>4</v>
      </c>
      <c r="M321">
        <v>4933107373</v>
      </c>
      <c r="N321">
        <v>1887</v>
      </c>
      <c r="P321" s="24"/>
      <c r="Q321">
        <v>33</v>
      </c>
      <c r="R321">
        <v>33</v>
      </c>
      <c r="S321">
        <v>33</v>
      </c>
      <c r="T321">
        <v>1984190234</v>
      </c>
      <c r="U321">
        <v>1756</v>
      </c>
      <c r="W321" s="24"/>
      <c r="X321">
        <v>61</v>
      </c>
      <c r="Y321">
        <v>62</v>
      </c>
      <c r="Z321">
        <v>62</v>
      </c>
      <c r="AA321">
        <v>363890500</v>
      </c>
      <c r="AB321">
        <v>1422</v>
      </c>
      <c r="AD321" s="24"/>
      <c r="AE321">
        <v>417</v>
      </c>
      <c r="AF321">
        <v>429</v>
      </c>
      <c r="AG321">
        <v>429</v>
      </c>
      <c r="AH321">
        <v>85551258</v>
      </c>
      <c r="AI321">
        <v>1528</v>
      </c>
      <c r="AK321" s="24"/>
      <c r="AL321">
        <v>723</v>
      </c>
      <c r="AM321">
        <v>736</v>
      </c>
      <c r="AN321">
        <v>736</v>
      </c>
      <c r="AO321">
        <v>32439245</v>
      </c>
      <c r="AP321">
        <v>1277</v>
      </c>
      <c r="AR321" s="24"/>
      <c r="AS321">
        <v>2777</v>
      </c>
      <c r="AT321">
        <v>2861</v>
      </c>
      <c r="AU321">
        <v>2820</v>
      </c>
      <c r="AV321">
        <v>13386151</v>
      </c>
      <c r="AW321">
        <v>1228</v>
      </c>
      <c r="AY321" s="24"/>
      <c r="AZ321">
        <v>396900000</v>
      </c>
      <c r="BA321">
        <v>404288000</v>
      </c>
      <c r="BB321">
        <v>402299000</v>
      </c>
      <c r="BC321">
        <v>3382</v>
      </c>
      <c r="BD321">
        <v>2051</v>
      </c>
      <c r="BF321" s="24"/>
      <c r="BG321">
        <v>24850</v>
      </c>
      <c r="BH321">
        <v>24851</v>
      </c>
      <c r="BI321">
        <v>24850</v>
      </c>
      <c r="BJ321">
        <v>4792229</v>
      </c>
      <c r="BK321">
        <v>245</v>
      </c>
      <c r="BM321" s="24"/>
      <c r="BN321">
        <v>6580000</v>
      </c>
      <c r="BO321">
        <v>6700002</v>
      </c>
      <c r="BP321">
        <v>6700001</v>
      </c>
      <c r="BQ321">
        <v>12788</v>
      </c>
      <c r="BR321">
        <v>347</v>
      </c>
      <c r="BT321" s="24"/>
      <c r="BU321">
        <v>2268</v>
      </c>
      <c r="BV321">
        <v>2269</v>
      </c>
      <c r="BW321">
        <v>2269</v>
      </c>
      <c r="BX321">
        <v>20802549</v>
      </c>
      <c r="BY321">
        <v>232</v>
      </c>
      <c r="CA321" s="24"/>
      <c r="CB321">
        <v>996</v>
      </c>
      <c r="CC321">
        <v>1004</v>
      </c>
      <c r="CD321">
        <v>999</v>
      </c>
      <c r="CE321">
        <v>55545270</v>
      </c>
      <c r="CF321">
        <v>270</v>
      </c>
      <c r="CH321" s="24"/>
      <c r="CI321">
        <v>25154</v>
      </c>
      <c r="CJ321">
        <v>25154</v>
      </c>
      <c r="CK321">
        <v>25154</v>
      </c>
      <c r="CL321">
        <v>1265228</v>
      </c>
      <c r="CM321">
        <v>169</v>
      </c>
      <c r="CO321" s="24"/>
      <c r="CP321">
        <v>8549</v>
      </c>
      <c r="CQ321">
        <v>9179</v>
      </c>
      <c r="CR321">
        <v>8688</v>
      </c>
      <c r="CS321">
        <v>1654812</v>
      </c>
      <c r="CT321">
        <v>469</v>
      </c>
      <c r="CV321" s="24"/>
      <c r="CW321">
        <v>1324999</v>
      </c>
      <c r="CX321">
        <v>1330002</v>
      </c>
      <c r="CY321">
        <v>1330000</v>
      </c>
      <c r="CZ321">
        <v>13679</v>
      </c>
      <c r="DA321">
        <v>40</v>
      </c>
      <c r="DC321" s="24"/>
      <c r="DD321">
        <v>500</v>
      </c>
      <c r="DE321">
        <v>522</v>
      </c>
      <c r="DF321">
        <v>514</v>
      </c>
      <c r="DG321">
        <v>68412299</v>
      </c>
      <c r="DH321">
        <v>265</v>
      </c>
      <c r="DJ321" s="24"/>
      <c r="DK321">
        <v>33603021</v>
      </c>
      <c r="DL321">
        <v>33700000</v>
      </c>
      <c r="DM321">
        <v>33603022</v>
      </c>
      <c r="DN321">
        <v>229</v>
      </c>
      <c r="DO321">
        <v>79</v>
      </c>
      <c r="DQ321" s="24"/>
      <c r="DR321">
        <v>962008</v>
      </c>
      <c r="DS321">
        <v>1034998</v>
      </c>
      <c r="DT321">
        <v>962013</v>
      </c>
      <c r="DU321">
        <v>9952</v>
      </c>
      <c r="DV321">
        <v>279</v>
      </c>
      <c r="DX321" s="24"/>
      <c r="DY321">
        <v>21008009</v>
      </c>
      <c r="DZ321">
        <v>21698999</v>
      </c>
      <c r="EA321">
        <v>21009009</v>
      </c>
      <c r="EB321">
        <v>528</v>
      </c>
      <c r="EC321">
        <v>116</v>
      </c>
      <c r="EE321" s="24"/>
      <c r="EF321">
        <v>195</v>
      </c>
      <c r="EG321">
        <v>201</v>
      </c>
      <c r="EH321">
        <v>200</v>
      </c>
      <c r="EI321">
        <v>109501015</v>
      </c>
      <c r="EJ321">
        <v>209</v>
      </c>
      <c r="EL321" s="24"/>
      <c r="EM321">
        <v>55508</v>
      </c>
      <c r="EN321">
        <v>59893</v>
      </c>
      <c r="EO321">
        <v>55510</v>
      </c>
      <c r="EP321">
        <v>103235</v>
      </c>
      <c r="EQ321">
        <v>732</v>
      </c>
      <c r="ES321" s="24"/>
      <c r="ET321">
        <v>298</v>
      </c>
      <c r="EU321">
        <v>307</v>
      </c>
      <c r="EV321">
        <v>307</v>
      </c>
      <c r="EW321">
        <v>64669558</v>
      </c>
      <c r="EX321">
        <v>689</v>
      </c>
      <c r="EZ321" s="24"/>
      <c r="FA321">
        <v>3214012</v>
      </c>
      <c r="FB321">
        <v>3499999</v>
      </c>
      <c r="FC321">
        <v>3359979</v>
      </c>
      <c r="FD321">
        <v>3083</v>
      </c>
      <c r="FE321">
        <v>40</v>
      </c>
      <c r="FG321" s="24"/>
      <c r="FH321">
        <v>8312</v>
      </c>
      <c r="FI321">
        <v>8579</v>
      </c>
      <c r="FJ321">
        <v>8313</v>
      </c>
      <c r="FK321">
        <v>2752367</v>
      </c>
      <c r="FL321">
        <v>534</v>
      </c>
      <c r="FN321" s="24"/>
      <c r="FO321">
        <v>18826</v>
      </c>
      <c r="FP321">
        <v>18898</v>
      </c>
      <c r="FQ321">
        <v>18897</v>
      </c>
      <c r="FR321">
        <v>280775</v>
      </c>
      <c r="FS321">
        <v>109</v>
      </c>
      <c r="FU321" s="24"/>
      <c r="FV321">
        <v>14500</v>
      </c>
      <c r="FW321">
        <v>14600</v>
      </c>
      <c r="FX321">
        <v>14501</v>
      </c>
      <c r="FY321">
        <v>529616</v>
      </c>
      <c r="FZ321">
        <v>1259</v>
      </c>
      <c r="GB321" s="24"/>
      <c r="GC321">
        <v>89018001</v>
      </c>
      <c r="GD321">
        <v>101975000</v>
      </c>
      <c r="GE321">
        <v>89019003</v>
      </c>
      <c r="GF321">
        <v>131</v>
      </c>
      <c r="GG321">
        <v>66</v>
      </c>
      <c r="GI321" s="24"/>
      <c r="GJ321">
        <v>18600005</v>
      </c>
      <c r="GK321">
        <v>19287989</v>
      </c>
      <c r="GL321">
        <v>18600007</v>
      </c>
      <c r="GM321">
        <v>841</v>
      </c>
      <c r="GN321">
        <v>114</v>
      </c>
      <c r="GP321" s="24"/>
      <c r="GQ321">
        <v>105</v>
      </c>
      <c r="GR321">
        <v>111</v>
      </c>
      <c r="GS321">
        <v>109</v>
      </c>
      <c r="GT321">
        <v>190359830</v>
      </c>
      <c r="GU321">
        <v>167</v>
      </c>
      <c r="GW321" s="24"/>
      <c r="GX321">
        <v>485</v>
      </c>
      <c r="GY321">
        <v>504</v>
      </c>
      <c r="GZ321">
        <v>499</v>
      </c>
      <c r="HA321">
        <v>61334840</v>
      </c>
      <c r="HB321">
        <v>252</v>
      </c>
      <c r="HD321" s="24"/>
      <c r="HE321">
        <v>5650</v>
      </c>
      <c r="HF321">
        <v>5811</v>
      </c>
      <c r="HG321">
        <v>5806</v>
      </c>
      <c r="HH321">
        <v>17575140</v>
      </c>
      <c r="HI321">
        <v>321</v>
      </c>
      <c r="HK321" s="24"/>
      <c r="HL321">
        <v>87526003</v>
      </c>
      <c r="HM321">
        <v>97518999</v>
      </c>
      <c r="HN321">
        <v>94307803</v>
      </c>
      <c r="HO321">
        <v>66</v>
      </c>
      <c r="HP321">
        <v>57</v>
      </c>
      <c r="HR321" s="24"/>
      <c r="HS321">
        <v>8002</v>
      </c>
      <c r="HT321">
        <v>8389</v>
      </c>
      <c r="HU321">
        <v>8008</v>
      </c>
      <c r="HV321">
        <v>1323082</v>
      </c>
      <c r="HW321">
        <v>177</v>
      </c>
      <c r="HY321" s="24"/>
      <c r="HZ321">
        <v>7581</v>
      </c>
      <c r="IA321">
        <v>7927</v>
      </c>
      <c r="IB321">
        <v>7897</v>
      </c>
      <c r="IC321">
        <v>2589592</v>
      </c>
      <c r="ID321">
        <v>548</v>
      </c>
      <c r="IF321" s="24"/>
      <c r="IG321">
        <v>2856</v>
      </c>
      <c r="IH321">
        <v>2877</v>
      </c>
      <c r="II321">
        <v>2867</v>
      </c>
      <c r="IJ321">
        <v>1586412</v>
      </c>
      <c r="IK321">
        <v>162</v>
      </c>
      <c r="IM321" s="24"/>
      <c r="IN321">
        <v>87095000</v>
      </c>
      <c r="IO321">
        <v>91199987</v>
      </c>
      <c r="IP321">
        <v>90540397</v>
      </c>
      <c r="IQ321">
        <v>62</v>
      </c>
      <c r="IR321">
        <v>50</v>
      </c>
      <c r="IT321" s="24"/>
      <c r="IU321">
        <v>7738</v>
      </c>
      <c r="IV321">
        <v>7738</v>
      </c>
      <c r="IW321">
        <v>7738</v>
      </c>
      <c r="IX321">
        <v>1347516</v>
      </c>
      <c r="IY321">
        <v>169</v>
      </c>
      <c r="JA321" s="24"/>
      <c r="JB321">
        <v>88118001</v>
      </c>
      <c r="JC321">
        <v>96000000</v>
      </c>
      <c r="JD321">
        <v>93052729</v>
      </c>
      <c r="JE321">
        <v>94</v>
      </c>
      <c r="JF321">
        <v>63</v>
      </c>
      <c r="JH321" s="24"/>
      <c r="JI321">
        <v>89014010</v>
      </c>
      <c r="JJ321">
        <v>94983983</v>
      </c>
      <c r="JK321">
        <v>92266090</v>
      </c>
      <c r="JL321">
        <v>45</v>
      </c>
      <c r="JM321">
        <v>31</v>
      </c>
      <c r="JO321" s="24"/>
      <c r="JP321">
        <v>90</v>
      </c>
      <c r="JQ321">
        <v>95</v>
      </c>
      <c r="JR321">
        <v>93</v>
      </c>
      <c r="JS321">
        <v>208831205</v>
      </c>
      <c r="JT321">
        <v>144</v>
      </c>
      <c r="JV321" s="24"/>
      <c r="JW321">
        <v>98</v>
      </c>
      <c r="JX321">
        <v>102</v>
      </c>
      <c r="JY321">
        <v>100</v>
      </c>
      <c r="JZ321">
        <v>135720974</v>
      </c>
      <c r="KA321">
        <v>117</v>
      </c>
      <c r="KC321" s="24"/>
      <c r="KD321">
        <v>20</v>
      </c>
      <c r="KE321">
        <v>21</v>
      </c>
      <c r="KF321">
        <v>21</v>
      </c>
      <c r="KG321">
        <v>59892359</v>
      </c>
      <c r="KH321">
        <v>377</v>
      </c>
      <c r="KJ321" s="24"/>
      <c r="KK321">
        <v>108</v>
      </c>
      <c r="KL321">
        <v>109</v>
      </c>
      <c r="KM321">
        <v>109</v>
      </c>
      <c r="KN321">
        <v>128274165</v>
      </c>
      <c r="KO321">
        <v>124</v>
      </c>
      <c r="KQ321" s="24"/>
      <c r="KR321">
        <v>123015</v>
      </c>
      <c r="KS321">
        <v>123025</v>
      </c>
      <c r="KT321">
        <v>123015</v>
      </c>
      <c r="KU321">
        <v>65844</v>
      </c>
      <c r="KV321">
        <v>727</v>
      </c>
      <c r="KX321" s="24"/>
      <c r="KY321">
        <v>782</v>
      </c>
      <c r="KZ321">
        <v>803</v>
      </c>
      <c r="LA321">
        <v>803</v>
      </c>
      <c r="LB321">
        <v>8757836</v>
      </c>
      <c r="LC321">
        <v>221</v>
      </c>
      <c r="LE321" s="24"/>
      <c r="LF321">
        <v>179254</v>
      </c>
      <c r="LG321">
        <v>185000</v>
      </c>
      <c r="LH321">
        <v>180249</v>
      </c>
      <c r="LI321">
        <v>158765</v>
      </c>
      <c r="LJ321">
        <v>971</v>
      </c>
      <c r="LL321" s="24"/>
      <c r="LM321">
        <v>67815</v>
      </c>
      <c r="LN321">
        <v>67817</v>
      </c>
      <c r="LO321">
        <v>67816</v>
      </c>
      <c r="LP321">
        <v>431618</v>
      </c>
      <c r="LQ321">
        <v>1316</v>
      </c>
      <c r="LS321" s="24"/>
      <c r="LT321">
        <v>495</v>
      </c>
      <c r="LU321">
        <v>534</v>
      </c>
      <c r="LV321">
        <v>507</v>
      </c>
      <c r="LW321">
        <v>198813808</v>
      </c>
      <c r="LX321">
        <v>537</v>
      </c>
      <c r="LZ321" s="24"/>
      <c r="MA321">
        <v>92500</v>
      </c>
      <c r="MB321">
        <v>95999</v>
      </c>
      <c r="MC321">
        <v>92591</v>
      </c>
      <c r="MD321">
        <v>1418368</v>
      </c>
      <c r="ME321">
        <v>102</v>
      </c>
    </row>
    <row r="322" spans="2:343" x14ac:dyDescent="0.25">
      <c r="B322" s="24"/>
      <c r="C322">
        <v>3</v>
      </c>
      <c r="D322">
        <v>3</v>
      </c>
      <c r="E322">
        <v>3</v>
      </c>
      <c r="F322">
        <v>38010120982</v>
      </c>
      <c r="G322">
        <v>2211</v>
      </c>
      <c r="I322" s="24"/>
      <c r="J322">
        <v>4</v>
      </c>
      <c r="K322">
        <v>4</v>
      </c>
      <c r="L322">
        <v>4</v>
      </c>
      <c r="M322">
        <v>6242975936</v>
      </c>
      <c r="N322">
        <v>1504</v>
      </c>
      <c r="P322" s="24"/>
      <c r="Q322">
        <v>32</v>
      </c>
      <c r="R322">
        <v>33</v>
      </c>
      <c r="S322">
        <v>33</v>
      </c>
      <c r="T322">
        <v>1269004381</v>
      </c>
      <c r="U322">
        <v>1400</v>
      </c>
      <c r="W322" s="24"/>
      <c r="X322">
        <v>61</v>
      </c>
      <c r="Y322">
        <v>62</v>
      </c>
      <c r="Z322">
        <v>62</v>
      </c>
      <c r="AA322">
        <v>263797276</v>
      </c>
      <c r="AB322">
        <v>1134</v>
      </c>
      <c r="AD322" s="24"/>
      <c r="AE322">
        <v>420</v>
      </c>
      <c r="AF322">
        <v>428</v>
      </c>
      <c r="AG322">
        <v>426</v>
      </c>
      <c r="AH322">
        <v>92005842</v>
      </c>
      <c r="AI322">
        <v>1169</v>
      </c>
      <c r="AK322" s="24"/>
      <c r="AL322">
        <v>723</v>
      </c>
      <c r="AM322">
        <v>734</v>
      </c>
      <c r="AN322">
        <v>729</v>
      </c>
      <c r="AO322">
        <v>31135791</v>
      </c>
      <c r="AP322">
        <v>1041</v>
      </c>
      <c r="AR322" s="24"/>
      <c r="AS322">
        <v>2778</v>
      </c>
      <c r="AT322">
        <v>2858</v>
      </c>
      <c r="AU322">
        <v>2800</v>
      </c>
      <c r="AV322">
        <v>15132242</v>
      </c>
      <c r="AW322">
        <v>993</v>
      </c>
      <c r="AY322" s="24"/>
      <c r="AZ322">
        <v>396005002</v>
      </c>
      <c r="BA322">
        <v>402999999</v>
      </c>
      <c r="BB322">
        <v>400950999</v>
      </c>
      <c r="BC322">
        <v>2490</v>
      </c>
      <c r="BD322">
        <v>1594</v>
      </c>
      <c r="BF322" s="24"/>
      <c r="BG322">
        <v>24686</v>
      </c>
      <c r="BH322">
        <v>25137</v>
      </c>
      <c r="BI322">
        <v>24850</v>
      </c>
      <c r="BJ322">
        <v>3892357</v>
      </c>
      <c r="BK322">
        <v>228</v>
      </c>
      <c r="BM322" s="24"/>
      <c r="BN322">
        <v>6576209</v>
      </c>
      <c r="BO322">
        <v>6836202</v>
      </c>
      <c r="BP322">
        <v>6576218</v>
      </c>
      <c r="BQ322">
        <v>12759</v>
      </c>
      <c r="BR322">
        <v>328</v>
      </c>
      <c r="BT322" s="24"/>
      <c r="BU322">
        <v>2216</v>
      </c>
      <c r="BV322">
        <v>2249</v>
      </c>
      <c r="BW322">
        <v>2249</v>
      </c>
      <c r="BX322">
        <v>16016508</v>
      </c>
      <c r="BY322">
        <v>181</v>
      </c>
      <c r="CA322" s="24"/>
      <c r="CB322">
        <v>1004</v>
      </c>
      <c r="CC322">
        <v>1006</v>
      </c>
      <c r="CD322">
        <v>1006</v>
      </c>
      <c r="CE322">
        <v>38975966</v>
      </c>
      <c r="CF322">
        <v>236</v>
      </c>
      <c r="CH322" s="24"/>
      <c r="CI322">
        <v>24952</v>
      </c>
      <c r="CJ322">
        <v>25152</v>
      </c>
      <c r="CK322">
        <v>25000</v>
      </c>
      <c r="CL322">
        <v>1478211</v>
      </c>
      <c r="CM322">
        <v>154</v>
      </c>
      <c r="CO322" s="24"/>
      <c r="CP322">
        <v>8724</v>
      </c>
      <c r="CQ322">
        <v>8995</v>
      </c>
      <c r="CR322">
        <v>8724</v>
      </c>
      <c r="CS322">
        <v>2011760</v>
      </c>
      <c r="CT322">
        <v>424</v>
      </c>
      <c r="CV322" s="24"/>
      <c r="CW322">
        <v>1157500</v>
      </c>
      <c r="CX322">
        <v>1230000</v>
      </c>
      <c r="CY322">
        <v>1210007</v>
      </c>
      <c r="CZ322">
        <v>14486</v>
      </c>
      <c r="DA322">
        <v>32</v>
      </c>
      <c r="DC322" s="24"/>
      <c r="DD322">
        <v>507</v>
      </c>
      <c r="DE322">
        <v>522</v>
      </c>
      <c r="DF322">
        <v>521</v>
      </c>
      <c r="DG322">
        <v>67792758</v>
      </c>
      <c r="DH322">
        <v>228</v>
      </c>
      <c r="DJ322" s="24"/>
      <c r="DK322">
        <v>32001011</v>
      </c>
      <c r="DL322">
        <v>33203007</v>
      </c>
      <c r="DM322">
        <v>33203007</v>
      </c>
      <c r="DN322">
        <v>303</v>
      </c>
      <c r="DO322">
        <v>72</v>
      </c>
      <c r="DQ322" s="24"/>
      <c r="DR322">
        <v>800001</v>
      </c>
      <c r="DS322">
        <v>960005</v>
      </c>
      <c r="DT322">
        <v>959899</v>
      </c>
      <c r="DU322">
        <v>14978</v>
      </c>
      <c r="DV322">
        <v>278</v>
      </c>
      <c r="DX322" s="24"/>
      <c r="DY322">
        <v>20808003</v>
      </c>
      <c r="DZ322">
        <v>21600000</v>
      </c>
      <c r="EA322">
        <v>21100100</v>
      </c>
      <c r="EB322">
        <v>557</v>
      </c>
      <c r="EC322">
        <v>109</v>
      </c>
      <c r="EE322" s="24"/>
      <c r="EF322">
        <v>194</v>
      </c>
      <c r="EG322">
        <v>201</v>
      </c>
      <c r="EH322">
        <v>200</v>
      </c>
      <c r="EI322">
        <v>67309910</v>
      </c>
      <c r="EJ322">
        <v>146</v>
      </c>
      <c r="EL322" s="24"/>
      <c r="EM322">
        <v>55515</v>
      </c>
      <c r="EN322">
        <v>56000</v>
      </c>
      <c r="EO322">
        <v>55525</v>
      </c>
      <c r="EP322">
        <v>54896</v>
      </c>
      <c r="EQ322">
        <v>542</v>
      </c>
      <c r="ES322" s="24"/>
      <c r="ET322">
        <v>298</v>
      </c>
      <c r="EU322">
        <v>299</v>
      </c>
      <c r="EV322">
        <v>298</v>
      </c>
      <c r="EW322">
        <v>50538923</v>
      </c>
      <c r="EX322">
        <v>567</v>
      </c>
      <c r="EZ322" s="24"/>
      <c r="FA322">
        <v>3300012</v>
      </c>
      <c r="FB322">
        <v>3689786</v>
      </c>
      <c r="FC322">
        <v>3649999</v>
      </c>
      <c r="FD322">
        <v>1631</v>
      </c>
      <c r="FE322">
        <v>33</v>
      </c>
      <c r="FG322" s="24"/>
      <c r="FH322">
        <v>8204</v>
      </c>
      <c r="FI322">
        <v>8579</v>
      </c>
      <c r="FJ322">
        <v>8496</v>
      </c>
      <c r="FK322">
        <v>1768017</v>
      </c>
      <c r="FL322">
        <v>463</v>
      </c>
      <c r="FN322" s="24"/>
      <c r="FO322">
        <v>18215</v>
      </c>
      <c r="FP322">
        <v>18889</v>
      </c>
      <c r="FQ322">
        <v>18215</v>
      </c>
      <c r="FR322">
        <v>188812</v>
      </c>
      <c r="FS322">
        <v>68</v>
      </c>
      <c r="FU322" s="24"/>
      <c r="FV322">
        <v>14602</v>
      </c>
      <c r="FW322">
        <v>14616</v>
      </c>
      <c r="FX322">
        <v>14605</v>
      </c>
      <c r="FY322">
        <v>328558</v>
      </c>
      <c r="FZ322">
        <v>949</v>
      </c>
      <c r="GB322" s="24"/>
      <c r="GC322">
        <v>90010001</v>
      </c>
      <c r="GD322">
        <v>96999999</v>
      </c>
      <c r="GE322">
        <v>93262278</v>
      </c>
      <c r="GF322">
        <v>99</v>
      </c>
      <c r="GG322">
        <v>68</v>
      </c>
      <c r="GI322" s="24"/>
      <c r="GJ322">
        <v>18500000</v>
      </c>
      <c r="GK322">
        <v>19000000</v>
      </c>
      <c r="GL322">
        <v>18675002</v>
      </c>
      <c r="GM322">
        <v>750</v>
      </c>
      <c r="GN322">
        <v>86</v>
      </c>
      <c r="GP322" s="24"/>
      <c r="GQ322">
        <v>105</v>
      </c>
      <c r="GR322">
        <v>108</v>
      </c>
      <c r="GS322">
        <v>105</v>
      </c>
      <c r="GT322">
        <v>108082075</v>
      </c>
      <c r="GU322">
        <v>118</v>
      </c>
      <c r="GW322" s="24"/>
      <c r="GX322">
        <v>485</v>
      </c>
      <c r="GY322">
        <v>497</v>
      </c>
      <c r="GZ322">
        <v>497</v>
      </c>
      <c r="HA322">
        <v>64455444</v>
      </c>
      <c r="HB322">
        <v>257</v>
      </c>
      <c r="HD322" s="24"/>
      <c r="HE322">
        <v>5628</v>
      </c>
      <c r="HF322">
        <v>5798</v>
      </c>
      <c r="HG322">
        <v>5750</v>
      </c>
      <c r="HH322">
        <v>17955090</v>
      </c>
      <c r="HI322">
        <v>231</v>
      </c>
      <c r="HK322" s="24"/>
      <c r="HL322">
        <v>90000020</v>
      </c>
      <c r="HM322">
        <v>97517997</v>
      </c>
      <c r="HN322">
        <v>93000000</v>
      </c>
      <c r="HO322">
        <v>117</v>
      </c>
      <c r="HP322">
        <v>76</v>
      </c>
      <c r="HR322" s="24"/>
      <c r="HS322">
        <v>7900</v>
      </c>
      <c r="HT322">
        <v>8285</v>
      </c>
      <c r="HU322">
        <v>8199</v>
      </c>
      <c r="HV322">
        <v>896708</v>
      </c>
      <c r="HW322">
        <v>143</v>
      </c>
      <c r="HY322" s="24"/>
      <c r="HZ322">
        <v>7586</v>
      </c>
      <c r="IA322">
        <v>7799</v>
      </c>
      <c r="IB322">
        <v>7589</v>
      </c>
      <c r="IC322">
        <v>2484364</v>
      </c>
      <c r="ID322">
        <v>484</v>
      </c>
      <c r="IF322" s="24"/>
      <c r="IG322">
        <v>2796</v>
      </c>
      <c r="IH322">
        <v>3020</v>
      </c>
      <c r="II322">
        <v>3018</v>
      </c>
      <c r="IJ322">
        <v>1226673</v>
      </c>
      <c r="IK322">
        <v>111</v>
      </c>
      <c r="IM322" s="24"/>
      <c r="IN322">
        <v>88007506</v>
      </c>
      <c r="IO322">
        <v>93974999</v>
      </c>
      <c r="IP322">
        <v>91082924</v>
      </c>
      <c r="IQ322">
        <v>88</v>
      </c>
      <c r="IR322">
        <v>52</v>
      </c>
      <c r="IT322" s="24"/>
      <c r="IU322">
        <v>7605</v>
      </c>
      <c r="IV322">
        <v>8096</v>
      </c>
      <c r="IW322">
        <v>7900</v>
      </c>
      <c r="IX322">
        <v>1486010</v>
      </c>
      <c r="IY322">
        <v>140</v>
      </c>
      <c r="JA322" s="24"/>
      <c r="JB322">
        <v>90000018</v>
      </c>
      <c r="JC322">
        <v>96991999</v>
      </c>
      <c r="JD322">
        <v>94068484</v>
      </c>
      <c r="JE322">
        <v>72</v>
      </c>
      <c r="JF322">
        <v>59</v>
      </c>
      <c r="JH322" s="24"/>
      <c r="JI322">
        <v>89042014</v>
      </c>
      <c r="JJ322">
        <v>94000122</v>
      </c>
      <c r="JK322">
        <v>91585107</v>
      </c>
      <c r="JL322">
        <v>63</v>
      </c>
      <c r="JM322">
        <v>43</v>
      </c>
      <c r="JO322" s="24"/>
      <c r="JP322">
        <v>91</v>
      </c>
      <c r="JQ322">
        <v>94</v>
      </c>
      <c r="JR322">
        <v>93</v>
      </c>
      <c r="JS322">
        <v>109327826</v>
      </c>
      <c r="JT322">
        <v>102</v>
      </c>
      <c r="JV322" s="24"/>
      <c r="JW322">
        <v>97</v>
      </c>
      <c r="JX322">
        <v>100</v>
      </c>
      <c r="JY322">
        <v>98</v>
      </c>
      <c r="JZ322">
        <v>92593147</v>
      </c>
      <c r="KA322">
        <v>99</v>
      </c>
      <c r="KC322" s="24"/>
      <c r="KD322">
        <v>20</v>
      </c>
      <c r="KE322">
        <v>21</v>
      </c>
      <c r="KF322">
        <v>20</v>
      </c>
      <c r="KG322">
        <v>60824197</v>
      </c>
      <c r="KH322">
        <v>353</v>
      </c>
      <c r="KJ322" s="24"/>
      <c r="KK322">
        <v>106</v>
      </c>
      <c r="KL322">
        <v>108</v>
      </c>
      <c r="KM322">
        <v>106</v>
      </c>
      <c r="KN322">
        <v>88188482</v>
      </c>
      <c r="KO322">
        <v>88</v>
      </c>
      <c r="KQ322" s="24"/>
      <c r="KR322">
        <v>123501</v>
      </c>
      <c r="KS322">
        <v>127998</v>
      </c>
      <c r="KT322">
        <v>123506</v>
      </c>
      <c r="KU322">
        <v>55891</v>
      </c>
      <c r="KV322">
        <v>544</v>
      </c>
      <c r="KX322" s="24"/>
      <c r="KY322">
        <v>775</v>
      </c>
      <c r="KZ322">
        <v>803</v>
      </c>
      <c r="LA322">
        <v>801</v>
      </c>
      <c r="LB322">
        <v>4405644</v>
      </c>
      <c r="LC322">
        <v>134</v>
      </c>
      <c r="LE322" s="24"/>
      <c r="LF322">
        <v>182000</v>
      </c>
      <c r="LG322">
        <v>182003</v>
      </c>
      <c r="LH322">
        <v>182002</v>
      </c>
      <c r="LI322">
        <v>94948</v>
      </c>
      <c r="LJ322">
        <v>743</v>
      </c>
      <c r="LL322" s="24"/>
      <c r="LM322">
        <v>67817</v>
      </c>
      <c r="LN322">
        <v>68009</v>
      </c>
      <c r="LO322">
        <v>68000</v>
      </c>
      <c r="LP322">
        <v>332462</v>
      </c>
      <c r="LQ322">
        <v>996</v>
      </c>
      <c r="LS322" s="24"/>
      <c r="LT322">
        <v>510</v>
      </c>
      <c r="LU322">
        <v>531</v>
      </c>
      <c r="LV322">
        <v>526</v>
      </c>
      <c r="LW322">
        <v>120488134</v>
      </c>
      <c r="LX322">
        <v>418</v>
      </c>
      <c r="LZ322" s="24"/>
      <c r="MA322">
        <v>93003</v>
      </c>
      <c r="MB322">
        <v>95798</v>
      </c>
      <c r="MC322">
        <v>95000</v>
      </c>
      <c r="MD322">
        <v>969225</v>
      </c>
      <c r="ME322">
        <v>85</v>
      </c>
    </row>
    <row r="323" spans="2:343" x14ac:dyDescent="0.25">
      <c r="B323" s="24"/>
      <c r="C323">
        <v>3</v>
      </c>
      <c r="D323">
        <v>3</v>
      </c>
      <c r="E323">
        <v>3</v>
      </c>
      <c r="F323">
        <v>19562248865</v>
      </c>
      <c r="G323">
        <v>2044</v>
      </c>
      <c r="I323" s="24"/>
      <c r="J323">
        <v>4</v>
      </c>
      <c r="K323">
        <v>4</v>
      </c>
      <c r="L323">
        <v>4</v>
      </c>
      <c r="M323">
        <v>5062138476</v>
      </c>
      <c r="N323">
        <v>1478</v>
      </c>
      <c r="P323" s="24"/>
      <c r="Q323">
        <v>33</v>
      </c>
      <c r="R323">
        <v>33</v>
      </c>
      <c r="S323">
        <v>33</v>
      </c>
      <c r="T323">
        <v>1921744047</v>
      </c>
      <c r="U323">
        <v>1361</v>
      </c>
      <c r="W323" s="24"/>
      <c r="X323">
        <v>62</v>
      </c>
      <c r="Y323">
        <v>62</v>
      </c>
      <c r="Z323">
        <v>62</v>
      </c>
      <c r="AA323">
        <v>367857191</v>
      </c>
      <c r="AB323">
        <v>1110</v>
      </c>
      <c r="AD323" s="24"/>
      <c r="AE323">
        <v>422</v>
      </c>
      <c r="AF323">
        <v>426</v>
      </c>
      <c r="AG323">
        <v>426</v>
      </c>
      <c r="AH323">
        <v>85327510</v>
      </c>
      <c r="AI323">
        <v>1133</v>
      </c>
      <c r="AK323" s="24"/>
      <c r="AL323">
        <v>723</v>
      </c>
      <c r="AM323">
        <v>728</v>
      </c>
      <c r="AN323">
        <v>724</v>
      </c>
      <c r="AO323">
        <v>35930456</v>
      </c>
      <c r="AP323">
        <v>999</v>
      </c>
      <c r="AR323" s="24"/>
      <c r="AS323">
        <v>2777</v>
      </c>
      <c r="AT323">
        <v>2849</v>
      </c>
      <c r="AU323">
        <v>2778</v>
      </c>
      <c r="AV323">
        <v>15531409</v>
      </c>
      <c r="AW323">
        <v>973</v>
      </c>
      <c r="AY323" s="24"/>
      <c r="AZ323">
        <v>395850123</v>
      </c>
      <c r="BA323">
        <v>401909997</v>
      </c>
      <c r="BB323">
        <v>401099996</v>
      </c>
      <c r="BC323">
        <v>2127</v>
      </c>
      <c r="BD323">
        <v>1473</v>
      </c>
      <c r="BF323" s="24"/>
      <c r="BG323">
        <v>24910</v>
      </c>
      <c r="BH323">
        <v>24923</v>
      </c>
      <c r="BI323">
        <v>24921</v>
      </c>
      <c r="BJ323">
        <v>5589714</v>
      </c>
      <c r="BK323">
        <v>231</v>
      </c>
      <c r="BM323" s="24"/>
      <c r="BN323">
        <v>6581000</v>
      </c>
      <c r="BO323">
        <v>6796211</v>
      </c>
      <c r="BP323">
        <v>6650004</v>
      </c>
      <c r="BQ323">
        <v>9846</v>
      </c>
      <c r="BR323">
        <v>278</v>
      </c>
      <c r="BT323" s="24"/>
      <c r="BU323">
        <v>2145</v>
      </c>
      <c r="BV323">
        <v>2236</v>
      </c>
      <c r="BW323">
        <v>2182</v>
      </c>
      <c r="BX323">
        <v>28731633</v>
      </c>
      <c r="BY323">
        <v>240</v>
      </c>
      <c r="CA323" s="24"/>
      <c r="CB323">
        <v>984</v>
      </c>
      <c r="CC323">
        <v>1006</v>
      </c>
      <c r="CD323">
        <v>999</v>
      </c>
      <c r="CE323">
        <v>46014693</v>
      </c>
      <c r="CF323">
        <v>218</v>
      </c>
      <c r="CH323" s="24"/>
      <c r="CI323">
        <v>24556</v>
      </c>
      <c r="CJ323">
        <v>25100</v>
      </c>
      <c r="CK323">
        <v>25000</v>
      </c>
      <c r="CL323">
        <v>1771688</v>
      </c>
      <c r="CM323">
        <v>139</v>
      </c>
      <c r="CO323" s="24"/>
      <c r="CP323">
        <v>8597</v>
      </c>
      <c r="CQ323">
        <v>9894</v>
      </c>
      <c r="CR323">
        <v>9000</v>
      </c>
      <c r="CS323">
        <v>3057615</v>
      </c>
      <c r="CT323">
        <v>378</v>
      </c>
      <c r="CV323" s="24"/>
      <c r="CW323">
        <v>1160000</v>
      </c>
      <c r="CX323">
        <v>1219999</v>
      </c>
      <c r="CY323">
        <v>1200000</v>
      </c>
      <c r="CZ323">
        <v>14019</v>
      </c>
      <c r="DA323">
        <v>34</v>
      </c>
      <c r="DC323" s="24"/>
      <c r="DD323">
        <v>549</v>
      </c>
      <c r="DE323">
        <v>636</v>
      </c>
      <c r="DF323">
        <v>629</v>
      </c>
      <c r="DG323">
        <v>111250032</v>
      </c>
      <c r="DH323">
        <v>205</v>
      </c>
      <c r="DJ323" s="24"/>
      <c r="DK323">
        <v>32001042</v>
      </c>
      <c r="DL323">
        <v>33998000</v>
      </c>
      <c r="DM323">
        <v>32700001</v>
      </c>
      <c r="DN323">
        <v>190</v>
      </c>
      <c r="DO323">
        <v>60</v>
      </c>
      <c r="DQ323" s="24"/>
      <c r="DR323">
        <v>800008</v>
      </c>
      <c r="DS323">
        <v>959900</v>
      </c>
      <c r="DT323">
        <v>801001</v>
      </c>
      <c r="DU323">
        <v>12910</v>
      </c>
      <c r="DV323">
        <v>254</v>
      </c>
      <c r="DX323" s="24"/>
      <c r="DY323">
        <v>20804004</v>
      </c>
      <c r="DZ323">
        <v>21949877</v>
      </c>
      <c r="EA323">
        <v>20875002</v>
      </c>
      <c r="EB323">
        <v>547</v>
      </c>
      <c r="EC323">
        <v>135</v>
      </c>
      <c r="EE323" s="24"/>
      <c r="EF323">
        <v>196</v>
      </c>
      <c r="EG323">
        <v>202</v>
      </c>
      <c r="EH323">
        <v>197</v>
      </c>
      <c r="EI323">
        <v>80636237</v>
      </c>
      <c r="EJ323">
        <v>169</v>
      </c>
      <c r="EL323" s="24"/>
      <c r="EM323">
        <v>55528</v>
      </c>
      <c r="EN323">
        <v>55534</v>
      </c>
      <c r="EO323">
        <v>55530</v>
      </c>
      <c r="EP323">
        <v>54884</v>
      </c>
      <c r="EQ323">
        <v>522</v>
      </c>
      <c r="ES323" s="24"/>
      <c r="ET323">
        <v>299</v>
      </c>
      <c r="EU323">
        <v>299</v>
      </c>
      <c r="EV323">
        <v>299</v>
      </c>
      <c r="EW323">
        <v>35617156</v>
      </c>
      <c r="EX323">
        <v>463</v>
      </c>
      <c r="EZ323" s="24"/>
      <c r="FA323">
        <v>3648999</v>
      </c>
      <c r="FB323">
        <v>3649999</v>
      </c>
      <c r="FC323">
        <v>3648999</v>
      </c>
      <c r="FD323">
        <v>363</v>
      </c>
      <c r="FE323">
        <v>11</v>
      </c>
      <c r="FG323" s="24"/>
      <c r="FH323">
        <v>8798</v>
      </c>
      <c r="FI323">
        <v>10999</v>
      </c>
      <c r="FJ323">
        <v>9497</v>
      </c>
      <c r="FK323">
        <v>3170516</v>
      </c>
      <c r="FL323">
        <v>422</v>
      </c>
      <c r="FN323" s="24"/>
      <c r="FO323">
        <v>18215</v>
      </c>
      <c r="FP323">
        <v>18799</v>
      </c>
      <c r="FQ323">
        <v>18215</v>
      </c>
      <c r="FR323">
        <v>127388</v>
      </c>
      <c r="FS323">
        <v>72</v>
      </c>
      <c r="FU323" s="24"/>
      <c r="FV323">
        <v>14650</v>
      </c>
      <c r="FW323">
        <v>14661</v>
      </c>
      <c r="FX323">
        <v>14653</v>
      </c>
      <c r="FY323">
        <v>317283</v>
      </c>
      <c r="FZ323">
        <v>974</v>
      </c>
      <c r="GB323" s="24"/>
      <c r="GC323">
        <v>90024002</v>
      </c>
      <c r="GD323">
        <v>94647496</v>
      </c>
      <c r="GE323">
        <v>93548986</v>
      </c>
      <c r="GF323">
        <v>78</v>
      </c>
      <c r="GG323">
        <v>50</v>
      </c>
      <c r="GI323" s="24"/>
      <c r="GJ323">
        <v>18500013</v>
      </c>
      <c r="GK323">
        <v>19216999</v>
      </c>
      <c r="GL323">
        <v>18500024</v>
      </c>
      <c r="GM323">
        <v>543</v>
      </c>
      <c r="GN323">
        <v>70</v>
      </c>
      <c r="GP323" s="24"/>
      <c r="GQ323">
        <v>104</v>
      </c>
      <c r="GR323">
        <v>107</v>
      </c>
      <c r="GS323">
        <v>107</v>
      </c>
      <c r="GT323">
        <v>90088068</v>
      </c>
      <c r="GU323">
        <v>101</v>
      </c>
      <c r="GW323" s="24"/>
      <c r="GX323">
        <v>497</v>
      </c>
      <c r="GY323">
        <v>498</v>
      </c>
      <c r="GZ323">
        <v>498</v>
      </c>
      <c r="HA323">
        <v>51613578</v>
      </c>
      <c r="HB323">
        <v>183</v>
      </c>
      <c r="HD323" s="24"/>
      <c r="HE323">
        <v>5628</v>
      </c>
      <c r="HF323">
        <v>5697</v>
      </c>
      <c r="HG323">
        <v>5658</v>
      </c>
      <c r="HH323">
        <v>13296831</v>
      </c>
      <c r="HI323">
        <v>228</v>
      </c>
      <c r="HK323" s="24"/>
      <c r="HL323">
        <v>92003002</v>
      </c>
      <c r="HM323">
        <v>96496994</v>
      </c>
      <c r="HN323">
        <v>95144675</v>
      </c>
      <c r="HO323">
        <v>59</v>
      </c>
      <c r="HP323">
        <v>50</v>
      </c>
      <c r="HR323" s="24"/>
      <c r="HS323">
        <v>7999</v>
      </c>
      <c r="HT323">
        <v>8773</v>
      </c>
      <c r="HU323">
        <v>8395</v>
      </c>
      <c r="HV323">
        <v>1497056</v>
      </c>
      <c r="HW323">
        <v>167</v>
      </c>
      <c r="HY323" s="24"/>
      <c r="HZ323">
        <v>7889</v>
      </c>
      <c r="IA323">
        <v>8049</v>
      </c>
      <c r="IB323">
        <v>7950</v>
      </c>
      <c r="IC323">
        <v>4389445</v>
      </c>
      <c r="ID323">
        <v>501</v>
      </c>
      <c r="IF323" s="24"/>
      <c r="IG323">
        <v>2784</v>
      </c>
      <c r="IH323">
        <v>3014</v>
      </c>
      <c r="II323">
        <v>2804</v>
      </c>
      <c r="IJ323">
        <v>1177819</v>
      </c>
      <c r="IK323">
        <v>100</v>
      </c>
      <c r="IM323" s="24"/>
      <c r="IN323">
        <v>91000006</v>
      </c>
      <c r="IO323">
        <v>93794988</v>
      </c>
      <c r="IP323">
        <v>93098295</v>
      </c>
      <c r="IQ323">
        <v>53</v>
      </c>
      <c r="IR323">
        <v>44</v>
      </c>
      <c r="IT323" s="24"/>
      <c r="IU323">
        <v>8093</v>
      </c>
      <c r="IV323">
        <v>8093</v>
      </c>
      <c r="IW323">
        <v>8093</v>
      </c>
      <c r="IX323">
        <v>571424</v>
      </c>
      <c r="IY323">
        <v>101</v>
      </c>
      <c r="JA323" s="24"/>
      <c r="JB323">
        <v>91000000</v>
      </c>
      <c r="JC323">
        <v>96750120</v>
      </c>
      <c r="JD323">
        <v>93724750</v>
      </c>
      <c r="JE323">
        <v>80</v>
      </c>
      <c r="JF323">
        <v>58</v>
      </c>
      <c r="JH323" s="24"/>
      <c r="JI323">
        <v>89047008</v>
      </c>
      <c r="JJ323">
        <v>94026997</v>
      </c>
      <c r="JK323">
        <v>93665182</v>
      </c>
      <c r="JL323">
        <v>28</v>
      </c>
      <c r="JM323">
        <v>27</v>
      </c>
      <c r="JO323" s="24"/>
      <c r="JP323">
        <v>90</v>
      </c>
      <c r="JQ323">
        <v>94</v>
      </c>
      <c r="JR323">
        <v>91</v>
      </c>
      <c r="JS323">
        <v>139697462</v>
      </c>
      <c r="JT323">
        <v>105</v>
      </c>
      <c r="JV323" s="24"/>
      <c r="JW323">
        <v>94</v>
      </c>
      <c r="JX323">
        <v>97</v>
      </c>
      <c r="JY323">
        <v>95</v>
      </c>
      <c r="JZ323">
        <v>86454133</v>
      </c>
      <c r="KA323">
        <v>94</v>
      </c>
      <c r="KC323" s="24"/>
      <c r="KD323">
        <v>20</v>
      </c>
      <c r="KE323">
        <v>21</v>
      </c>
      <c r="KF323">
        <v>20</v>
      </c>
      <c r="KG323">
        <v>63574194</v>
      </c>
      <c r="KH323">
        <v>295</v>
      </c>
      <c r="KJ323" s="24"/>
      <c r="KK323">
        <v>102</v>
      </c>
      <c r="KL323">
        <v>106</v>
      </c>
      <c r="KM323">
        <v>103</v>
      </c>
      <c r="KN323">
        <v>90687737</v>
      </c>
      <c r="KO323">
        <v>96</v>
      </c>
      <c r="KQ323" s="24"/>
      <c r="KR323">
        <v>123803</v>
      </c>
      <c r="KS323">
        <v>123812</v>
      </c>
      <c r="KT323">
        <v>123808</v>
      </c>
      <c r="KU323">
        <v>68038</v>
      </c>
      <c r="KV323">
        <v>518</v>
      </c>
      <c r="KX323" s="24"/>
      <c r="KY323">
        <v>777</v>
      </c>
      <c r="KZ323">
        <v>799</v>
      </c>
      <c r="LA323">
        <v>797</v>
      </c>
      <c r="LB323">
        <v>6011848</v>
      </c>
      <c r="LC323">
        <v>155</v>
      </c>
      <c r="LE323" s="24"/>
      <c r="LF323">
        <v>183500</v>
      </c>
      <c r="LG323">
        <v>183505</v>
      </c>
      <c r="LH323">
        <v>183500</v>
      </c>
      <c r="LI323">
        <v>122492</v>
      </c>
      <c r="LJ323">
        <v>740</v>
      </c>
      <c r="LL323" s="24"/>
      <c r="LM323">
        <v>68019</v>
      </c>
      <c r="LN323">
        <v>68026</v>
      </c>
      <c r="LO323">
        <v>68024</v>
      </c>
      <c r="LP323">
        <v>337556</v>
      </c>
      <c r="LQ323">
        <v>1036</v>
      </c>
      <c r="LS323" s="24"/>
      <c r="LT323">
        <v>510</v>
      </c>
      <c r="LU323">
        <v>532</v>
      </c>
      <c r="LV323">
        <v>530</v>
      </c>
      <c r="LW323">
        <v>130189552</v>
      </c>
      <c r="LX323">
        <v>374</v>
      </c>
      <c r="LZ323" s="24"/>
      <c r="MA323">
        <v>93004</v>
      </c>
      <c r="MB323">
        <v>95499</v>
      </c>
      <c r="MC323">
        <v>94999</v>
      </c>
      <c r="MD323">
        <v>1765020</v>
      </c>
      <c r="ME323">
        <v>129</v>
      </c>
    </row>
    <row r="324" spans="2:343" x14ac:dyDescent="0.25">
      <c r="B324" s="24"/>
      <c r="C324">
        <v>3</v>
      </c>
      <c r="D324">
        <v>3</v>
      </c>
      <c r="E324">
        <v>3</v>
      </c>
      <c r="F324">
        <v>31675632070</v>
      </c>
      <c r="G324">
        <v>2169</v>
      </c>
      <c r="I324" s="24"/>
      <c r="J324">
        <v>4</v>
      </c>
      <c r="K324">
        <v>4</v>
      </c>
      <c r="L324">
        <v>4</v>
      </c>
      <c r="M324">
        <v>5171580068</v>
      </c>
      <c r="N324">
        <v>1503</v>
      </c>
      <c r="P324" s="24"/>
      <c r="Q324">
        <v>33</v>
      </c>
      <c r="R324">
        <v>33</v>
      </c>
      <c r="S324">
        <v>33</v>
      </c>
      <c r="T324">
        <v>1530434491</v>
      </c>
      <c r="U324">
        <v>1429</v>
      </c>
      <c r="W324" s="24"/>
      <c r="X324">
        <v>62</v>
      </c>
      <c r="Y324">
        <v>62</v>
      </c>
      <c r="Z324">
        <v>62</v>
      </c>
      <c r="AA324">
        <v>283262362</v>
      </c>
      <c r="AB324">
        <v>1110</v>
      </c>
      <c r="AD324" s="24"/>
      <c r="AE324">
        <v>422</v>
      </c>
      <c r="AF324">
        <v>425</v>
      </c>
      <c r="AG324">
        <v>425</v>
      </c>
      <c r="AH324">
        <v>66862659</v>
      </c>
      <c r="AI324">
        <v>1128</v>
      </c>
      <c r="AK324" s="24"/>
      <c r="AL324">
        <v>712</v>
      </c>
      <c r="AM324">
        <v>726</v>
      </c>
      <c r="AN324">
        <v>725</v>
      </c>
      <c r="AO324">
        <v>32272967</v>
      </c>
      <c r="AP324">
        <v>1010</v>
      </c>
      <c r="AR324" s="24"/>
      <c r="AS324">
        <v>2711</v>
      </c>
      <c r="AT324">
        <v>2814</v>
      </c>
      <c r="AU324">
        <v>2722</v>
      </c>
      <c r="AV324">
        <v>14247852</v>
      </c>
      <c r="AW324">
        <v>964</v>
      </c>
      <c r="AY324" s="24"/>
      <c r="AZ324">
        <v>397610000</v>
      </c>
      <c r="BA324">
        <v>404901000</v>
      </c>
      <c r="BB324">
        <v>401599994</v>
      </c>
      <c r="BC324">
        <v>2473</v>
      </c>
      <c r="BD324">
        <v>1576</v>
      </c>
      <c r="BF324" s="24"/>
      <c r="BG324">
        <v>24919</v>
      </c>
      <c r="BH324">
        <v>24921</v>
      </c>
      <c r="BI324">
        <v>24920</v>
      </c>
      <c r="BJ324">
        <v>4566642</v>
      </c>
      <c r="BK324">
        <v>212</v>
      </c>
      <c r="BM324" s="24"/>
      <c r="BN324">
        <v>6710000</v>
      </c>
      <c r="BO324">
        <v>6790000</v>
      </c>
      <c r="BP324">
        <v>6710001</v>
      </c>
      <c r="BQ324">
        <v>11174</v>
      </c>
      <c r="BR324">
        <v>328</v>
      </c>
      <c r="BT324" s="24"/>
      <c r="BU324">
        <v>2195</v>
      </c>
      <c r="BV324">
        <v>2224</v>
      </c>
      <c r="BW324">
        <v>2224</v>
      </c>
      <c r="BX324">
        <v>26540586</v>
      </c>
      <c r="BY324">
        <v>228</v>
      </c>
      <c r="CA324" s="24"/>
      <c r="CB324">
        <v>940</v>
      </c>
      <c r="CC324">
        <v>974</v>
      </c>
      <c r="CD324">
        <v>950</v>
      </c>
      <c r="CE324">
        <v>64863037</v>
      </c>
      <c r="CF324">
        <v>263</v>
      </c>
      <c r="CH324" s="24"/>
      <c r="CI324">
        <v>25006</v>
      </c>
      <c r="CJ324">
        <v>25200</v>
      </c>
      <c r="CK324">
        <v>25105</v>
      </c>
      <c r="CL324">
        <v>1375000</v>
      </c>
      <c r="CM324">
        <v>149</v>
      </c>
      <c r="CO324" s="24"/>
      <c r="CP324">
        <v>9448</v>
      </c>
      <c r="CQ324">
        <v>13000</v>
      </c>
      <c r="CR324">
        <v>10501</v>
      </c>
      <c r="CS324">
        <v>1385000</v>
      </c>
      <c r="CT324">
        <v>367</v>
      </c>
      <c r="CV324" s="24"/>
      <c r="CW324">
        <v>1200000</v>
      </c>
      <c r="CX324">
        <v>1219985</v>
      </c>
      <c r="CY324">
        <v>1210000</v>
      </c>
      <c r="CZ324">
        <v>8267</v>
      </c>
      <c r="DA324">
        <v>32</v>
      </c>
      <c r="DC324" s="24"/>
      <c r="DD324">
        <v>764</v>
      </c>
      <c r="DE324">
        <v>779</v>
      </c>
      <c r="DF324">
        <v>769</v>
      </c>
      <c r="DG324">
        <v>32067696</v>
      </c>
      <c r="DH324">
        <v>164</v>
      </c>
      <c r="DJ324" s="24"/>
      <c r="DK324">
        <v>32425264</v>
      </c>
      <c r="DL324">
        <v>32999999</v>
      </c>
      <c r="DM324">
        <v>32425264</v>
      </c>
      <c r="DN324">
        <v>203</v>
      </c>
      <c r="DO324">
        <v>59</v>
      </c>
      <c r="DQ324" s="24"/>
      <c r="DR324">
        <v>1000000</v>
      </c>
      <c r="DS324">
        <v>1054000</v>
      </c>
      <c r="DT324">
        <v>1000003</v>
      </c>
      <c r="DU324">
        <v>12969</v>
      </c>
      <c r="DV324">
        <v>228</v>
      </c>
      <c r="DX324" s="24"/>
      <c r="DY324">
        <v>20500003</v>
      </c>
      <c r="DZ324">
        <v>21300000</v>
      </c>
      <c r="EA324">
        <v>21000010</v>
      </c>
      <c r="EB324">
        <v>591</v>
      </c>
      <c r="EC324">
        <v>110</v>
      </c>
      <c r="EE324" s="24"/>
      <c r="EF324">
        <v>199</v>
      </c>
      <c r="EG324">
        <v>203</v>
      </c>
      <c r="EH324">
        <v>202</v>
      </c>
      <c r="EI324">
        <v>120182834</v>
      </c>
      <c r="EJ324">
        <v>183</v>
      </c>
      <c r="EL324" s="24"/>
      <c r="EM324">
        <v>57000</v>
      </c>
      <c r="EN324">
        <v>58001</v>
      </c>
      <c r="EO324">
        <v>57602</v>
      </c>
      <c r="EP324">
        <v>93006</v>
      </c>
      <c r="EQ324">
        <v>576</v>
      </c>
      <c r="ES324" s="24"/>
      <c r="ET324">
        <v>295</v>
      </c>
      <c r="EU324">
        <v>305</v>
      </c>
      <c r="EV324">
        <v>298</v>
      </c>
      <c r="EW324">
        <v>41446731</v>
      </c>
      <c r="EX324">
        <v>535</v>
      </c>
      <c r="EZ324" s="24"/>
      <c r="FA324">
        <v>3300014</v>
      </c>
      <c r="FB324">
        <v>3648999</v>
      </c>
      <c r="FC324">
        <v>3300014</v>
      </c>
      <c r="FD324">
        <v>2012</v>
      </c>
      <c r="FE324">
        <v>15</v>
      </c>
      <c r="FG324" s="24"/>
      <c r="FH324">
        <v>11200</v>
      </c>
      <c r="FI324">
        <v>13489</v>
      </c>
      <c r="FJ324">
        <v>12459</v>
      </c>
      <c r="FK324">
        <v>4533790</v>
      </c>
      <c r="FL324">
        <v>621</v>
      </c>
      <c r="FN324" s="24"/>
      <c r="FO324">
        <v>18211</v>
      </c>
      <c r="FP324">
        <v>18693</v>
      </c>
      <c r="FQ324">
        <v>18692</v>
      </c>
      <c r="FR324">
        <v>206133</v>
      </c>
      <c r="FS324">
        <v>91</v>
      </c>
      <c r="FU324" s="24"/>
      <c r="FV324">
        <v>15101</v>
      </c>
      <c r="FW324">
        <v>15248</v>
      </c>
      <c r="FX324">
        <v>15102</v>
      </c>
      <c r="FY324">
        <v>548718</v>
      </c>
      <c r="FZ324">
        <v>1010</v>
      </c>
      <c r="GB324" s="24"/>
      <c r="GC324">
        <v>90031025</v>
      </c>
      <c r="GD324">
        <v>91999999</v>
      </c>
      <c r="GE324">
        <v>91589936</v>
      </c>
      <c r="GF324">
        <v>83</v>
      </c>
      <c r="GG324">
        <v>55</v>
      </c>
      <c r="GI324" s="24"/>
      <c r="GJ324">
        <v>18500017</v>
      </c>
      <c r="GK324">
        <v>18500017</v>
      </c>
      <c r="GL324">
        <v>18500017</v>
      </c>
      <c r="GM324">
        <v>628</v>
      </c>
      <c r="GN324">
        <v>84</v>
      </c>
      <c r="GP324" s="24"/>
      <c r="GQ324">
        <v>100</v>
      </c>
      <c r="GR324">
        <v>104</v>
      </c>
      <c r="GS324">
        <v>100</v>
      </c>
      <c r="GT324">
        <v>196619534</v>
      </c>
      <c r="GU324">
        <v>155</v>
      </c>
      <c r="GW324" s="24"/>
      <c r="GX324">
        <v>498</v>
      </c>
      <c r="GY324">
        <v>499</v>
      </c>
      <c r="GZ324">
        <v>498</v>
      </c>
      <c r="HA324">
        <v>61996998</v>
      </c>
      <c r="HB324">
        <v>233</v>
      </c>
      <c r="HD324" s="24"/>
      <c r="HE324">
        <v>5560</v>
      </c>
      <c r="HF324">
        <v>5667</v>
      </c>
      <c r="HG324">
        <v>5666</v>
      </c>
      <c r="HH324">
        <v>17315952</v>
      </c>
      <c r="HI324">
        <v>299</v>
      </c>
      <c r="HK324" s="24"/>
      <c r="HL324">
        <v>90000030</v>
      </c>
      <c r="HM324">
        <v>96495992</v>
      </c>
      <c r="HN324">
        <v>93289253</v>
      </c>
      <c r="HO324">
        <v>98</v>
      </c>
      <c r="HP324">
        <v>63</v>
      </c>
      <c r="HR324" s="24"/>
      <c r="HS324">
        <v>8490</v>
      </c>
      <c r="HT324">
        <v>9494</v>
      </c>
      <c r="HU324">
        <v>8798</v>
      </c>
      <c r="HV324">
        <v>1774606</v>
      </c>
      <c r="HW324">
        <v>192</v>
      </c>
      <c r="HY324" s="24"/>
      <c r="HZ324">
        <v>8566</v>
      </c>
      <c r="IA324">
        <v>9444</v>
      </c>
      <c r="IB324">
        <v>9100</v>
      </c>
      <c r="IC324">
        <v>4100836</v>
      </c>
      <c r="ID324">
        <v>518</v>
      </c>
      <c r="IF324" s="24"/>
      <c r="IG324">
        <v>3010</v>
      </c>
      <c r="IH324">
        <v>3014</v>
      </c>
      <c r="II324">
        <v>3014</v>
      </c>
      <c r="IJ324">
        <v>1857976</v>
      </c>
      <c r="IK324">
        <v>141</v>
      </c>
      <c r="IM324" s="24"/>
      <c r="IN324">
        <v>91000021</v>
      </c>
      <c r="IO324">
        <v>93792994</v>
      </c>
      <c r="IP324">
        <v>91796409</v>
      </c>
      <c r="IQ324">
        <v>92</v>
      </c>
      <c r="IR324">
        <v>52</v>
      </c>
      <c r="IT324" s="24"/>
      <c r="IU324">
        <v>8093</v>
      </c>
      <c r="IV324">
        <v>8093</v>
      </c>
      <c r="IW324">
        <v>8093</v>
      </c>
      <c r="IX324">
        <v>937441</v>
      </c>
      <c r="IY324">
        <v>121</v>
      </c>
      <c r="JA324" s="24"/>
      <c r="JB324">
        <v>90110222</v>
      </c>
      <c r="JC324">
        <v>94998997</v>
      </c>
      <c r="JD324">
        <v>94648939</v>
      </c>
      <c r="JE324">
        <v>42</v>
      </c>
      <c r="JF324">
        <v>41</v>
      </c>
      <c r="JH324" s="24"/>
      <c r="JI324">
        <v>89069000</v>
      </c>
      <c r="JJ324">
        <v>94027000</v>
      </c>
      <c r="JK324">
        <v>91545910</v>
      </c>
      <c r="JL324">
        <v>32</v>
      </c>
      <c r="JM324">
        <v>23</v>
      </c>
      <c r="JO324" s="24"/>
      <c r="JP324">
        <v>90</v>
      </c>
      <c r="JQ324">
        <v>90</v>
      </c>
      <c r="JR324">
        <v>90</v>
      </c>
      <c r="JS324">
        <v>134556546</v>
      </c>
      <c r="JT324">
        <v>116</v>
      </c>
      <c r="JV324" s="24"/>
      <c r="JW324">
        <v>99</v>
      </c>
      <c r="JX324">
        <v>99</v>
      </c>
      <c r="JY324">
        <v>99</v>
      </c>
      <c r="JZ324">
        <v>105210655</v>
      </c>
      <c r="KA324">
        <v>100</v>
      </c>
      <c r="KC324" s="24"/>
      <c r="KD324">
        <v>19</v>
      </c>
      <c r="KE324">
        <v>20</v>
      </c>
      <c r="KF324">
        <v>19</v>
      </c>
      <c r="KG324">
        <v>121500533</v>
      </c>
      <c r="KH324">
        <v>309</v>
      </c>
      <c r="KJ324" s="24"/>
      <c r="KK324">
        <v>103</v>
      </c>
      <c r="KL324">
        <v>105</v>
      </c>
      <c r="KM324">
        <v>105</v>
      </c>
      <c r="KN324">
        <v>172486525</v>
      </c>
      <c r="KO324">
        <v>159</v>
      </c>
      <c r="KQ324" s="24"/>
      <c r="KR324">
        <v>125602</v>
      </c>
      <c r="KS324">
        <v>129998</v>
      </c>
      <c r="KT324">
        <v>125603</v>
      </c>
      <c r="KU324">
        <v>59792</v>
      </c>
      <c r="KV324">
        <v>515</v>
      </c>
      <c r="KX324" s="24"/>
      <c r="KY324">
        <v>797</v>
      </c>
      <c r="KZ324">
        <v>799</v>
      </c>
      <c r="LA324">
        <v>797</v>
      </c>
      <c r="LB324">
        <v>9200577</v>
      </c>
      <c r="LC324">
        <v>185</v>
      </c>
      <c r="LE324" s="24"/>
      <c r="LF324">
        <v>183506</v>
      </c>
      <c r="LG324">
        <v>186499</v>
      </c>
      <c r="LH324">
        <v>183506</v>
      </c>
      <c r="LI324">
        <v>142212</v>
      </c>
      <c r="LJ324">
        <v>767</v>
      </c>
      <c r="LL324" s="24"/>
      <c r="LM324">
        <v>69505</v>
      </c>
      <c r="LN324">
        <v>70500</v>
      </c>
      <c r="LO324">
        <v>69700</v>
      </c>
      <c r="LP324">
        <v>469962</v>
      </c>
      <c r="LQ324">
        <v>1040</v>
      </c>
      <c r="LS324" s="24"/>
      <c r="LT324">
        <v>480</v>
      </c>
      <c r="LU324">
        <v>506</v>
      </c>
      <c r="LV324">
        <v>503</v>
      </c>
      <c r="LW324">
        <v>175179686</v>
      </c>
      <c r="LX324">
        <v>479</v>
      </c>
      <c r="LZ324" s="24"/>
      <c r="MA324">
        <v>94000</v>
      </c>
      <c r="MB324">
        <v>95518</v>
      </c>
      <c r="MC324">
        <v>95499</v>
      </c>
      <c r="MD324">
        <v>593993</v>
      </c>
      <c r="ME324">
        <v>66</v>
      </c>
    </row>
    <row r="325" spans="2:343" x14ac:dyDescent="0.25">
      <c r="B325" s="24"/>
      <c r="C325">
        <v>3</v>
      </c>
      <c r="D325">
        <v>3</v>
      </c>
      <c r="E325">
        <v>3</v>
      </c>
      <c r="F325">
        <v>37432562150</v>
      </c>
      <c r="G325">
        <v>2087</v>
      </c>
      <c r="I325" s="24"/>
      <c r="J325">
        <v>4</v>
      </c>
      <c r="K325">
        <v>4</v>
      </c>
      <c r="L325">
        <v>4</v>
      </c>
      <c r="M325">
        <v>7478960671</v>
      </c>
      <c r="N325">
        <v>1457</v>
      </c>
      <c r="P325" s="24"/>
      <c r="Q325">
        <v>33</v>
      </c>
      <c r="R325">
        <v>34</v>
      </c>
      <c r="S325">
        <v>33</v>
      </c>
      <c r="T325">
        <v>2102755044</v>
      </c>
      <c r="U325">
        <v>1403</v>
      </c>
      <c r="W325" s="24"/>
      <c r="X325">
        <v>62</v>
      </c>
      <c r="Y325">
        <v>62</v>
      </c>
      <c r="Z325">
        <v>62</v>
      </c>
      <c r="AA325">
        <v>457611134</v>
      </c>
      <c r="AB325">
        <v>1152</v>
      </c>
      <c r="AD325" s="24"/>
      <c r="AE325">
        <v>425</v>
      </c>
      <c r="AF325">
        <v>425</v>
      </c>
      <c r="AG325">
        <v>425</v>
      </c>
      <c r="AH325">
        <v>124497796</v>
      </c>
      <c r="AI325">
        <v>1120</v>
      </c>
      <c r="AK325" s="24"/>
      <c r="AL325">
        <v>717</v>
      </c>
      <c r="AM325">
        <v>725</v>
      </c>
      <c r="AN325">
        <v>725</v>
      </c>
      <c r="AO325">
        <v>28278015</v>
      </c>
      <c r="AP325">
        <v>913</v>
      </c>
      <c r="AR325" s="24"/>
      <c r="AS325">
        <v>2700</v>
      </c>
      <c r="AT325">
        <v>2786</v>
      </c>
      <c r="AU325">
        <v>2785</v>
      </c>
      <c r="AV325">
        <v>14590494</v>
      </c>
      <c r="AW325">
        <v>971</v>
      </c>
      <c r="AY325" s="24"/>
      <c r="AZ325">
        <v>399312000</v>
      </c>
      <c r="BA325">
        <v>406498978</v>
      </c>
      <c r="BB325">
        <v>404895989</v>
      </c>
      <c r="BC325">
        <v>2524</v>
      </c>
      <c r="BD325">
        <v>1587</v>
      </c>
      <c r="BF325" s="24"/>
      <c r="BG325">
        <v>24919</v>
      </c>
      <c r="BH325">
        <v>24930</v>
      </c>
      <c r="BI325">
        <v>24919</v>
      </c>
      <c r="BJ325">
        <v>2723893</v>
      </c>
      <c r="BK325">
        <v>186</v>
      </c>
      <c r="BM325" s="24"/>
      <c r="BN325">
        <v>6750001</v>
      </c>
      <c r="BO325">
        <v>6879500</v>
      </c>
      <c r="BP325">
        <v>6750001</v>
      </c>
      <c r="BQ325">
        <v>13802</v>
      </c>
      <c r="BR325">
        <v>322</v>
      </c>
      <c r="BT325" s="24"/>
      <c r="BU325">
        <v>2218</v>
      </c>
      <c r="BV325">
        <v>2219</v>
      </c>
      <c r="BW325">
        <v>2218</v>
      </c>
      <c r="BX325">
        <v>17598994</v>
      </c>
      <c r="BY325">
        <v>224</v>
      </c>
      <c r="CA325" s="24"/>
      <c r="CB325">
        <v>826</v>
      </c>
      <c r="CC325">
        <v>967</v>
      </c>
      <c r="CD325">
        <v>930</v>
      </c>
      <c r="CE325">
        <v>90389380</v>
      </c>
      <c r="CF325">
        <v>382</v>
      </c>
      <c r="CH325" s="24"/>
      <c r="CI325">
        <v>25000</v>
      </c>
      <c r="CJ325">
        <v>25200</v>
      </c>
      <c r="CK325">
        <v>25006</v>
      </c>
      <c r="CL325">
        <v>1026122</v>
      </c>
      <c r="CM325">
        <v>146</v>
      </c>
      <c r="CO325" s="24"/>
      <c r="CP325">
        <v>14000</v>
      </c>
      <c r="CQ325">
        <v>16799</v>
      </c>
      <c r="CR325">
        <v>14500</v>
      </c>
      <c r="CS325">
        <v>2207162</v>
      </c>
      <c r="CT325">
        <v>416</v>
      </c>
      <c r="CV325" s="24"/>
      <c r="CW325">
        <v>1224000</v>
      </c>
      <c r="CX325">
        <v>1228987</v>
      </c>
      <c r="CY325">
        <v>1228499</v>
      </c>
      <c r="CZ325">
        <v>5356</v>
      </c>
      <c r="DA325">
        <v>19</v>
      </c>
      <c r="DC325" s="24"/>
      <c r="DD325">
        <v>599</v>
      </c>
      <c r="DE325">
        <v>700</v>
      </c>
      <c r="DF325">
        <v>632</v>
      </c>
      <c r="DG325">
        <v>86484984</v>
      </c>
      <c r="DH325">
        <v>277</v>
      </c>
      <c r="DJ325" s="24"/>
      <c r="DK325">
        <v>32001030</v>
      </c>
      <c r="DL325">
        <v>32425264</v>
      </c>
      <c r="DM325">
        <v>32001114</v>
      </c>
      <c r="DN325">
        <v>243</v>
      </c>
      <c r="DO325">
        <v>72</v>
      </c>
      <c r="DQ325" s="24"/>
      <c r="DR325">
        <v>850203</v>
      </c>
      <c r="DS325">
        <v>1050003</v>
      </c>
      <c r="DT325">
        <v>999998</v>
      </c>
      <c r="DU325">
        <v>7308</v>
      </c>
      <c r="DV325">
        <v>238</v>
      </c>
      <c r="DX325" s="24"/>
      <c r="DY325">
        <v>20000003</v>
      </c>
      <c r="DZ325">
        <v>21948999</v>
      </c>
      <c r="EA325">
        <v>20121002</v>
      </c>
      <c r="EB325">
        <v>522</v>
      </c>
      <c r="EC325">
        <v>111</v>
      </c>
      <c r="EE325" s="24"/>
      <c r="EF325">
        <v>192</v>
      </c>
      <c r="EG325">
        <v>200</v>
      </c>
      <c r="EH325">
        <v>198</v>
      </c>
      <c r="EI325">
        <v>90444423</v>
      </c>
      <c r="EJ325">
        <v>178</v>
      </c>
      <c r="EL325" s="24"/>
      <c r="EM325">
        <v>55529</v>
      </c>
      <c r="EN325">
        <v>57500</v>
      </c>
      <c r="EO325">
        <v>55602</v>
      </c>
      <c r="EP325">
        <v>90358</v>
      </c>
      <c r="EQ325">
        <v>580</v>
      </c>
      <c r="ES325" s="24"/>
      <c r="ET325">
        <v>300</v>
      </c>
      <c r="EU325">
        <v>307</v>
      </c>
      <c r="EV325">
        <v>305</v>
      </c>
      <c r="EW325">
        <v>31236998</v>
      </c>
      <c r="EX325">
        <v>465</v>
      </c>
      <c r="EZ325" s="24"/>
      <c r="FA325">
        <v>3649999</v>
      </c>
      <c r="FB325">
        <v>3649999</v>
      </c>
      <c r="FC325">
        <v>3649999</v>
      </c>
      <c r="FD325">
        <v>949</v>
      </c>
      <c r="FE325">
        <v>11</v>
      </c>
      <c r="FG325" s="24"/>
      <c r="FH325">
        <v>9399</v>
      </c>
      <c r="FI325">
        <v>12602</v>
      </c>
      <c r="FJ325">
        <v>10999</v>
      </c>
      <c r="FK325">
        <v>2510895</v>
      </c>
      <c r="FL325">
        <v>459</v>
      </c>
      <c r="FN325" s="24"/>
      <c r="FO325">
        <v>18689</v>
      </c>
      <c r="FP325">
        <v>18692</v>
      </c>
      <c r="FQ325">
        <v>18692</v>
      </c>
      <c r="FR325">
        <v>245359</v>
      </c>
      <c r="FS325">
        <v>100</v>
      </c>
      <c r="FU325" s="24"/>
      <c r="FV325">
        <v>15120</v>
      </c>
      <c r="FW325">
        <v>15200</v>
      </c>
      <c r="FX325">
        <v>15120</v>
      </c>
      <c r="FY325">
        <v>373036</v>
      </c>
      <c r="FZ325">
        <v>1007</v>
      </c>
      <c r="GB325" s="24"/>
      <c r="GC325">
        <v>88099900</v>
      </c>
      <c r="GD325">
        <v>90999999</v>
      </c>
      <c r="GE325">
        <v>89576017</v>
      </c>
      <c r="GF325">
        <v>159</v>
      </c>
      <c r="GG325">
        <v>94</v>
      </c>
      <c r="GI325" s="24"/>
      <c r="GJ325">
        <v>17223002</v>
      </c>
      <c r="GK325">
        <v>18698998</v>
      </c>
      <c r="GL325">
        <v>17223002</v>
      </c>
      <c r="GM325">
        <v>570</v>
      </c>
      <c r="GN325">
        <v>75</v>
      </c>
      <c r="GP325" s="24"/>
      <c r="GQ325">
        <v>99</v>
      </c>
      <c r="GR325">
        <v>106</v>
      </c>
      <c r="GS325">
        <v>102</v>
      </c>
      <c r="GT325">
        <v>118548068</v>
      </c>
      <c r="GU325">
        <v>121</v>
      </c>
      <c r="GW325" s="24"/>
      <c r="GX325">
        <v>499</v>
      </c>
      <c r="GY325">
        <v>507</v>
      </c>
      <c r="GZ325">
        <v>500</v>
      </c>
      <c r="HA325">
        <v>61391323</v>
      </c>
      <c r="HB325">
        <v>206</v>
      </c>
      <c r="HD325" s="24"/>
      <c r="HE325">
        <v>5575</v>
      </c>
      <c r="HF325">
        <v>5678</v>
      </c>
      <c r="HG325">
        <v>5678</v>
      </c>
      <c r="HH325">
        <v>14824572</v>
      </c>
      <c r="HI325">
        <v>278</v>
      </c>
      <c r="HK325" s="24"/>
      <c r="HL325">
        <v>87539000</v>
      </c>
      <c r="HM325">
        <v>96478998</v>
      </c>
      <c r="HN325">
        <v>90000023</v>
      </c>
      <c r="HO325">
        <v>136</v>
      </c>
      <c r="HP325">
        <v>94</v>
      </c>
      <c r="HR325" s="24"/>
      <c r="HS325">
        <v>8900</v>
      </c>
      <c r="HT325">
        <v>9549</v>
      </c>
      <c r="HU325">
        <v>9198</v>
      </c>
      <c r="HV325">
        <v>698373</v>
      </c>
      <c r="HW325">
        <v>133</v>
      </c>
      <c r="HY325" s="24"/>
      <c r="HZ325">
        <v>9079</v>
      </c>
      <c r="IA325">
        <v>9899</v>
      </c>
      <c r="IB325">
        <v>9570</v>
      </c>
      <c r="IC325">
        <v>1882051</v>
      </c>
      <c r="ID325">
        <v>418</v>
      </c>
      <c r="IF325" s="24"/>
      <c r="IG325">
        <v>2877</v>
      </c>
      <c r="IH325">
        <v>3008</v>
      </c>
      <c r="II325">
        <v>3008</v>
      </c>
      <c r="IJ325">
        <v>2481164</v>
      </c>
      <c r="IK325">
        <v>144</v>
      </c>
      <c r="IM325" s="24"/>
      <c r="IN325">
        <v>88010001</v>
      </c>
      <c r="IO325">
        <v>93545998</v>
      </c>
      <c r="IP325">
        <v>91000004</v>
      </c>
      <c r="IQ325">
        <v>137</v>
      </c>
      <c r="IR325">
        <v>83</v>
      </c>
      <c r="IT325" s="24"/>
      <c r="IU325">
        <v>8085</v>
      </c>
      <c r="IV325">
        <v>8093</v>
      </c>
      <c r="IW325">
        <v>8093</v>
      </c>
      <c r="IX325">
        <v>1179209</v>
      </c>
      <c r="IY325">
        <v>140</v>
      </c>
      <c r="JA325" s="24"/>
      <c r="JB325">
        <v>88600151</v>
      </c>
      <c r="JC325">
        <v>91606024</v>
      </c>
      <c r="JD325">
        <v>90999998</v>
      </c>
      <c r="JE325">
        <v>205</v>
      </c>
      <c r="JF325">
        <v>117</v>
      </c>
      <c r="JH325" s="24"/>
      <c r="JI325">
        <v>89069003</v>
      </c>
      <c r="JJ325">
        <v>94980999</v>
      </c>
      <c r="JK325">
        <v>89603041</v>
      </c>
      <c r="JL325">
        <v>128</v>
      </c>
      <c r="JM325">
        <v>84</v>
      </c>
      <c r="JO325" s="24"/>
      <c r="JP325">
        <v>90</v>
      </c>
      <c r="JQ325">
        <v>94</v>
      </c>
      <c r="JR325">
        <v>93</v>
      </c>
      <c r="JS325">
        <v>65866915</v>
      </c>
      <c r="JT325">
        <v>80</v>
      </c>
      <c r="JV325" s="24"/>
      <c r="JW325">
        <v>95</v>
      </c>
      <c r="JX325">
        <v>99</v>
      </c>
      <c r="JY325">
        <v>99</v>
      </c>
      <c r="JZ325">
        <v>148590009</v>
      </c>
      <c r="KA325">
        <v>122</v>
      </c>
      <c r="KC325" s="24"/>
      <c r="KD325">
        <v>19</v>
      </c>
      <c r="KE325">
        <v>21</v>
      </c>
      <c r="KF325">
        <v>20</v>
      </c>
      <c r="KG325">
        <v>32500087</v>
      </c>
      <c r="KH325">
        <v>283</v>
      </c>
      <c r="KJ325" s="24"/>
      <c r="KK325">
        <v>111</v>
      </c>
      <c r="KL325">
        <v>123</v>
      </c>
      <c r="KM325">
        <v>120</v>
      </c>
      <c r="KN325">
        <v>96591537</v>
      </c>
      <c r="KO325">
        <v>130</v>
      </c>
      <c r="KQ325" s="24"/>
      <c r="KR325">
        <v>125603</v>
      </c>
      <c r="KS325">
        <v>130399</v>
      </c>
      <c r="KT325">
        <v>128999</v>
      </c>
      <c r="KU325">
        <v>80242</v>
      </c>
      <c r="KV325">
        <v>542</v>
      </c>
      <c r="KX325" s="24"/>
      <c r="KY325">
        <v>800</v>
      </c>
      <c r="KZ325">
        <v>834</v>
      </c>
      <c r="LA325">
        <v>834</v>
      </c>
      <c r="LB325">
        <v>5186548</v>
      </c>
      <c r="LC325">
        <v>163</v>
      </c>
      <c r="LE325" s="24"/>
      <c r="LF325">
        <v>183507</v>
      </c>
      <c r="LG325">
        <v>183508</v>
      </c>
      <c r="LH325">
        <v>183508</v>
      </c>
      <c r="LI325">
        <v>140623</v>
      </c>
      <c r="LJ325">
        <v>772</v>
      </c>
      <c r="LL325" s="24"/>
      <c r="LM325">
        <v>69506</v>
      </c>
      <c r="LN325">
        <v>70884</v>
      </c>
      <c r="LO325">
        <v>69506</v>
      </c>
      <c r="LP325">
        <v>427096</v>
      </c>
      <c r="LQ325">
        <v>1117</v>
      </c>
      <c r="LS325" s="24"/>
      <c r="LT325">
        <v>480</v>
      </c>
      <c r="LU325">
        <v>499</v>
      </c>
      <c r="LV325">
        <v>497</v>
      </c>
      <c r="LW325">
        <v>117234306</v>
      </c>
      <c r="LX325">
        <v>380</v>
      </c>
      <c r="LZ325" s="24"/>
      <c r="MA325">
        <v>93023</v>
      </c>
      <c r="MB325">
        <v>95517</v>
      </c>
      <c r="MC325">
        <v>94999</v>
      </c>
      <c r="MD325">
        <v>809906</v>
      </c>
      <c r="ME325">
        <v>77</v>
      </c>
    </row>
    <row r="326" spans="2:343" x14ac:dyDescent="0.25">
      <c r="B326" s="24"/>
      <c r="C326">
        <v>3</v>
      </c>
      <c r="D326">
        <v>3</v>
      </c>
      <c r="E326">
        <v>3</v>
      </c>
      <c r="F326">
        <v>26730732337</v>
      </c>
      <c r="G326">
        <v>2209</v>
      </c>
      <c r="I326" s="24"/>
      <c r="J326">
        <v>4</v>
      </c>
      <c r="K326">
        <v>4</v>
      </c>
      <c r="L326">
        <v>4</v>
      </c>
      <c r="M326">
        <v>4571639301</v>
      </c>
      <c r="N326">
        <v>1490</v>
      </c>
      <c r="P326" s="24"/>
      <c r="Q326">
        <v>33</v>
      </c>
      <c r="R326">
        <v>34</v>
      </c>
      <c r="S326">
        <v>34</v>
      </c>
      <c r="T326">
        <v>1242898758</v>
      </c>
      <c r="U326">
        <v>1357</v>
      </c>
      <c r="W326" s="24"/>
      <c r="X326">
        <v>63</v>
      </c>
      <c r="Y326">
        <v>63</v>
      </c>
      <c r="Z326">
        <v>63</v>
      </c>
      <c r="AA326">
        <v>246883897</v>
      </c>
      <c r="AB326">
        <v>1057</v>
      </c>
      <c r="AD326" s="24"/>
      <c r="AE326">
        <v>422</v>
      </c>
      <c r="AF326">
        <v>425</v>
      </c>
      <c r="AG326">
        <v>425</v>
      </c>
      <c r="AH326">
        <v>86650266</v>
      </c>
      <c r="AI326">
        <v>1161</v>
      </c>
      <c r="AK326" s="24"/>
      <c r="AL326">
        <v>717</v>
      </c>
      <c r="AM326">
        <v>724</v>
      </c>
      <c r="AN326">
        <v>724</v>
      </c>
      <c r="AO326">
        <v>35456419</v>
      </c>
      <c r="AP326">
        <v>902</v>
      </c>
      <c r="AR326" s="24"/>
      <c r="AS326">
        <v>2705</v>
      </c>
      <c r="AT326">
        <v>2780</v>
      </c>
      <c r="AU326">
        <v>2779</v>
      </c>
      <c r="AV326">
        <v>11327126</v>
      </c>
      <c r="AW326">
        <v>953</v>
      </c>
      <c r="AY326" s="24"/>
      <c r="AZ326">
        <v>402122124</v>
      </c>
      <c r="BA326">
        <v>409505994</v>
      </c>
      <c r="BB326">
        <v>407480950</v>
      </c>
      <c r="BC326">
        <v>2936</v>
      </c>
      <c r="BD326">
        <v>1806</v>
      </c>
      <c r="BF326" s="24"/>
      <c r="BG326">
        <v>25023</v>
      </c>
      <c r="BH326">
        <v>25044</v>
      </c>
      <c r="BI326">
        <v>25024</v>
      </c>
      <c r="BJ326">
        <v>3570119</v>
      </c>
      <c r="BK326">
        <v>259</v>
      </c>
      <c r="BM326" s="24"/>
      <c r="BN326">
        <v>6700010</v>
      </c>
      <c r="BO326">
        <v>6820000</v>
      </c>
      <c r="BP326">
        <v>6750002</v>
      </c>
      <c r="BQ326">
        <v>10624</v>
      </c>
      <c r="BR326">
        <v>335</v>
      </c>
      <c r="BT326" s="24"/>
      <c r="BU326">
        <v>2161</v>
      </c>
      <c r="BV326">
        <v>2218</v>
      </c>
      <c r="BW326">
        <v>2217</v>
      </c>
      <c r="BX326">
        <v>21334375</v>
      </c>
      <c r="BY326">
        <v>203</v>
      </c>
      <c r="CA326" s="24"/>
      <c r="CB326">
        <v>794</v>
      </c>
      <c r="CC326">
        <v>825</v>
      </c>
      <c r="CD326">
        <v>821</v>
      </c>
      <c r="CE326">
        <v>82657978</v>
      </c>
      <c r="CF326">
        <v>350</v>
      </c>
      <c r="CH326" s="24"/>
      <c r="CI326">
        <v>25200</v>
      </c>
      <c r="CJ326">
        <v>25300</v>
      </c>
      <c r="CK326">
        <v>25300</v>
      </c>
      <c r="CL326">
        <v>961098</v>
      </c>
      <c r="CM326">
        <v>166</v>
      </c>
      <c r="CO326" s="24"/>
      <c r="CP326">
        <v>11797</v>
      </c>
      <c r="CQ326">
        <v>13632</v>
      </c>
      <c r="CR326">
        <v>11899</v>
      </c>
      <c r="CS326">
        <v>1858745</v>
      </c>
      <c r="CT326">
        <v>409</v>
      </c>
      <c r="CV326" s="24"/>
      <c r="CW326">
        <v>1170011</v>
      </c>
      <c r="CX326">
        <v>1222199</v>
      </c>
      <c r="CY326">
        <v>1219999</v>
      </c>
      <c r="CZ326">
        <v>12941</v>
      </c>
      <c r="DA326">
        <v>41</v>
      </c>
      <c r="DC326" s="24"/>
      <c r="DD326">
        <v>570</v>
      </c>
      <c r="DE326">
        <v>610</v>
      </c>
      <c r="DF326">
        <v>610</v>
      </c>
      <c r="DG326">
        <v>52343638</v>
      </c>
      <c r="DH326">
        <v>234</v>
      </c>
      <c r="DJ326" s="24"/>
      <c r="DK326">
        <v>32700001</v>
      </c>
      <c r="DL326">
        <v>34172993</v>
      </c>
      <c r="DM326">
        <v>33924997</v>
      </c>
      <c r="DN326">
        <v>266</v>
      </c>
      <c r="DO326">
        <v>78</v>
      </c>
      <c r="DQ326" s="24"/>
      <c r="DR326">
        <v>950120</v>
      </c>
      <c r="DS326">
        <v>1050000</v>
      </c>
      <c r="DT326">
        <v>1040202</v>
      </c>
      <c r="DU326">
        <v>8117</v>
      </c>
      <c r="DV326">
        <v>175</v>
      </c>
      <c r="DX326" s="24"/>
      <c r="DY326">
        <v>20600011</v>
      </c>
      <c r="DZ326">
        <v>21999998</v>
      </c>
      <c r="EA326">
        <v>21052298</v>
      </c>
      <c r="EB326">
        <v>392</v>
      </c>
      <c r="EC326">
        <v>107</v>
      </c>
      <c r="EE326" s="24"/>
      <c r="EF326">
        <v>191</v>
      </c>
      <c r="EG326">
        <v>199</v>
      </c>
      <c r="EH326">
        <v>196</v>
      </c>
      <c r="EI326">
        <v>83282355</v>
      </c>
      <c r="EJ326">
        <v>156</v>
      </c>
      <c r="EL326" s="24"/>
      <c r="EM326">
        <v>55700</v>
      </c>
      <c r="EN326">
        <v>55700</v>
      </c>
      <c r="EO326">
        <v>55700</v>
      </c>
      <c r="EP326">
        <v>58974</v>
      </c>
      <c r="EQ326">
        <v>548</v>
      </c>
      <c r="ES326" s="24"/>
      <c r="ET326">
        <v>296</v>
      </c>
      <c r="EU326">
        <v>308</v>
      </c>
      <c r="EV326">
        <v>305</v>
      </c>
      <c r="EW326">
        <v>34376066</v>
      </c>
      <c r="EX326">
        <v>527</v>
      </c>
      <c r="EZ326" s="24"/>
      <c r="FA326">
        <v>3300058</v>
      </c>
      <c r="FB326">
        <v>3689783</v>
      </c>
      <c r="FC326">
        <v>3689783</v>
      </c>
      <c r="FD326">
        <v>1510</v>
      </c>
      <c r="FE326">
        <v>24</v>
      </c>
      <c r="FG326" s="24"/>
      <c r="FH326">
        <v>8525</v>
      </c>
      <c r="FI326">
        <v>9981</v>
      </c>
      <c r="FJ326">
        <v>9499</v>
      </c>
      <c r="FK326">
        <v>2038303</v>
      </c>
      <c r="FL326">
        <v>484</v>
      </c>
      <c r="FN326" s="24"/>
      <c r="FO326">
        <v>18050</v>
      </c>
      <c r="FP326">
        <v>18679</v>
      </c>
      <c r="FQ326">
        <v>18679</v>
      </c>
      <c r="FR326">
        <v>121225</v>
      </c>
      <c r="FS326">
        <v>68</v>
      </c>
      <c r="FU326" s="24"/>
      <c r="FV326">
        <v>15200</v>
      </c>
      <c r="FW326">
        <v>15200</v>
      </c>
      <c r="FX326">
        <v>15200</v>
      </c>
      <c r="FY326">
        <v>307272</v>
      </c>
      <c r="FZ326">
        <v>939</v>
      </c>
      <c r="GB326" s="24"/>
      <c r="GC326">
        <v>87200014</v>
      </c>
      <c r="GD326">
        <v>91491000</v>
      </c>
      <c r="GE326">
        <v>91489000</v>
      </c>
      <c r="GF326">
        <v>106</v>
      </c>
      <c r="GG326">
        <v>62</v>
      </c>
      <c r="GI326" s="24"/>
      <c r="GJ326">
        <v>18100047</v>
      </c>
      <c r="GK326">
        <v>18799899</v>
      </c>
      <c r="GL326">
        <v>18698995</v>
      </c>
      <c r="GM326">
        <v>625</v>
      </c>
      <c r="GN326">
        <v>79</v>
      </c>
      <c r="GP326" s="24"/>
      <c r="GQ326">
        <v>103</v>
      </c>
      <c r="GR326">
        <v>105</v>
      </c>
      <c r="GS326">
        <v>103</v>
      </c>
      <c r="GT326">
        <v>108881807</v>
      </c>
      <c r="GU326">
        <v>111</v>
      </c>
      <c r="GW326" s="24"/>
      <c r="GX326">
        <v>497</v>
      </c>
      <c r="GY326">
        <v>524</v>
      </c>
      <c r="GZ326">
        <v>514</v>
      </c>
      <c r="HA326">
        <v>54166123</v>
      </c>
      <c r="HB326">
        <v>244</v>
      </c>
      <c r="HD326" s="24"/>
      <c r="HE326">
        <v>5576</v>
      </c>
      <c r="HF326">
        <v>5741</v>
      </c>
      <c r="HG326">
        <v>5740</v>
      </c>
      <c r="HH326">
        <v>14041695</v>
      </c>
      <c r="HI326">
        <v>211</v>
      </c>
      <c r="HK326" s="24"/>
      <c r="HL326">
        <v>87658005</v>
      </c>
      <c r="HM326">
        <v>96455995</v>
      </c>
      <c r="HN326">
        <v>93249194</v>
      </c>
      <c r="HO326">
        <v>67</v>
      </c>
      <c r="HP326">
        <v>52</v>
      </c>
      <c r="HR326" s="24"/>
      <c r="HS326">
        <v>9010</v>
      </c>
      <c r="HT326">
        <v>9435</v>
      </c>
      <c r="HU326">
        <v>9078</v>
      </c>
      <c r="HV326">
        <v>1093723</v>
      </c>
      <c r="HW326">
        <v>177</v>
      </c>
      <c r="HY326" s="24"/>
      <c r="HZ326">
        <v>9412</v>
      </c>
      <c r="IA326">
        <v>9779</v>
      </c>
      <c r="IB326">
        <v>9764</v>
      </c>
      <c r="IC326">
        <v>2336828</v>
      </c>
      <c r="ID326">
        <v>514</v>
      </c>
      <c r="IF326" s="24"/>
      <c r="IG326">
        <v>2900</v>
      </c>
      <c r="IH326">
        <v>3008</v>
      </c>
      <c r="II326">
        <v>3008</v>
      </c>
      <c r="IJ326">
        <v>1418622</v>
      </c>
      <c r="IK326">
        <v>115</v>
      </c>
      <c r="IM326" s="24"/>
      <c r="IN326">
        <v>88113005</v>
      </c>
      <c r="IO326">
        <v>93544990</v>
      </c>
      <c r="IP326">
        <v>90772019</v>
      </c>
      <c r="IQ326">
        <v>92</v>
      </c>
      <c r="IR326">
        <v>63</v>
      </c>
      <c r="IT326" s="24"/>
      <c r="IU326">
        <v>7765</v>
      </c>
      <c r="IV326">
        <v>8082</v>
      </c>
      <c r="IW326">
        <v>7976</v>
      </c>
      <c r="IX326">
        <v>1455544</v>
      </c>
      <c r="IY326">
        <v>123</v>
      </c>
      <c r="JA326" s="24"/>
      <c r="JB326">
        <v>89023011</v>
      </c>
      <c r="JC326">
        <v>92015999</v>
      </c>
      <c r="JD326">
        <v>89035006</v>
      </c>
      <c r="JE326">
        <v>105</v>
      </c>
      <c r="JF326">
        <v>81</v>
      </c>
      <c r="JH326" s="24"/>
      <c r="JI326">
        <v>89103014</v>
      </c>
      <c r="JJ326">
        <v>94981984</v>
      </c>
      <c r="JK326">
        <v>91964135</v>
      </c>
      <c r="JL326">
        <v>60</v>
      </c>
      <c r="JM326">
        <v>43</v>
      </c>
      <c r="JO326" s="24"/>
      <c r="JP326">
        <v>89</v>
      </c>
      <c r="JQ326">
        <v>93</v>
      </c>
      <c r="JR326">
        <v>93</v>
      </c>
      <c r="JS326">
        <v>71631944</v>
      </c>
      <c r="JT326">
        <v>92</v>
      </c>
      <c r="JV326" s="24"/>
      <c r="JW326">
        <v>96</v>
      </c>
      <c r="JX326">
        <v>99</v>
      </c>
      <c r="JY326">
        <v>99</v>
      </c>
      <c r="JZ326">
        <v>116105290</v>
      </c>
      <c r="KA326">
        <v>105</v>
      </c>
      <c r="KC326" s="24"/>
      <c r="KD326">
        <v>19</v>
      </c>
      <c r="KE326">
        <v>21</v>
      </c>
      <c r="KF326">
        <v>20</v>
      </c>
      <c r="KG326">
        <v>43115343</v>
      </c>
      <c r="KH326">
        <v>331</v>
      </c>
      <c r="KJ326" s="24"/>
      <c r="KK326">
        <v>106</v>
      </c>
      <c r="KL326">
        <v>112</v>
      </c>
      <c r="KM326">
        <v>111</v>
      </c>
      <c r="KN326">
        <v>108426878</v>
      </c>
      <c r="KO326">
        <v>93</v>
      </c>
      <c r="KQ326" s="24"/>
      <c r="KR326">
        <v>126500</v>
      </c>
      <c r="KS326">
        <v>126501</v>
      </c>
      <c r="KT326">
        <v>126500</v>
      </c>
      <c r="KU326">
        <v>41866</v>
      </c>
      <c r="KV326">
        <v>509</v>
      </c>
      <c r="KX326" s="24"/>
      <c r="KY326">
        <v>810</v>
      </c>
      <c r="KZ326">
        <v>834</v>
      </c>
      <c r="LA326">
        <v>834</v>
      </c>
      <c r="LB326">
        <v>5866475</v>
      </c>
      <c r="LC326">
        <v>154</v>
      </c>
      <c r="LE326" s="24"/>
      <c r="LF326">
        <v>185000</v>
      </c>
      <c r="LG326">
        <v>187655</v>
      </c>
      <c r="LH326">
        <v>185001</v>
      </c>
      <c r="LI326">
        <v>137895</v>
      </c>
      <c r="LJ326">
        <v>720</v>
      </c>
      <c r="LL326" s="24"/>
      <c r="LM326">
        <v>69800</v>
      </c>
      <c r="LN326">
        <v>70000</v>
      </c>
      <c r="LO326">
        <v>70000</v>
      </c>
      <c r="LP326">
        <v>290818</v>
      </c>
      <c r="LQ326">
        <v>974</v>
      </c>
      <c r="LS326" s="24"/>
      <c r="LT326">
        <v>481</v>
      </c>
      <c r="LU326">
        <v>491</v>
      </c>
      <c r="LV326">
        <v>490</v>
      </c>
      <c r="LW326">
        <v>87006709</v>
      </c>
      <c r="LX326">
        <v>349</v>
      </c>
      <c r="LZ326" s="24"/>
      <c r="MA326">
        <v>93151</v>
      </c>
      <c r="MB326">
        <v>94989</v>
      </c>
      <c r="MC326">
        <v>94851</v>
      </c>
      <c r="MD326">
        <v>559281</v>
      </c>
      <c r="ME326">
        <v>65</v>
      </c>
    </row>
    <row r="327" spans="2:343" x14ac:dyDescent="0.25">
      <c r="B327" s="24"/>
      <c r="C327">
        <v>3</v>
      </c>
      <c r="D327">
        <v>3</v>
      </c>
      <c r="E327">
        <v>3</v>
      </c>
      <c r="F327">
        <v>20381183984</v>
      </c>
      <c r="G327">
        <v>2745</v>
      </c>
      <c r="I327" s="24"/>
      <c r="J327">
        <v>4</v>
      </c>
      <c r="K327">
        <v>4</v>
      </c>
      <c r="L327">
        <v>4</v>
      </c>
      <c r="M327">
        <v>6717650457</v>
      </c>
      <c r="N327">
        <v>1911</v>
      </c>
      <c r="P327" s="24"/>
      <c r="Q327">
        <v>33</v>
      </c>
      <c r="R327">
        <v>34</v>
      </c>
      <c r="S327">
        <v>34</v>
      </c>
      <c r="T327">
        <v>1447190085</v>
      </c>
      <c r="U327">
        <v>1772</v>
      </c>
      <c r="W327" s="24"/>
      <c r="X327">
        <v>62</v>
      </c>
      <c r="Y327">
        <v>63</v>
      </c>
      <c r="Z327">
        <v>63</v>
      </c>
      <c r="AA327">
        <v>346729306</v>
      </c>
      <c r="AB327">
        <v>1417</v>
      </c>
      <c r="AD327" s="24"/>
      <c r="AE327">
        <v>423</v>
      </c>
      <c r="AF327">
        <v>429</v>
      </c>
      <c r="AG327">
        <v>427</v>
      </c>
      <c r="AH327">
        <v>89625012</v>
      </c>
      <c r="AI327">
        <v>1432</v>
      </c>
      <c r="AK327" s="24"/>
      <c r="AL327">
        <v>720</v>
      </c>
      <c r="AM327">
        <v>735</v>
      </c>
      <c r="AN327">
        <v>723</v>
      </c>
      <c r="AO327">
        <v>72428261</v>
      </c>
      <c r="AP327">
        <v>1296</v>
      </c>
      <c r="AR327" s="24"/>
      <c r="AS327">
        <v>2723</v>
      </c>
      <c r="AT327">
        <v>2781</v>
      </c>
      <c r="AU327">
        <v>2735</v>
      </c>
      <c r="AV327">
        <v>23499099</v>
      </c>
      <c r="AW327">
        <v>1187</v>
      </c>
      <c r="AY327" s="24"/>
      <c r="AZ327">
        <v>400000000</v>
      </c>
      <c r="BA327">
        <v>407850999</v>
      </c>
      <c r="BB327">
        <v>403994000</v>
      </c>
      <c r="BC327">
        <v>2827</v>
      </c>
      <c r="BD327">
        <v>1867</v>
      </c>
      <c r="BF327" s="24"/>
      <c r="BG327">
        <v>25064</v>
      </c>
      <c r="BH327">
        <v>25355</v>
      </c>
      <c r="BI327">
        <v>25103</v>
      </c>
      <c r="BJ327">
        <v>5111927</v>
      </c>
      <c r="BK327">
        <v>273</v>
      </c>
      <c r="BM327" s="24"/>
      <c r="BN327">
        <v>6700011</v>
      </c>
      <c r="BO327">
        <v>6788019</v>
      </c>
      <c r="BP327">
        <v>6700019</v>
      </c>
      <c r="BQ327">
        <v>11206</v>
      </c>
      <c r="BR327">
        <v>332</v>
      </c>
      <c r="BT327" s="24"/>
      <c r="BU327">
        <v>2243</v>
      </c>
      <c r="BV327">
        <v>2350</v>
      </c>
      <c r="BW327">
        <v>2300</v>
      </c>
      <c r="BX327">
        <v>45509336</v>
      </c>
      <c r="BY327">
        <v>247</v>
      </c>
      <c r="CA327" s="24"/>
      <c r="CB327">
        <v>905</v>
      </c>
      <c r="CC327">
        <v>932</v>
      </c>
      <c r="CD327">
        <v>929</v>
      </c>
      <c r="CE327">
        <v>45874185</v>
      </c>
      <c r="CF327">
        <v>286</v>
      </c>
      <c r="CH327" s="24"/>
      <c r="CI327">
        <v>25300</v>
      </c>
      <c r="CJ327">
        <v>25400</v>
      </c>
      <c r="CK327">
        <v>25300</v>
      </c>
      <c r="CL327">
        <v>1703319</v>
      </c>
      <c r="CM327">
        <v>207</v>
      </c>
      <c r="CO327" s="24"/>
      <c r="CP327">
        <v>10000</v>
      </c>
      <c r="CQ327">
        <v>11349</v>
      </c>
      <c r="CR327">
        <v>11161</v>
      </c>
      <c r="CS327">
        <v>1866328</v>
      </c>
      <c r="CT327">
        <v>411</v>
      </c>
      <c r="CV327" s="24"/>
      <c r="CW327">
        <v>1190976</v>
      </c>
      <c r="CX327">
        <v>1219994</v>
      </c>
      <c r="CY327">
        <v>1200000</v>
      </c>
      <c r="CZ327">
        <v>11784</v>
      </c>
      <c r="DA327">
        <v>34</v>
      </c>
      <c r="DC327" s="24"/>
      <c r="DD327">
        <v>591</v>
      </c>
      <c r="DE327">
        <v>648</v>
      </c>
      <c r="DF327">
        <v>610</v>
      </c>
      <c r="DG327">
        <v>57507864</v>
      </c>
      <c r="DH327">
        <v>253</v>
      </c>
      <c r="DJ327" s="24"/>
      <c r="DK327">
        <v>32037000</v>
      </c>
      <c r="DL327">
        <v>33199997</v>
      </c>
      <c r="DM327">
        <v>32037000</v>
      </c>
      <c r="DN327">
        <v>264</v>
      </c>
      <c r="DO327">
        <v>74</v>
      </c>
      <c r="DQ327" s="24"/>
      <c r="DR327">
        <v>890001</v>
      </c>
      <c r="DS327">
        <v>1050000</v>
      </c>
      <c r="DT327">
        <v>980119</v>
      </c>
      <c r="DU327">
        <v>7466</v>
      </c>
      <c r="DV327">
        <v>214</v>
      </c>
      <c r="DX327" s="24"/>
      <c r="DY327">
        <v>21355012</v>
      </c>
      <c r="DZ327">
        <v>22180000</v>
      </c>
      <c r="EA327">
        <v>21899993</v>
      </c>
      <c r="EB327">
        <v>598</v>
      </c>
      <c r="EC327">
        <v>104</v>
      </c>
      <c r="EE327" s="24"/>
      <c r="EF327">
        <v>189</v>
      </c>
      <c r="EG327">
        <v>195</v>
      </c>
      <c r="EH327">
        <v>195</v>
      </c>
      <c r="EI327">
        <v>100848140</v>
      </c>
      <c r="EJ327">
        <v>176</v>
      </c>
      <c r="EL327" s="24"/>
      <c r="EM327">
        <v>55700</v>
      </c>
      <c r="EN327">
        <v>58894</v>
      </c>
      <c r="EO327">
        <v>57500</v>
      </c>
      <c r="EP327">
        <v>72207</v>
      </c>
      <c r="EQ327">
        <v>683</v>
      </c>
      <c r="ES327" s="24"/>
      <c r="ET327">
        <v>296</v>
      </c>
      <c r="EU327">
        <v>310</v>
      </c>
      <c r="EV327">
        <v>300</v>
      </c>
      <c r="EW327">
        <v>54398314</v>
      </c>
      <c r="EX327">
        <v>614</v>
      </c>
      <c r="EZ327" s="24"/>
      <c r="FA327">
        <v>3400000</v>
      </c>
      <c r="FB327">
        <v>3724997</v>
      </c>
      <c r="FC327">
        <v>3723000</v>
      </c>
      <c r="FD327">
        <v>1203</v>
      </c>
      <c r="FE327">
        <v>17</v>
      </c>
      <c r="FG327" s="24"/>
      <c r="FH327">
        <v>9065</v>
      </c>
      <c r="FI327">
        <v>9600</v>
      </c>
      <c r="FJ327">
        <v>9494</v>
      </c>
      <c r="FK327">
        <v>2253750</v>
      </c>
      <c r="FL327">
        <v>530</v>
      </c>
      <c r="FN327" s="24"/>
      <c r="FO327">
        <v>17998</v>
      </c>
      <c r="FP327">
        <v>17999</v>
      </c>
      <c r="FQ327">
        <v>17998</v>
      </c>
      <c r="FR327">
        <v>126279</v>
      </c>
      <c r="FS327">
        <v>77</v>
      </c>
      <c r="FU327" s="24"/>
      <c r="FV327">
        <v>15121</v>
      </c>
      <c r="FW327">
        <v>15122</v>
      </c>
      <c r="FX327">
        <v>15121</v>
      </c>
      <c r="FY327">
        <v>382531</v>
      </c>
      <c r="FZ327">
        <v>1135</v>
      </c>
      <c r="GB327" s="24"/>
      <c r="GC327">
        <v>91440943</v>
      </c>
      <c r="GD327">
        <v>92000000</v>
      </c>
      <c r="GE327">
        <v>91491000</v>
      </c>
      <c r="GF327">
        <v>107</v>
      </c>
      <c r="GG327">
        <v>68</v>
      </c>
      <c r="GI327" s="24"/>
      <c r="GJ327">
        <v>18200000</v>
      </c>
      <c r="GK327">
        <v>19173999</v>
      </c>
      <c r="GL327">
        <v>18900000</v>
      </c>
      <c r="GM327">
        <v>634</v>
      </c>
      <c r="GN327">
        <v>107</v>
      </c>
      <c r="GP327" s="24"/>
      <c r="GQ327">
        <v>103</v>
      </c>
      <c r="GR327">
        <v>107</v>
      </c>
      <c r="GS327">
        <v>103</v>
      </c>
      <c r="GT327">
        <v>153500287</v>
      </c>
      <c r="GU327">
        <v>145</v>
      </c>
      <c r="GW327" s="24"/>
      <c r="GX327">
        <v>496</v>
      </c>
      <c r="GY327">
        <v>533</v>
      </c>
      <c r="GZ327">
        <v>525</v>
      </c>
      <c r="HA327">
        <v>65370416</v>
      </c>
      <c r="HB327">
        <v>286</v>
      </c>
      <c r="HD327" s="24"/>
      <c r="HE327">
        <v>5600</v>
      </c>
      <c r="HF327">
        <v>5732</v>
      </c>
      <c r="HG327">
        <v>5728</v>
      </c>
      <c r="HH327">
        <v>18158518</v>
      </c>
      <c r="HI327">
        <v>282</v>
      </c>
      <c r="HK327" s="24"/>
      <c r="HL327">
        <v>90006000</v>
      </c>
      <c r="HM327">
        <v>96249996</v>
      </c>
      <c r="HN327">
        <v>90037003</v>
      </c>
      <c r="HO327">
        <v>129</v>
      </c>
      <c r="HP327">
        <v>78</v>
      </c>
      <c r="HR327" s="24"/>
      <c r="HS327">
        <v>9010</v>
      </c>
      <c r="HT327">
        <v>9450</v>
      </c>
      <c r="HU327">
        <v>9198</v>
      </c>
      <c r="HV327">
        <v>1276104</v>
      </c>
      <c r="HW327">
        <v>225</v>
      </c>
      <c r="HY327" s="24"/>
      <c r="HZ327">
        <v>9207</v>
      </c>
      <c r="IA327">
        <v>9501</v>
      </c>
      <c r="IB327">
        <v>9209</v>
      </c>
      <c r="IC327">
        <v>2153778</v>
      </c>
      <c r="ID327">
        <v>522</v>
      </c>
      <c r="IF327" s="24"/>
      <c r="IG327">
        <v>2807</v>
      </c>
      <c r="IH327">
        <v>2997</v>
      </c>
      <c r="II327">
        <v>2994</v>
      </c>
      <c r="IJ327">
        <v>2163525</v>
      </c>
      <c r="IK327">
        <v>146</v>
      </c>
      <c r="IM327" s="24"/>
      <c r="IN327">
        <v>88142000</v>
      </c>
      <c r="IO327">
        <v>93479000</v>
      </c>
      <c r="IP327">
        <v>88242000</v>
      </c>
      <c r="IQ327">
        <v>157</v>
      </c>
      <c r="IR327">
        <v>80</v>
      </c>
      <c r="IT327" s="24"/>
      <c r="IU327">
        <v>8072</v>
      </c>
      <c r="IV327">
        <v>8080</v>
      </c>
      <c r="IW327">
        <v>8080</v>
      </c>
      <c r="IX327">
        <v>1077367</v>
      </c>
      <c r="IY327">
        <v>109</v>
      </c>
      <c r="JA327" s="24"/>
      <c r="JB327">
        <v>89035006</v>
      </c>
      <c r="JC327">
        <v>91989000</v>
      </c>
      <c r="JD327">
        <v>89044000</v>
      </c>
      <c r="JE327">
        <v>155</v>
      </c>
      <c r="JF327">
        <v>93</v>
      </c>
      <c r="JH327" s="24"/>
      <c r="JI327">
        <v>90009000</v>
      </c>
      <c r="JJ327">
        <v>94100995</v>
      </c>
      <c r="JK327">
        <v>90834019</v>
      </c>
      <c r="JL327">
        <v>100</v>
      </c>
      <c r="JM327">
        <v>61</v>
      </c>
      <c r="JO327" s="24"/>
      <c r="JP327">
        <v>88</v>
      </c>
      <c r="JQ327">
        <v>92</v>
      </c>
      <c r="JR327">
        <v>91</v>
      </c>
      <c r="JS327">
        <v>118722914</v>
      </c>
      <c r="JT327">
        <v>88</v>
      </c>
      <c r="JV327" s="24"/>
      <c r="JW327">
        <v>97</v>
      </c>
      <c r="JX327">
        <v>100</v>
      </c>
      <c r="JY327">
        <v>99</v>
      </c>
      <c r="JZ327">
        <v>156266577</v>
      </c>
      <c r="KA327">
        <v>113</v>
      </c>
      <c r="KC327" s="24"/>
      <c r="KD327">
        <v>19</v>
      </c>
      <c r="KE327">
        <v>21</v>
      </c>
      <c r="KF327">
        <v>20</v>
      </c>
      <c r="KG327">
        <v>57472103</v>
      </c>
      <c r="KH327">
        <v>328</v>
      </c>
      <c r="KJ327" s="24"/>
      <c r="KK327">
        <v>103</v>
      </c>
      <c r="KL327">
        <v>112</v>
      </c>
      <c r="KM327">
        <v>105</v>
      </c>
      <c r="KN327">
        <v>154666304</v>
      </c>
      <c r="KO327">
        <v>137</v>
      </c>
      <c r="KQ327" s="24"/>
      <c r="KR327">
        <v>126501</v>
      </c>
      <c r="KS327">
        <v>130299</v>
      </c>
      <c r="KT327">
        <v>126502</v>
      </c>
      <c r="KU327">
        <v>59844</v>
      </c>
      <c r="KV327">
        <v>597</v>
      </c>
      <c r="KX327" s="24"/>
      <c r="KY327">
        <v>810</v>
      </c>
      <c r="KZ327">
        <v>834</v>
      </c>
      <c r="LA327">
        <v>834</v>
      </c>
      <c r="LB327">
        <v>6042277</v>
      </c>
      <c r="LC327">
        <v>178</v>
      </c>
      <c r="LE327" s="24"/>
      <c r="LF327">
        <v>184003</v>
      </c>
      <c r="LG327">
        <v>185001</v>
      </c>
      <c r="LH327">
        <v>184004</v>
      </c>
      <c r="LI327">
        <v>110458</v>
      </c>
      <c r="LJ327">
        <v>876</v>
      </c>
      <c r="LL327" s="24"/>
      <c r="LM327">
        <v>69506</v>
      </c>
      <c r="LN327">
        <v>69511</v>
      </c>
      <c r="LO327">
        <v>69508</v>
      </c>
      <c r="LP327">
        <v>349525</v>
      </c>
      <c r="LQ327">
        <v>1184</v>
      </c>
      <c r="LS327" s="24"/>
      <c r="LT327">
        <v>479</v>
      </c>
      <c r="LU327">
        <v>489</v>
      </c>
      <c r="LV327">
        <v>488</v>
      </c>
      <c r="LW327">
        <v>109904204</v>
      </c>
      <c r="LX327">
        <v>396</v>
      </c>
      <c r="LZ327" s="24"/>
      <c r="MA327">
        <v>94706</v>
      </c>
      <c r="MB327">
        <v>95899</v>
      </c>
      <c r="MC327">
        <v>95516</v>
      </c>
      <c r="MD327">
        <v>932858</v>
      </c>
      <c r="ME327">
        <v>80</v>
      </c>
    </row>
    <row r="328" spans="2:343" x14ac:dyDescent="0.25">
      <c r="B328" s="24"/>
      <c r="C328">
        <v>3</v>
      </c>
      <c r="D328">
        <v>3</v>
      </c>
      <c r="E328">
        <v>3</v>
      </c>
      <c r="F328">
        <v>26318884868</v>
      </c>
      <c r="G328">
        <v>2941</v>
      </c>
      <c r="I328" s="24"/>
      <c r="J328">
        <v>4</v>
      </c>
      <c r="K328">
        <v>4</v>
      </c>
      <c r="L328">
        <v>4</v>
      </c>
      <c r="M328">
        <v>5654528610</v>
      </c>
      <c r="N328">
        <v>2070</v>
      </c>
      <c r="P328" s="24"/>
      <c r="Q328">
        <v>33</v>
      </c>
      <c r="R328">
        <v>34</v>
      </c>
      <c r="S328">
        <v>34</v>
      </c>
      <c r="T328">
        <v>1526307569</v>
      </c>
      <c r="U328">
        <v>1966</v>
      </c>
      <c r="W328" s="24"/>
      <c r="X328">
        <v>62</v>
      </c>
      <c r="Y328">
        <v>62</v>
      </c>
      <c r="Z328">
        <v>62</v>
      </c>
      <c r="AA328">
        <v>405095833</v>
      </c>
      <c r="AB328">
        <v>1514</v>
      </c>
      <c r="AD328" s="24"/>
      <c r="AE328">
        <v>439</v>
      </c>
      <c r="AF328">
        <v>440</v>
      </c>
      <c r="AG328">
        <v>440</v>
      </c>
      <c r="AH328">
        <v>156574863</v>
      </c>
      <c r="AI328">
        <v>1650</v>
      </c>
      <c r="AK328" s="24"/>
      <c r="AL328">
        <v>729</v>
      </c>
      <c r="AM328">
        <v>789</v>
      </c>
      <c r="AN328">
        <v>730</v>
      </c>
      <c r="AO328">
        <v>35114747</v>
      </c>
      <c r="AP328">
        <v>1353</v>
      </c>
      <c r="AR328" s="24"/>
      <c r="AS328">
        <v>2745</v>
      </c>
      <c r="AT328">
        <v>2805</v>
      </c>
      <c r="AU328">
        <v>2799</v>
      </c>
      <c r="AV328">
        <v>16003771</v>
      </c>
      <c r="AW328">
        <v>1290</v>
      </c>
      <c r="AY328" s="24"/>
      <c r="AZ328">
        <v>397500001</v>
      </c>
      <c r="BA328">
        <v>405496057</v>
      </c>
      <c r="BB328">
        <v>401750000</v>
      </c>
      <c r="BC328">
        <v>3092</v>
      </c>
      <c r="BD328">
        <v>2098</v>
      </c>
      <c r="BF328" s="24"/>
      <c r="BG328">
        <v>25103</v>
      </c>
      <c r="BH328">
        <v>25500</v>
      </c>
      <c r="BI328">
        <v>25213</v>
      </c>
      <c r="BJ328">
        <v>3782415</v>
      </c>
      <c r="BK328">
        <v>268</v>
      </c>
      <c r="BM328" s="24"/>
      <c r="BN328">
        <v>6700023</v>
      </c>
      <c r="BO328">
        <v>6899021</v>
      </c>
      <c r="BP328">
        <v>6705000</v>
      </c>
      <c r="BQ328">
        <v>14541</v>
      </c>
      <c r="BR328">
        <v>434</v>
      </c>
      <c r="BT328" s="24"/>
      <c r="BU328">
        <v>2319</v>
      </c>
      <c r="BV328">
        <v>2335</v>
      </c>
      <c r="BW328">
        <v>2334</v>
      </c>
      <c r="BX328">
        <v>23339634</v>
      </c>
      <c r="BY328">
        <v>241</v>
      </c>
      <c r="CA328" s="24"/>
      <c r="CB328">
        <v>870</v>
      </c>
      <c r="CC328">
        <v>911</v>
      </c>
      <c r="CD328">
        <v>907</v>
      </c>
      <c r="CE328">
        <v>61649215</v>
      </c>
      <c r="CF328">
        <v>355</v>
      </c>
      <c r="CH328" s="24"/>
      <c r="CI328">
        <v>25300</v>
      </c>
      <c r="CJ328">
        <v>25700</v>
      </c>
      <c r="CK328">
        <v>25700</v>
      </c>
      <c r="CL328">
        <v>1221587</v>
      </c>
      <c r="CM328">
        <v>196</v>
      </c>
      <c r="CO328" s="24"/>
      <c r="CP328">
        <v>9499</v>
      </c>
      <c r="CQ328">
        <v>9700</v>
      </c>
      <c r="CR328">
        <v>9600</v>
      </c>
      <c r="CS328">
        <v>1699457</v>
      </c>
      <c r="CT328">
        <v>428</v>
      </c>
      <c r="CV328" s="24"/>
      <c r="CW328">
        <v>1170011</v>
      </c>
      <c r="CX328">
        <v>1222148</v>
      </c>
      <c r="CY328">
        <v>1221996</v>
      </c>
      <c r="CZ328">
        <v>11957</v>
      </c>
      <c r="DA328">
        <v>41</v>
      </c>
      <c r="DC328" s="24"/>
      <c r="DD328">
        <v>572</v>
      </c>
      <c r="DE328">
        <v>618</v>
      </c>
      <c r="DF328">
        <v>609</v>
      </c>
      <c r="DG328">
        <v>47992397</v>
      </c>
      <c r="DH328">
        <v>248</v>
      </c>
      <c r="DJ328" s="24"/>
      <c r="DK328">
        <v>32602002</v>
      </c>
      <c r="DL328">
        <v>33477999</v>
      </c>
      <c r="DM328">
        <v>33199997</v>
      </c>
      <c r="DN328">
        <v>433</v>
      </c>
      <c r="DO328">
        <v>91</v>
      </c>
      <c r="DQ328" s="24"/>
      <c r="DR328">
        <v>901017</v>
      </c>
      <c r="DS328">
        <v>1056886</v>
      </c>
      <c r="DT328">
        <v>955000</v>
      </c>
      <c r="DU328">
        <v>8555</v>
      </c>
      <c r="DV328">
        <v>266</v>
      </c>
      <c r="DX328" s="24"/>
      <c r="DY328">
        <v>21355007</v>
      </c>
      <c r="DZ328">
        <v>22355000</v>
      </c>
      <c r="EA328">
        <v>21356000</v>
      </c>
      <c r="EB328">
        <v>804</v>
      </c>
      <c r="EC328">
        <v>125</v>
      </c>
      <c r="EE328" s="24"/>
      <c r="EF328">
        <v>188</v>
      </c>
      <c r="EG328">
        <v>195</v>
      </c>
      <c r="EH328">
        <v>195</v>
      </c>
      <c r="EI328">
        <v>102919707</v>
      </c>
      <c r="EJ328">
        <v>232</v>
      </c>
      <c r="EL328" s="24"/>
      <c r="EM328">
        <v>53702</v>
      </c>
      <c r="EN328">
        <v>54001</v>
      </c>
      <c r="EO328">
        <v>53800</v>
      </c>
      <c r="EP328">
        <v>86657</v>
      </c>
      <c r="EQ328">
        <v>728</v>
      </c>
      <c r="ES328" s="24"/>
      <c r="ET328">
        <v>295</v>
      </c>
      <c r="EU328">
        <v>310</v>
      </c>
      <c r="EV328">
        <v>295</v>
      </c>
      <c r="EW328">
        <v>59809918</v>
      </c>
      <c r="EX328">
        <v>628</v>
      </c>
      <c r="EZ328" s="24"/>
      <c r="FA328">
        <v>3719899</v>
      </c>
      <c r="FB328">
        <v>3719899</v>
      </c>
      <c r="FC328">
        <v>3719899</v>
      </c>
      <c r="FD328">
        <v>1307</v>
      </c>
      <c r="FE328">
        <v>24</v>
      </c>
      <c r="FG328" s="24"/>
      <c r="FH328">
        <v>9069</v>
      </c>
      <c r="FI328">
        <v>9289</v>
      </c>
      <c r="FJ328">
        <v>9134</v>
      </c>
      <c r="FK328">
        <v>2292465</v>
      </c>
      <c r="FL328">
        <v>536</v>
      </c>
      <c r="FN328" s="24"/>
      <c r="FO328">
        <v>17997</v>
      </c>
      <c r="FP328">
        <v>17997</v>
      </c>
      <c r="FQ328">
        <v>17997</v>
      </c>
      <c r="FR328">
        <v>124832</v>
      </c>
      <c r="FS328">
        <v>93</v>
      </c>
      <c r="FU328" s="24"/>
      <c r="FV328">
        <v>15122</v>
      </c>
      <c r="FW328">
        <v>15788</v>
      </c>
      <c r="FX328">
        <v>15123</v>
      </c>
      <c r="FY328">
        <v>385192</v>
      </c>
      <c r="FZ328">
        <v>1364</v>
      </c>
      <c r="GB328" s="24"/>
      <c r="GC328">
        <v>88243009</v>
      </c>
      <c r="GD328">
        <v>100344440</v>
      </c>
      <c r="GE328">
        <v>98199991</v>
      </c>
      <c r="GF328">
        <v>111</v>
      </c>
      <c r="GG328">
        <v>76</v>
      </c>
      <c r="GI328" s="24"/>
      <c r="GJ328">
        <v>18500103</v>
      </c>
      <c r="GK328">
        <v>19199000</v>
      </c>
      <c r="GL328">
        <v>18502107</v>
      </c>
      <c r="GM328">
        <v>738</v>
      </c>
      <c r="GN328">
        <v>104</v>
      </c>
      <c r="GP328" s="24"/>
      <c r="GQ328">
        <v>101</v>
      </c>
      <c r="GR328">
        <v>106</v>
      </c>
      <c r="GS328">
        <v>105</v>
      </c>
      <c r="GT328">
        <v>135383798</v>
      </c>
      <c r="GU328">
        <v>169</v>
      </c>
      <c r="GW328" s="24"/>
      <c r="GX328">
        <v>477</v>
      </c>
      <c r="GY328">
        <v>518</v>
      </c>
      <c r="GZ328">
        <v>504</v>
      </c>
      <c r="HA328">
        <v>54308304</v>
      </c>
      <c r="HB328">
        <v>274</v>
      </c>
      <c r="HD328" s="24"/>
      <c r="HE328">
        <v>5710</v>
      </c>
      <c r="HF328">
        <v>5715</v>
      </c>
      <c r="HG328">
        <v>5714</v>
      </c>
      <c r="HH328">
        <v>14075587</v>
      </c>
      <c r="HI328">
        <v>266</v>
      </c>
      <c r="HK328" s="24"/>
      <c r="HL328">
        <v>90057001</v>
      </c>
      <c r="HM328">
        <v>96448997</v>
      </c>
      <c r="HN328">
        <v>90100000</v>
      </c>
      <c r="HO328">
        <v>164</v>
      </c>
      <c r="HP328">
        <v>111</v>
      </c>
      <c r="HR328" s="24"/>
      <c r="HS328">
        <v>8705</v>
      </c>
      <c r="HT328">
        <v>9250</v>
      </c>
      <c r="HU328">
        <v>8999</v>
      </c>
      <c r="HV328">
        <v>906455</v>
      </c>
      <c r="HW328">
        <v>209</v>
      </c>
      <c r="HY328" s="24"/>
      <c r="HZ328">
        <v>8400</v>
      </c>
      <c r="IA328">
        <v>9079</v>
      </c>
      <c r="IB328">
        <v>8797</v>
      </c>
      <c r="IC328">
        <v>2750258</v>
      </c>
      <c r="ID328">
        <v>503</v>
      </c>
      <c r="IF328" s="24"/>
      <c r="IG328">
        <v>2990</v>
      </c>
      <c r="IH328">
        <v>2994</v>
      </c>
      <c r="II328">
        <v>2993</v>
      </c>
      <c r="IJ328">
        <v>1089425</v>
      </c>
      <c r="IK328">
        <v>142</v>
      </c>
      <c r="IM328" s="24"/>
      <c r="IN328">
        <v>90805004</v>
      </c>
      <c r="IO328">
        <v>93464997</v>
      </c>
      <c r="IP328">
        <v>93444000</v>
      </c>
      <c r="IQ328">
        <v>132</v>
      </c>
      <c r="IR328">
        <v>93</v>
      </c>
      <c r="IT328" s="24"/>
      <c r="IU328">
        <v>8069</v>
      </c>
      <c r="IV328">
        <v>8069</v>
      </c>
      <c r="IW328">
        <v>8069</v>
      </c>
      <c r="IX328">
        <v>1083943</v>
      </c>
      <c r="IY328">
        <v>156</v>
      </c>
      <c r="JA328" s="24"/>
      <c r="JB328">
        <v>89100119</v>
      </c>
      <c r="JC328">
        <v>91952999</v>
      </c>
      <c r="JD328">
        <v>91751000</v>
      </c>
      <c r="JE328">
        <v>130</v>
      </c>
      <c r="JF328">
        <v>94</v>
      </c>
      <c r="JH328" s="24"/>
      <c r="JI328">
        <v>90039001</v>
      </c>
      <c r="JJ328">
        <v>94014998</v>
      </c>
      <c r="JK328">
        <v>92024500</v>
      </c>
      <c r="JL328">
        <v>106</v>
      </c>
      <c r="JM328">
        <v>64</v>
      </c>
      <c r="JO328" s="24"/>
      <c r="JP328">
        <v>89</v>
      </c>
      <c r="JQ328">
        <v>92</v>
      </c>
      <c r="JR328">
        <v>92</v>
      </c>
      <c r="JS328">
        <v>131434755</v>
      </c>
      <c r="JT328">
        <v>139</v>
      </c>
      <c r="JV328" s="24"/>
      <c r="JW328">
        <v>100</v>
      </c>
      <c r="JX328">
        <v>107</v>
      </c>
      <c r="JY328">
        <v>101</v>
      </c>
      <c r="JZ328">
        <v>170055188</v>
      </c>
      <c r="KA328">
        <v>154</v>
      </c>
      <c r="KC328" s="24"/>
      <c r="KD328">
        <v>19</v>
      </c>
      <c r="KE328">
        <v>20</v>
      </c>
      <c r="KF328">
        <v>19</v>
      </c>
      <c r="KG328">
        <v>49776190</v>
      </c>
      <c r="KH328">
        <v>324</v>
      </c>
      <c r="KJ328" s="24"/>
      <c r="KK328">
        <v>105</v>
      </c>
      <c r="KL328">
        <v>109</v>
      </c>
      <c r="KM328">
        <v>105</v>
      </c>
      <c r="KN328">
        <v>159182668</v>
      </c>
      <c r="KO328">
        <v>137</v>
      </c>
      <c r="KQ328" s="24"/>
      <c r="KR328">
        <v>126500</v>
      </c>
      <c r="KS328">
        <v>127000</v>
      </c>
      <c r="KT328">
        <v>126502</v>
      </c>
      <c r="KU328">
        <v>90587</v>
      </c>
      <c r="KV328">
        <v>716</v>
      </c>
      <c r="KX328" s="24"/>
      <c r="KY328">
        <v>792</v>
      </c>
      <c r="KZ328">
        <v>832</v>
      </c>
      <c r="LA328">
        <v>792</v>
      </c>
      <c r="LB328">
        <v>8648516</v>
      </c>
      <c r="LC328">
        <v>213</v>
      </c>
      <c r="LE328" s="24"/>
      <c r="LF328">
        <v>184004</v>
      </c>
      <c r="LG328">
        <v>184010</v>
      </c>
      <c r="LH328">
        <v>184005</v>
      </c>
      <c r="LI328">
        <v>125005</v>
      </c>
      <c r="LJ328">
        <v>1000</v>
      </c>
      <c r="LL328" s="24"/>
      <c r="LM328">
        <v>67201</v>
      </c>
      <c r="LN328">
        <v>67500</v>
      </c>
      <c r="LO328">
        <v>67250</v>
      </c>
      <c r="LP328">
        <v>440028</v>
      </c>
      <c r="LQ328">
        <v>1363</v>
      </c>
      <c r="LS328" s="24"/>
      <c r="LT328">
        <v>484</v>
      </c>
      <c r="LU328">
        <v>488</v>
      </c>
      <c r="LV328">
        <v>488</v>
      </c>
      <c r="LW328">
        <v>129817986</v>
      </c>
      <c r="LX328">
        <v>429</v>
      </c>
      <c r="LZ328" s="24"/>
      <c r="MA328">
        <v>96101</v>
      </c>
      <c r="MB328">
        <v>97155</v>
      </c>
      <c r="MC328">
        <v>97155</v>
      </c>
      <c r="MD328">
        <v>1129985</v>
      </c>
      <c r="ME328">
        <v>84</v>
      </c>
    </row>
    <row r="329" spans="2:343" x14ac:dyDescent="0.25">
      <c r="B329" s="24"/>
      <c r="C329">
        <v>3</v>
      </c>
      <c r="D329">
        <v>3</v>
      </c>
      <c r="E329">
        <v>3</v>
      </c>
      <c r="F329">
        <v>22114544742</v>
      </c>
      <c r="G329">
        <v>2391</v>
      </c>
      <c r="I329" s="24"/>
      <c r="J329">
        <v>4</v>
      </c>
      <c r="K329">
        <v>4</v>
      </c>
      <c r="L329">
        <v>4</v>
      </c>
      <c r="M329">
        <v>6176511229</v>
      </c>
      <c r="N329">
        <v>1682</v>
      </c>
      <c r="P329" s="24"/>
      <c r="Q329">
        <v>34</v>
      </c>
      <c r="R329">
        <v>34</v>
      </c>
      <c r="S329">
        <v>34</v>
      </c>
      <c r="T329">
        <v>1562847660</v>
      </c>
      <c r="U329">
        <v>1535</v>
      </c>
      <c r="W329" s="24"/>
      <c r="X329">
        <v>62</v>
      </c>
      <c r="Y329">
        <v>62</v>
      </c>
      <c r="Z329">
        <v>62</v>
      </c>
      <c r="AA329">
        <v>338099380</v>
      </c>
      <c r="AB329">
        <v>1210</v>
      </c>
      <c r="AD329" s="24"/>
      <c r="AE329">
        <v>440</v>
      </c>
      <c r="AF329">
        <v>453</v>
      </c>
      <c r="AG329">
        <v>445</v>
      </c>
      <c r="AH329">
        <v>95127072</v>
      </c>
      <c r="AI329">
        <v>1338</v>
      </c>
      <c r="AK329" s="24"/>
      <c r="AL329">
        <v>749</v>
      </c>
      <c r="AM329">
        <v>749</v>
      </c>
      <c r="AN329">
        <v>749</v>
      </c>
      <c r="AO329">
        <v>58932438</v>
      </c>
      <c r="AP329">
        <v>1150</v>
      </c>
      <c r="AR329" s="24"/>
      <c r="AS329">
        <v>2754</v>
      </c>
      <c r="AT329">
        <v>2847</v>
      </c>
      <c r="AU329">
        <v>2810</v>
      </c>
      <c r="AV329">
        <v>17511237</v>
      </c>
      <c r="AW329">
        <v>1086</v>
      </c>
      <c r="AY329" s="24"/>
      <c r="AZ329">
        <v>396776100</v>
      </c>
      <c r="BA329">
        <v>403643000</v>
      </c>
      <c r="BB329">
        <v>402553000</v>
      </c>
      <c r="BC329">
        <v>2431</v>
      </c>
      <c r="BD329">
        <v>1715</v>
      </c>
      <c r="BF329" s="24"/>
      <c r="BG329">
        <v>25212</v>
      </c>
      <c r="BH329">
        <v>26099</v>
      </c>
      <c r="BI329">
        <v>25240</v>
      </c>
      <c r="BJ329">
        <v>3209533</v>
      </c>
      <c r="BK329">
        <v>238</v>
      </c>
      <c r="BM329" s="24"/>
      <c r="BN329">
        <v>6717005</v>
      </c>
      <c r="BO329">
        <v>7002000</v>
      </c>
      <c r="BP329">
        <v>6950000</v>
      </c>
      <c r="BQ329">
        <v>8121</v>
      </c>
      <c r="BR329">
        <v>287</v>
      </c>
      <c r="BT329" s="24"/>
      <c r="BU329">
        <v>2277</v>
      </c>
      <c r="BV329">
        <v>2318</v>
      </c>
      <c r="BW329">
        <v>2318</v>
      </c>
      <c r="BX329">
        <v>20065770</v>
      </c>
      <c r="BY329">
        <v>205</v>
      </c>
      <c r="CA329" s="24"/>
      <c r="CB329">
        <v>889</v>
      </c>
      <c r="CC329">
        <v>906</v>
      </c>
      <c r="CD329">
        <v>903</v>
      </c>
      <c r="CE329">
        <v>36981127</v>
      </c>
      <c r="CF329">
        <v>238</v>
      </c>
      <c r="CH329" s="24"/>
      <c r="CI329">
        <v>25703</v>
      </c>
      <c r="CJ329">
        <v>25710</v>
      </c>
      <c r="CK329">
        <v>25703</v>
      </c>
      <c r="CL329">
        <v>2212745</v>
      </c>
      <c r="CM329">
        <v>159</v>
      </c>
      <c r="CO329" s="24"/>
      <c r="CP329">
        <v>9257</v>
      </c>
      <c r="CQ329">
        <v>9584</v>
      </c>
      <c r="CR329">
        <v>9499</v>
      </c>
      <c r="CS329">
        <v>1202631</v>
      </c>
      <c r="CT329">
        <v>362</v>
      </c>
      <c r="CV329" s="24"/>
      <c r="CW329">
        <v>1221996</v>
      </c>
      <c r="CX329">
        <v>1221997</v>
      </c>
      <c r="CY329">
        <v>1221997</v>
      </c>
      <c r="CZ329">
        <v>9376</v>
      </c>
      <c r="DA329">
        <v>40</v>
      </c>
      <c r="DC329" s="24"/>
      <c r="DD329">
        <v>570</v>
      </c>
      <c r="DE329">
        <v>599</v>
      </c>
      <c r="DF329">
        <v>589</v>
      </c>
      <c r="DG329">
        <v>51222499</v>
      </c>
      <c r="DH329">
        <v>224</v>
      </c>
      <c r="DJ329" s="24"/>
      <c r="DK329">
        <v>32901001</v>
      </c>
      <c r="DL329">
        <v>33479998</v>
      </c>
      <c r="DM329">
        <v>33000000</v>
      </c>
      <c r="DN329">
        <v>287</v>
      </c>
      <c r="DO329">
        <v>83</v>
      </c>
      <c r="DQ329" s="24"/>
      <c r="DR329">
        <v>951011</v>
      </c>
      <c r="DS329">
        <v>991000</v>
      </c>
      <c r="DT329">
        <v>970007</v>
      </c>
      <c r="DU329">
        <v>14121</v>
      </c>
      <c r="DV329">
        <v>261</v>
      </c>
      <c r="DX329" s="24"/>
      <c r="DY329">
        <v>21360001</v>
      </c>
      <c r="DZ329">
        <v>21500000</v>
      </c>
      <c r="EA329">
        <v>21360561</v>
      </c>
      <c r="EB329">
        <v>426</v>
      </c>
      <c r="EC329">
        <v>92</v>
      </c>
      <c r="EE329" s="24"/>
      <c r="EF329">
        <v>188</v>
      </c>
      <c r="EG329">
        <v>195</v>
      </c>
      <c r="EH329">
        <v>195</v>
      </c>
      <c r="EI329">
        <v>94943451</v>
      </c>
      <c r="EJ329">
        <v>172</v>
      </c>
      <c r="EL329" s="24"/>
      <c r="EM329">
        <v>56003</v>
      </c>
      <c r="EN329">
        <v>58743</v>
      </c>
      <c r="EO329">
        <v>56005</v>
      </c>
      <c r="EP329">
        <v>98327</v>
      </c>
      <c r="EQ329">
        <v>631</v>
      </c>
      <c r="ES329" s="24"/>
      <c r="ET329">
        <v>288</v>
      </c>
      <c r="EU329">
        <v>295</v>
      </c>
      <c r="EV329">
        <v>288</v>
      </c>
      <c r="EW329">
        <v>77722611</v>
      </c>
      <c r="EX329">
        <v>532</v>
      </c>
      <c r="EZ329" s="24"/>
      <c r="FA329">
        <v>3400703</v>
      </c>
      <c r="FB329">
        <v>3719792</v>
      </c>
      <c r="FC329">
        <v>3719789</v>
      </c>
      <c r="FD329">
        <v>941</v>
      </c>
      <c r="FE329">
        <v>18</v>
      </c>
      <c r="FG329" s="24"/>
      <c r="FH329">
        <v>8600</v>
      </c>
      <c r="FI329">
        <v>9097</v>
      </c>
      <c r="FJ329">
        <v>8989</v>
      </c>
      <c r="FK329">
        <v>1469062</v>
      </c>
      <c r="FL329">
        <v>457</v>
      </c>
      <c r="FN329" s="24"/>
      <c r="FO329">
        <v>17997</v>
      </c>
      <c r="FP329">
        <v>17997</v>
      </c>
      <c r="FQ329">
        <v>17997</v>
      </c>
      <c r="FR329">
        <v>110624</v>
      </c>
      <c r="FS329">
        <v>66</v>
      </c>
      <c r="FU329" s="24"/>
      <c r="FV329">
        <v>15701</v>
      </c>
      <c r="FW329">
        <v>16498</v>
      </c>
      <c r="FX329">
        <v>15705</v>
      </c>
      <c r="FY329">
        <v>642987</v>
      </c>
      <c r="FZ329">
        <v>1157</v>
      </c>
      <c r="GB329" s="24"/>
      <c r="GC329">
        <v>88245006</v>
      </c>
      <c r="GD329">
        <v>98184000</v>
      </c>
      <c r="GE329">
        <v>93143648</v>
      </c>
      <c r="GF329">
        <v>77</v>
      </c>
      <c r="GG329">
        <v>58</v>
      </c>
      <c r="GI329" s="24"/>
      <c r="GJ329">
        <v>18101001</v>
      </c>
      <c r="GK329">
        <v>18150001</v>
      </c>
      <c r="GL329">
        <v>18101103</v>
      </c>
      <c r="GM329">
        <v>777</v>
      </c>
      <c r="GN329">
        <v>79</v>
      </c>
      <c r="GP329" s="24"/>
      <c r="GQ329">
        <v>103</v>
      </c>
      <c r="GR329">
        <v>106</v>
      </c>
      <c r="GS329">
        <v>104</v>
      </c>
      <c r="GT329">
        <v>120357079</v>
      </c>
      <c r="GU329">
        <v>123</v>
      </c>
      <c r="GW329" s="24"/>
      <c r="GX329">
        <v>489</v>
      </c>
      <c r="GY329">
        <v>507</v>
      </c>
      <c r="GZ329">
        <v>499</v>
      </c>
      <c r="HA329">
        <v>42295782</v>
      </c>
      <c r="HB329">
        <v>217</v>
      </c>
      <c r="HD329" s="24"/>
      <c r="HE329">
        <v>5651</v>
      </c>
      <c r="HF329">
        <v>5708</v>
      </c>
      <c r="HG329">
        <v>5699</v>
      </c>
      <c r="HH329">
        <v>16939945</v>
      </c>
      <c r="HI329">
        <v>251</v>
      </c>
      <c r="HK329" s="24"/>
      <c r="HL329">
        <v>93071006</v>
      </c>
      <c r="HM329">
        <v>96447999</v>
      </c>
      <c r="HN329">
        <v>93471315</v>
      </c>
      <c r="HO329">
        <v>45</v>
      </c>
      <c r="HP329">
        <v>42</v>
      </c>
      <c r="HR329" s="24"/>
      <c r="HS329">
        <v>8705</v>
      </c>
      <c r="HT329">
        <v>8989</v>
      </c>
      <c r="HU329">
        <v>8800</v>
      </c>
      <c r="HV329">
        <v>787080</v>
      </c>
      <c r="HW329">
        <v>150</v>
      </c>
      <c r="HY329" s="24"/>
      <c r="HZ329">
        <v>8298</v>
      </c>
      <c r="IA329">
        <v>8600</v>
      </c>
      <c r="IB329">
        <v>8395</v>
      </c>
      <c r="IC329">
        <v>1654027</v>
      </c>
      <c r="ID329">
        <v>424</v>
      </c>
      <c r="IF329" s="24"/>
      <c r="IG329">
        <v>2829</v>
      </c>
      <c r="IH329">
        <v>2979</v>
      </c>
      <c r="II329">
        <v>2977</v>
      </c>
      <c r="IJ329">
        <v>1673358</v>
      </c>
      <c r="IK329">
        <v>135</v>
      </c>
      <c r="IM329" s="24"/>
      <c r="IN329">
        <v>90820000</v>
      </c>
      <c r="IO329">
        <v>93436999</v>
      </c>
      <c r="IP329">
        <v>92618006</v>
      </c>
      <c r="IQ329">
        <v>84</v>
      </c>
      <c r="IR329">
        <v>58</v>
      </c>
      <c r="IT329" s="24"/>
      <c r="IU329">
        <v>8059</v>
      </c>
      <c r="IV329">
        <v>8059</v>
      </c>
      <c r="IW329">
        <v>8059</v>
      </c>
      <c r="IX329">
        <v>602016</v>
      </c>
      <c r="IY329">
        <v>89</v>
      </c>
      <c r="JA329" s="24"/>
      <c r="JB329">
        <v>89103000</v>
      </c>
      <c r="JC329">
        <v>91749985</v>
      </c>
      <c r="JD329">
        <v>90940077</v>
      </c>
      <c r="JE329">
        <v>49</v>
      </c>
      <c r="JF329">
        <v>43</v>
      </c>
      <c r="JH329" s="24"/>
      <c r="JI329">
        <v>90064002</v>
      </c>
      <c r="JJ329">
        <v>93950975</v>
      </c>
      <c r="JK329">
        <v>91867145</v>
      </c>
      <c r="JL329">
        <v>58</v>
      </c>
      <c r="JM329">
        <v>36</v>
      </c>
      <c r="JO329" s="24"/>
      <c r="JP329">
        <v>89</v>
      </c>
      <c r="JQ329">
        <v>91</v>
      </c>
      <c r="JR329">
        <v>89</v>
      </c>
      <c r="JS329">
        <v>87234982</v>
      </c>
      <c r="JT329">
        <v>73</v>
      </c>
      <c r="JV329" s="24"/>
      <c r="JW329">
        <v>103</v>
      </c>
      <c r="JX329">
        <v>107</v>
      </c>
      <c r="JY329">
        <v>103</v>
      </c>
      <c r="JZ329">
        <v>83199710</v>
      </c>
      <c r="KA329">
        <v>103</v>
      </c>
      <c r="KC329" s="24"/>
      <c r="KD329">
        <v>19</v>
      </c>
      <c r="KE329">
        <v>20</v>
      </c>
      <c r="KF329">
        <v>19</v>
      </c>
      <c r="KG329">
        <v>68399721</v>
      </c>
      <c r="KH329">
        <v>285</v>
      </c>
      <c r="KJ329" s="24"/>
      <c r="KK329">
        <v>103</v>
      </c>
      <c r="KL329">
        <v>105</v>
      </c>
      <c r="KM329">
        <v>104</v>
      </c>
      <c r="KN329">
        <v>87244852</v>
      </c>
      <c r="KO329">
        <v>89</v>
      </c>
      <c r="KQ329" s="24"/>
      <c r="KR329">
        <v>125600</v>
      </c>
      <c r="KS329">
        <v>126000</v>
      </c>
      <c r="KT329">
        <v>125600</v>
      </c>
      <c r="KU329">
        <v>65356</v>
      </c>
      <c r="KV329">
        <v>583</v>
      </c>
      <c r="KX329" s="24"/>
      <c r="KY329">
        <v>796</v>
      </c>
      <c r="KZ329">
        <v>832</v>
      </c>
      <c r="LA329">
        <v>832</v>
      </c>
      <c r="LB329">
        <v>4185851</v>
      </c>
      <c r="LC329">
        <v>167</v>
      </c>
      <c r="LE329" s="24"/>
      <c r="LF329">
        <v>179251</v>
      </c>
      <c r="LG329">
        <v>184505</v>
      </c>
      <c r="LH329">
        <v>184005</v>
      </c>
      <c r="LI329">
        <v>195487</v>
      </c>
      <c r="LJ329">
        <v>784</v>
      </c>
      <c r="LL329" s="24"/>
      <c r="LM329">
        <v>68000</v>
      </c>
      <c r="LN329">
        <v>68500</v>
      </c>
      <c r="LO329">
        <v>68002</v>
      </c>
      <c r="LP329">
        <v>475958</v>
      </c>
      <c r="LQ329">
        <v>1195</v>
      </c>
      <c r="LS329" s="24"/>
      <c r="LT329">
        <v>485</v>
      </c>
      <c r="LU329">
        <v>488</v>
      </c>
      <c r="LV329">
        <v>486</v>
      </c>
      <c r="LW329">
        <v>65282947</v>
      </c>
      <c r="LX329">
        <v>367</v>
      </c>
      <c r="LZ329" s="24"/>
      <c r="MA329">
        <v>96100</v>
      </c>
      <c r="MB329">
        <v>97155</v>
      </c>
      <c r="MC329">
        <v>97155</v>
      </c>
      <c r="MD329">
        <v>782309</v>
      </c>
      <c r="ME329">
        <v>66</v>
      </c>
    </row>
    <row r="330" spans="2:343" x14ac:dyDescent="0.25">
      <c r="B330" s="24"/>
      <c r="C330">
        <v>3</v>
      </c>
      <c r="D330">
        <v>3</v>
      </c>
      <c r="E330">
        <v>3</v>
      </c>
      <c r="F330">
        <v>37145484733</v>
      </c>
      <c r="G330">
        <v>2157</v>
      </c>
      <c r="I330" s="24"/>
      <c r="J330">
        <v>4</v>
      </c>
      <c r="K330">
        <v>4</v>
      </c>
      <c r="L330">
        <v>4</v>
      </c>
      <c r="M330">
        <v>5800164113</v>
      </c>
      <c r="N330">
        <v>1490</v>
      </c>
      <c r="P330" s="24"/>
      <c r="Q330">
        <v>33</v>
      </c>
      <c r="R330">
        <v>33</v>
      </c>
      <c r="S330">
        <v>33</v>
      </c>
      <c r="T330">
        <v>2382948978</v>
      </c>
      <c r="U330">
        <v>1468</v>
      </c>
      <c r="W330" s="24"/>
      <c r="X330">
        <v>60</v>
      </c>
      <c r="Y330">
        <v>62</v>
      </c>
      <c r="Z330">
        <v>61</v>
      </c>
      <c r="AA330">
        <v>432061993</v>
      </c>
      <c r="AB330">
        <v>1141</v>
      </c>
      <c r="AD330" s="24"/>
      <c r="AE330">
        <v>450</v>
      </c>
      <c r="AF330">
        <v>458</v>
      </c>
      <c r="AG330">
        <v>451</v>
      </c>
      <c r="AH330">
        <v>144275583</v>
      </c>
      <c r="AI330">
        <v>1281</v>
      </c>
      <c r="AK330" s="24"/>
      <c r="AL330">
        <v>736</v>
      </c>
      <c r="AM330">
        <v>755</v>
      </c>
      <c r="AN330">
        <v>750</v>
      </c>
      <c r="AO330">
        <v>61163701</v>
      </c>
      <c r="AP330">
        <v>988</v>
      </c>
      <c r="AR330" s="24"/>
      <c r="AS330">
        <v>2765</v>
      </c>
      <c r="AT330">
        <v>2847</v>
      </c>
      <c r="AU330">
        <v>2767</v>
      </c>
      <c r="AV330">
        <v>20606807</v>
      </c>
      <c r="AW330">
        <v>1025</v>
      </c>
      <c r="AY330" s="24"/>
      <c r="AZ330">
        <v>399628500</v>
      </c>
      <c r="BA330">
        <v>406788000</v>
      </c>
      <c r="BB330">
        <v>403932999</v>
      </c>
      <c r="BC330">
        <v>2265</v>
      </c>
      <c r="BD330">
        <v>1501</v>
      </c>
      <c r="BF330" s="24"/>
      <c r="BG330">
        <v>25067</v>
      </c>
      <c r="BH330">
        <v>25240</v>
      </c>
      <c r="BI330">
        <v>25103</v>
      </c>
      <c r="BJ330">
        <v>4175159</v>
      </c>
      <c r="BK330">
        <v>230</v>
      </c>
      <c r="BM330" s="24"/>
      <c r="BN330">
        <v>7050001</v>
      </c>
      <c r="BO330">
        <v>7193007</v>
      </c>
      <c r="BP330">
        <v>7120003</v>
      </c>
      <c r="BQ330">
        <v>11063</v>
      </c>
      <c r="BR330">
        <v>301</v>
      </c>
      <c r="BT330" s="24"/>
      <c r="BU330">
        <v>2310</v>
      </c>
      <c r="BV330">
        <v>2318</v>
      </c>
      <c r="BW330">
        <v>2317</v>
      </c>
      <c r="BX330">
        <v>22399342</v>
      </c>
      <c r="BY330">
        <v>248</v>
      </c>
      <c r="CA330" s="24"/>
      <c r="CB330">
        <v>877</v>
      </c>
      <c r="CC330">
        <v>903</v>
      </c>
      <c r="CD330">
        <v>901</v>
      </c>
      <c r="CE330">
        <v>31027150</v>
      </c>
      <c r="CF330">
        <v>244</v>
      </c>
      <c r="CH330" s="24"/>
      <c r="CI330">
        <v>25704</v>
      </c>
      <c r="CJ330">
        <v>25704</v>
      </c>
      <c r="CK330">
        <v>25704</v>
      </c>
      <c r="CL330">
        <v>825461</v>
      </c>
      <c r="CM330">
        <v>145</v>
      </c>
      <c r="CO330" s="24"/>
      <c r="CP330">
        <v>9554</v>
      </c>
      <c r="CQ330">
        <v>9692</v>
      </c>
      <c r="CR330">
        <v>9583</v>
      </c>
      <c r="CS330">
        <v>903810</v>
      </c>
      <c r="CT330">
        <v>315</v>
      </c>
      <c r="CV330" s="24"/>
      <c r="CW330">
        <v>1200000</v>
      </c>
      <c r="CX330">
        <v>1220995</v>
      </c>
      <c r="CY330">
        <v>1220995</v>
      </c>
      <c r="CZ330">
        <v>13575</v>
      </c>
      <c r="DA330">
        <v>43</v>
      </c>
      <c r="DC330" s="24"/>
      <c r="DD330">
        <v>577</v>
      </c>
      <c r="DE330">
        <v>596</v>
      </c>
      <c r="DF330">
        <v>595</v>
      </c>
      <c r="DG330">
        <v>41255487</v>
      </c>
      <c r="DH330">
        <v>195</v>
      </c>
      <c r="DJ330" s="24"/>
      <c r="DK330">
        <v>32043044</v>
      </c>
      <c r="DL330">
        <v>32901001</v>
      </c>
      <c r="DM330">
        <v>32901001</v>
      </c>
      <c r="DN330">
        <v>298</v>
      </c>
      <c r="DO330">
        <v>58</v>
      </c>
      <c r="DQ330" s="24"/>
      <c r="DR330">
        <v>950002</v>
      </c>
      <c r="DS330">
        <v>1029999</v>
      </c>
      <c r="DT330">
        <v>989888</v>
      </c>
      <c r="DU330">
        <v>6240</v>
      </c>
      <c r="DV330">
        <v>231</v>
      </c>
      <c r="DX330" s="24"/>
      <c r="DY330">
        <v>21360602</v>
      </c>
      <c r="DZ330">
        <v>21360607</v>
      </c>
      <c r="EA330">
        <v>21360605</v>
      </c>
      <c r="EB330">
        <v>300</v>
      </c>
      <c r="EC330">
        <v>84</v>
      </c>
      <c r="EE330" s="24"/>
      <c r="EF330">
        <v>188</v>
      </c>
      <c r="EG330">
        <v>195</v>
      </c>
      <c r="EH330">
        <v>195</v>
      </c>
      <c r="EI330">
        <v>82988175</v>
      </c>
      <c r="EJ330">
        <v>169</v>
      </c>
      <c r="EL330" s="24"/>
      <c r="EM330">
        <v>56500</v>
      </c>
      <c r="EN330">
        <v>58878</v>
      </c>
      <c r="EO330">
        <v>56501</v>
      </c>
      <c r="EP330">
        <v>142705</v>
      </c>
      <c r="EQ330">
        <v>604</v>
      </c>
      <c r="ES330" s="24"/>
      <c r="ET330">
        <v>279</v>
      </c>
      <c r="EU330">
        <v>301</v>
      </c>
      <c r="EV330">
        <v>294</v>
      </c>
      <c r="EW330">
        <v>45182450</v>
      </c>
      <c r="EX330">
        <v>514</v>
      </c>
      <c r="EZ330" s="24"/>
      <c r="FA330">
        <v>3719768</v>
      </c>
      <c r="FB330">
        <v>3719768</v>
      </c>
      <c r="FC330">
        <v>3719768</v>
      </c>
      <c r="FD330">
        <v>512</v>
      </c>
      <c r="FE330">
        <v>13</v>
      </c>
      <c r="FG330" s="24"/>
      <c r="FH330">
        <v>9279</v>
      </c>
      <c r="FI330">
        <v>9969</v>
      </c>
      <c r="FJ330">
        <v>9289</v>
      </c>
      <c r="FK330">
        <v>1665756</v>
      </c>
      <c r="FL330">
        <v>425</v>
      </c>
      <c r="FN330" s="24"/>
      <c r="FO330">
        <v>17030</v>
      </c>
      <c r="FP330">
        <v>17997</v>
      </c>
      <c r="FQ330">
        <v>17994</v>
      </c>
      <c r="FR330">
        <v>128128</v>
      </c>
      <c r="FS330">
        <v>74</v>
      </c>
      <c r="FU330" s="24"/>
      <c r="FV330">
        <v>15123</v>
      </c>
      <c r="FW330">
        <v>15130</v>
      </c>
      <c r="FX330">
        <v>15125</v>
      </c>
      <c r="FY330">
        <v>542615</v>
      </c>
      <c r="FZ330">
        <v>1001</v>
      </c>
      <c r="GB330" s="24"/>
      <c r="GC330">
        <v>95965990</v>
      </c>
      <c r="GD330">
        <v>98198999</v>
      </c>
      <c r="GE330">
        <v>96236714</v>
      </c>
      <c r="GF330">
        <v>98</v>
      </c>
      <c r="GG330">
        <v>54</v>
      </c>
      <c r="GI330" s="24"/>
      <c r="GJ330">
        <v>18404106</v>
      </c>
      <c r="GK330">
        <v>19203997</v>
      </c>
      <c r="GL330">
        <v>18804105</v>
      </c>
      <c r="GM330">
        <v>561</v>
      </c>
      <c r="GN330">
        <v>74</v>
      </c>
      <c r="GP330" s="24"/>
      <c r="GQ330">
        <v>101</v>
      </c>
      <c r="GR330">
        <v>102</v>
      </c>
      <c r="GS330">
        <v>101</v>
      </c>
      <c r="GT330">
        <v>188040906</v>
      </c>
      <c r="GU330">
        <v>139</v>
      </c>
      <c r="GW330" s="24"/>
      <c r="GX330">
        <v>493</v>
      </c>
      <c r="GY330">
        <v>506</v>
      </c>
      <c r="GZ330">
        <v>506</v>
      </c>
      <c r="HA330">
        <v>45648734</v>
      </c>
      <c r="HB330">
        <v>168</v>
      </c>
      <c r="HD330" s="24"/>
      <c r="HE330">
        <v>5590</v>
      </c>
      <c r="HF330">
        <v>5694</v>
      </c>
      <c r="HG330">
        <v>5591</v>
      </c>
      <c r="HH330">
        <v>16915607</v>
      </c>
      <c r="HI330">
        <v>234</v>
      </c>
      <c r="HK330" s="24"/>
      <c r="HL330">
        <v>90157115</v>
      </c>
      <c r="HM330">
        <v>96458999</v>
      </c>
      <c r="HN330">
        <v>96447999</v>
      </c>
      <c r="HO330">
        <v>113</v>
      </c>
      <c r="HP330">
        <v>62</v>
      </c>
      <c r="HR330" s="24"/>
      <c r="HS330">
        <v>8716</v>
      </c>
      <c r="HT330">
        <v>9199</v>
      </c>
      <c r="HU330">
        <v>8990</v>
      </c>
      <c r="HV330">
        <v>906575</v>
      </c>
      <c r="HW330">
        <v>160</v>
      </c>
      <c r="HY330" s="24"/>
      <c r="HZ330">
        <v>8600</v>
      </c>
      <c r="IA330">
        <v>8800</v>
      </c>
      <c r="IB330">
        <v>8797</v>
      </c>
      <c r="IC330">
        <v>1962936</v>
      </c>
      <c r="ID330">
        <v>379</v>
      </c>
      <c r="IF330" s="24"/>
      <c r="IG330">
        <v>2960</v>
      </c>
      <c r="IH330">
        <v>2970</v>
      </c>
      <c r="II330">
        <v>2969</v>
      </c>
      <c r="IJ330">
        <v>1241096</v>
      </c>
      <c r="IK330">
        <v>127</v>
      </c>
      <c r="IM330" s="24"/>
      <c r="IN330">
        <v>90822032</v>
      </c>
      <c r="IO330">
        <v>93440998</v>
      </c>
      <c r="IP330">
        <v>93438989</v>
      </c>
      <c r="IQ330">
        <v>141</v>
      </c>
      <c r="IR330">
        <v>72</v>
      </c>
      <c r="IT330" s="24"/>
      <c r="IU330">
        <v>8058</v>
      </c>
      <c r="IV330">
        <v>8058</v>
      </c>
      <c r="IW330">
        <v>8058</v>
      </c>
      <c r="IX330">
        <v>1096236</v>
      </c>
      <c r="IY330">
        <v>123</v>
      </c>
      <c r="JA330" s="24"/>
      <c r="JB330">
        <v>91750000</v>
      </c>
      <c r="JC330">
        <v>94994997</v>
      </c>
      <c r="JD330">
        <v>94993998</v>
      </c>
      <c r="JE330">
        <v>141</v>
      </c>
      <c r="JF330">
        <v>72</v>
      </c>
      <c r="JH330" s="24"/>
      <c r="JI330">
        <v>90059030</v>
      </c>
      <c r="JJ330">
        <v>93547968</v>
      </c>
      <c r="JK330">
        <v>90933923</v>
      </c>
      <c r="JL330">
        <v>78</v>
      </c>
      <c r="JM330">
        <v>46</v>
      </c>
      <c r="JO330" s="24"/>
      <c r="JP330">
        <v>89</v>
      </c>
      <c r="JQ330">
        <v>91</v>
      </c>
      <c r="JR330">
        <v>89</v>
      </c>
      <c r="JS330">
        <v>106352247</v>
      </c>
      <c r="JT330">
        <v>93</v>
      </c>
      <c r="JV330" s="24"/>
      <c r="JW330">
        <v>103</v>
      </c>
      <c r="JX330">
        <v>106</v>
      </c>
      <c r="JY330">
        <v>103</v>
      </c>
      <c r="JZ330">
        <v>89063040</v>
      </c>
      <c r="KA330">
        <v>111</v>
      </c>
      <c r="KC330" s="24"/>
      <c r="KD330">
        <v>19</v>
      </c>
      <c r="KE330">
        <v>20</v>
      </c>
      <c r="KF330">
        <v>20</v>
      </c>
      <c r="KG330">
        <v>49822390</v>
      </c>
      <c r="KH330">
        <v>259</v>
      </c>
      <c r="KJ330" s="24"/>
      <c r="KK330">
        <v>103</v>
      </c>
      <c r="KL330">
        <v>105</v>
      </c>
      <c r="KM330">
        <v>104</v>
      </c>
      <c r="KN330">
        <v>115176694</v>
      </c>
      <c r="KO330">
        <v>100</v>
      </c>
      <c r="KQ330" s="24"/>
      <c r="KR330">
        <v>123816</v>
      </c>
      <c r="KS330">
        <v>124001</v>
      </c>
      <c r="KT330">
        <v>124000</v>
      </c>
      <c r="KU330">
        <v>97267</v>
      </c>
      <c r="KV330">
        <v>521</v>
      </c>
      <c r="KX330" s="24"/>
      <c r="KY330">
        <v>796</v>
      </c>
      <c r="KZ330">
        <v>826</v>
      </c>
      <c r="LA330">
        <v>798</v>
      </c>
      <c r="LB330">
        <v>6104326</v>
      </c>
      <c r="LC330">
        <v>174</v>
      </c>
      <c r="LE330" s="24"/>
      <c r="LF330">
        <v>179062</v>
      </c>
      <c r="LG330">
        <v>179063</v>
      </c>
      <c r="LH330">
        <v>179063</v>
      </c>
      <c r="LI330">
        <v>119489</v>
      </c>
      <c r="LJ330">
        <v>730</v>
      </c>
      <c r="LL330" s="24"/>
      <c r="LM330">
        <v>67500</v>
      </c>
      <c r="LN330">
        <v>69501</v>
      </c>
      <c r="LO330">
        <v>69501</v>
      </c>
      <c r="LP330">
        <v>545602</v>
      </c>
      <c r="LQ330">
        <v>1070</v>
      </c>
      <c r="LS330" s="24"/>
      <c r="LT330">
        <v>474</v>
      </c>
      <c r="LU330">
        <v>486</v>
      </c>
      <c r="LV330">
        <v>484</v>
      </c>
      <c r="LW330">
        <v>87244441</v>
      </c>
      <c r="LX330">
        <v>330</v>
      </c>
      <c r="LZ330" s="24"/>
      <c r="MA330">
        <v>95005</v>
      </c>
      <c r="MB330">
        <v>98504</v>
      </c>
      <c r="MC330">
        <v>96102</v>
      </c>
      <c r="MD330">
        <v>1580219</v>
      </c>
      <c r="ME330">
        <v>93</v>
      </c>
    </row>
    <row r="331" spans="2:343" x14ac:dyDescent="0.25">
      <c r="B331" s="24"/>
      <c r="C331">
        <v>3</v>
      </c>
      <c r="D331">
        <v>3</v>
      </c>
      <c r="E331">
        <v>3</v>
      </c>
      <c r="F331">
        <v>28048049682</v>
      </c>
      <c r="G331">
        <v>2175</v>
      </c>
      <c r="I331" s="24"/>
      <c r="J331">
        <v>4</v>
      </c>
      <c r="K331">
        <v>4</v>
      </c>
      <c r="L331">
        <v>4</v>
      </c>
      <c r="M331">
        <v>5119612783</v>
      </c>
      <c r="N331">
        <v>1502</v>
      </c>
      <c r="P331" s="24"/>
      <c r="Q331">
        <v>32</v>
      </c>
      <c r="R331">
        <v>33</v>
      </c>
      <c r="S331">
        <v>33</v>
      </c>
      <c r="T331">
        <v>1308871413</v>
      </c>
      <c r="U331">
        <v>1374</v>
      </c>
      <c r="W331" s="24"/>
      <c r="X331">
        <v>61</v>
      </c>
      <c r="Y331">
        <v>61</v>
      </c>
      <c r="Z331">
        <v>61</v>
      </c>
      <c r="AA331">
        <v>441423615</v>
      </c>
      <c r="AB331">
        <v>1079</v>
      </c>
      <c r="AD331" s="24"/>
      <c r="AE331">
        <v>440</v>
      </c>
      <c r="AF331">
        <v>460</v>
      </c>
      <c r="AG331">
        <v>450</v>
      </c>
      <c r="AH331">
        <v>113671328</v>
      </c>
      <c r="AI331">
        <v>1246</v>
      </c>
      <c r="AK331" s="24"/>
      <c r="AL331">
        <v>736</v>
      </c>
      <c r="AM331">
        <v>744</v>
      </c>
      <c r="AN331">
        <v>739</v>
      </c>
      <c r="AO331">
        <v>28598833</v>
      </c>
      <c r="AP331">
        <v>928</v>
      </c>
      <c r="AR331" s="24"/>
      <c r="AS331">
        <v>2721</v>
      </c>
      <c r="AT331">
        <v>2813</v>
      </c>
      <c r="AU331">
        <v>2809</v>
      </c>
      <c r="AV331">
        <v>12316358</v>
      </c>
      <c r="AW331">
        <v>901</v>
      </c>
      <c r="AY331" s="24"/>
      <c r="AZ331">
        <v>407998487</v>
      </c>
      <c r="BA331">
        <v>415899999</v>
      </c>
      <c r="BB331">
        <v>410999987</v>
      </c>
      <c r="BC331">
        <v>2629</v>
      </c>
      <c r="BD331">
        <v>1761</v>
      </c>
      <c r="BF331" s="24"/>
      <c r="BG331">
        <v>24800</v>
      </c>
      <c r="BH331">
        <v>25080</v>
      </c>
      <c r="BI331">
        <v>25066</v>
      </c>
      <c r="BJ331">
        <v>4263721</v>
      </c>
      <c r="BK331">
        <v>220</v>
      </c>
      <c r="BM331" s="24"/>
      <c r="BN331">
        <v>7050001</v>
      </c>
      <c r="BO331">
        <v>7121005</v>
      </c>
      <c r="BP331">
        <v>7121005</v>
      </c>
      <c r="BQ331">
        <v>13139</v>
      </c>
      <c r="BR331">
        <v>259</v>
      </c>
      <c r="BT331" s="24"/>
      <c r="BU331">
        <v>2277</v>
      </c>
      <c r="BV331">
        <v>2318</v>
      </c>
      <c r="BW331">
        <v>2300</v>
      </c>
      <c r="BX331">
        <v>24584945</v>
      </c>
      <c r="BY331">
        <v>202</v>
      </c>
      <c r="CA331" s="24"/>
      <c r="CB331">
        <v>894</v>
      </c>
      <c r="CC331">
        <v>898</v>
      </c>
      <c r="CD331">
        <v>897</v>
      </c>
      <c r="CE331">
        <v>45871984</v>
      </c>
      <c r="CF331">
        <v>256</v>
      </c>
      <c r="CH331" s="24"/>
      <c r="CI331">
        <v>25905</v>
      </c>
      <c r="CJ331">
        <v>26100</v>
      </c>
      <c r="CK331">
        <v>25909</v>
      </c>
      <c r="CL331">
        <v>1982429</v>
      </c>
      <c r="CM331">
        <v>146</v>
      </c>
      <c r="CO331" s="24"/>
      <c r="CP331">
        <v>9350</v>
      </c>
      <c r="CQ331">
        <v>9899</v>
      </c>
      <c r="CR331">
        <v>9797</v>
      </c>
      <c r="CS331">
        <v>973380</v>
      </c>
      <c r="CT331">
        <v>339</v>
      </c>
      <c r="CV331" s="24"/>
      <c r="CW331">
        <v>1170020</v>
      </c>
      <c r="CX331">
        <v>1215000</v>
      </c>
      <c r="CY331">
        <v>1170023</v>
      </c>
      <c r="CZ331">
        <v>5066</v>
      </c>
      <c r="DA331">
        <v>23</v>
      </c>
      <c r="DC331" s="24"/>
      <c r="DD331">
        <v>566</v>
      </c>
      <c r="DE331">
        <v>592</v>
      </c>
      <c r="DF331">
        <v>569</v>
      </c>
      <c r="DG331">
        <v>28381512</v>
      </c>
      <c r="DH331">
        <v>167</v>
      </c>
      <c r="DJ331" s="24"/>
      <c r="DK331">
        <v>32040001</v>
      </c>
      <c r="DL331">
        <v>32901001</v>
      </c>
      <c r="DM331">
        <v>32041000</v>
      </c>
      <c r="DN331">
        <v>279</v>
      </c>
      <c r="DO331">
        <v>67</v>
      </c>
      <c r="DQ331" s="24"/>
      <c r="DR331">
        <v>960017</v>
      </c>
      <c r="DS331">
        <v>1056749</v>
      </c>
      <c r="DT331">
        <v>960061</v>
      </c>
      <c r="DU331">
        <v>10249</v>
      </c>
      <c r="DV331">
        <v>242</v>
      </c>
      <c r="DX331" s="24"/>
      <c r="DY331">
        <v>20300303</v>
      </c>
      <c r="DZ331">
        <v>21899999</v>
      </c>
      <c r="EA331">
        <v>21360001</v>
      </c>
      <c r="EB331">
        <v>516</v>
      </c>
      <c r="EC331">
        <v>95</v>
      </c>
      <c r="EE331" s="24"/>
      <c r="EF331">
        <v>191</v>
      </c>
      <c r="EG331">
        <v>195</v>
      </c>
      <c r="EH331">
        <v>195</v>
      </c>
      <c r="EI331">
        <v>78307186</v>
      </c>
      <c r="EJ331">
        <v>140</v>
      </c>
      <c r="EL331" s="24"/>
      <c r="EM331">
        <v>56500</v>
      </c>
      <c r="EN331">
        <v>57000</v>
      </c>
      <c r="EO331">
        <v>56500</v>
      </c>
      <c r="EP331">
        <v>66428</v>
      </c>
      <c r="EQ331">
        <v>532</v>
      </c>
      <c r="ES331" s="24"/>
      <c r="ET331">
        <v>281</v>
      </c>
      <c r="EU331">
        <v>300</v>
      </c>
      <c r="EV331">
        <v>289</v>
      </c>
      <c r="EW331">
        <v>59331803</v>
      </c>
      <c r="EX331">
        <v>507</v>
      </c>
      <c r="EZ331" s="24"/>
      <c r="FA331">
        <v>3551174</v>
      </c>
      <c r="FB331">
        <v>3551174</v>
      </c>
      <c r="FC331">
        <v>3551174</v>
      </c>
      <c r="FD331">
        <v>1202</v>
      </c>
      <c r="FE331">
        <v>15</v>
      </c>
      <c r="FG331" s="24"/>
      <c r="FH331">
        <v>9503</v>
      </c>
      <c r="FI331">
        <v>10466</v>
      </c>
      <c r="FJ331">
        <v>9981</v>
      </c>
      <c r="FK331">
        <v>1809359</v>
      </c>
      <c r="FL331">
        <v>446</v>
      </c>
      <c r="FN331" s="24"/>
      <c r="FO331">
        <v>17100</v>
      </c>
      <c r="FP331">
        <v>17899</v>
      </c>
      <c r="FQ331">
        <v>17249</v>
      </c>
      <c r="FR331">
        <v>215212</v>
      </c>
      <c r="FS331">
        <v>90</v>
      </c>
      <c r="FU331" s="24"/>
      <c r="FV331">
        <v>13281</v>
      </c>
      <c r="FW331">
        <v>14503</v>
      </c>
      <c r="FX331">
        <v>14052</v>
      </c>
      <c r="FY331">
        <v>525844</v>
      </c>
      <c r="FZ331">
        <v>970</v>
      </c>
      <c r="GB331" s="24"/>
      <c r="GC331">
        <v>94007100</v>
      </c>
      <c r="GD331">
        <v>94010000</v>
      </c>
      <c r="GE331">
        <v>94007104</v>
      </c>
      <c r="GF331">
        <v>146</v>
      </c>
      <c r="GG331">
        <v>69</v>
      </c>
      <c r="GI331" s="24"/>
      <c r="GJ331">
        <v>18101103</v>
      </c>
      <c r="GK331">
        <v>18101105</v>
      </c>
      <c r="GL331">
        <v>18101103</v>
      </c>
      <c r="GM331">
        <v>555</v>
      </c>
      <c r="GN331">
        <v>82</v>
      </c>
      <c r="GP331" s="24"/>
      <c r="GQ331">
        <v>106</v>
      </c>
      <c r="GR331">
        <v>108</v>
      </c>
      <c r="GS331">
        <v>106</v>
      </c>
      <c r="GT331">
        <v>136311331</v>
      </c>
      <c r="GU331">
        <v>128</v>
      </c>
      <c r="GW331" s="24"/>
      <c r="GX331">
        <v>506</v>
      </c>
      <c r="GY331">
        <v>506</v>
      </c>
      <c r="GZ331">
        <v>506</v>
      </c>
      <c r="HA331">
        <v>32689914</v>
      </c>
      <c r="HB331">
        <v>202</v>
      </c>
      <c r="HD331" s="24"/>
      <c r="HE331">
        <v>5505</v>
      </c>
      <c r="HF331">
        <v>5683</v>
      </c>
      <c r="HG331">
        <v>5682</v>
      </c>
      <c r="HH331">
        <v>13948505</v>
      </c>
      <c r="HI331">
        <v>257</v>
      </c>
      <c r="HK331" s="24"/>
      <c r="HL331">
        <v>94102000</v>
      </c>
      <c r="HM331">
        <v>101115001</v>
      </c>
      <c r="HN331">
        <v>94103001</v>
      </c>
      <c r="HO331">
        <v>147</v>
      </c>
      <c r="HP331">
        <v>79</v>
      </c>
      <c r="HR331" s="24"/>
      <c r="HS331">
        <v>8702</v>
      </c>
      <c r="HT331">
        <v>9197</v>
      </c>
      <c r="HU331">
        <v>8710</v>
      </c>
      <c r="HV331">
        <v>848566</v>
      </c>
      <c r="HW331">
        <v>142</v>
      </c>
      <c r="HY331" s="24"/>
      <c r="HZ331">
        <v>9000</v>
      </c>
      <c r="IA331">
        <v>9488</v>
      </c>
      <c r="IB331">
        <v>9399</v>
      </c>
      <c r="IC331">
        <v>2024441</v>
      </c>
      <c r="ID331">
        <v>449</v>
      </c>
      <c r="IF331" s="24"/>
      <c r="IG331">
        <v>2956</v>
      </c>
      <c r="IH331">
        <v>2956</v>
      </c>
      <c r="II331">
        <v>2956</v>
      </c>
      <c r="IJ331">
        <v>1418743</v>
      </c>
      <c r="IK331">
        <v>128</v>
      </c>
      <c r="IM331" s="24"/>
      <c r="IN331">
        <v>94000001</v>
      </c>
      <c r="IO331">
        <v>104743928</v>
      </c>
      <c r="IP331">
        <v>94006203</v>
      </c>
      <c r="IQ331">
        <v>115</v>
      </c>
      <c r="IR331">
        <v>61</v>
      </c>
      <c r="IT331" s="24"/>
      <c r="IU331">
        <v>7900</v>
      </c>
      <c r="IV331">
        <v>8058</v>
      </c>
      <c r="IW331">
        <v>8057</v>
      </c>
      <c r="IX331">
        <v>1040657</v>
      </c>
      <c r="IY331">
        <v>116</v>
      </c>
      <c r="JA331" s="24"/>
      <c r="JB331">
        <v>97357000</v>
      </c>
      <c r="JC331">
        <v>104499995</v>
      </c>
      <c r="JD331">
        <v>98696232</v>
      </c>
      <c r="JE331">
        <v>87</v>
      </c>
      <c r="JF331">
        <v>63</v>
      </c>
      <c r="JH331" s="24"/>
      <c r="JI331">
        <v>90067002</v>
      </c>
      <c r="JJ331">
        <v>92052000</v>
      </c>
      <c r="JK331">
        <v>91348549</v>
      </c>
      <c r="JL331">
        <v>46</v>
      </c>
      <c r="JM331">
        <v>39</v>
      </c>
      <c r="JO331" s="24"/>
      <c r="JP331">
        <v>88</v>
      </c>
      <c r="JQ331">
        <v>91</v>
      </c>
      <c r="JR331">
        <v>91</v>
      </c>
      <c r="JS331">
        <v>115121322</v>
      </c>
      <c r="JT331">
        <v>86</v>
      </c>
      <c r="JV331" s="24"/>
      <c r="JW331">
        <v>100</v>
      </c>
      <c r="JX331">
        <v>104</v>
      </c>
      <c r="JY331">
        <v>101</v>
      </c>
      <c r="JZ331">
        <v>98796025</v>
      </c>
      <c r="KA331">
        <v>95</v>
      </c>
      <c r="KC331" s="24"/>
      <c r="KD331">
        <v>19</v>
      </c>
      <c r="KE331">
        <v>20</v>
      </c>
      <c r="KF331">
        <v>20</v>
      </c>
      <c r="KG331">
        <v>54227404</v>
      </c>
      <c r="KH331">
        <v>283</v>
      </c>
      <c r="KJ331" s="24"/>
      <c r="KK331">
        <v>102</v>
      </c>
      <c r="KL331">
        <v>105</v>
      </c>
      <c r="KM331">
        <v>105</v>
      </c>
      <c r="KN331">
        <v>120163907</v>
      </c>
      <c r="KO331">
        <v>128</v>
      </c>
      <c r="KQ331" s="24"/>
      <c r="KR331">
        <v>121002</v>
      </c>
      <c r="KS331">
        <v>121002</v>
      </c>
      <c r="KT331">
        <v>121002</v>
      </c>
      <c r="KU331">
        <v>104019</v>
      </c>
      <c r="KV331">
        <v>518</v>
      </c>
      <c r="KX331" s="24"/>
      <c r="KY331">
        <v>819</v>
      </c>
      <c r="KZ331">
        <v>820</v>
      </c>
      <c r="LA331">
        <v>820</v>
      </c>
      <c r="LB331">
        <v>3162246</v>
      </c>
      <c r="LC331">
        <v>137</v>
      </c>
      <c r="LE331" s="24"/>
      <c r="LF331">
        <v>179061</v>
      </c>
      <c r="LG331">
        <v>184998</v>
      </c>
      <c r="LH331">
        <v>179063</v>
      </c>
      <c r="LI331">
        <v>120426</v>
      </c>
      <c r="LJ331">
        <v>701</v>
      </c>
      <c r="LL331" s="24"/>
      <c r="LM331">
        <v>64001</v>
      </c>
      <c r="LN331">
        <v>68000</v>
      </c>
      <c r="LO331">
        <v>64279</v>
      </c>
      <c r="LP331">
        <v>508869</v>
      </c>
      <c r="LQ331">
        <v>1078</v>
      </c>
      <c r="LS331" s="24"/>
      <c r="LT331">
        <v>483</v>
      </c>
      <c r="LU331">
        <v>486</v>
      </c>
      <c r="LV331">
        <v>484</v>
      </c>
      <c r="LW331">
        <v>64674934</v>
      </c>
      <c r="LX331">
        <v>268</v>
      </c>
      <c r="LZ331" s="24"/>
      <c r="MA331">
        <v>94006</v>
      </c>
      <c r="MB331">
        <v>94721</v>
      </c>
      <c r="MC331">
        <v>94715</v>
      </c>
      <c r="MD331">
        <v>1081452</v>
      </c>
      <c r="ME331">
        <v>103</v>
      </c>
    </row>
    <row r="332" spans="2:343" x14ac:dyDescent="0.25">
      <c r="B332" s="24"/>
      <c r="C332">
        <v>3</v>
      </c>
      <c r="D332">
        <v>3</v>
      </c>
      <c r="E332">
        <v>3</v>
      </c>
      <c r="F332">
        <v>31592040055</v>
      </c>
      <c r="G332">
        <v>2107</v>
      </c>
      <c r="I332" s="24"/>
      <c r="J332">
        <v>4</v>
      </c>
      <c r="K332">
        <v>4</v>
      </c>
      <c r="L332">
        <v>4</v>
      </c>
      <c r="M332">
        <v>5497297946</v>
      </c>
      <c r="N332">
        <v>1485</v>
      </c>
      <c r="P332" s="24"/>
      <c r="Q332">
        <v>33</v>
      </c>
      <c r="R332">
        <v>33</v>
      </c>
      <c r="S332">
        <v>33</v>
      </c>
      <c r="T332">
        <v>1195188962</v>
      </c>
      <c r="U332">
        <v>1311</v>
      </c>
      <c r="W332" s="24"/>
      <c r="X332">
        <v>61</v>
      </c>
      <c r="Y332">
        <v>61</v>
      </c>
      <c r="Z332">
        <v>61</v>
      </c>
      <c r="AA332">
        <v>263808962</v>
      </c>
      <c r="AB332">
        <v>1076</v>
      </c>
      <c r="AD332" s="24"/>
      <c r="AE332">
        <v>453</v>
      </c>
      <c r="AF332">
        <v>459</v>
      </c>
      <c r="AG332">
        <v>455</v>
      </c>
      <c r="AH332">
        <v>92298168</v>
      </c>
      <c r="AI332">
        <v>1184</v>
      </c>
      <c r="AK332" s="24"/>
      <c r="AL332">
        <v>741</v>
      </c>
      <c r="AM332">
        <v>744</v>
      </c>
      <c r="AN332">
        <v>743</v>
      </c>
      <c r="AO332">
        <v>32752991</v>
      </c>
      <c r="AP332">
        <v>934</v>
      </c>
      <c r="AR332" s="24"/>
      <c r="AS332">
        <v>2770</v>
      </c>
      <c r="AT332">
        <v>2813</v>
      </c>
      <c r="AU332">
        <v>2813</v>
      </c>
      <c r="AV332">
        <v>13139175</v>
      </c>
      <c r="AW332">
        <v>921</v>
      </c>
      <c r="AY332" s="24"/>
      <c r="AZ332">
        <v>411122001</v>
      </c>
      <c r="BA332">
        <v>419487000</v>
      </c>
      <c r="BB332">
        <v>416350000</v>
      </c>
      <c r="BC332">
        <v>2239</v>
      </c>
      <c r="BD332">
        <v>1453</v>
      </c>
      <c r="BF332" s="24"/>
      <c r="BG332">
        <v>24905</v>
      </c>
      <c r="BH332">
        <v>25005</v>
      </c>
      <c r="BI332">
        <v>25003</v>
      </c>
      <c r="BJ332">
        <v>1116624</v>
      </c>
      <c r="BK332">
        <v>158</v>
      </c>
      <c r="BM332" s="24"/>
      <c r="BN332">
        <v>7002015</v>
      </c>
      <c r="BO332">
        <v>7012013</v>
      </c>
      <c r="BP332">
        <v>7003056</v>
      </c>
      <c r="BQ332">
        <v>8729</v>
      </c>
      <c r="BR332">
        <v>280</v>
      </c>
      <c r="BT332" s="24"/>
      <c r="BU332">
        <v>2156</v>
      </c>
      <c r="BV332">
        <v>2247</v>
      </c>
      <c r="BW332">
        <v>2247</v>
      </c>
      <c r="BX332">
        <v>19867560</v>
      </c>
      <c r="BY332">
        <v>203</v>
      </c>
      <c r="CA332" s="24"/>
      <c r="CB332">
        <v>865</v>
      </c>
      <c r="CC332">
        <v>889</v>
      </c>
      <c r="CD332">
        <v>887</v>
      </c>
      <c r="CE332">
        <v>53489984</v>
      </c>
      <c r="CF332">
        <v>223</v>
      </c>
      <c r="CH332" s="24"/>
      <c r="CI332">
        <v>25800</v>
      </c>
      <c r="CJ332">
        <v>25800</v>
      </c>
      <c r="CK332">
        <v>25800</v>
      </c>
      <c r="CL332">
        <v>810797</v>
      </c>
      <c r="CM332">
        <v>124</v>
      </c>
      <c r="CO332" s="24"/>
      <c r="CP332">
        <v>9396</v>
      </c>
      <c r="CQ332">
        <v>9739</v>
      </c>
      <c r="CR332">
        <v>9739</v>
      </c>
      <c r="CS332">
        <v>654602</v>
      </c>
      <c r="CT332">
        <v>289</v>
      </c>
      <c r="CV332" s="24"/>
      <c r="CW332">
        <v>1150102</v>
      </c>
      <c r="CX332">
        <v>1150102</v>
      </c>
      <c r="CY332">
        <v>1150102</v>
      </c>
      <c r="CZ332">
        <v>14688</v>
      </c>
      <c r="DA332">
        <v>32</v>
      </c>
      <c r="DC332" s="24"/>
      <c r="DD332">
        <v>516</v>
      </c>
      <c r="DE332">
        <v>561</v>
      </c>
      <c r="DF332">
        <v>550</v>
      </c>
      <c r="DG332">
        <v>42713041</v>
      </c>
      <c r="DH332">
        <v>171</v>
      </c>
      <c r="DJ332" s="24"/>
      <c r="DK332">
        <v>31000333</v>
      </c>
      <c r="DL332">
        <v>32000001</v>
      </c>
      <c r="DM332">
        <v>31000478</v>
      </c>
      <c r="DN332">
        <v>212</v>
      </c>
      <c r="DO332">
        <v>59</v>
      </c>
      <c r="DQ332" s="24"/>
      <c r="DR332">
        <v>986002</v>
      </c>
      <c r="DS332">
        <v>1049998</v>
      </c>
      <c r="DT332">
        <v>988888</v>
      </c>
      <c r="DU332">
        <v>5796</v>
      </c>
      <c r="DV332">
        <v>213</v>
      </c>
      <c r="DX332" s="24"/>
      <c r="DY332">
        <v>20300304</v>
      </c>
      <c r="DZ332">
        <v>20300331</v>
      </c>
      <c r="EA332">
        <v>20300309</v>
      </c>
      <c r="EB332">
        <v>320</v>
      </c>
      <c r="EC332">
        <v>74</v>
      </c>
      <c r="EE332" s="24"/>
      <c r="EF332">
        <v>194</v>
      </c>
      <c r="EG332">
        <v>199</v>
      </c>
      <c r="EH332">
        <v>196</v>
      </c>
      <c r="EI332">
        <v>68231619</v>
      </c>
      <c r="EJ332">
        <v>150</v>
      </c>
      <c r="EL332" s="24"/>
      <c r="EM332">
        <v>54700</v>
      </c>
      <c r="EN332">
        <v>56900</v>
      </c>
      <c r="EO332">
        <v>54701</v>
      </c>
      <c r="EP332">
        <v>57048</v>
      </c>
      <c r="EQ332">
        <v>549</v>
      </c>
      <c r="ES332" s="24"/>
      <c r="ET332">
        <v>281</v>
      </c>
      <c r="EU332">
        <v>296</v>
      </c>
      <c r="EV332">
        <v>283</v>
      </c>
      <c r="EW332">
        <v>39560936</v>
      </c>
      <c r="EX332">
        <v>506</v>
      </c>
      <c r="EZ332" s="24"/>
      <c r="FA332">
        <v>3502100</v>
      </c>
      <c r="FB332">
        <v>3503700</v>
      </c>
      <c r="FC332">
        <v>3502100</v>
      </c>
      <c r="FD332">
        <v>2276</v>
      </c>
      <c r="FE332">
        <v>21</v>
      </c>
      <c r="FG332" s="24"/>
      <c r="FH332">
        <v>9704</v>
      </c>
      <c r="FI332">
        <v>9940</v>
      </c>
      <c r="FJ332">
        <v>9709</v>
      </c>
      <c r="FK332">
        <v>2807370</v>
      </c>
      <c r="FL332">
        <v>478</v>
      </c>
      <c r="FN332" s="24"/>
      <c r="FO332">
        <v>17050</v>
      </c>
      <c r="FP332">
        <v>17245</v>
      </c>
      <c r="FQ332">
        <v>17245</v>
      </c>
      <c r="FR332">
        <v>179540</v>
      </c>
      <c r="FS332">
        <v>92</v>
      </c>
      <c r="FU332" s="24"/>
      <c r="FV332">
        <v>14002</v>
      </c>
      <c r="FW332">
        <v>14101</v>
      </c>
      <c r="FX332">
        <v>14100</v>
      </c>
      <c r="FY332">
        <v>262961</v>
      </c>
      <c r="FZ332">
        <v>966</v>
      </c>
      <c r="GB332" s="24"/>
      <c r="GC332">
        <v>94009012</v>
      </c>
      <c r="GD332">
        <v>94030000</v>
      </c>
      <c r="GE332">
        <v>94014007</v>
      </c>
      <c r="GF332">
        <v>129</v>
      </c>
      <c r="GG332">
        <v>71</v>
      </c>
      <c r="GI332" s="24"/>
      <c r="GJ332">
        <v>18000001</v>
      </c>
      <c r="GK332">
        <v>18118119</v>
      </c>
      <c r="GL332">
        <v>18000003</v>
      </c>
      <c r="GM332">
        <v>258</v>
      </c>
      <c r="GN332">
        <v>58</v>
      </c>
      <c r="GP332" s="24"/>
      <c r="GQ332">
        <v>107</v>
      </c>
      <c r="GR332">
        <v>114</v>
      </c>
      <c r="GS332">
        <v>109</v>
      </c>
      <c r="GT332">
        <v>122172973</v>
      </c>
      <c r="GU332">
        <v>143</v>
      </c>
      <c r="GW332" s="24"/>
      <c r="GX332">
        <v>484</v>
      </c>
      <c r="GY332">
        <v>499</v>
      </c>
      <c r="GZ332">
        <v>484</v>
      </c>
      <c r="HA332">
        <v>50481095</v>
      </c>
      <c r="HB332">
        <v>195</v>
      </c>
      <c r="HD332" s="24"/>
      <c r="HE332">
        <v>5505</v>
      </c>
      <c r="HF332">
        <v>5676</v>
      </c>
      <c r="HG332">
        <v>5600</v>
      </c>
      <c r="HH332">
        <v>12064879</v>
      </c>
      <c r="HI332">
        <v>231</v>
      </c>
      <c r="HK332" s="24"/>
      <c r="HL332">
        <v>93980989</v>
      </c>
      <c r="HM332">
        <v>94116001</v>
      </c>
      <c r="HN332">
        <v>94111000</v>
      </c>
      <c r="HO332">
        <v>171</v>
      </c>
      <c r="HP332">
        <v>92</v>
      </c>
      <c r="HR332" s="24"/>
      <c r="HS332">
        <v>8709</v>
      </c>
      <c r="HT332">
        <v>9199</v>
      </c>
      <c r="HU332">
        <v>9194</v>
      </c>
      <c r="HV332">
        <v>686751</v>
      </c>
      <c r="HW332">
        <v>143</v>
      </c>
      <c r="HY332" s="24"/>
      <c r="HZ332">
        <v>9020</v>
      </c>
      <c r="IA332">
        <v>9220</v>
      </c>
      <c r="IB332">
        <v>9030</v>
      </c>
      <c r="IC332">
        <v>2230184</v>
      </c>
      <c r="ID332">
        <v>376</v>
      </c>
      <c r="IF332" s="24"/>
      <c r="IG332">
        <v>2910</v>
      </c>
      <c r="IH332">
        <v>2940</v>
      </c>
      <c r="II332">
        <v>2915</v>
      </c>
      <c r="IJ332">
        <v>2776943</v>
      </c>
      <c r="IK332">
        <v>190</v>
      </c>
      <c r="IM332" s="24"/>
      <c r="IN332">
        <v>94010000</v>
      </c>
      <c r="IO332">
        <v>99993999</v>
      </c>
      <c r="IP332">
        <v>96154524</v>
      </c>
      <c r="IQ332">
        <v>88</v>
      </c>
      <c r="IR332">
        <v>69</v>
      </c>
      <c r="IT332" s="24"/>
      <c r="IU332">
        <v>7953</v>
      </c>
      <c r="IV332">
        <v>8049</v>
      </c>
      <c r="IW332">
        <v>8028</v>
      </c>
      <c r="IX332">
        <v>1500460</v>
      </c>
      <c r="IY332">
        <v>142</v>
      </c>
      <c r="JA332" s="24"/>
      <c r="JB332">
        <v>90568003</v>
      </c>
      <c r="JC332">
        <v>102041196</v>
      </c>
      <c r="JD332">
        <v>96479028</v>
      </c>
      <c r="JE332">
        <v>64</v>
      </c>
      <c r="JF332">
        <v>49</v>
      </c>
      <c r="JH332" s="24"/>
      <c r="JI332">
        <v>92052999</v>
      </c>
      <c r="JJ332">
        <v>93181986</v>
      </c>
      <c r="JK332">
        <v>92172798</v>
      </c>
      <c r="JL332">
        <v>34</v>
      </c>
      <c r="JM332">
        <v>29</v>
      </c>
      <c r="JO332" s="24"/>
      <c r="JP332">
        <v>88</v>
      </c>
      <c r="JQ332">
        <v>88</v>
      </c>
      <c r="JR332">
        <v>88</v>
      </c>
      <c r="JS332">
        <v>90399781</v>
      </c>
      <c r="JT332">
        <v>84</v>
      </c>
      <c r="JV332" s="24"/>
      <c r="JW332">
        <v>100</v>
      </c>
      <c r="JX332">
        <v>103</v>
      </c>
      <c r="JY332">
        <v>103</v>
      </c>
      <c r="JZ332">
        <v>72029163</v>
      </c>
      <c r="KA332">
        <v>79</v>
      </c>
      <c r="KC332" s="24"/>
      <c r="KD332">
        <v>19</v>
      </c>
      <c r="KE332">
        <v>20</v>
      </c>
      <c r="KF332">
        <v>20</v>
      </c>
      <c r="KG332">
        <v>39014199</v>
      </c>
      <c r="KH332">
        <v>298</v>
      </c>
      <c r="KJ332" s="24"/>
      <c r="KK332">
        <v>102</v>
      </c>
      <c r="KL332">
        <v>107</v>
      </c>
      <c r="KM332">
        <v>102</v>
      </c>
      <c r="KN332">
        <v>114793172</v>
      </c>
      <c r="KO332">
        <v>127</v>
      </c>
      <c r="KQ332" s="24"/>
      <c r="KR332">
        <v>119000</v>
      </c>
      <c r="KS332">
        <v>127799</v>
      </c>
      <c r="KT332">
        <v>122600</v>
      </c>
      <c r="KU332">
        <v>51373</v>
      </c>
      <c r="KV332">
        <v>545</v>
      </c>
      <c r="KX332" s="24"/>
      <c r="KY332">
        <v>796</v>
      </c>
      <c r="KZ332">
        <v>820</v>
      </c>
      <c r="LA332">
        <v>819</v>
      </c>
      <c r="LB332">
        <v>10043935</v>
      </c>
      <c r="LC332">
        <v>173</v>
      </c>
      <c r="LE332" s="24"/>
      <c r="LF332">
        <v>178017</v>
      </c>
      <c r="LG332">
        <v>180000</v>
      </c>
      <c r="LH332">
        <v>178017</v>
      </c>
      <c r="LI332">
        <v>103030</v>
      </c>
      <c r="LJ332">
        <v>692</v>
      </c>
      <c r="LL332" s="24"/>
      <c r="LM332">
        <v>66999</v>
      </c>
      <c r="LN332">
        <v>67000</v>
      </c>
      <c r="LO332">
        <v>67000</v>
      </c>
      <c r="LP332">
        <v>252475</v>
      </c>
      <c r="LQ332">
        <v>996</v>
      </c>
      <c r="LS332" s="24"/>
      <c r="LT332">
        <v>472</v>
      </c>
      <c r="LU332">
        <v>484</v>
      </c>
      <c r="LV332">
        <v>480</v>
      </c>
      <c r="LW332">
        <v>72438258</v>
      </c>
      <c r="LX332">
        <v>327</v>
      </c>
      <c r="LZ332" s="24"/>
      <c r="MA332">
        <v>93201</v>
      </c>
      <c r="MB332">
        <v>95700</v>
      </c>
      <c r="MC332">
        <v>93250</v>
      </c>
      <c r="MD332">
        <v>908926</v>
      </c>
      <c r="ME332">
        <v>68</v>
      </c>
    </row>
    <row r="333" spans="2:343" x14ac:dyDescent="0.25">
      <c r="B333" s="24"/>
      <c r="C333">
        <v>3</v>
      </c>
      <c r="D333">
        <v>3</v>
      </c>
      <c r="E333">
        <v>3</v>
      </c>
      <c r="F333">
        <v>27051796302</v>
      </c>
      <c r="G333">
        <v>2233</v>
      </c>
      <c r="I333" s="24"/>
      <c r="J333">
        <v>4</v>
      </c>
      <c r="K333">
        <v>4</v>
      </c>
      <c r="L333">
        <v>4</v>
      </c>
      <c r="M333">
        <v>7769402739</v>
      </c>
      <c r="N333">
        <v>1588</v>
      </c>
      <c r="P333" s="24"/>
      <c r="Q333">
        <v>33</v>
      </c>
      <c r="R333">
        <v>33</v>
      </c>
      <c r="S333">
        <v>33</v>
      </c>
      <c r="T333">
        <v>1483377115</v>
      </c>
      <c r="U333">
        <v>1384</v>
      </c>
      <c r="W333" s="24"/>
      <c r="X333">
        <v>61</v>
      </c>
      <c r="Y333">
        <v>61</v>
      </c>
      <c r="Z333">
        <v>61</v>
      </c>
      <c r="AA333">
        <v>317058135</v>
      </c>
      <c r="AB333">
        <v>1109</v>
      </c>
      <c r="AD333" s="24"/>
      <c r="AE333">
        <v>455</v>
      </c>
      <c r="AF333">
        <v>459</v>
      </c>
      <c r="AG333">
        <v>456</v>
      </c>
      <c r="AH333">
        <v>91684118</v>
      </c>
      <c r="AI333">
        <v>1166</v>
      </c>
      <c r="AK333" s="24"/>
      <c r="AL333">
        <v>745</v>
      </c>
      <c r="AM333">
        <v>750</v>
      </c>
      <c r="AN333">
        <v>745</v>
      </c>
      <c r="AO333">
        <v>48511066</v>
      </c>
      <c r="AP333">
        <v>972</v>
      </c>
      <c r="AR333" s="24"/>
      <c r="AS333">
        <v>2772</v>
      </c>
      <c r="AT333">
        <v>2825</v>
      </c>
      <c r="AU333">
        <v>2813</v>
      </c>
      <c r="AV333">
        <v>11710751</v>
      </c>
      <c r="AW333">
        <v>958</v>
      </c>
      <c r="AY333" s="24"/>
      <c r="AZ333">
        <v>415500100</v>
      </c>
      <c r="BA333">
        <v>423999999</v>
      </c>
      <c r="BB333">
        <v>421000005</v>
      </c>
      <c r="BC333">
        <v>2605</v>
      </c>
      <c r="BD333">
        <v>1771</v>
      </c>
      <c r="BF333" s="24"/>
      <c r="BG333">
        <v>25150</v>
      </c>
      <c r="BH333">
        <v>25200</v>
      </c>
      <c r="BI333">
        <v>25150</v>
      </c>
      <c r="BJ333">
        <v>1963580</v>
      </c>
      <c r="BK333">
        <v>173</v>
      </c>
      <c r="BM333" s="24"/>
      <c r="BN333">
        <v>7003064</v>
      </c>
      <c r="BO333">
        <v>7080000</v>
      </c>
      <c r="BP333">
        <v>7003069</v>
      </c>
      <c r="BQ333">
        <v>11678</v>
      </c>
      <c r="BR333">
        <v>326</v>
      </c>
      <c r="BT333" s="24"/>
      <c r="BU333">
        <v>2170</v>
      </c>
      <c r="BV333">
        <v>2247</v>
      </c>
      <c r="BW333">
        <v>2220</v>
      </c>
      <c r="BX333">
        <v>17105253</v>
      </c>
      <c r="BY333">
        <v>185</v>
      </c>
      <c r="CA333" s="24"/>
      <c r="CB333">
        <v>861</v>
      </c>
      <c r="CC333">
        <v>883</v>
      </c>
      <c r="CD333">
        <v>883</v>
      </c>
      <c r="CE333">
        <v>49036696</v>
      </c>
      <c r="CF333">
        <v>260</v>
      </c>
      <c r="CH333" s="24"/>
      <c r="CI333">
        <v>25802</v>
      </c>
      <c r="CJ333">
        <v>26100</v>
      </c>
      <c r="CK333">
        <v>26100</v>
      </c>
      <c r="CL333">
        <v>1391577</v>
      </c>
      <c r="CM333">
        <v>169</v>
      </c>
      <c r="CO333" s="24"/>
      <c r="CP333">
        <v>9899</v>
      </c>
      <c r="CQ333">
        <v>11326</v>
      </c>
      <c r="CR333">
        <v>10698</v>
      </c>
      <c r="CS333">
        <v>1421967</v>
      </c>
      <c r="CT333">
        <v>361</v>
      </c>
      <c r="CV333" s="24"/>
      <c r="CW333">
        <v>1190000</v>
      </c>
      <c r="CX333">
        <v>1219923</v>
      </c>
      <c r="CY333">
        <v>1219922</v>
      </c>
      <c r="CZ333">
        <v>8110</v>
      </c>
      <c r="DA333">
        <v>28</v>
      </c>
      <c r="DC333" s="24"/>
      <c r="DD333">
        <v>494</v>
      </c>
      <c r="DE333">
        <v>521</v>
      </c>
      <c r="DF333">
        <v>504</v>
      </c>
      <c r="DG333">
        <v>44137023</v>
      </c>
      <c r="DH333">
        <v>223</v>
      </c>
      <c r="DJ333" s="24"/>
      <c r="DK333">
        <v>30200000</v>
      </c>
      <c r="DL333">
        <v>30200003</v>
      </c>
      <c r="DM333">
        <v>30200000</v>
      </c>
      <c r="DN333">
        <v>171</v>
      </c>
      <c r="DO333">
        <v>49</v>
      </c>
      <c r="DQ333" s="24"/>
      <c r="DR333">
        <v>991000</v>
      </c>
      <c r="DS333">
        <v>1050000</v>
      </c>
      <c r="DT333">
        <v>991011</v>
      </c>
      <c r="DU333">
        <v>8852</v>
      </c>
      <c r="DV333">
        <v>240</v>
      </c>
      <c r="DX333" s="24"/>
      <c r="DY333">
        <v>20300341</v>
      </c>
      <c r="DZ333">
        <v>20767121</v>
      </c>
      <c r="EA333">
        <v>20300342</v>
      </c>
      <c r="EB333">
        <v>560</v>
      </c>
      <c r="EC333">
        <v>109</v>
      </c>
      <c r="EE333" s="24"/>
      <c r="EF333">
        <v>194</v>
      </c>
      <c r="EG333">
        <v>198</v>
      </c>
      <c r="EH333">
        <v>194</v>
      </c>
      <c r="EI333">
        <v>92300730</v>
      </c>
      <c r="EJ333">
        <v>174</v>
      </c>
      <c r="EL333" s="24"/>
      <c r="EM333">
        <v>55000</v>
      </c>
      <c r="EN333">
        <v>56900</v>
      </c>
      <c r="EO333">
        <v>55000</v>
      </c>
      <c r="EP333">
        <v>69160</v>
      </c>
      <c r="EQ333">
        <v>539</v>
      </c>
      <c r="ES333" s="24"/>
      <c r="ET333">
        <v>279</v>
      </c>
      <c r="EU333">
        <v>290</v>
      </c>
      <c r="EV333">
        <v>287</v>
      </c>
      <c r="EW333">
        <v>51246769</v>
      </c>
      <c r="EX333">
        <v>522</v>
      </c>
      <c r="EZ333" s="24"/>
      <c r="FA333">
        <v>3682767</v>
      </c>
      <c r="FB333">
        <v>3682767</v>
      </c>
      <c r="FC333">
        <v>3682767</v>
      </c>
      <c r="FD333">
        <v>256</v>
      </c>
      <c r="FE333">
        <v>5</v>
      </c>
      <c r="FG333" s="24"/>
      <c r="FH333">
        <v>9997</v>
      </c>
      <c r="FI333">
        <v>10498</v>
      </c>
      <c r="FJ333">
        <v>10100</v>
      </c>
      <c r="FK333">
        <v>2339997</v>
      </c>
      <c r="FL333">
        <v>468</v>
      </c>
      <c r="FN333" s="24"/>
      <c r="FO333">
        <v>17243</v>
      </c>
      <c r="FP333">
        <v>17245</v>
      </c>
      <c r="FQ333">
        <v>17243</v>
      </c>
      <c r="FR333">
        <v>115249</v>
      </c>
      <c r="FS333">
        <v>67</v>
      </c>
      <c r="FU333" s="24"/>
      <c r="FV333">
        <v>14555</v>
      </c>
      <c r="FW333">
        <v>15483</v>
      </c>
      <c r="FX333">
        <v>14555</v>
      </c>
      <c r="FY333">
        <v>401562</v>
      </c>
      <c r="FZ333">
        <v>987</v>
      </c>
      <c r="GB333" s="24"/>
      <c r="GC333">
        <v>88291011</v>
      </c>
      <c r="GD333">
        <v>100734000</v>
      </c>
      <c r="GE333">
        <v>94657124</v>
      </c>
      <c r="GF333">
        <v>80</v>
      </c>
      <c r="GG333">
        <v>63</v>
      </c>
      <c r="GI333" s="24"/>
      <c r="GJ333">
        <v>18369999</v>
      </c>
      <c r="GK333">
        <v>19193996</v>
      </c>
      <c r="GL333">
        <v>18999997</v>
      </c>
      <c r="GM333">
        <v>1159</v>
      </c>
      <c r="GN333">
        <v>133</v>
      </c>
      <c r="GP333" s="24"/>
      <c r="GQ333">
        <v>104</v>
      </c>
      <c r="GR333">
        <v>112</v>
      </c>
      <c r="GS333">
        <v>109</v>
      </c>
      <c r="GT333">
        <v>190897051</v>
      </c>
      <c r="GU333">
        <v>134</v>
      </c>
      <c r="GW333" s="24"/>
      <c r="GX333">
        <v>470</v>
      </c>
      <c r="GY333">
        <v>481</v>
      </c>
      <c r="GZ333">
        <v>479</v>
      </c>
      <c r="HA333">
        <v>49400349</v>
      </c>
      <c r="HB333">
        <v>213</v>
      </c>
      <c r="HD333" s="24"/>
      <c r="HE333">
        <v>5520</v>
      </c>
      <c r="HF333">
        <v>5663</v>
      </c>
      <c r="HG333">
        <v>5653</v>
      </c>
      <c r="HH333">
        <v>10116329</v>
      </c>
      <c r="HI333">
        <v>222</v>
      </c>
      <c r="HK333" s="24"/>
      <c r="HL333">
        <v>90096104</v>
      </c>
      <c r="HM333">
        <v>93862991</v>
      </c>
      <c r="HN333">
        <v>93859000</v>
      </c>
      <c r="HO333">
        <v>138</v>
      </c>
      <c r="HP333">
        <v>87</v>
      </c>
      <c r="HR333" s="24"/>
      <c r="HS333">
        <v>8705</v>
      </c>
      <c r="HT333">
        <v>9048</v>
      </c>
      <c r="HU333">
        <v>8809</v>
      </c>
      <c r="HV333">
        <v>536387</v>
      </c>
      <c r="HW333">
        <v>112</v>
      </c>
      <c r="HY333" s="24"/>
      <c r="HZ333">
        <v>9023</v>
      </c>
      <c r="IA333">
        <v>9214</v>
      </c>
      <c r="IB333">
        <v>9179</v>
      </c>
      <c r="IC333">
        <v>2241752</v>
      </c>
      <c r="ID333">
        <v>420</v>
      </c>
      <c r="IF333" s="24"/>
      <c r="IG333">
        <v>2935</v>
      </c>
      <c r="IH333">
        <v>2953</v>
      </c>
      <c r="II333">
        <v>2952</v>
      </c>
      <c r="IJ333">
        <v>734113</v>
      </c>
      <c r="IK333">
        <v>110</v>
      </c>
      <c r="IM333" s="24"/>
      <c r="IN333">
        <v>90933006</v>
      </c>
      <c r="IO333">
        <v>94998989</v>
      </c>
      <c r="IP333">
        <v>90939000</v>
      </c>
      <c r="IQ333">
        <v>108</v>
      </c>
      <c r="IR333">
        <v>75</v>
      </c>
      <c r="IT333" s="24"/>
      <c r="IU333">
        <v>8006</v>
      </c>
      <c r="IV333">
        <v>8021</v>
      </c>
      <c r="IW333">
        <v>8020</v>
      </c>
      <c r="IX333">
        <v>922657</v>
      </c>
      <c r="IY333">
        <v>112</v>
      </c>
      <c r="JA333" s="24"/>
      <c r="JB333">
        <v>89113000</v>
      </c>
      <c r="JC333">
        <v>97991998</v>
      </c>
      <c r="JD333">
        <v>92546788</v>
      </c>
      <c r="JE333">
        <v>145</v>
      </c>
      <c r="JF333">
        <v>93</v>
      </c>
      <c r="JH333" s="24"/>
      <c r="JI333">
        <v>90014005</v>
      </c>
      <c r="JJ333">
        <v>93151967</v>
      </c>
      <c r="JK333">
        <v>91263994</v>
      </c>
      <c r="JL333">
        <v>94</v>
      </c>
      <c r="JM333">
        <v>59</v>
      </c>
      <c r="JO333" s="24"/>
      <c r="JP333">
        <v>82</v>
      </c>
      <c r="JQ333">
        <v>88</v>
      </c>
      <c r="JR333">
        <v>86</v>
      </c>
      <c r="JS333">
        <v>75061108</v>
      </c>
      <c r="JT333">
        <v>81</v>
      </c>
      <c r="JV333" s="24"/>
      <c r="JW333">
        <v>100</v>
      </c>
      <c r="JX333">
        <v>103</v>
      </c>
      <c r="JY333">
        <v>100</v>
      </c>
      <c r="JZ333">
        <v>108877824</v>
      </c>
      <c r="KA333">
        <v>101</v>
      </c>
      <c r="KC333" s="24"/>
      <c r="KD333">
        <v>19</v>
      </c>
      <c r="KE333">
        <v>20</v>
      </c>
      <c r="KF333">
        <v>20</v>
      </c>
      <c r="KG333">
        <v>68239143</v>
      </c>
      <c r="KH333">
        <v>304</v>
      </c>
      <c r="KJ333" s="24"/>
      <c r="KK333">
        <v>95</v>
      </c>
      <c r="KL333">
        <v>102</v>
      </c>
      <c r="KM333">
        <v>99</v>
      </c>
      <c r="KN333">
        <v>156020555</v>
      </c>
      <c r="KO333">
        <v>116</v>
      </c>
      <c r="KQ333" s="24"/>
      <c r="KR333">
        <v>120004</v>
      </c>
      <c r="KS333">
        <v>120005</v>
      </c>
      <c r="KT333">
        <v>120004</v>
      </c>
      <c r="KU333">
        <v>38419</v>
      </c>
      <c r="KV333">
        <v>532</v>
      </c>
      <c r="KX333" s="24"/>
      <c r="KY333">
        <v>777</v>
      </c>
      <c r="KZ333">
        <v>810</v>
      </c>
      <c r="LA333">
        <v>794</v>
      </c>
      <c r="LB333">
        <v>8175689</v>
      </c>
      <c r="LC333">
        <v>182</v>
      </c>
      <c r="LE333" s="24"/>
      <c r="LF333">
        <v>178018</v>
      </c>
      <c r="LG333">
        <v>178025</v>
      </c>
      <c r="LH333">
        <v>178020</v>
      </c>
      <c r="LI333">
        <v>87663</v>
      </c>
      <c r="LJ333">
        <v>729</v>
      </c>
      <c r="LL333" s="24"/>
      <c r="LM333">
        <v>66555</v>
      </c>
      <c r="LN333">
        <v>67497</v>
      </c>
      <c r="LO333">
        <v>66999</v>
      </c>
      <c r="LP333">
        <v>328378</v>
      </c>
      <c r="LQ333">
        <v>996</v>
      </c>
      <c r="LS333" s="24"/>
      <c r="LT333">
        <v>467</v>
      </c>
      <c r="LU333">
        <v>474</v>
      </c>
      <c r="LV333">
        <v>470</v>
      </c>
      <c r="LW333">
        <v>107941531</v>
      </c>
      <c r="LX333">
        <v>341</v>
      </c>
      <c r="LZ333" s="24"/>
      <c r="MA333">
        <v>93510</v>
      </c>
      <c r="MB333">
        <v>95743</v>
      </c>
      <c r="MC333">
        <v>95346</v>
      </c>
      <c r="MD333">
        <v>1170750</v>
      </c>
      <c r="ME333">
        <v>77</v>
      </c>
    </row>
    <row r="334" spans="2:343" x14ac:dyDescent="0.25">
      <c r="B334" s="24"/>
      <c r="C334">
        <v>3</v>
      </c>
      <c r="D334">
        <v>3</v>
      </c>
      <c r="E334">
        <v>3</v>
      </c>
      <c r="F334">
        <v>33781561532</v>
      </c>
      <c r="G334">
        <v>2402</v>
      </c>
      <c r="I334" s="24"/>
      <c r="J334">
        <v>4</v>
      </c>
      <c r="K334">
        <v>4</v>
      </c>
      <c r="L334">
        <v>4</v>
      </c>
      <c r="M334">
        <v>5827255341</v>
      </c>
      <c r="N334">
        <v>1724</v>
      </c>
      <c r="P334" s="24"/>
      <c r="Q334">
        <v>33</v>
      </c>
      <c r="R334">
        <v>34</v>
      </c>
      <c r="S334">
        <v>33</v>
      </c>
      <c r="T334">
        <v>1822205109</v>
      </c>
      <c r="U334">
        <v>1599</v>
      </c>
      <c r="W334" s="24"/>
      <c r="X334">
        <v>61</v>
      </c>
      <c r="Y334">
        <v>62</v>
      </c>
      <c r="Z334">
        <v>62</v>
      </c>
      <c r="AA334">
        <v>467383278</v>
      </c>
      <c r="AB334">
        <v>1236</v>
      </c>
      <c r="AD334" s="24"/>
      <c r="AE334">
        <v>462</v>
      </c>
      <c r="AF334">
        <v>465</v>
      </c>
      <c r="AG334">
        <v>465</v>
      </c>
      <c r="AH334">
        <v>143882042</v>
      </c>
      <c r="AI334">
        <v>1375</v>
      </c>
      <c r="AK334" s="24"/>
      <c r="AL334">
        <v>754</v>
      </c>
      <c r="AM334">
        <v>793</v>
      </c>
      <c r="AN334">
        <v>773</v>
      </c>
      <c r="AO334">
        <v>53440832</v>
      </c>
      <c r="AP334">
        <v>1132</v>
      </c>
      <c r="AR334" s="24"/>
      <c r="AS334">
        <v>2770</v>
      </c>
      <c r="AT334">
        <v>2830</v>
      </c>
      <c r="AU334">
        <v>2775</v>
      </c>
      <c r="AV334">
        <v>17214252</v>
      </c>
      <c r="AW334">
        <v>1160</v>
      </c>
      <c r="AY334" s="24"/>
      <c r="AZ334">
        <v>413000000</v>
      </c>
      <c r="BA334">
        <v>422000000</v>
      </c>
      <c r="BB334">
        <v>419495993</v>
      </c>
      <c r="BC334">
        <v>2715</v>
      </c>
      <c r="BD334">
        <v>2109</v>
      </c>
      <c r="BF334" s="24"/>
      <c r="BG334">
        <v>25135</v>
      </c>
      <c r="BH334">
        <v>25186</v>
      </c>
      <c r="BI334">
        <v>25136</v>
      </c>
      <c r="BJ334">
        <v>2958957</v>
      </c>
      <c r="BK334">
        <v>211</v>
      </c>
      <c r="BM334" s="24"/>
      <c r="BN334">
        <v>7024002</v>
      </c>
      <c r="BO334">
        <v>7024069</v>
      </c>
      <c r="BP334">
        <v>7024066</v>
      </c>
      <c r="BQ334">
        <v>11288</v>
      </c>
      <c r="BR334">
        <v>289</v>
      </c>
      <c r="BT334" s="24"/>
      <c r="BU334">
        <v>2209</v>
      </c>
      <c r="BV334">
        <v>2214</v>
      </c>
      <c r="BW334">
        <v>2213</v>
      </c>
      <c r="BX334">
        <v>25035611</v>
      </c>
      <c r="BY334">
        <v>255</v>
      </c>
      <c r="CA334" s="24"/>
      <c r="CB334">
        <v>840</v>
      </c>
      <c r="CC334">
        <v>880</v>
      </c>
      <c r="CD334">
        <v>869</v>
      </c>
      <c r="CE334">
        <v>49354244</v>
      </c>
      <c r="CF334">
        <v>311</v>
      </c>
      <c r="CH334" s="24"/>
      <c r="CI334">
        <v>25819</v>
      </c>
      <c r="CJ334">
        <v>26100</v>
      </c>
      <c r="CK334">
        <v>25820</v>
      </c>
      <c r="CL334">
        <v>1636776</v>
      </c>
      <c r="CM334">
        <v>163</v>
      </c>
      <c r="CO334" s="24"/>
      <c r="CP334">
        <v>10111</v>
      </c>
      <c r="CQ334">
        <v>11089</v>
      </c>
      <c r="CR334">
        <v>10799</v>
      </c>
      <c r="CS334">
        <v>1227951</v>
      </c>
      <c r="CT334">
        <v>395</v>
      </c>
      <c r="CV334" s="24"/>
      <c r="CW334">
        <v>1142500</v>
      </c>
      <c r="CX334">
        <v>1190700</v>
      </c>
      <c r="CY334">
        <v>1150000</v>
      </c>
      <c r="CZ334">
        <v>19011</v>
      </c>
      <c r="DA334">
        <v>36</v>
      </c>
      <c r="DC334" s="24"/>
      <c r="DD334">
        <v>483</v>
      </c>
      <c r="DE334">
        <v>500</v>
      </c>
      <c r="DF334">
        <v>499</v>
      </c>
      <c r="DG334">
        <v>40688402</v>
      </c>
      <c r="DH334">
        <v>219</v>
      </c>
      <c r="DJ334" s="24"/>
      <c r="DK334">
        <v>30800001</v>
      </c>
      <c r="DL334">
        <v>32189999</v>
      </c>
      <c r="DM334">
        <v>32037511</v>
      </c>
      <c r="DN334">
        <v>222</v>
      </c>
      <c r="DO334">
        <v>70</v>
      </c>
      <c r="DQ334" s="24"/>
      <c r="DR334">
        <v>1000000</v>
      </c>
      <c r="DS334">
        <v>1062988</v>
      </c>
      <c r="DT334">
        <v>1056899</v>
      </c>
      <c r="DU334">
        <v>9109</v>
      </c>
      <c r="DV334">
        <v>237</v>
      </c>
      <c r="DX334" s="24"/>
      <c r="DY334">
        <v>20700000</v>
      </c>
      <c r="DZ334">
        <v>21898999</v>
      </c>
      <c r="EA334">
        <v>20899999</v>
      </c>
      <c r="EB334">
        <v>611</v>
      </c>
      <c r="EC334">
        <v>139</v>
      </c>
      <c r="EE334" s="24"/>
      <c r="EF334">
        <v>191</v>
      </c>
      <c r="EG334">
        <v>199</v>
      </c>
      <c r="EH334">
        <v>198</v>
      </c>
      <c r="EI334">
        <v>111286864</v>
      </c>
      <c r="EJ334">
        <v>212</v>
      </c>
      <c r="EL334" s="24"/>
      <c r="EM334">
        <v>55200</v>
      </c>
      <c r="EN334">
        <v>55300</v>
      </c>
      <c r="EO334">
        <v>55200</v>
      </c>
      <c r="EP334">
        <v>113895</v>
      </c>
      <c r="EQ334">
        <v>651</v>
      </c>
      <c r="ES334" s="24"/>
      <c r="ET334">
        <v>296</v>
      </c>
      <c r="EU334">
        <v>296</v>
      </c>
      <c r="EV334">
        <v>296</v>
      </c>
      <c r="EW334">
        <v>28261536</v>
      </c>
      <c r="EX334">
        <v>557</v>
      </c>
      <c r="EZ334" s="24"/>
      <c r="FA334">
        <v>3503000</v>
      </c>
      <c r="FB334">
        <v>3503021</v>
      </c>
      <c r="FC334">
        <v>3503021</v>
      </c>
      <c r="FD334">
        <v>1411</v>
      </c>
      <c r="FE334">
        <v>25</v>
      </c>
      <c r="FG334" s="24"/>
      <c r="FH334">
        <v>10498</v>
      </c>
      <c r="FI334">
        <v>10761</v>
      </c>
      <c r="FJ334">
        <v>10550</v>
      </c>
      <c r="FK334">
        <v>2348708</v>
      </c>
      <c r="FL334">
        <v>469</v>
      </c>
      <c r="FN334" s="24"/>
      <c r="FO334">
        <v>17150</v>
      </c>
      <c r="FP334">
        <v>17243</v>
      </c>
      <c r="FQ334">
        <v>17210</v>
      </c>
      <c r="FR334">
        <v>803990</v>
      </c>
      <c r="FS334">
        <v>110</v>
      </c>
      <c r="FU334" s="24"/>
      <c r="FV334">
        <v>13403</v>
      </c>
      <c r="FW334">
        <v>14299</v>
      </c>
      <c r="FX334">
        <v>13500</v>
      </c>
      <c r="FY334">
        <v>471583</v>
      </c>
      <c r="FZ334">
        <v>1110</v>
      </c>
      <c r="GB334" s="24"/>
      <c r="GC334">
        <v>88309011</v>
      </c>
      <c r="GD334">
        <v>94999997</v>
      </c>
      <c r="GE334">
        <v>93284993</v>
      </c>
      <c r="GF334">
        <v>78</v>
      </c>
      <c r="GG334">
        <v>67</v>
      </c>
      <c r="GI334" s="24"/>
      <c r="GJ334">
        <v>18388398</v>
      </c>
      <c r="GK334">
        <v>19489999</v>
      </c>
      <c r="GL334">
        <v>18800000</v>
      </c>
      <c r="GM334">
        <v>720</v>
      </c>
      <c r="GN334">
        <v>80</v>
      </c>
      <c r="GP334" s="24"/>
      <c r="GQ334">
        <v>104</v>
      </c>
      <c r="GR334">
        <v>109</v>
      </c>
      <c r="GS334">
        <v>108</v>
      </c>
      <c r="GT334">
        <v>195495462</v>
      </c>
      <c r="GU334">
        <v>161</v>
      </c>
      <c r="GW334" s="24"/>
      <c r="GX334">
        <v>425</v>
      </c>
      <c r="GY334">
        <v>470</v>
      </c>
      <c r="GZ334">
        <v>450</v>
      </c>
      <c r="HA334">
        <v>65464779</v>
      </c>
      <c r="HB334">
        <v>261</v>
      </c>
      <c r="HD334" s="24"/>
      <c r="HE334">
        <v>5507</v>
      </c>
      <c r="HF334">
        <v>5599</v>
      </c>
      <c r="HG334">
        <v>5597</v>
      </c>
      <c r="HH334">
        <v>22415755</v>
      </c>
      <c r="HI334">
        <v>312</v>
      </c>
      <c r="HK334" s="24"/>
      <c r="HL334">
        <v>90000004</v>
      </c>
      <c r="HM334">
        <v>92998999</v>
      </c>
      <c r="HN334">
        <v>91685785</v>
      </c>
      <c r="HO334">
        <v>75</v>
      </c>
      <c r="HP334">
        <v>65</v>
      </c>
      <c r="HR334" s="24"/>
      <c r="HS334">
        <v>8790</v>
      </c>
      <c r="HT334">
        <v>9000</v>
      </c>
      <c r="HU334">
        <v>8995</v>
      </c>
      <c r="HV334">
        <v>1147453</v>
      </c>
      <c r="HW334">
        <v>182</v>
      </c>
      <c r="HY334" s="24"/>
      <c r="HZ334">
        <v>9219</v>
      </c>
      <c r="IA334">
        <v>9535</v>
      </c>
      <c r="IB334">
        <v>9452</v>
      </c>
      <c r="IC334">
        <v>2891081</v>
      </c>
      <c r="ID334">
        <v>506</v>
      </c>
      <c r="IF334" s="24"/>
      <c r="IG334">
        <v>2953</v>
      </c>
      <c r="IH334">
        <v>3048</v>
      </c>
      <c r="II334">
        <v>2955</v>
      </c>
      <c r="IJ334">
        <v>2365305</v>
      </c>
      <c r="IK334">
        <v>181</v>
      </c>
      <c r="IM334" s="24"/>
      <c r="IN334">
        <v>88176003</v>
      </c>
      <c r="IO334">
        <v>94997999</v>
      </c>
      <c r="IP334">
        <v>91132521</v>
      </c>
      <c r="IQ334">
        <v>80</v>
      </c>
      <c r="IR334">
        <v>70</v>
      </c>
      <c r="IT334" s="24"/>
      <c r="IU334">
        <v>7893</v>
      </c>
      <c r="IV334">
        <v>8004</v>
      </c>
      <c r="IW334">
        <v>7894</v>
      </c>
      <c r="IX334">
        <v>1542997</v>
      </c>
      <c r="IY334">
        <v>150</v>
      </c>
      <c r="JA334" s="24"/>
      <c r="JB334">
        <v>89121010</v>
      </c>
      <c r="JC334">
        <v>96888996</v>
      </c>
      <c r="JD334">
        <v>89121014</v>
      </c>
      <c r="JE334">
        <v>122</v>
      </c>
      <c r="JF334">
        <v>76</v>
      </c>
      <c r="JH334" s="24"/>
      <c r="JI334">
        <v>90014005</v>
      </c>
      <c r="JJ334">
        <v>92874497</v>
      </c>
      <c r="JK334">
        <v>90859189</v>
      </c>
      <c r="JL334">
        <v>81</v>
      </c>
      <c r="JM334">
        <v>58</v>
      </c>
      <c r="JO334" s="24"/>
      <c r="JP334">
        <v>85</v>
      </c>
      <c r="JQ334">
        <v>85</v>
      </c>
      <c r="JR334">
        <v>85</v>
      </c>
      <c r="JS334">
        <v>140732235</v>
      </c>
      <c r="JT334">
        <v>113</v>
      </c>
      <c r="JV334" s="24"/>
      <c r="JW334">
        <v>99</v>
      </c>
      <c r="JX334">
        <v>102</v>
      </c>
      <c r="JY334">
        <v>102</v>
      </c>
      <c r="JZ334">
        <v>105985787</v>
      </c>
      <c r="KA334">
        <v>120</v>
      </c>
      <c r="KC334" s="24"/>
      <c r="KD334">
        <v>21</v>
      </c>
      <c r="KE334">
        <v>21</v>
      </c>
      <c r="KF334">
        <v>21</v>
      </c>
      <c r="KG334">
        <v>38782959</v>
      </c>
      <c r="KH334">
        <v>279</v>
      </c>
      <c r="KJ334" s="24"/>
      <c r="KK334">
        <v>91</v>
      </c>
      <c r="KL334">
        <v>98</v>
      </c>
      <c r="KM334">
        <v>96</v>
      </c>
      <c r="KN334">
        <v>192227392</v>
      </c>
      <c r="KO334">
        <v>170</v>
      </c>
      <c r="KQ334" s="24"/>
      <c r="KR334">
        <v>121601</v>
      </c>
      <c r="KS334">
        <v>122000</v>
      </c>
      <c r="KT334">
        <v>122000</v>
      </c>
      <c r="KU334">
        <v>67977</v>
      </c>
      <c r="KV334">
        <v>617</v>
      </c>
      <c r="KX334" s="24"/>
      <c r="KY334">
        <v>777</v>
      </c>
      <c r="KZ334">
        <v>816</v>
      </c>
      <c r="LA334">
        <v>799</v>
      </c>
      <c r="LB334">
        <v>7825335</v>
      </c>
      <c r="LC334">
        <v>195</v>
      </c>
      <c r="LE334" s="24"/>
      <c r="LF334">
        <v>179000</v>
      </c>
      <c r="LG334">
        <v>179004</v>
      </c>
      <c r="LH334">
        <v>179002</v>
      </c>
      <c r="LI334">
        <v>102074</v>
      </c>
      <c r="LJ334">
        <v>809</v>
      </c>
      <c r="LL334" s="24"/>
      <c r="LM334">
        <v>64302</v>
      </c>
      <c r="LN334">
        <v>66555</v>
      </c>
      <c r="LO334">
        <v>64700</v>
      </c>
      <c r="LP334">
        <v>512751</v>
      </c>
      <c r="LQ334">
        <v>1152</v>
      </c>
      <c r="LS334" s="24"/>
      <c r="LT334">
        <v>469</v>
      </c>
      <c r="LU334">
        <v>474</v>
      </c>
      <c r="LV334">
        <v>470</v>
      </c>
      <c r="LW334">
        <v>117325955</v>
      </c>
      <c r="LX334">
        <v>390</v>
      </c>
      <c r="LZ334" s="24"/>
      <c r="MA334">
        <v>93701</v>
      </c>
      <c r="MB334">
        <v>95699</v>
      </c>
      <c r="MC334">
        <v>94999</v>
      </c>
      <c r="MD334">
        <v>1304210</v>
      </c>
      <c r="ME334">
        <v>116</v>
      </c>
    </row>
    <row r="335" spans="2:343" x14ac:dyDescent="0.25">
      <c r="B335" s="24"/>
      <c r="C335">
        <v>3</v>
      </c>
      <c r="D335">
        <v>3</v>
      </c>
      <c r="E335">
        <v>3</v>
      </c>
      <c r="F335">
        <v>27500911462</v>
      </c>
      <c r="G335">
        <v>2531</v>
      </c>
      <c r="I335" s="24"/>
      <c r="J335">
        <v>4</v>
      </c>
      <c r="K335">
        <v>4</v>
      </c>
      <c r="L335">
        <v>4</v>
      </c>
      <c r="M335">
        <v>6163896790</v>
      </c>
      <c r="N335">
        <v>1834</v>
      </c>
      <c r="P335" s="24"/>
      <c r="Q335">
        <v>33</v>
      </c>
      <c r="R335">
        <v>34</v>
      </c>
      <c r="S335">
        <v>34</v>
      </c>
      <c r="T335">
        <v>1793873038</v>
      </c>
      <c r="U335">
        <v>1765</v>
      </c>
      <c r="W335" s="24"/>
      <c r="X335">
        <v>62</v>
      </c>
      <c r="Y335">
        <v>62</v>
      </c>
      <c r="Z335">
        <v>62</v>
      </c>
      <c r="AA335">
        <v>461688304</v>
      </c>
      <c r="AB335">
        <v>1464</v>
      </c>
      <c r="AD335" s="24"/>
      <c r="AE335">
        <v>471</v>
      </c>
      <c r="AF335">
        <v>483</v>
      </c>
      <c r="AG335">
        <v>483</v>
      </c>
      <c r="AH335">
        <v>113437485</v>
      </c>
      <c r="AI335">
        <v>1480</v>
      </c>
      <c r="AK335" s="24"/>
      <c r="AL335">
        <v>779</v>
      </c>
      <c r="AM335">
        <v>830</v>
      </c>
      <c r="AN335">
        <v>802</v>
      </c>
      <c r="AO335">
        <v>37802643</v>
      </c>
      <c r="AP335">
        <v>1238</v>
      </c>
      <c r="AR335" s="24"/>
      <c r="AS335">
        <v>2735</v>
      </c>
      <c r="AT335">
        <v>2829</v>
      </c>
      <c r="AU335">
        <v>2747</v>
      </c>
      <c r="AV335">
        <v>14196417</v>
      </c>
      <c r="AW335">
        <v>1180</v>
      </c>
      <c r="AY335" s="24"/>
      <c r="AZ335">
        <v>417759999</v>
      </c>
      <c r="BA335">
        <v>427000000</v>
      </c>
      <c r="BB335">
        <v>421990000</v>
      </c>
      <c r="BC335">
        <v>2767</v>
      </c>
      <c r="BD335">
        <v>1953</v>
      </c>
      <c r="BF335" s="24"/>
      <c r="BG335">
        <v>25209</v>
      </c>
      <c r="BH335">
        <v>25426</v>
      </c>
      <c r="BI335">
        <v>25209</v>
      </c>
      <c r="BJ335">
        <v>2595885</v>
      </c>
      <c r="BK335">
        <v>205</v>
      </c>
      <c r="BM335" s="24"/>
      <c r="BN335">
        <v>7024077</v>
      </c>
      <c r="BO335">
        <v>7024079</v>
      </c>
      <c r="BP335">
        <v>7024078</v>
      </c>
      <c r="BQ335">
        <v>14951</v>
      </c>
      <c r="BR335">
        <v>334</v>
      </c>
      <c r="BT335" s="24"/>
      <c r="BU335">
        <v>2214</v>
      </c>
      <c r="BV335">
        <v>2246</v>
      </c>
      <c r="BW335">
        <v>2217</v>
      </c>
      <c r="BX335">
        <v>24445182</v>
      </c>
      <c r="BY335">
        <v>226</v>
      </c>
      <c r="CA335" s="24"/>
      <c r="CB335">
        <v>850</v>
      </c>
      <c r="CC335">
        <v>880</v>
      </c>
      <c r="CD335">
        <v>879</v>
      </c>
      <c r="CE335">
        <v>54458591</v>
      </c>
      <c r="CF335">
        <v>304</v>
      </c>
      <c r="CH335" s="24"/>
      <c r="CI335">
        <v>26517</v>
      </c>
      <c r="CJ335">
        <v>26517</v>
      </c>
      <c r="CK335">
        <v>26517</v>
      </c>
      <c r="CL335">
        <v>627098</v>
      </c>
      <c r="CM335">
        <v>156</v>
      </c>
      <c r="CO335" s="24"/>
      <c r="CP335">
        <v>10112</v>
      </c>
      <c r="CQ335">
        <v>10985</v>
      </c>
      <c r="CR335">
        <v>10446</v>
      </c>
      <c r="CS335">
        <v>1457766</v>
      </c>
      <c r="CT335">
        <v>419</v>
      </c>
      <c r="CV335" s="24"/>
      <c r="CW335">
        <v>1132500</v>
      </c>
      <c r="CX335">
        <v>1174999</v>
      </c>
      <c r="CY335">
        <v>1140000</v>
      </c>
      <c r="CZ335">
        <v>14025</v>
      </c>
      <c r="DA335">
        <v>35</v>
      </c>
      <c r="DC335" s="24"/>
      <c r="DD335">
        <v>498</v>
      </c>
      <c r="DE335">
        <v>499</v>
      </c>
      <c r="DF335">
        <v>498</v>
      </c>
      <c r="DG335">
        <v>42931454</v>
      </c>
      <c r="DH335">
        <v>189</v>
      </c>
      <c r="DJ335" s="24"/>
      <c r="DK335">
        <v>32199998</v>
      </c>
      <c r="DL335">
        <v>33000000</v>
      </c>
      <c r="DM335">
        <v>32500000</v>
      </c>
      <c r="DN335">
        <v>468</v>
      </c>
      <c r="DO335">
        <v>93</v>
      </c>
      <c r="DQ335" s="24"/>
      <c r="DR335">
        <v>1009999</v>
      </c>
      <c r="DS335">
        <v>1199999</v>
      </c>
      <c r="DT335">
        <v>1099999</v>
      </c>
      <c r="DU335">
        <v>11427</v>
      </c>
      <c r="DV335">
        <v>268</v>
      </c>
      <c r="DX335" s="24"/>
      <c r="DY335">
        <v>20700009</v>
      </c>
      <c r="DZ335">
        <v>21700000</v>
      </c>
      <c r="EA335">
        <v>20800000</v>
      </c>
      <c r="EB335">
        <v>529</v>
      </c>
      <c r="EC335">
        <v>118</v>
      </c>
      <c r="EE335" s="24"/>
      <c r="EF335">
        <v>191</v>
      </c>
      <c r="EG335">
        <v>199</v>
      </c>
      <c r="EH335">
        <v>198</v>
      </c>
      <c r="EI335">
        <v>95155418</v>
      </c>
      <c r="EJ335">
        <v>202</v>
      </c>
      <c r="EL335" s="24"/>
      <c r="EM335">
        <v>53504</v>
      </c>
      <c r="EN335">
        <v>54001</v>
      </c>
      <c r="EO335">
        <v>54000</v>
      </c>
      <c r="EP335">
        <v>95870</v>
      </c>
      <c r="EQ335">
        <v>685</v>
      </c>
      <c r="ES335" s="24"/>
      <c r="ET335">
        <v>281</v>
      </c>
      <c r="EU335">
        <v>298</v>
      </c>
      <c r="EV335">
        <v>297</v>
      </c>
      <c r="EW335">
        <v>48798352</v>
      </c>
      <c r="EX335">
        <v>684</v>
      </c>
      <c r="EZ335" s="24"/>
      <c r="FA335">
        <v>3502102</v>
      </c>
      <c r="FB335">
        <v>3669999</v>
      </c>
      <c r="FC335">
        <v>3669998</v>
      </c>
      <c r="FD335">
        <v>2737</v>
      </c>
      <c r="FE335">
        <v>23</v>
      </c>
      <c r="FG335" s="24"/>
      <c r="FH335">
        <v>9701</v>
      </c>
      <c r="FI335">
        <v>10097</v>
      </c>
      <c r="FJ335">
        <v>10009</v>
      </c>
      <c r="FK335">
        <v>2686091</v>
      </c>
      <c r="FL335">
        <v>529</v>
      </c>
      <c r="FN335" s="24"/>
      <c r="FO335">
        <v>18688</v>
      </c>
      <c r="FP335">
        <v>18688</v>
      </c>
      <c r="FQ335">
        <v>18688</v>
      </c>
      <c r="FR335">
        <v>95457</v>
      </c>
      <c r="FS335">
        <v>70</v>
      </c>
      <c r="FU335" s="24"/>
      <c r="FV335">
        <v>13901</v>
      </c>
      <c r="FW335">
        <v>14001</v>
      </c>
      <c r="FX335">
        <v>13905</v>
      </c>
      <c r="FY335">
        <v>416356</v>
      </c>
      <c r="FZ335">
        <v>1188</v>
      </c>
      <c r="GB335" s="24"/>
      <c r="GC335">
        <v>92004989</v>
      </c>
      <c r="GD335">
        <v>92004997</v>
      </c>
      <c r="GE335">
        <v>92004991</v>
      </c>
      <c r="GF335">
        <v>118</v>
      </c>
      <c r="GG335">
        <v>80</v>
      </c>
      <c r="GI335" s="24"/>
      <c r="GJ335">
        <v>18501101</v>
      </c>
      <c r="GK335">
        <v>18812012</v>
      </c>
      <c r="GL335">
        <v>18811000</v>
      </c>
      <c r="GM335">
        <v>526</v>
      </c>
      <c r="GN335">
        <v>89</v>
      </c>
      <c r="GP335" s="24"/>
      <c r="GQ335">
        <v>102</v>
      </c>
      <c r="GR335">
        <v>104</v>
      </c>
      <c r="GS335">
        <v>104</v>
      </c>
      <c r="GT335">
        <v>142284811</v>
      </c>
      <c r="GU335">
        <v>170</v>
      </c>
      <c r="GW335" s="24"/>
      <c r="GX335">
        <v>445</v>
      </c>
      <c r="GY335">
        <v>466</v>
      </c>
      <c r="GZ335">
        <v>466</v>
      </c>
      <c r="HA335">
        <v>70066479</v>
      </c>
      <c r="HB335">
        <v>320</v>
      </c>
      <c r="HD335" s="24"/>
      <c r="HE335">
        <v>5589</v>
      </c>
      <c r="HF335">
        <v>5595</v>
      </c>
      <c r="HG335">
        <v>5593</v>
      </c>
      <c r="HH335">
        <v>17251443</v>
      </c>
      <c r="HI335">
        <v>281</v>
      </c>
      <c r="HK335" s="24"/>
      <c r="HL335">
        <v>88581040</v>
      </c>
      <c r="HM335">
        <v>92997996</v>
      </c>
      <c r="HN335">
        <v>90831575</v>
      </c>
      <c r="HO335">
        <v>90</v>
      </c>
      <c r="HP335">
        <v>70</v>
      </c>
      <c r="HR335" s="24"/>
      <c r="HS335">
        <v>8704</v>
      </c>
      <c r="HT335">
        <v>9189</v>
      </c>
      <c r="HU335">
        <v>8899</v>
      </c>
      <c r="HV335">
        <v>885242</v>
      </c>
      <c r="HW335">
        <v>185</v>
      </c>
      <c r="HY335" s="24"/>
      <c r="HZ335">
        <v>9120</v>
      </c>
      <c r="IA335">
        <v>9699</v>
      </c>
      <c r="IB335">
        <v>9673</v>
      </c>
      <c r="IC335">
        <v>2691536</v>
      </c>
      <c r="ID335">
        <v>562</v>
      </c>
      <c r="IF335" s="24"/>
      <c r="IG335">
        <v>3048</v>
      </c>
      <c r="IH335">
        <v>3048</v>
      </c>
      <c r="II335">
        <v>3048</v>
      </c>
      <c r="IJ335">
        <v>1657064</v>
      </c>
      <c r="IK335">
        <v>147</v>
      </c>
      <c r="IM335" s="24"/>
      <c r="IN335">
        <v>90993998</v>
      </c>
      <c r="IO335">
        <v>94997989</v>
      </c>
      <c r="IP335">
        <v>92999988</v>
      </c>
      <c r="IQ335">
        <v>142</v>
      </c>
      <c r="IR335">
        <v>94</v>
      </c>
      <c r="IT335" s="24"/>
      <c r="IU335">
        <v>8001</v>
      </c>
      <c r="IV335">
        <v>8002</v>
      </c>
      <c r="IW335">
        <v>8002</v>
      </c>
      <c r="IX335">
        <v>1343716</v>
      </c>
      <c r="IY335">
        <v>140</v>
      </c>
      <c r="JA335" s="24"/>
      <c r="JB335">
        <v>89121021</v>
      </c>
      <c r="JC335">
        <v>93982993</v>
      </c>
      <c r="JD335">
        <v>92999999</v>
      </c>
      <c r="JE335">
        <v>101</v>
      </c>
      <c r="JF335">
        <v>75</v>
      </c>
      <c r="JH335" s="24"/>
      <c r="JI335">
        <v>89059003</v>
      </c>
      <c r="JJ335">
        <v>92248996</v>
      </c>
      <c r="JK335">
        <v>90775645</v>
      </c>
      <c r="JL335">
        <v>82</v>
      </c>
      <c r="JM335">
        <v>54</v>
      </c>
      <c r="JO335" s="24"/>
      <c r="JP335">
        <v>85</v>
      </c>
      <c r="JQ335">
        <v>88</v>
      </c>
      <c r="JR335">
        <v>88</v>
      </c>
      <c r="JS335">
        <v>220641217</v>
      </c>
      <c r="JT335">
        <v>149</v>
      </c>
      <c r="JV335" s="24"/>
      <c r="JW335">
        <v>96</v>
      </c>
      <c r="JX335">
        <v>99</v>
      </c>
      <c r="JY335">
        <v>97</v>
      </c>
      <c r="JZ335">
        <v>152066313</v>
      </c>
      <c r="KA335">
        <v>138</v>
      </c>
      <c r="KC335" s="24"/>
      <c r="KD335">
        <v>20</v>
      </c>
      <c r="KE335">
        <v>21</v>
      </c>
      <c r="KF335">
        <v>21</v>
      </c>
      <c r="KG335">
        <v>53913196</v>
      </c>
      <c r="KH335">
        <v>370</v>
      </c>
      <c r="KJ335" s="24"/>
      <c r="KK335">
        <v>92</v>
      </c>
      <c r="KL335">
        <v>97</v>
      </c>
      <c r="KM335">
        <v>95</v>
      </c>
      <c r="KN335">
        <v>150317462</v>
      </c>
      <c r="KO335">
        <v>146</v>
      </c>
      <c r="KQ335" s="24"/>
      <c r="KR335">
        <v>122500</v>
      </c>
      <c r="KS335">
        <v>126898</v>
      </c>
      <c r="KT335">
        <v>123000</v>
      </c>
      <c r="KU335">
        <v>77997</v>
      </c>
      <c r="KV335">
        <v>635</v>
      </c>
      <c r="KX335" s="24"/>
      <c r="KY335">
        <v>778</v>
      </c>
      <c r="KZ335">
        <v>814</v>
      </c>
      <c r="LA335">
        <v>790</v>
      </c>
      <c r="LB335">
        <v>7900570</v>
      </c>
      <c r="LC335">
        <v>200</v>
      </c>
      <c r="LE335" s="24"/>
      <c r="LF335">
        <v>179005</v>
      </c>
      <c r="LG335">
        <v>181999</v>
      </c>
      <c r="LH335">
        <v>179500</v>
      </c>
      <c r="LI335">
        <v>172285</v>
      </c>
      <c r="LJ335">
        <v>910</v>
      </c>
      <c r="LL335" s="24"/>
      <c r="LM335">
        <v>63712</v>
      </c>
      <c r="LN335">
        <v>64280</v>
      </c>
      <c r="LO335">
        <v>64275</v>
      </c>
      <c r="LP335">
        <v>399981</v>
      </c>
      <c r="LQ335">
        <v>1209</v>
      </c>
      <c r="LS335" s="24"/>
      <c r="LT335">
        <v>460</v>
      </c>
      <c r="LU335">
        <v>473</v>
      </c>
      <c r="LV335">
        <v>472</v>
      </c>
      <c r="LW335">
        <v>106025447</v>
      </c>
      <c r="LX335">
        <v>460</v>
      </c>
      <c r="LZ335" s="24"/>
      <c r="MA335">
        <v>95687</v>
      </c>
      <c r="MB335">
        <v>95698</v>
      </c>
      <c r="MC335">
        <v>95697</v>
      </c>
      <c r="MD335">
        <v>957518</v>
      </c>
      <c r="ME335">
        <v>91</v>
      </c>
    </row>
    <row r="336" spans="2:343" x14ac:dyDescent="0.25">
      <c r="B336" s="24"/>
      <c r="C336">
        <v>3</v>
      </c>
      <c r="D336">
        <v>3</v>
      </c>
      <c r="E336">
        <v>3</v>
      </c>
      <c r="F336">
        <v>32838211784</v>
      </c>
      <c r="G336">
        <v>2201</v>
      </c>
      <c r="I336" s="24"/>
      <c r="J336">
        <v>4</v>
      </c>
      <c r="K336">
        <v>4</v>
      </c>
      <c r="L336">
        <v>4</v>
      </c>
      <c r="M336">
        <v>5324098282</v>
      </c>
      <c r="N336">
        <v>1587</v>
      </c>
      <c r="P336" s="24"/>
      <c r="Q336">
        <v>33</v>
      </c>
      <c r="R336">
        <v>34</v>
      </c>
      <c r="S336">
        <v>34</v>
      </c>
      <c r="T336">
        <v>1196376592</v>
      </c>
      <c r="U336">
        <v>1429</v>
      </c>
      <c r="W336" s="24"/>
      <c r="X336">
        <v>62</v>
      </c>
      <c r="Y336">
        <v>62</v>
      </c>
      <c r="Z336">
        <v>62</v>
      </c>
      <c r="AA336">
        <v>409082176</v>
      </c>
      <c r="AB336">
        <v>1200</v>
      </c>
      <c r="AD336" s="24"/>
      <c r="AE336">
        <v>471</v>
      </c>
      <c r="AF336">
        <v>483</v>
      </c>
      <c r="AG336">
        <v>480</v>
      </c>
      <c r="AH336">
        <v>76690246</v>
      </c>
      <c r="AI336">
        <v>1304</v>
      </c>
      <c r="AK336" s="24"/>
      <c r="AL336">
        <v>786</v>
      </c>
      <c r="AM336">
        <v>811</v>
      </c>
      <c r="AN336">
        <v>788</v>
      </c>
      <c r="AO336">
        <v>37633735</v>
      </c>
      <c r="AP336">
        <v>1066</v>
      </c>
      <c r="AR336" s="24"/>
      <c r="AS336">
        <v>2748</v>
      </c>
      <c r="AT336">
        <v>2807</v>
      </c>
      <c r="AU336">
        <v>2749</v>
      </c>
      <c r="AV336">
        <v>10997942</v>
      </c>
      <c r="AW336">
        <v>1035</v>
      </c>
      <c r="AY336" s="24"/>
      <c r="AZ336">
        <v>429000000</v>
      </c>
      <c r="BA336">
        <v>447999999</v>
      </c>
      <c r="BB336">
        <v>439000000</v>
      </c>
      <c r="BC336">
        <v>2861</v>
      </c>
      <c r="BD336">
        <v>1783</v>
      </c>
      <c r="BF336" s="24"/>
      <c r="BG336">
        <v>25260</v>
      </c>
      <c r="BH336">
        <v>25280</v>
      </c>
      <c r="BI336">
        <v>25280</v>
      </c>
      <c r="BJ336">
        <v>5184280</v>
      </c>
      <c r="BK336">
        <v>212</v>
      </c>
      <c r="BM336" s="24"/>
      <c r="BN336">
        <v>7060000</v>
      </c>
      <c r="BO336">
        <v>7159000</v>
      </c>
      <c r="BP336">
        <v>7060001</v>
      </c>
      <c r="BQ336">
        <v>10288</v>
      </c>
      <c r="BR336">
        <v>290</v>
      </c>
      <c r="BT336" s="24"/>
      <c r="BU336">
        <v>2204</v>
      </c>
      <c r="BV336">
        <v>2236</v>
      </c>
      <c r="BW336">
        <v>2235</v>
      </c>
      <c r="BX336">
        <v>24136135</v>
      </c>
      <c r="BY336">
        <v>206</v>
      </c>
      <c r="CA336" s="24"/>
      <c r="CB336">
        <v>884</v>
      </c>
      <c r="CC336">
        <v>886</v>
      </c>
      <c r="CD336">
        <v>886</v>
      </c>
      <c r="CE336">
        <v>26919297</v>
      </c>
      <c r="CF336">
        <v>221</v>
      </c>
      <c r="CH336" s="24"/>
      <c r="CI336">
        <v>26718</v>
      </c>
      <c r="CJ336">
        <v>27018</v>
      </c>
      <c r="CK336">
        <v>26718</v>
      </c>
      <c r="CL336">
        <v>1296829</v>
      </c>
      <c r="CM336">
        <v>163</v>
      </c>
      <c r="CO336" s="24"/>
      <c r="CP336">
        <v>10154</v>
      </c>
      <c r="CQ336">
        <v>10397</v>
      </c>
      <c r="CR336">
        <v>10166</v>
      </c>
      <c r="CS336">
        <v>1254058</v>
      </c>
      <c r="CT336">
        <v>327</v>
      </c>
      <c r="CV336" s="24"/>
      <c r="CW336">
        <v>1132500</v>
      </c>
      <c r="CX336">
        <v>1133002</v>
      </c>
      <c r="CY336">
        <v>1132500</v>
      </c>
      <c r="CZ336">
        <v>13705</v>
      </c>
      <c r="DA336">
        <v>38</v>
      </c>
      <c r="DC336" s="24"/>
      <c r="DD336">
        <v>458</v>
      </c>
      <c r="DE336">
        <v>489</v>
      </c>
      <c r="DF336">
        <v>459</v>
      </c>
      <c r="DG336">
        <v>54424712</v>
      </c>
      <c r="DH336">
        <v>201</v>
      </c>
      <c r="DJ336" s="24"/>
      <c r="DK336">
        <v>33100000</v>
      </c>
      <c r="DL336">
        <v>33101000</v>
      </c>
      <c r="DM336">
        <v>33101000</v>
      </c>
      <c r="DN336">
        <v>468</v>
      </c>
      <c r="DO336">
        <v>88</v>
      </c>
      <c r="DQ336" s="24"/>
      <c r="DR336">
        <v>1020007</v>
      </c>
      <c r="DS336">
        <v>1025001</v>
      </c>
      <c r="DT336">
        <v>1025000</v>
      </c>
      <c r="DU336">
        <v>10527</v>
      </c>
      <c r="DV336">
        <v>244</v>
      </c>
      <c r="DX336" s="24"/>
      <c r="DY336">
        <v>20811000</v>
      </c>
      <c r="DZ336">
        <v>21499999</v>
      </c>
      <c r="EA336">
        <v>21000000</v>
      </c>
      <c r="EB336">
        <v>663</v>
      </c>
      <c r="EC336">
        <v>112</v>
      </c>
      <c r="EE336" s="24"/>
      <c r="EF336">
        <v>193</v>
      </c>
      <c r="EG336">
        <v>199</v>
      </c>
      <c r="EH336">
        <v>198</v>
      </c>
      <c r="EI336">
        <v>66620065</v>
      </c>
      <c r="EJ336">
        <v>171</v>
      </c>
      <c r="EL336" s="24"/>
      <c r="EM336">
        <v>53001</v>
      </c>
      <c r="EN336">
        <v>56100</v>
      </c>
      <c r="EO336">
        <v>53501</v>
      </c>
      <c r="EP336">
        <v>65527</v>
      </c>
      <c r="EQ336">
        <v>533</v>
      </c>
      <c r="ES336" s="24"/>
      <c r="ET336">
        <v>281</v>
      </c>
      <c r="EU336">
        <v>297</v>
      </c>
      <c r="EV336">
        <v>285</v>
      </c>
      <c r="EW336">
        <v>39678636</v>
      </c>
      <c r="EX336">
        <v>553</v>
      </c>
      <c r="EZ336" s="24"/>
      <c r="FA336">
        <v>3550000</v>
      </c>
      <c r="FB336">
        <v>3550000</v>
      </c>
      <c r="FC336">
        <v>3550000</v>
      </c>
      <c r="FD336">
        <v>2039</v>
      </c>
      <c r="FE336">
        <v>24</v>
      </c>
      <c r="FG336" s="24"/>
      <c r="FH336">
        <v>9399</v>
      </c>
      <c r="FI336">
        <v>9637</v>
      </c>
      <c r="FJ336">
        <v>9600</v>
      </c>
      <c r="FK336">
        <v>2627540</v>
      </c>
      <c r="FL336">
        <v>437</v>
      </c>
      <c r="FN336" s="24"/>
      <c r="FO336">
        <v>18688</v>
      </c>
      <c r="FP336">
        <v>19799</v>
      </c>
      <c r="FQ336">
        <v>18688</v>
      </c>
      <c r="FR336">
        <v>313045</v>
      </c>
      <c r="FS336">
        <v>86</v>
      </c>
      <c r="FU336" s="24"/>
      <c r="FV336">
        <v>14600</v>
      </c>
      <c r="FW336">
        <v>14750</v>
      </c>
      <c r="FX336">
        <v>14701</v>
      </c>
      <c r="FY336">
        <v>311223</v>
      </c>
      <c r="FZ336">
        <v>1037</v>
      </c>
      <c r="GB336" s="24"/>
      <c r="GC336">
        <v>92000003</v>
      </c>
      <c r="GD336">
        <v>95000000</v>
      </c>
      <c r="GE336">
        <v>94999997</v>
      </c>
      <c r="GF336">
        <v>124</v>
      </c>
      <c r="GG336">
        <v>78</v>
      </c>
      <c r="GI336" s="24"/>
      <c r="GJ336">
        <v>18606017</v>
      </c>
      <c r="GK336">
        <v>18800000</v>
      </c>
      <c r="GL336">
        <v>18606018</v>
      </c>
      <c r="GM336">
        <v>693</v>
      </c>
      <c r="GN336">
        <v>68</v>
      </c>
      <c r="GP336" s="24"/>
      <c r="GQ336">
        <v>100</v>
      </c>
      <c r="GR336">
        <v>103</v>
      </c>
      <c r="GS336">
        <v>103</v>
      </c>
      <c r="GT336">
        <v>224664468</v>
      </c>
      <c r="GU336">
        <v>136</v>
      </c>
      <c r="GW336" s="24"/>
      <c r="GX336">
        <v>441</v>
      </c>
      <c r="GY336">
        <v>465</v>
      </c>
      <c r="GZ336">
        <v>458</v>
      </c>
      <c r="HA336">
        <v>47878577</v>
      </c>
      <c r="HB336">
        <v>209</v>
      </c>
      <c r="HD336" s="24"/>
      <c r="HE336">
        <v>5527</v>
      </c>
      <c r="HF336">
        <v>5589</v>
      </c>
      <c r="HG336">
        <v>5587</v>
      </c>
      <c r="HH336">
        <v>18723245</v>
      </c>
      <c r="HI336">
        <v>262</v>
      </c>
      <c r="HK336" s="24"/>
      <c r="HL336">
        <v>89162000</v>
      </c>
      <c r="HM336">
        <v>92997981</v>
      </c>
      <c r="HN336">
        <v>92989000</v>
      </c>
      <c r="HO336">
        <v>111</v>
      </c>
      <c r="HP336">
        <v>78</v>
      </c>
      <c r="HR336" s="24"/>
      <c r="HS336">
        <v>8889</v>
      </c>
      <c r="HT336">
        <v>8999</v>
      </c>
      <c r="HU336">
        <v>8990</v>
      </c>
      <c r="HV336">
        <v>1219431</v>
      </c>
      <c r="HW336">
        <v>151</v>
      </c>
      <c r="HY336" s="24"/>
      <c r="HZ336">
        <v>9104</v>
      </c>
      <c r="IA336">
        <v>9499</v>
      </c>
      <c r="IB336">
        <v>9248</v>
      </c>
      <c r="IC336">
        <v>1937179</v>
      </c>
      <c r="ID336">
        <v>421</v>
      </c>
      <c r="IF336" s="24"/>
      <c r="IG336">
        <v>3039</v>
      </c>
      <c r="IH336">
        <v>3048</v>
      </c>
      <c r="II336">
        <v>3044</v>
      </c>
      <c r="IJ336">
        <v>729025</v>
      </c>
      <c r="IK336">
        <v>126</v>
      </c>
      <c r="IM336" s="24"/>
      <c r="IN336">
        <v>93700006</v>
      </c>
      <c r="IO336">
        <v>104740960</v>
      </c>
      <c r="IP336">
        <v>98488028</v>
      </c>
      <c r="IQ336">
        <v>82</v>
      </c>
      <c r="IR336">
        <v>67</v>
      </c>
      <c r="IT336" s="24"/>
      <c r="IU336">
        <v>7850</v>
      </c>
      <c r="IV336">
        <v>8001</v>
      </c>
      <c r="IW336">
        <v>8001</v>
      </c>
      <c r="IX336">
        <v>937369</v>
      </c>
      <c r="IY336">
        <v>126</v>
      </c>
      <c r="JA336" s="24"/>
      <c r="JB336">
        <v>89126007</v>
      </c>
      <c r="JC336">
        <v>93982877</v>
      </c>
      <c r="JD336">
        <v>93982865</v>
      </c>
      <c r="JE336">
        <v>131</v>
      </c>
      <c r="JF336">
        <v>85</v>
      </c>
      <c r="JH336" s="24"/>
      <c r="JI336">
        <v>89043002</v>
      </c>
      <c r="JJ336">
        <v>92248988</v>
      </c>
      <c r="JK336">
        <v>90902725</v>
      </c>
      <c r="JL336">
        <v>62</v>
      </c>
      <c r="JM336">
        <v>44</v>
      </c>
      <c r="JO336" s="24"/>
      <c r="JP336">
        <v>85</v>
      </c>
      <c r="JQ336">
        <v>87</v>
      </c>
      <c r="JR336">
        <v>85</v>
      </c>
      <c r="JS336">
        <v>82423518</v>
      </c>
      <c r="JT336">
        <v>83</v>
      </c>
      <c r="JV336" s="24"/>
      <c r="JW336">
        <v>97</v>
      </c>
      <c r="JX336">
        <v>99</v>
      </c>
      <c r="JY336">
        <v>98</v>
      </c>
      <c r="JZ336">
        <v>124387018</v>
      </c>
      <c r="KA336">
        <v>92</v>
      </c>
      <c r="KC336" s="24"/>
      <c r="KD336">
        <v>20</v>
      </c>
      <c r="KE336">
        <v>21</v>
      </c>
      <c r="KF336">
        <v>21</v>
      </c>
      <c r="KG336">
        <v>36762318</v>
      </c>
      <c r="KH336">
        <v>271</v>
      </c>
      <c r="KJ336" s="24"/>
      <c r="KK336">
        <v>98</v>
      </c>
      <c r="KL336">
        <v>105</v>
      </c>
      <c r="KM336">
        <v>100</v>
      </c>
      <c r="KN336">
        <v>216168218</v>
      </c>
      <c r="KO336">
        <v>136</v>
      </c>
      <c r="KQ336" s="24"/>
      <c r="KR336">
        <v>124500</v>
      </c>
      <c r="KS336">
        <v>127799</v>
      </c>
      <c r="KT336">
        <v>124607</v>
      </c>
      <c r="KU336">
        <v>57658</v>
      </c>
      <c r="KV336">
        <v>541</v>
      </c>
      <c r="KX336" s="24"/>
      <c r="KY336">
        <v>777</v>
      </c>
      <c r="KZ336">
        <v>806</v>
      </c>
      <c r="LA336">
        <v>781</v>
      </c>
      <c r="LB336">
        <v>6432600</v>
      </c>
      <c r="LC336">
        <v>183</v>
      </c>
      <c r="LE336" s="24"/>
      <c r="LF336">
        <v>181007</v>
      </c>
      <c r="LG336">
        <v>182010</v>
      </c>
      <c r="LH336">
        <v>181020</v>
      </c>
      <c r="LI336">
        <v>88151</v>
      </c>
      <c r="LJ336">
        <v>752</v>
      </c>
      <c r="LL336" s="24"/>
      <c r="LM336">
        <v>64000</v>
      </c>
      <c r="LN336">
        <v>66000</v>
      </c>
      <c r="LO336">
        <v>64501</v>
      </c>
      <c r="LP336">
        <v>343958</v>
      </c>
      <c r="LQ336">
        <v>1104</v>
      </c>
      <c r="LS336" s="24"/>
      <c r="LT336">
        <v>460</v>
      </c>
      <c r="LU336">
        <v>471</v>
      </c>
      <c r="LV336">
        <v>470</v>
      </c>
      <c r="LW336">
        <v>105309775</v>
      </c>
      <c r="LX336">
        <v>343</v>
      </c>
      <c r="LZ336" s="24"/>
      <c r="MA336">
        <v>92510</v>
      </c>
      <c r="MB336">
        <v>94102</v>
      </c>
      <c r="MC336">
        <v>92915</v>
      </c>
      <c r="MD336">
        <v>1918205</v>
      </c>
      <c r="ME336">
        <v>141</v>
      </c>
    </row>
    <row r="337" spans="2:343" x14ac:dyDescent="0.25">
      <c r="B337" s="24"/>
      <c r="C337">
        <v>3</v>
      </c>
      <c r="D337">
        <v>3</v>
      </c>
      <c r="E337">
        <v>3</v>
      </c>
      <c r="F337">
        <v>23047127061</v>
      </c>
      <c r="G337">
        <v>2059</v>
      </c>
      <c r="I337" s="24"/>
      <c r="J337">
        <v>4</v>
      </c>
      <c r="K337">
        <v>4</v>
      </c>
      <c r="L337">
        <v>4</v>
      </c>
      <c r="M337">
        <v>5601471538</v>
      </c>
      <c r="N337">
        <v>1487</v>
      </c>
      <c r="P337" s="24"/>
      <c r="Q337">
        <v>33</v>
      </c>
      <c r="R337">
        <v>33</v>
      </c>
      <c r="S337">
        <v>33</v>
      </c>
      <c r="T337">
        <v>1825518058</v>
      </c>
      <c r="U337">
        <v>1433</v>
      </c>
      <c r="W337" s="24"/>
      <c r="X337">
        <v>61</v>
      </c>
      <c r="Y337">
        <v>62</v>
      </c>
      <c r="Z337">
        <v>61</v>
      </c>
      <c r="AA337">
        <v>543328396</v>
      </c>
      <c r="AB337">
        <v>1213</v>
      </c>
      <c r="AD337" s="24"/>
      <c r="AE337">
        <v>477</v>
      </c>
      <c r="AF337">
        <v>495</v>
      </c>
      <c r="AG337">
        <v>490</v>
      </c>
      <c r="AH337">
        <v>118226770</v>
      </c>
      <c r="AI337">
        <v>1322</v>
      </c>
      <c r="AK337" s="24"/>
      <c r="AL337">
        <v>787</v>
      </c>
      <c r="AM337">
        <v>804</v>
      </c>
      <c r="AN337">
        <v>804</v>
      </c>
      <c r="AO337">
        <v>64171667</v>
      </c>
      <c r="AP337">
        <v>1053</v>
      </c>
      <c r="AR337" s="24"/>
      <c r="AS337">
        <v>2748</v>
      </c>
      <c r="AT337">
        <v>2800</v>
      </c>
      <c r="AU337">
        <v>2750</v>
      </c>
      <c r="AV337">
        <v>15157314</v>
      </c>
      <c r="AW337">
        <v>969</v>
      </c>
      <c r="AY337" s="24"/>
      <c r="AZ337">
        <v>436260000</v>
      </c>
      <c r="BA337">
        <v>447102494</v>
      </c>
      <c r="BB337">
        <v>442678499</v>
      </c>
      <c r="BC337">
        <v>3148</v>
      </c>
      <c r="BD337">
        <v>1911</v>
      </c>
      <c r="BF337" s="24"/>
      <c r="BG337">
        <v>25280</v>
      </c>
      <c r="BH337">
        <v>25300</v>
      </c>
      <c r="BI337">
        <v>25298</v>
      </c>
      <c r="BJ337">
        <v>6349291</v>
      </c>
      <c r="BK337">
        <v>232</v>
      </c>
      <c r="BM337" s="24"/>
      <c r="BN337">
        <v>7060002</v>
      </c>
      <c r="BO337">
        <v>7150000</v>
      </c>
      <c r="BP337">
        <v>7060016</v>
      </c>
      <c r="BQ337">
        <v>9868</v>
      </c>
      <c r="BR337">
        <v>281</v>
      </c>
      <c r="BT337" s="24"/>
      <c r="BU337">
        <v>2163</v>
      </c>
      <c r="BV337">
        <v>2217</v>
      </c>
      <c r="BW337">
        <v>2200</v>
      </c>
      <c r="BX337">
        <v>39737530</v>
      </c>
      <c r="BY337">
        <v>261</v>
      </c>
      <c r="CA337" s="24"/>
      <c r="CB337">
        <v>862</v>
      </c>
      <c r="CC337">
        <v>887</v>
      </c>
      <c r="CD337">
        <v>887</v>
      </c>
      <c r="CE337">
        <v>41378277</v>
      </c>
      <c r="CF337">
        <v>217</v>
      </c>
      <c r="CH337" s="24"/>
      <c r="CI337">
        <v>26718</v>
      </c>
      <c r="CJ337">
        <v>27050</v>
      </c>
      <c r="CK337">
        <v>26718</v>
      </c>
      <c r="CL337">
        <v>3002008</v>
      </c>
      <c r="CM337">
        <v>190</v>
      </c>
      <c r="CO337" s="24"/>
      <c r="CP337">
        <v>10121</v>
      </c>
      <c r="CQ337">
        <v>10998</v>
      </c>
      <c r="CR337">
        <v>10397</v>
      </c>
      <c r="CS337">
        <v>1083436</v>
      </c>
      <c r="CT337">
        <v>362</v>
      </c>
      <c r="CV337" s="24"/>
      <c r="CW337">
        <v>1150000</v>
      </c>
      <c r="CX337">
        <v>1174999</v>
      </c>
      <c r="CY337">
        <v>1174999</v>
      </c>
      <c r="CZ337">
        <v>7474</v>
      </c>
      <c r="DA337">
        <v>23</v>
      </c>
      <c r="DC337" s="24"/>
      <c r="DD337">
        <v>476</v>
      </c>
      <c r="DE337">
        <v>477</v>
      </c>
      <c r="DF337">
        <v>477</v>
      </c>
      <c r="DG337">
        <v>25853104</v>
      </c>
      <c r="DH337">
        <v>140</v>
      </c>
      <c r="DJ337" s="24"/>
      <c r="DK337">
        <v>32100000</v>
      </c>
      <c r="DL337">
        <v>33999998</v>
      </c>
      <c r="DM337">
        <v>33989999</v>
      </c>
      <c r="DN337">
        <v>195</v>
      </c>
      <c r="DO337">
        <v>48</v>
      </c>
      <c r="DQ337" s="24"/>
      <c r="DR337">
        <v>1040020</v>
      </c>
      <c r="DS337">
        <v>1124001</v>
      </c>
      <c r="DT337">
        <v>1041003</v>
      </c>
      <c r="DU337">
        <v>4853</v>
      </c>
      <c r="DV337">
        <v>204</v>
      </c>
      <c r="DX337" s="24"/>
      <c r="DY337">
        <v>20700004</v>
      </c>
      <c r="DZ337">
        <v>21438998</v>
      </c>
      <c r="EA337">
        <v>20700015</v>
      </c>
      <c r="EB337">
        <v>280</v>
      </c>
      <c r="EC337">
        <v>99</v>
      </c>
      <c r="EE337" s="24"/>
      <c r="EF337">
        <v>196</v>
      </c>
      <c r="EG337">
        <v>200</v>
      </c>
      <c r="EH337">
        <v>198</v>
      </c>
      <c r="EI337">
        <v>109030830</v>
      </c>
      <c r="EJ337">
        <v>185</v>
      </c>
      <c r="EL337" s="24"/>
      <c r="EM337">
        <v>57202</v>
      </c>
      <c r="EN337">
        <v>57749</v>
      </c>
      <c r="EO337">
        <v>57400</v>
      </c>
      <c r="EP337">
        <v>82433</v>
      </c>
      <c r="EQ337">
        <v>594</v>
      </c>
      <c r="ES337" s="24"/>
      <c r="ET337">
        <v>284</v>
      </c>
      <c r="EU337">
        <v>297</v>
      </c>
      <c r="EV337">
        <v>295</v>
      </c>
      <c r="EW337">
        <v>36759111</v>
      </c>
      <c r="EX337">
        <v>527</v>
      </c>
      <c r="EZ337" s="24"/>
      <c r="FA337">
        <v>3400710</v>
      </c>
      <c r="FB337">
        <v>3502103</v>
      </c>
      <c r="FC337">
        <v>3502100</v>
      </c>
      <c r="FD337">
        <v>1924</v>
      </c>
      <c r="FE337">
        <v>17</v>
      </c>
      <c r="FG337" s="24"/>
      <c r="FH337">
        <v>9600</v>
      </c>
      <c r="FI337">
        <v>9985</v>
      </c>
      <c r="FJ337">
        <v>9600</v>
      </c>
      <c r="FK337">
        <v>2577638</v>
      </c>
      <c r="FL337">
        <v>412</v>
      </c>
      <c r="FN337" s="24"/>
      <c r="FO337">
        <v>18717</v>
      </c>
      <c r="FP337">
        <v>19794</v>
      </c>
      <c r="FQ337">
        <v>18926</v>
      </c>
      <c r="FR337">
        <v>213894</v>
      </c>
      <c r="FS337">
        <v>85</v>
      </c>
      <c r="FU337" s="24"/>
      <c r="FV337">
        <v>14775</v>
      </c>
      <c r="FW337">
        <v>14850</v>
      </c>
      <c r="FX337">
        <v>14780</v>
      </c>
      <c r="FY337">
        <v>414145</v>
      </c>
      <c r="FZ337">
        <v>1031</v>
      </c>
      <c r="GB337" s="24"/>
      <c r="GC337">
        <v>90000001</v>
      </c>
      <c r="GD337">
        <v>94999995</v>
      </c>
      <c r="GE337">
        <v>94199109</v>
      </c>
      <c r="GF337">
        <v>90</v>
      </c>
      <c r="GG337">
        <v>61</v>
      </c>
      <c r="GI337" s="24"/>
      <c r="GJ337">
        <v>18388402</v>
      </c>
      <c r="GK337">
        <v>19248999</v>
      </c>
      <c r="GL337">
        <v>18501000</v>
      </c>
      <c r="GM337">
        <v>331</v>
      </c>
      <c r="GN337">
        <v>43</v>
      </c>
      <c r="GP337" s="24"/>
      <c r="GQ337">
        <v>99</v>
      </c>
      <c r="GR337">
        <v>103</v>
      </c>
      <c r="GS337">
        <v>100</v>
      </c>
      <c r="GT337">
        <v>133181667</v>
      </c>
      <c r="GU337">
        <v>118</v>
      </c>
      <c r="GW337" s="24"/>
      <c r="GX337">
        <v>441</v>
      </c>
      <c r="GY337">
        <v>455</v>
      </c>
      <c r="GZ337">
        <v>452</v>
      </c>
      <c r="HA337">
        <v>40131826</v>
      </c>
      <c r="HB337">
        <v>226</v>
      </c>
      <c r="HD337" s="24"/>
      <c r="HE337">
        <v>5440</v>
      </c>
      <c r="HF337">
        <v>5576</v>
      </c>
      <c r="HG337">
        <v>5573</v>
      </c>
      <c r="HH337">
        <v>20156476</v>
      </c>
      <c r="HI337">
        <v>243</v>
      </c>
      <c r="HK337" s="24"/>
      <c r="HL337">
        <v>89153039</v>
      </c>
      <c r="HM337">
        <v>92989000</v>
      </c>
      <c r="HN337">
        <v>91996998</v>
      </c>
      <c r="HO337">
        <v>227</v>
      </c>
      <c r="HP337">
        <v>105</v>
      </c>
      <c r="HR337" s="24"/>
      <c r="HS337">
        <v>8988</v>
      </c>
      <c r="HT337">
        <v>9200</v>
      </c>
      <c r="HU337">
        <v>9199</v>
      </c>
      <c r="HV337">
        <v>1096717</v>
      </c>
      <c r="HW337">
        <v>181</v>
      </c>
      <c r="HY337" s="24"/>
      <c r="HZ337">
        <v>8903</v>
      </c>
      <c r="IA337">
        <v>9324</v>
      </c>
      <c r="IB337">
        <v>9248</v>
      </c>
      <c r="IC337">
        <v>1554192</v>
      </c>
      <c r="ID337">
        <v>419</v>
      </c>
      <c r="IF337" s="24"/>
      <c r="IG337">
        <v>3036</v>
      </c>
      <c r="IH337">
        <v>3036</v>
      </c>
      <c r="II337">
        <v>3036</v>
      </c>
      <c r="IJ337">
        <v>1461263</v>
      </c>
      <c r="IK337">
        <v>130</v>
      </c>
      <c r="IM337" s="24"/>
      <c r="IN337">
        <v>93700002</v>
      </c>
      <c r="IO337">
        <v>101993970</v>
      </c>
      <c r="IP337">
        <v>98000004</v>
      </c>
      <c r="IQ337">
        <v>203</v>
      </c>
      <c r="IR337">
        <v>124</v>
      </c>
      <c r="IT337" s="24"/>
      <c r="IU337">
        <v>7731</v>
      </c>
      <c r="IV337">
        <v>7998</v>
      </c>
      <c r="IW337">
        <v>7997</v>
      </c>
      <c r="IX337">
        <v>1714944</v>
      </c>
      <c r="IY337">
        <v>150</v>
      </c>
      <c r="JA337" s="24"/>
      <c r="JB337">
        <v>90501003</v>
      </c>
      <c r="JC337">
        <v>93979985</v>
      </c>
      <c r="JD337">
        <v>92551268</v>
      </c>
      <c r="JE337">
        <v>92</v>
      </c>
      <c r="JF337">
        <v>67</v>
      </c>
      <c r="JH337" s="24"/>
      <c r="JI337">
        <v>89043011</v>
      </c>
      <c r="JJ337">
        <v>92236968</v>
      </c>
      <c r="JK337">
        <v>91379091</v>
      </c>
      <c r="JL337">
        <v>37</v>
      </c>
      <c r="JM337">
        <v>33</v>
      </c>
      <c r="JO337" s="24"/>
      <c r="JP337">
        <v>85</v>
      </c>
      <c r="JQ337">
        <v>86</v>
      </c>
      <c r="JR337">
        <v>86</v>
      </c>
      <c r="JS337">
        <v>80758664</v>
      </c>
      <c r="JT337">
        <v>78</v>
      </c>
      <c r="JV337" s="24"/>
      <c r="JW337">
        <v>97</v>
      </c>
      <c r="JX337">
        <v>99</v>
      </c>
      <c r="JY337">
        <v>98</v>
      </c>
      <c r="JZ337">
        <v>194609782</v>
      </c>
      <c r="KA337">
        <v>109</v>
      </c>
      <c r="KC337" s="24"/>
      <c r="KD337">
        <v>21</v>
      </c>
      <c r="KE337">
        <v>22</v>
      </c>
      <c r="KF337">
        <v>21</v>
      </c>
      <c r="KG337">
        <v>85792130</v>
      </c>
      <c r="KH337">
        <v>295</v>
      </c>
      <c r="KJ337" s="24"/>
      <c r="KK337">
        <v>94</v>
      </c>
      <c r="KL337">
        <v>99</v>
      </c>
      <c r="KM337">
        <v>98</v>
      </c>
      <c r="KN337">
        <v>164327035</v>
      </c>
      <c r="KO337">
        <v>137</v>
      </c>
      <c r="KQ337" s="24"/>
      <c r="KR337">
        <v>125013</v>
      </c>
      <c r="KS337">
        <v>125500</v>
      </c>
      <c r="KT337">
        <v>125029</v>
      </c>
      <c r="KU337">
        <v>65260</v>
      </c>
      <c r="KV337">
        <v>547</v>
      </c>
      <c r="KX337" s="24"/>
      <c r="KY337">
        <v>805</v>
      </c>
      <c r="KZ337">
        <v>805</v>
      </c>
      <c r="LA337">
        <v>805</v>
      </c>
      <c r="LB337">
        <v>5546148</v>
      </c>
      <c r="LC337">
        <v>179</v>
      </c>
      <c r="LE337" s="24"/>
      <c r="LF337">
        <v>182010</v>
      </c>
      <c r="LG337">
        <v>182032</v>
      </c>
      <c r="LH337">
        <v>182014</v>
      </c>
      <c r="LI337">
        <v>123065</v>
      </c>
      <c r="LJ337">
        <v>765</v>
      </c>
      <c r="LL337" s="24"/>
      <c r="LM337">
        <v>65981</v>
      </c>
      <c r="LN337">
        <v>66009</v>
      </c>
      <c r="LO337">
        <v>65982</v>
      </c>
      <c r="LP337">
        <v>343860</v>
      </c>
      <c r="LQ337">
        <v>1039</v>
      </c>
      <c r="LS337" s="24"/>
      <c r="LT337">
        <v>466</v>
      </c>
      <c r="LU337">
        <v>468</v>
      </c>
      <c r="LV337">
        <v>468</v>
      </c>
      <c r="LW337">
        <v>71488326</v>
      </c>
      <c r="LX337">
        <v>311</v>
      </c>
      <c r="LZ337" s="24"/>
      <c r="MA337">
        <v>91001</v>
      </c>
      <c r="MB337">
        <v>94888</v>
      </c>
      <c r="MC337">
        <v>92001</v>
      </c>
      <c r="MD337">
        <v>879957</v>
      </c>
      <c r="ME337">
        <v>112</v>
      </c>
    </row>
    <row r="338" spans="2:343" x14ac:dyDescent="0.25">
      <c r="B338" s="24"/>
      <c r="C338">
        <v>3</v>
      </c>
      <c r="D338">
        <v>3</v>
      </c>
      <c r="E338">
        <v>3</v>
      </c>
      <c r="F338">
        <v>36870965175</v>
      </c>
      <c r="G338">
        <v>2053</v>
      </c>
      <c r="I338" s="24"/>
      <c r="J338">
        <v>4</v>
      </c>
      <c r="K338">
        <v>4</v>
      </c>
      <c r="L338">
        <v>4</v>
      </c>
      <c r="M338">
        <v>3590889641</v>
      </c>
      <c r="N338">
        <v>1386</v>
      </c>
      <c r="P338" s="24"/>
      <c r="Q338">
        <v>33</v>
      </c>
      <c r="R338">
        <v>33</v>
      </c>
      <c r="S338">
        <v>33</v>
      </c>
      <c r="T338">
        <v>1473835797</v>
      </c>
      <c r="U338">
        <v>1363</v>
      </c>
      <c r="W338" s="24"/>
      <c r="X338">
        <v>60</v>
      </c>
      <c r="Y338">
        <v>62</v>
      </c>
      <c r="Z338">
        <v>62</v>
      </c>
      <c r="AA338">
        <v>175303243</v>
      </c>
      <c r="AB338">
        <v>1064</v>
      </c>
      <c r="AD338" s="24"/>
      <c r="AE338">
        <v>486</v>
      </c>
      <c r="AF338">
        <v>499</v>
      </c>
      <c r="AG338">
        <v>490</v>
      </c>
      <c r="AH338">
        <v>101821133</v>
      </c>
      <c r="AI338">
        <v>1238</v>
      </c>
      <c r="AK338" s="24"/>
      <c r="AL338">
        <v>788</v>
      </c>
      <c r="AM338">
        <v>810</v>
      </c>
      <c r="AN338">
        <v>804</v>
      </c>
      <c r="AO338">
        <v>31511560</v>
      </c>
      <c r="AP338">
        <v>954</v>
      </c>
      <c r="AR338" s="24"/>
      <c r="AS338">
        <v>2755</v>
      </c>
      <c r="AT338">
        <v>2791</v>
      </c>
      <c r="AU338">
        <v>2774</v>
      </c>
      <c r="AV338">
        <v>11753863</v>
      </c>
      <c r="AW338">
        <v>915</v>
      </c>
      <c r="AY338" s="24"/>
      <c r="AZ338">
        <v>435860104</v>
      </c>
      <c r="BA338">
        <v>445297000</v>
      </c>
      <c r="BB338">
        <v>439999986</v>
      </c>
      <c r="BC338">
        <v>2933</v>
      </c>
      <c r="BD338">
        <v>1849</v>
      </c>
      <c r="BF338" s="24"/>
      <c r="BG338">
        <v>25504</v>
      </c>
      <c r="BH338">
        <v>25700</v>
      </c>
      <c r="BI338">
        <v>25593</v>
      </c>
      <c r="BJ338">
        <v>3915822</v>
      </c>
      <c r="BK338">
        <v>193</v>
      </c>
      <c r="BM338" s="24"/>
      <c r="BN338">
        <v>7100106</v>
      </c>
      <c r="BO338">
        <v>7190000</v>
      </c>
      <c r="BP338">
        <v>7100111</v>
      </c>
      <c r="BQ338">
        <v>17598</v>
      </c>
      <c r="BR338">
        <v>347</v>
      </c>
      <c r="BT338" s="24"/>
      <c r="BU338">
        <v>2179</v>
      </c>
      <c r="BV338">
        <v>2213</v>
      </c>
      <c r="BW338">
        <v>2213</v>
      </c>
      <c r="BX338">
        <v>15897419</v>
      </c>
      <c r="BY338">
        <v>212</v>
      </c>
      <c r="CA338" s="24"/>
      <c r="CB338">
        <v>859</v>
      </c>
      <c r="CC338">
        <v>887</v>
      </c>
      <c r="CD338">
        <v>868</v>
      </c>
      <c r="CE338">
        <v>52567312</v>
      </c>
      <c r="CF338">
        <v>246</v>
      </c>
      <c r="CH338" s="24"/>
      <c r="CI338">
        <v>27200</v>
      </c>
      <c r="CJ338">
        <v>27201</v>
      </c>
      <c r="CK338">
        <v>27201</v>
      </c>
      <c r="CL338">
        <v>1938647</v>
      </c>
      <c r="CM338">
        <v>148</v>
      </c>
      <c r="CO338" s="24"/>
      <c r="CP338">
        <v>10135</v>
      </c>
      <c r="CQ338">
        <v>10500</v>
      </c>
      <c r="CR338">
        <v>10474</v>
      </c>
      <c r="CS338">
        <v>1078206</v>
      </c>
      <c r="CT338">
        <v>352</v>
      </c>
      <c r="CV338" s="24"/>
      <c r="CW338">
        <v>1120000</v>
      </c>
      <c r="CX338">
        <v>1174998</v>
      </c>
      <c r="CY338">
        <v>1170993</v>
      </c>
      <c r="CZ338">
        <v>23194</v>
      </c>
      <c r="DA338">
        <v>50</v>
      </c>
      <c r="DC338" s="24"/>
      <c r="DD338">
        <v>476</v>
      </c>
      <c r="DE338">
        <v>477</v>
      </c>
      <c r="DF338">
        <v>476</v>
      </c>
      <c r="DG338">
        <v>22403276</v>
      </c>
      <c r="DH338">
        <v>133</v>
      </c>
      <c r="DJ338" s="24"/>
      <c r="DK338">
        <v>32100001</v>
      </c>
      <c r="DL338">
        <v>32100003</v>
      </c>
      <c r="DM338">
        <v>32100002</v>
      </c>
      <c r="DN338">
        <v>268</v>
      </c>
      <c r="DO338">
        <v>62</v>
      </c>
      <c r="DQ338" s="24"/>
      <c r="DR338">
        <v>1083083</v>
      </c>
      <c r="DS338">
        <v>1118999</v>
      </c>
      <c r="DT338">
        <v>1100000</v>
      </c>
      <c r="DU338">
        <v>8364</v>
      </c>
      <c r="DV338">
        <v>201</v>
      </c>
      <c r="DX338" s="24"/>
      <c r="DY338">
        <v>20701027</v>
      </c>
      <c r="DZ338">
        <v>21539998</v>
      </c>
      <c r="EA338">
        <v>21489999</v>
      </c>
      <c r="EB338">
        <v>543</v>
      </c>
      <c r="EC338">
        <v>115</v>
      </c>
      <c r="EE338" s="24"/>
      <c r="EF338">
        <v>197</v>
      </c>
      <c r="EG338">
        <v>202</v>
      </c>
      <c r="EH338">
        <v>202</v>
      </c>
      <c r="EI338">
        <v>83326937</v>
      </c>
      <c r="EJ338">
        <v>157</v>
      </c>
      <c r="EL338" s="24"/>
      <c r="EM338">
        <v>57401</v>
      </c>
      <c r="EN338">
        <v>57511</v>
      </c>
      <c r="EO338">
        <v>57411</v>
      </c>
      <c r="EP338">
        <v>61537</v>
      </c>
      <c r="EQ338">
        <v>550</v>
      </c>
      <c r="ES338" s="24"/>
      <c r="ET338">
        <v>295</v>
      </c>
      <c r="EU338">
        <v>296</v>
      </c>
      <c r="EV338">
        <v>296</v>
      </c>
      <c r="EW338">
        <v>26564219</v>
      </c>
      <c r="EX338">
        <v>448</v>
      </c>
      <c r="EZ338" s="24"/>
      <c r="FA338">
        <v>3400711</v>
      </c>
      <c r="FB338">
        <v>3599899</v>
      </c>
      <c r="FC338">
        <v>3599899</v>
      </c>
      <c r="FD338">
        <v>1650</v>
      </c>
      <c r="FE338">
        <v>31</v>
      </c>
      <c r="FG338" s="24"/>
      <c r="FH338">
        <v>10236</v>
      </c>
      <c r="FI338">
        <v>10239</v>
      </c>
      <c r="FJ338">
        <v>10239</v>
      </c>
      <c r="FK338">
        <v>1810912</v>
      </c>
      <c r="FL338">
        <v>461</v>
      </c>
      <c r="FN338" s="24"/>
      <c r="FO338">
        <v>18927</v>
      </c>
      <c r="FP338">
        <v>19767</v>
      </c>
      <c r="FQ338">
        <v>19754</v>
      </c>
      <c r="FR338">
        <v>93532</v>
      </c>
      <c r="FS338">
        <v>68</v>
      </c>
      <c r="FU338" s="24"/>
      <c r="FV338">
        <v>14800</v>
      </c>
      <c r="FW338">
        <v>14800</v>
      </c>
      <c r="FX338">
        <v>14800</v>
      </c>
      <c r="FY338">
        <v>319425</v>
      </c>
      <c r="FZ338">
        <v>1009</v>
      </c>
      <c r="GB338" s="24"/>
      <c r="GC338">
        <v>91600003</v>
      </c>
      <c r="GD338">
        <v>92701019</v>
      </c>
      <c r="GE338">
        <v>91600013</v>
      </c>
      <c r="GF338">
        <v>128</v>
      </c>
      <c r="GG338">
        <v>70</v>
      </c>
      <c r="GI338" s="24"/>
      <c r="GJ338">
        <v>18511000</v>
      </c>
      <c r="GK338">
        <v>18555000</v>
      </c>
      <c r="GL338">
        <v>18511012</v>
      </c>
      <c r="GM338">
        <v>580</v>
      </c>
      <c r="GN338">
        <v>76</v>
      </c>
      <c r="GP338" s="24"/>
      <c r="GQ338">
        <v>101</v>
      </c>
      <c r="GR338">
        <v>103</v>
      </c>
      <c r="GS338">
        <v>101</v>
      </c>
      <c r="GT338">
        <v>96153389</v>
      </c>
      <c r="GU338">
        <v>135</v>
      </c>
      <c r="GW338" s="24"/>
      <c r="GX338">
        <v>443</v>
      </c>
      <c r="GY338">
        <v>444</v>
      </c>
      <c r="GZ338">
        <v>443</v>
      </c>
      <c r="HA338">
        <v>53474967</v>
      </c>
      <c r="HB338">
        <v>208</v>
      </c>
      <c r="HD338" s="24"/>
      <c r="HE338">
        <v>5440</v>
      </c>
      <c r="HF338">
        <v>5572</v>
      </c>
      <c r="HG338">
        <v>5554</v>
      </c>
      <c r="HH338">
        <v>12412423</v>
      </c>
      <c r="HI338">
        <v>244</v>
      </c>
      <c r="HK338" s="24"/>
      <c r="HL338">
        <v>93999998</v>
      </c>
      <c r="HM338">
        <v>96000000</v>
      </c>
      <c r="HN338">
        <v>94000002</v>
      </c>
      <c r="HO338">
        <v>149</v>
      </c>
      <c r="HP338">
        <v>68</v>
      </c>
      <c r="HR338" s="24"/>
      <c r="HS338">
        <v>8900</v>
      </c>
      <c r="HT338">
        <v>9635</v>
      </c>
      <c r="HU338">
        <v>9100</v>
      </c>
      <c r="HV338">
        <v>634663</v>
      </c>
      <c r="HW338">
        <v>119</v>
      </c>
      <c r="HY338" s="24"/>
      <c r="HZ338">
        <v>8980</v>
      </c>
      <c r="IA338">
        <v>9300</v>
      </c>
      <c r="IB338">
        <v>9294</v>
      </c>
      <c r="IC338">
        <v>2212173</v>
      </c>
      <c r="ID338">
        <v>430</v>
      </c>
      <c r="IF338" s="24"/>
      <c r="IG338">
        <v>3000</v>
      </c>
      <c r="IH338">
        <v>3036</v>
      </c>
      <c r="II338">
        <v>3036</v>
      </c>
      <c r="IJ338">
        <v>1554153</v>
      </c>
      <c r="IK338">
        <v>116</v>
      </c>
      <c r="IM338" s="24"/>
      <c r="IN338">
        <v>93000000</v>
      </c>
      <c r="IO338">
        <v>93001115</v>
      </c>
      <c r="IP338">
        <v>93000107</v>
      </c>
      <c r="IQ338">
        <v>114</v>
      </c>
      <c r="IR338">
        <v>66</v>
      </c>
      <c r="IT338" s="24"/>
      <c r="IU338">
        <v>8000</v>
      </c>
      <c r="IV338">
        <v>8001</v>
      </c>
      <c r="IW338">
        <v>8001</v>
      </c>
      <c r="IX338">
        <v>785618</v>
      </c>
      <c r="IY338">
        <v>116</v>
      </c>
      <c r="JA338" s="24"/>
      <c r="JB338">
        <v>90500007</v>
      </c>
      <c r="JC338">
        <v>93979872</v>
      </c>
      <c r="JD338">
        <v>92077358</v>
      </c>
      <c r="JE338">
        <v>98</v>
      </c>
      <c r="JF338">
        <v>63</v>
      </c>
      <c r="JH338" s="24"/>
      <c r="JI338">
        <v>89114017</v>
      </c>
      <c r="JJ338">
        <v>92236964</v>
      </c>
      <c r="JK338">
        <v>91596619</v>
      </c>
      <c r="JL338">
        <v>36</v>
      </c>
      <c r="JM338">
        <v>33</v>
      </c>
      <c r="JO338" s="24"/>
      <c r="JP338">
        <v>86</v>
      </c>
      <c r="JQ338">
        <v>86</v>
      </c>
      <c r="JR338">
        <v>86</v>
      </c>
      <c r="JS338">
        <v>141513248</v>
      </c>
      <c r="JT338">
        <v>110</v>
      </c>
      <c r="JV338" s="24"/>
      <c r="JW338">
        <v>96</v>
      </c>
      <c r="JX338">
        <v>99</v>
      </c>
      <c r="JY338">
        <v>96</v>
      </c>
      <c r="JZ338">
        <v>129533090</v>
      </c>
      <c r="KA338">
        <v>103</v>
      </c>
      <c r="KC338" s="24"/>
      <c r="KD338">
        <v>21</v>
      </c>
      <c r="KE338">
        <v>21</v>
      </c>
      <c r="KF338">
        <v>21</v>
      </c>
      <c r="KG338">
        <v>36602097</v>
      </c>
      <c r="KH338">
        <v>263</v>
      </c>
      <c r="KJ338" s="24"/>
      <c r="KK338">
        <v>97</v>
      </c>
      <c r="KL338">
        <v>103</v>
      </c>
      <c r="KM338">
        <v>99</v>
      </c>
      <c r="KN338">
        <v>140856216</v>
      </c>
      <c r="KO338">
        <v>123</v>
      </c>
      <c r="KQ338" s="24"/>
      <c r="KR338">
        <v>126618</v>
      </c>
      <c r="KS338">
        <v>127784</v>
      </c>
      <c r="KT338">
        <v>126620</v>
      </c>
      <c r="KU338">
        <v>90217</v>
      </c>
      <c r="KV338">
        <v>524</v>
      </c>
      <c r="KX338" s="24"/>
      <c r="KY338">
        <v>781</v>
      </c>
      <c r="KZ338">
        <v>805</v>
      </c>
      <c r="LA338">
        <v>782</v>
      </c>
      <c r="LB338">
        <v>6897329</v>
      </c>
      <c r="LC338">
        <v>161</v>
      </c>
      <c r="LE338" s="24"/>
      <c r="LF338">
        <v>182500</v>
      </c>
      <c r="LG338">
        <v>182500</v>
      </c>
      <c r="LH338">
        <v>182500</v>
      </c>
      <c r="LI338">
        <v>79445</v>
      </c>
      <c r="LJ338">
        <v>710</v>
      </c>
      <c r="LL338" s="24"/>
      <c r="LM338">
        <v>65981</v>
      </c>
      <c r="LN338">
        <v>66000</v>
      </c>
      <c r="LO338">
        <v>66000</v>
      </c>
      <c r="LP338">
        <v>324973</v>
      </c>
      <c r="LQ338">
        <v>1026</v>
      </c>
      <c r="LS338" s="24"/>
      <c r="LT338">
        <v>456</v>
      </c>
      <c r="LU338">
        <v>461</v>
      </c>
      <c r="LV338">
        <v>461</v>
      </c>
      <c r="LW338">
        <v>83461715</v>
      </c>
      <c r="LX338">
        <v>277</v>
      </c>
      <c r="LZ338" s="24"/>
      <c r="MA338">
        <v>93000</v>
      </c>
      <c r="MB338">
        <v>94879</v>
      </c>
      <c r="MC338">
        <v>94878</v>
      </c>
      <c r="MD338">
        <v>566826</v>
      </c>
      <c r="ME338">
        <v>67</v>
      </c>
    </row>
    <row r="339" spans="2:343" x14ac:dyDescent="0.25">
      <c r="B339" s="24"/>
      <c r="C339">
        <v>3</v>
      </c>
      <c r="D339">
        <v>3</v>
      </c>
      <c r="E339">
        <v>3</v>
      </c>
      <c r="F339">
        <v>32027112494</v>
      </c>
      <c r="G339">
        <v>2113</v>
      </c>
      <c r="I339" s="24"/>
      <c r="J339">
        <v>4</v>
      </c>
      <c r="K339">
        <v>4</v>
      </c>
      <c r="L339">
        <v>4</v>
      </c>
      <c r="M339">
        <v>7174900201</v>
      </c>
      <c r="N339">
        <v>1501</v>
      </c>
      <c r="P339" s="24"/>
      <c r="Q339">
        <v>33</v>
      </c>
      <c r="R339">
        <v>33</v>
      </c>
      <c r="S339">
        <v>33</v>
      </c>
      <c r="T339">
        <v>1614205594</v>
      </c>
      <c r="U339">
        <v>1404</v>
      </c>
      <c r="W339" s="24"/>
      <c r="X339">
        <v>60</v>
      </c>
      <c r="Y339">
        <v>61</v>
      </c>
      <c r="Z339">
        <v>61</v>
      </c>
      <c r="AA339">
        <v>301548302</v>
      </c>
      <c r="AB339">
        <v>1078</v>
      </c>
      <c r="AD339" s="24"/>
      <c r="AE339">
        <v>495</v>
      </c>
      <c r="AF339">
        <v>524</v>
      </c>
      <c r="AG339">
        <v>508</v>
      </c>
      <c r="AH339">
        <v>100449637</v>
      </c>
      <c r="AI339">
        <v>1205</v>
      </c>
      <c r="AK339" s="24"/>
      <c r="AL339">
        <v>784</v>
      </c>
      <c r="AM339">
        <v>789</v>
      </c>
      <c r="AN339">
        <v>786</v>
      </c>
      <c r="AO339">
        <v>49625310</v>
      </c>
      <c r="AP339">
        <v>981</v>
      </c>
      <c r="AR339" s="24"/>
      <c r="AS339">
        <v>2677</v>
      </c>
      <c r="AT339">
        <v>2749</v>
      </c>
      <c r="AU339">
        <v>2701</v>
      </c>
      <c r="AV339">
        <v>19329963</v>
      </c>
      <c r="AW339">
        <v>892</v>
      </c>
      <c r="AY339" s="24"/>
      <c r="AZ339">
        <v>433800000</v>
      </c>
      <c r="BA339">
        <v>442100000</v>
      </c>
      <c r="BB339">
        <v>440500000</v>
      </c>
      <c r="BC339">
        <v>2895</v>
      </c>
      <c r="BD339">
        <v>1975</v>
      </c>
      <c r="BF339" s="24"/>
      <c r="BG339">
        <v>25100</v>
      </c>
      <c r="BH339">
        <v>25500</v>
      </c>
      <c r="BI339">
        <v>25401</v>
      </c>
      <c r="BJ339">
        <v>4696375</v>
      </c>
      <c r="BK339">
        <v>261</v>
      </c>
      <c r="BM339" s="24"/>
      <c r="BN339">
        <v>7100126</v>
      </c>
      <c r="BO339">
        <v>7458953</v>
      </c>
      <c r="BP339">
        <v>7210120</v>
      </c>
      <c r="BQ339">
        <v>13870</v>
      </c>
      <c r="BR339">
        <v>347</v>
      </c>
      <c r="BT339" s="24"/>
      <c r="BU339">
        <v>2166</v>
      </c>
      <c r="BV339">
        <v>2211</v>
      </c>
      <c r="BW339">
        <v>2200</v>
      </c>
      <c r="BX339">
        <v>37897247</v>
      </c>
      <c r="BY339">
        <v>276</v>
      </c>
      <c r="CA339" s="24"/>
      <c r="CB339">
        <v>848</v>
      </c>
      <c r="CC339">
        <v>848</v>
      </c>
      <c r="CD339">
        <v>848</v>
      </c>
      <c r="CE339">
        <v>45467670</v>
      </c>
      <c r="CF339">
        <v>241</v>
      </c>
      <c r="CH339" s="24"/>
      <c r="CI339">
        <v>27100</v>
      </c>
      <c r="CJ339">
        <v>27100</v>
      </c>
      <c r="CK339">
        <v>27100</v>
      </c>
      <c r="CL339">
        <v>1876205</v>
      </c>
      <c r="CM339">
        <v>189</v>
      </c>
      <c r="CO339" s="24"/>
      <c r="CP339">
        <v>10674</v>
      </c>
      <c r="CQ339">
        <v>11321</v>
      </c>
      <c r="CR339">
        <v>10999</v>
      </c>
      <c r="CS339">
        <v>1288199</v>
      </c>
      <c r="CT339">
        <v>373</v>
      </c>
      <c r="CV339" s="24"/>
      <c r="CW339">
        <v>1117084</v>
      </c>
      <c r="CX339">
        <v>1117086</v>
      </c>
      <c r="CY339">
        <v>1117086</v>
      </c>
      <c r="CZ339">
        <v>15228</v>
      </c>
      <c r="DA339">
        <v>52</v>
      </c>
      <c r="DC339" s="24"/>
      <c r="DD339">
        <v>477</v>
      </c>
      <c r="DE339">
        <v>478</v>
      </c>
      <c r="DF339">
        <v>477</v>
      </c>
      <c r="DG339">
        <v>34532953</v>
      </c>
      <c r="DH339">
        <v>181</v>
      </c>
      <c r="DJ339" s="24"/>
      <c r="DK339">
        <v>32400008</v>
      </c>
      <c r="DL339">
        <v>33389999</v>
      </c>
      <c r="DM339">
        <v>32401000</v>
      </c>
      <c r="DN339">
        <v>181</v>
      </c>
      <c r="DO339">
        <v>58</v>
      </c>
      <c r="DQ339" s="24"/>
      <c r="DR339">
        <v>1055009</v>
      </c>
      <c r="DS339">
        <v>1119000</v>
      </c>
      <c r="DT339">
        <v>1080005</v>
      </c>
      <c r="DU339">
        <v>12271</v>
      </c>
      <c r="DV339">
        <v>249</v>
      </c>
      <c r="DX339" s="24"/>
      <c r="DY339">
        <v>20701045</v>
      </c>
      <c r="DZ339">
        <v>21000001</v>
      </c>
      <c r="EA339">
        <v>20701046</v>
      </c>
      <c r="EB339">
        <v>633</v>
      </c>
      <c r="EC339">
        <v>101</v>
      </c>
      <c r="EE339" s="24"/>
      <c r="EF339">
        <v>192</v>
      </c>
      <c r="EG339">
        <v>201</v>
      </c>
      <c r="EH339">
        <v>197</v>
      </c>
      <c r="EI339">
        <v>97977254</v>
      </c>
      <c r="EJ339">
        <v>164</v>
      </c>
      <c r="EL339" s="24"/>
      <c r="EM339">
        <v>53504</v>
      </c>
      <c r="EN339">
        <v>56899</v>
      </c>
      <c r="EO339">
        <v>53505</v>
      </c>
      <c r="EP339">
        <v>57743</v>
      </c>
      <c r="EQ339">
        <v>513</v>
      </c>
      <c r="ES339" s="24"/>
      <c r="ET339">
        <v>297</v>
      </c>
      <c r="EU339">
        <v>300</v>
      </c>
      <c r="EV339">
        <v>299</v>
      </c>
      <c r="EW339">
        <v>31289892</v>
      </c>
      <c r="EX339">
        <v>498</v>
      </c>
      <c r="EZ339" s="24"/>
      <c r="FA339">
        <v>3101148</v>
      </c>
      <c r="FB339">
        <v>3200000</v>
      </c>
      <c r="FC339">
        <v>3101148</v>
      </c>
      <c r="FD339">
        <v>994</v>
      </c>
      <c r="FE339">
        <v>15</v>
      </c>
      <c r="FG339" s="24"/>
      <c r="FH339">
        <v>10800</v>
      </c>
      <c r="FI339">
        <v>11000</v>
      </c>
      <c r="FJ339">
        <v>10998</v>
      </c>
      <c r="FK339">
        <v>2832994</v>
      </c>
      <c r="FL339">
        <v>506</v>
      </c>
      <c r="FN339" s="24"/>
      <c r="FO339">
        <v>18715</v>
      </c>
      <c r="FP339">
        <v>19724</v>
      </c>
      <c r="FQ339">
        <v>19723</v>
      </c>
      <c r="FR339">
        <v>190854</v>
      </c>
      <c r="FS339">
        <v>80</v>
      </c>
      <c r="FU339" s="24"/>
      <c r="FV339">
        <v>14900</v>
      </c>
      <c r="FW339">
        <v>15100</v>
      </c>
      <c r="FX339">
        <v>14902</v>
      </c>
      <c r="FY339">
        <v>259569</v>
      </c>
      <c r="FZ339">
        <v>943</v>
      </c>
      <c r="GB339" s="24"/>
      <c r="GC339">
        <v>90100053</v>
      </c>
      <c r="GD339">
        <v>96000000</v>
      </c>
      <c r="GE339">
        <v>90100055</v>
      </c>
      <c r="GF339">
        <v>102</v>
      </c>
      <c r="GG339">
        <v>75</v>
      </c>
      <c r="GI339" s="24"/>
      <c r="GJ339">
        <v>18555000</v>
      </c>
      <c r="GK339">
        <v>18998999</v>
      </c>
      <c r="GL339">
        <v>18570014</v>
      </c>
      <c r="GM339">
        <v>704</v>
      </c>
      <c r="GN339">
        <v>77</v>
      </c>
      <c r="GP339" s="24"/>
      <c r="GQ339">
        <v>100</v>
      </c>
      <c r="GR339">
        <v>104</v>
      </c>
      <c r="GS339">
        <v>103</v>
      </c>
      <c r="GT339">
        <v>175352267</v>
      </c>
      <c r="GU339">
        <v>129</v>
      </c>
      <c r="GW339" s="24"/>
      <c r="GX339">
        <v>445</v>
      </c>
      <c r="GY339">
        <v>454</v>
      </c>
      <c r="GZ339">
        <v>453</v>
      </c>
      <c r="HA339">
        <v>64179084</v>
      </c>
      <c r="HB339">
        <v>237</v>
      </c>
      <c r="HD339" s="24"/>
      <c r="HE339">
        <v>5402</v>
      </c>
      <c r="HF339">
        <v>5500</v>
      </c>
      <c r="HG339">
        <v>5498</v>
      </c>
      <c r="HH339">
        <v>19704728</v>
      </c>
      <c r="HI339">
        <v>324</v>
      </c>
      <c r="HK339" s="24"/>
      <c r="HL339">
        <v>89210022</v>
      </c>
      <c r="HM339">
        <v>97896960</v>
      </c>
      <c r="HN339">
        <v>93933281</v>
      </c>
      <c r="HO339">
        <v>74</v>
      </c>
      <c r="HP339">
        <v>58</v>
      </c>
      <c r="HR339" s="24"/>
      <c r="HS339">
        <v>8905</v>
      </c>
      <c r="HT339">
        <v>9488</v>
      </c>
      <c r="HU339">
        <v>9205</v>
      </c>
      <c r="HV339">
        <v>934690</v>
      </c>
      <c r="HW339">
        <v>185</v>
      </c>
      <c r="HY339" s="24"/>
      <c r="HZ339">
        <v>9042</v>
      </c>
      <c r="IA339">
        <v>9443</v>
      </c>
      <c r="IB339">
        <v>9392</v>
      </c>
      <c r="IC339">
        <v>2300114</v>
      </c>
      <c r="ID339">
        <v>456</v>
      </c>
      <c r="IF339" s="24"/>
      <c r="IG339">
        <v>3000</v>
      </c>
      <c r="IH339">
        <v>3037</v>
      </c>
      <c r="II339">
        <v>3036</v>
      </c>
      <c r="IJ339">
        <v>1731870</v>
      </c>
      <c r="IK339">
        <v>149</v>
      </c>
      <c r="IM339" s="24"/>
      <c r="IN339">
        <v>88996949</v>
      </c>
      <c r="IO339">
        <v>90499498</v>
      </c>
      <c r="IP339">
        <v>90399998</v>
      </c>
      <c r="IQ339">
        <v>174</v>
      </c>
      <c r="IR339">
        <v>102</v>
      </c>
      <c r="IT339" s="24"/>
      <c r="IU339">
        <v>8001</v>
      </c>
      <c r="IV339">
        <v>8001</v>
      </c>
      <c r="IW339">
        <v>8001</v>
      </c>
      <c r="IX339">
        <v>1014020</v>
      </c>
      <c r="IY339">
        <v>112</v>
      </c>
      <c r="JA339" s="24"/>
      <c r="JB339">
        <v>89400023</v>
      </c>
      <c r="JC339">
        <v>93949999</v>
      </c>
      <c r="JD339">
        <v>93899998</v>
      </c>
      <c r="JE339">
        <v>112</v>
      </c>
      <c r="JF339">
        <v>80</v>
      </c>
      <c r="JH339" s="24"/>
      <c r="JI339">
        <v>89249021</v>
      </c>
      <c r="JJ339">
        <v>92249001</v>
      </c>
      <c r="JK339">
        <v>90839390</v>
      </c>
      <c r="JL339">
        <v>81</v>
      </c>
      <c r="JM339">
        <v>55</v>
      </c>
      <c r="JO339" s="24"/>
      <c r="JP339">
        <v>86</v>
      </c>
      <c r="JQ339">
        <v>89</v>
      </c>
      <c r="JR339">
        <v>88</v>
      </c>
      <c r="JS339">
        <v>104742519</v>
      </c>
      <c r="JT339">
        <v>89</v>
      </c>
      <c r="JV339" s="24"/>
      <c r="JW339">
        <v>96</v>
      </c>
      <c r="JX339">
        <v>99</v>
      </c>
      <c r="JY339">
        <v>99</v>
      </c>
      <c r="JZ339">
        <v>122125991</v>
      </c>
      <c r="KA339">
        <v>103</v>
      </c>
      <c r="KC339" s="24"/>
      <c r="KD339">
        <v>20</v>
      </c>
      <c r="KE339">
        <v>21</v>
      </c>
      <c r="KF339">
        <v>21</v>
      </c>
      <c r="KG339">
        <v>29969423</v>
      </c>
      <c r="KH339">
        <v>245</v>
      </c>
      <c r="KJ339" s="24"/>
      <c r="KK339">
        <v>99</v>
      </c>
      <c r="KL339">
        <v>103</v>
      </c>
      <c r="KM339">
        <v>102</v>
      </c>
      <c r="KN339">
        <v>121086005</v>
      </c>
      <c r="KO339">
        <v>117</v>
      </c>
      <c r="KQ339" s="24"/>
      <c r="KR339">
        <v>125029</v>
      </c>
      <c r="KS339">
        <v>127000</v>
      </c>
      <c r="KT339">
        <v>126621</v>
      </c>
      <c r="KU339">
        <v>75315</v>
      </c>
      <c r="KV339">
        <v>524</v>
      </c>
      <c r="KX339" s="24"/>
      <c r="KY339">
        <v>790</v>
      </c>
      <c r="KZ339">
        <v>803</v>
      </c>
      <c r="LA339">
        <v>802</v>
      </c>
      <c r="LB339">
        <v>6577961</v>
      </c>
      <c r="LC339">
        <v>168</v>
      </c>
      <c r="LE339" s="24"/>
      <c r="LF339">
        <v>181011</v>
      </c>
      <c r="LG339">
        <v>182500</v>
      </c>
      <c r="LH339">
        <v>181011</v>
      </c>
      <c r="LI339">
        <v>76521</v>
      </c>
      <c r="LJ339">
        <v>718</v>
      </c>
      <c r="LL339" s="24"/>
      <c r="LM339">
        <v>65984</v>
      </c>
      <c r="LN339">
        <v>66000</v>
      </c>
      <c r="LO339">
        <v>66000</v>
      </c>
      <c r="LP339">
        <v>282691</v>
      </c>
      <c r="LQ339">
        <v>970</v>
      </c>
      <c r="LS339" s="24"/>
      <c r="LT339">
        <v>449</v>
      </c>
      <c r="LU339">
        <v>455</v>
      </c>
      <c r="LV339">
        <v>449</v>
      </c>
      <c r="LW339">
        <v>146634614</v>
      </c>
      <c r="LX339">
        <v>346</v>
      </c>
      <c r="LZ339" s="24"/>
      <c r="MA339">
        <v>94887</v>
      </c>
      <c r="MB339">
        <v>95000</v>
      </c>
      <c r="MC339">
        <v>94888</v>
      </c>
      <c r="MD339">
        <v>1021567</v>
      </c>
      <c r="ME339">
        <v>84</v>
      </c>
    </row>
    <row r="340" spans="2:343" x14ac:dyDescent="0.25">
      <c r="B340" s="24"/>
      <c r="C340">
        <v>3</v>
      </c>
      <c r="D340">
        <v>3</v>
      </c>
      <c r="E340">
        <v>3</v>
      </c>
      <c r="F340">
        <v>25905017216</v>
      </c>
      <c r="G340">
        <v>2244</v>
      </c>
      <c r="I340" s="24"/>
      <c r="J340">
        <v>4</v>
      </c>
      <c r="K340">
        <v>4</v>
      </c>
      <c r="L340">
        <v>4</v>
      </c>
      <c r="M340">
        <v>6608281370</v>
      </c>
      <c r="N340">
        <v>1618</v>
      </c>
      <c r="P340" s="24"/>
      <c r="Q340">
        <v>32</v>
      </c>
      <c r="R340">
        <v>33</v>
      </c>
      <c r="S340">
        <v>33</v>
      </c>
      <c r="T340">
        <v>1803917522</v>
      </c>
      <c r="U340">
        <v>1476</v>
      </c>
      <c r="W340" s="24"/>
      <c r="X340">
        <v>61</v>
      </c>
      <c r="Y340">
        <v>61</v>
      </c>
      <c r="Z340">
        <v>61</v>
      </c>
      <c r="AA340">
        <v>405064293</v>
      </c>
      <c r="AB340">
        <v>1214</v>
      </c>
      <c r="AD340" s="24"/>
      <c r="AE340">
        <v>519</v>
      </c>
      <c r="AF340">
        <v>521</v>
      </c>
      <c r="AG340">
        <v>520</v>
      </c>
      <c r="AH340">
        <v>96136011</v>
      </c>
      <c r="AI340">
        <v>1246</v>
      </c>
      <c r="AK340" s="24"/>
      <c r="AL340">
        <v>778</v>
      </c>
      <c r="AM340">
        <v>793</v>
      </c>
      <c r="AN340">
        <v>793</v>
      </c>
      <c r="AO340">
        <v>47808393</v>
      </c>
      <c r="AP340">
        <v>1079</v>
      </c>
      <c r="AR340" s="24"/>
      <c r="AS340">
        <v>2710</v>
      </c>
      <c r="AT340">
        <v>2749</v>
      </c>
      <c r="AU340">
        <v>2745</v>
      </c>
      <c r="AV340">
        <v>13039565</v>
      </c>
      <c r="AW340">
        <v>989</v>
      </c>
      <c r="AY340" s="24"/>
      <c r="AZ340">
        <v>439305100</v>
      </c>
      <c r="BA340">
        <v>450999997</v>
      </c>
      <c r="BB340">
        <v>443900123</v>
      </c>
      <c r="BC340">
        <v>2986</v>
      </c>
      <c r="BD340">
        <v>2098</v>
      </c>
      <c r="BF340" s="24"/>
      <c r="BG340">
        <v>24800</v>
      </c>
      <c r="BH340">
        <v>24816</v>
      </c>
      <c r="BI340">
        <v>24816</v>
      </c>
      <c r="BJ340">
        <v>3765715</v>
      </c>
      <c r="BK340">
        <v>193</v>
      </c>
      <c r="BM340" s="24"/>
      <c r="BN340">
        <v>7101028</v>
      </c>
      <c r="BO340">
        <v>7450000</v>
      </c>
      <c r="BP340">
        <v>7101049</v>
      </c>
      <c r="BQ340">
        <v>11839</v>
      </c>
      <c r="BR340">
        <v>363</v>
      </c>
      <c r="BT340" s="24"/>
      <c r="BU340">
        <v>2199</v>
      </c>
      <c r="BV340">
        <v>2199</v>
      </c>
      <c r="BW340">
        <v>2199</v>
      </c>
      <c r="BX340">
        <v>16790903</v>
      </c>
      <c r="BY340">
        <v>212</v>
      </c>
      <c r="CA340" s="24"/>
      <c r="CB340">
        <v>879</v>
      </c>
      <c r="CC340">
        <v>879</v>
      </c>
      <c r="CD340">
        <v>879</v>
      </c>
      <c r="CE340">
        <v>30429762</v>
      </c>
      <c r="CF340">
        <v>222</v>
      </c>
      <c r="CH340" s="24"/>
      <c r="CI340">
        <v>27100</v>
      </c>
      <c r="CJ340">
        <v>27110</v>
      </c>
      <c r="CK340">
        <v>27100</v>
      </c>
      <c r="CL340">
        <v>2534529</v>
      </c>
      <c r="CM340">
        <v>180</v>
      </c>
      <c r="CO340" s="24"/>
      <c r="CP340">
        <v>10395</v>
      </c>
      <c r="CQ340">
        <v>11188</v>
      </c>
      <c r="CR340">
        <v>11149</v>
      </c>
      <c r="CS340">
        <v>1277490</v>
      </c>
      <c r="CT340">
        <v>323</v>
      </c>
      <c r="CV340" s="24"/>
      <c r="CW340">
        <v>1100000</v>
      </c>
      <c r="CX340">
        <v>1144998</v>
      </c>
      <c r="CY340">
        <v>1117084</v>
      </c>
      <c r="CZ340">
        <v>19077</v>
      </c>
      <c r="DA340">
        <v>43</v>
      </c>
      <c r="DC340" s="24"/>
      <c r="DD340">
        <v>467</v>
      </c>
      <c r="DE340">
        <v>489</v>
      </c>
      <c r="DF340">
        <v>482</v>
      </c>
      <c r="DG340">
        <v>43367482</v>
      </c>
      <c r="DH340">
        <v>177</v>
      </c>
      <c r="DJ340" s="24"/>
      <c r="DK340">
        <v>32401203</v>
      </c>
      <c r="DL340">
        <v>33300000</v>
      </c>
      <c r="DM340">
        <v>32999999</v>
      </c>
      <c r="DN340">
        <v>403</v>
      </c>
      <c r="DO340">
        <v>74</v>
      </c>
      <c r="DQ340" s="24"/>
      <c r="DR340">
        <v>1000001</v>
      </c>
      <c r="DS340">
        <v>1055011</v>
      </c>
      <c r="DT340">
        <v>1045007</v>
      </c>
      <c r="DU340">
        <v>22611</v>
      </c>
      <c r="DV340">
        <v>234</v>
      </c>
      <c r="DX340" s="24"/>
      <c r="DY340">
        <v>20701045</v>
      </c>
      <c r="DZ340">
        <v>21150000</v>
      </c>
      <c r="EA340">
        <v>20701046</v>
      </c>
      <c r="EB340">
        <v>802</v>
      </c>
      <c r="EC340">
        <v>99</v>
      </c>
      <c r="EE340" s="24"/>
      <c r="EF340">
        <v>192</v>
      </c>
      <c r="EG340">
        <v>200</v>
      </c>
      <c r="EH340">
        <v>193</v>
      </c>
      <c r="EI340">
        <v>105060133</v>
      </c>
      <c r="EJ340">
        <v>196</v>
      </c>
      <c r="EL340" s="24"/>
      <c r="EM340">
        <v>53601</v>
      </c>
      <c r="EN340">
        <v>56598</v>
      </c>
      <c r="EO340">
        <v>53602</v>
      </c>
      <c r="EP340">
        <v>99997</v>
      </c>
      <c r="EQ340">
        <v>595</v>
      </c>
      <c r="ES340" s="24"/>
      <c r="ET340">
        <v>295</v>
      </c>
      <c r="EU340">
        <v>302</v>
      </c>
      <c r="EV340">
        <v>301</v>
      </c>
      <c r="EW340">
        <v>28864642</v>
      </c>
      <c r="EX340">
        <v>457</v>
      </c>
      <c r="EZ340" s="24"/>
      <c r="FA340">
        <v>3101140</v>
      </c>
      <c r="FB340">
        <v>3101159</v>
      </c>
      <c r="FC340">
        <v>3101159</v>
      </c>
      <c r="FD340">
        <v>2606</v>
      </c>
      <c r="FE340">
        <v>20</v>
      </c>
      <c r="FG340" s="24"/>
      <c r="FH340">
        <v>10512</v>
      </c>
      <c r="FI340">
        <v>11398</v>
      </c>
      <c r="FJ340">
        <v>10555</v>
      </c>
      <c r="FK340">
        <v>1453113</v>
      </c>
      <c r="FL340">
        <v>414</v>
      </c>
      <c r="FN340" s="24"/>
      <c r="FO340">
        <v>18706</v>
      </c>
      <c r="FP340">
        <v>19722</v>
      </c>
      <c r="FQ340">
        <v>19668</v>
      </c>
      <c r="FR340">
        <v>146719</v>
      </c>
      <c r="FS340">
        <v>88</v>
      </c>
      <c r="FU340" s="24"/>
      <c r="FV340">
        <v>14903</v>
      </c>
      <c r="FW340">
        <v>15000</v>
      </c>
      <c r="FX340">
        <v>14903</v>
      </c>
      <c r="FY340">
        <v>432490</v>
      </c>
      <c r="FZ340">
        <v>1060</v>
      </c>
      <c r="GB340" s="24"/>
      <c r="GC340">
        <v>91009002</v>
      </c>
      <c r="GD340">
        <v>91999977</v>
      </c>
      <c r="GE340">
        <v>91030509</v>
      </c>
      <c r="GF340">
        <v>174</v>
      </c>
      <c r="GG340">
        <v>118</v>
      </c>
      <c r="GI340" s="24"/>
      <c r="GJ340">
        <v>18556004</v>
      </c>
      <c r="GK340">
        <v>18600001</v>
      </c>
      <c r="GL340">
        <v>18573000</v>
      </c>
      <c r="GM340">
        <v>733</v>
      </c>
      <c r="GN340">
        <v>88</v>
      </c>
      <c r="GP340" s="24"/>
      <c r="GQ340">
        <v>107</v>
      </c>
      <c r="GR340">
        <v>107</v>
      </c>
      <c r="GS340">
        <v>107</v>
      </c>
      <c r="GT340">
        <v>147984174</v>
      </c>
      <c r="GU340">
        <v>134</v>
      </c>
      <c r="GW340" s="24"/>
      <c r="GX340">
        <v>435</v>
      </c>
      <c r="GY340">
        <v>444</v>
      </c>
      <c r="GZ340">
        <v>443</v>
      </c>
      <c r="HA340">
        <v>35180874</v>
      </c>
      <c r="HB340">
        <v>218</v>
      </c>
      <c r="HD340" s="24"/>
      <c r="HE340">
        <v>5429</v>
      </c>
      <c r="HF340">
        <v>5498</v>
      </c>
      <c r="HG340">
        <v>5491</v>
      </c>
      <c r="HH340">
        <v>17446083</v>
      </c>
      <c r="HI340">
        <v>319</v>
      </c>
      <c r="HK340" s="24"/>
      <c r="HL340">
        <v>92454985</v>
      </c>
      <c r="HM340">
        <v>92918001</v>
      </c>
      <c r="HN340">
        <v>92909977</v>
      </c>
      <c r="HO340">
        <v>144</v>
      </c>
      <c r="HP340">
        <v>102</v>
      </c>
      <c r="HR340" s="24"/>
      <c r="HS340">
        <v>8905</v>
      </c>
      <c r="HT340">
        <v>9499</v>
      </c>
      <c r="HU340">
        <v>9099</v>
      </c>
      <c r="HV340">
        <v>792231</v>
      </c>
      <c r="HW340">
        <v>144</v>
      </c>
      <c r="HY340" s="24"/>
      <c r="HZ340">
        <v>9259</v>
      </c>
      <c r="IA340">
        <v>9500</v>
      </c>
      <c r="IB340">
        <v>9499</v>
      </c>
      <c r="IC340">
        <v>2156185</v>
      </c>
      <c r="ID340">
        <v>417</v>
      </c>
      <c r="IF340" s="24"/>
      <c r="IG340">
        <v>3000</v>
      </c>
      <c r="IH340">
        <v>3049</v>
      </c>
      <c r="II340">
        <v>3037</v>
      </c>
      <c r="IJ340">
        <v>1556570</v>
      </c>
      <c r="IK340">
        <v>152</v>
      </c>
      <c r="IM340" s="24"/>
      <c r="IN340">
        <v>86004020</v>
      </c>
      <c r="IO340">
        <v>90999988</v>
      </c>
      <c r="IP340">
        <v>90994999</v>
      </c>
      <c r="IQ340">
        <v>142</v>
      </c>
      <c r="IR340">
        <v>103</v>
      </c>
      <c r="IT340" s="24"/>
      <c r="IU340">
        <v>8099</v>
      </c>
      <c r="IV340">
        <v>8099</v>
      </c>
      <c r="IW340">
        <v>8099</v>
      </c>
      <c r="IX340">
        <v>734078</v>
      </c>
      <c r="IY340">
        <v>142</v>
      </c>
      <c r="JA340" s="24"/>
      <c r="JB340">
        <v>89960002</v>
      </c>
      <c r="JC340">
        <v>92399984</v>
      </c>
      <c r="JD340">
        <v>92094997</v>
      </c>
      <c r="JE340">
        <v>178</v>
      </c>
      <c r="JF340">
        <v>111</v>
      </c>
      <c r="JH340" s="24"/>
      <c r="JI340">
        <v>89999008</v>
      </c>
      <c r="JJ340">
        <v>92700984</v>
      </c>
      <c r="JK340">
        <v>91186649</v>
      </c>
      <c r="JL340">
        <v>98</v>
      </c>
      <c r="JM340">
        <v>67</v>
      </c>
      <c r="JO340" s="24"/>
      <c r="JP340">
        <v>87</v>
      </c>
      <c r="JQ340">
        <v>88</v>
      </c>
      <c r="JR340">
        <v>87</v>
      </c>
      <c r="JS340">
        <v>97967196</v>
      </c>
      <c r="JT340">
        <v>82</v>
      </c>
      <c r="JV340" s="24"/>
      <c r="JW340">
        <v>97</v>
      </c>
      <c r="JX340">
        <v>101</v>
      </c>
      <c r="JY340">
        <v>101</v>
      </c>
      <c r="JZ340">
        <v>77078766</v>
      </c>
      <c r="KA340">
        <v>109</v>
      </c>
      <c r="KC340" s="24"/>
      <c r="KD340">
        <v>22</v>
      </c>
      <c r="KE340">
        <v>22</v>
      </c>
      <c r="KF340">
        <v>22</v>
      </c>
      <c r="KG340">
        <v>37787487</v>
      </c>
      <c r="KH340">
        <v>241</v>
      </c>
      <c r="KJ340" s="24"/>
      <c r="KK340">
        <v>100</v>
      </c>
      <c r="KL340">
        <v>104</v>
      </c>
      <c r="KM340">
        <v>104</v>
      </c>
      <c r="KN340">
        <v>90336142</v>
      </c>
      <c r="KO340">
        <v>120</v>
      </c>
      <c r="KQ340" s="24"/>
      <c r="KR340">
        <v>123004</v>
      </c>
      <c r="KS340">
        <v>124000</v>
      </c>
      <c r="KT340">
        <v>123025</v>
      </c>
      <c r="KU340">
        <v>62755</v>
      </c>
      <c r="KV340">
        <v>566</v>
      </c>
      <c r="KX340" s="24"/>
      <c r="KY340">
        <v>792</v>
      </c>
      <c r="KZ340">
        <v>805</v>
      </c>
      <c r="LA340">
        <v>801</v>
      </c>
      <c r="LB340">
        <v>5390751</v>
      </c>
      <c r="LC340">
        <v>195</v>
      </c>
      <c r="LE340" s="24"/>
      <c r="LF340">
        <v>181011</v>
      </c>
      <c r="LG340">
        <v>182500</v>
      </c>
      <c r="LH340">
        <v>182000</v>
      </c>
      <c r="LI340">
        <v>126175</v>
      </c>
      <c r="LJ340">
        <v>804</v>
      </c>
      <c r="LL340" s="24"/>
      <c r="LM340">
        <v>65983</v>
      </c>
      <c r="LN340">
        <v>66100</v>
      </c>
      <c r="LO340">
        <v>65984</v>
      </c>
      <c r="LP340">
        <v>392418</v>
      </c>
      <c r="LQ340">
        <v>1101</v>
      </c>
      <c r="LS340" s="24"/>
      <c r="LT340">
        <v>440</v>
      </c>
      <c r="LU340">
        <v>444</v>
      </c>
      <c r="LV340">
        <v>443</v>
      </c>
      <c r="LW340">
        <v>90231042</v>
      </c>
      <c r="LX340">
        <v>338</v>
      </c>
      <c r="LZ340" s="24"/>
      <c r="MA340">
        <v>97269</v>
      </c>
      <c r="MB340">
        <v>97270</v>
      </c>
      <c r="MC340">
        <v>97269</v>
      </c>
      <c r="MD340">
        <v>634147</v>
      </c>
      <c r="ME340">
        <v>63</v>
      </c>
    </row>
    <row r="341" spans="2:343" x14ac:dyDescent="0.25">
      <c r="B341" s="24"/>
      <c r="C341">
        <v>3</v>
      </c>
      <c r="D341">
        <v>3</v>
      </c>
      <c r="E341">
        <v>3</v>
      </c>
      <c r="F341">
        <v>35141133149</v>
      </c>
      <c r="G341">
        <v>2397</v>
      </c>
      <c r="I341" s="24"/>
      <c r="J341">
        <v>4</v>
      </c>
      <c r="K341">
        <v>4</v>
      </c>
      <c r="L341">
        <v>4</v>
      </c>
      <c r="M341">
        <v>7057255487</v>
      </c>
      <c r="N341">
        <v>1776</v>
      </c>
      <c r="P341" s="24"/>
      <c r="Q341">
        <v>32</v>
      </c>
      <c r="R341">
        <v>33</v>
      </c>
      <c r="S341">
        <v>33</v>
      </c>
      <c r="T341">
        <v>1430560613</v>
      </c>
      <c r="U341">
        <v>1641</v>
      </c>
      <c r="W341" s="24"/>
      <c r="X341">
        <v>59</v>
      </c>
      <c r="Y341">
        <v>61</v>
      </c>
      <c r="Z341">
        <v>60</v>
      </c>
      <c r="AA341">
        <v>283668373</v>
      </c>
      <c r="AB341">
        <v>1330</v>
      </c>
      <c r="AD341" s="24"/>
      <c r="AE341">
        <v>506</v>
      </c>
      <c r="AF341">
        <v>514</v>
      </c>
      <c r="AG341">
        <v>511</v>
      </c>
      <c r="AH341">
        <v>93667606</v>
      </c>
      <c r="AI341">
        <v>1409</v>
      </c>
      <c r="AK341" s="24"/>
      <c r="AL341">
        <v>764</v>
      </c>
      <c r="AM341">
        <v>792</v>
      </c>
      <c r="AN341">
        <v>790</v>
      </c>
      <c r="AO341">
        <v>27276656</v>
      </c>
      <c r="AP341">
        <v>1171</v>
      </c>
      <c r="AR341" s="24"/>
      <c r="AS341">
        <v>2697</v>
      </c>
      <c r="AT341">
        <v>2744</v>
      </c>
      <c r="AU341">
        <v>2741</v>
      </c>
      <c r="AV341">
        <v>10325354</v>
      </c>
      <c r="AW341">
        <v>1141</v>
      </c>
      <c r="AY341" s="24"/>
      <c r="AZ341">
        <v>426310000</v>
      </c>
      <c r="BA341">
        <v>435110004</v>
      </c>
      <c r="BB341">
        <v>429501000</v>
      </c>
      <c r="BC341">
        <v>3497</v>
      </c>
      <c r="BD341">
        <v>2265</v>
      </c>
      <c r="BF341" s="24"/>
      <c r="BG341">
        <v>24790</v>
      </c>
      <c r="BH341">
        <v>24901</v>
      </c>
      <c r="BI341">
        <v>24891</v>
      </c>
      <c r="BJ341">
        <v>4449159</v>
      </c>
      <c r="BK341">
        <v>281</v>
      </c>
      <c r="BM341" s="24"/>
      <c r="BN341">
        <v>7101079</v>
      </c>
      <c r="BO341">
        <v>7200216</v>
      </c>
      <c r="BP341">
        <v>7165084</v>
      </c>
      <c r="BQ341">
        <v>15315</v>
      </c>
      <c r="BR341">
        <v>392</v>
      </c>
      <c r="BT341" s="24"/>
      <c r="BU341">
        <v>2189</v>
      </c>
      <c r="BV341">
        <v>2193</v>
      </c>
      <c r="BW341">
        <v>2193</v>
      </c>
      <c r="BX341">
        <v>36497613</v>
      </c>
      <c r="BY341">
        <v>288</v>
      </c>
      <c r="CA341" s="24"/>
      <c r="CB341">
        <v>879</v>
      </c>
      <c r="CC341">
        <v>887</v>
      </c>
      <c r="CD341">
        <v>879</v>
      </c>
      <c r="CE341">
        <v>37790654</v>
      </c>
      <c r="CF341">
        <v>294</v>
      </c>
      <c r="CH341" s="24"/>
      <c r="CI341">
        <v>27120</v>
      </c>
      <c r="CJ341">
        <v>27120</v>
      </c>
      <c r="CK341">
        <v>27120</v>
      </c>
      <c r="CL341">
        <v>2893845</v>
      </c>
      <c r="CM341">
        <v>204</v>
      </c>
      <c r="CO341" s="24"/>
      <c r="CP341">
        <v>10411</v>
      </c>
      <c r="CQ341">
        <v>11047</v>
      </c>
      <c r="CR341">
        <v>11024</v>
      </c>
      <c r="CS341">
        <v>1274667</v>
      </c>
      <c r="CT341">
        <v>392</v>
      </c>
      <c r="CV341" s="24"/>
      <c r="CW341">
        <v>1084997</v>
      </c>
      <c r="CX341">
        <v>1144993</v>
      </c>
      <c r="CY341">
        <v>1134999</v>
      </c>
      <c r="CZ341">
        <v>8580</v>
      </c>
      <c r="DA341">
        <v>31</v>
      </c>
      <c r="DC341" s="24"/>
      <c r="DD341">
        <v>469</v>
      </c>
      <c r="DE341">
        <v>489</v>
      </c>
      <c r="DF341">
        <v>484</v>
      </c>
      <c r="DG341">
        <v>35734576</v>
      </c>
      <c r="DH341">
        <v>198</v>
      </c>
      <c r="DJ341" s="24"/>
      <c r="DK341">
        <v>32403002</v>
      </c>
      <c r="DL341">
        <v>32403016</v>
      </c>
      <c r="DM341">
        <v>32403003</v>
      </c>
      <c r="DN341">
        <v>321</v>
      </c>
      <c r="DO341">
        <v>66</v>
      </c>
      <c r="DQ341" s="24"/>
      <c r="DR341">
        <v>905000</v>
      </c>
      <c r="DS341">
        <v>1094989</v>
      </c>
      <c r="DT341">
        <v>955570</v>
      </c>
      <c r="DU341">
        <v>6257</v>
      </c>
      <c r="DV341">
        <v>216</v>
      </c>
      <c r="DX341" s="24"/>
      <c r="DY341">
        <v>20704011</v>
      </c>
      <c r="DZ341">
        <v>21700000</v>
      </c>
      <c r="EA341">
        <v>21699999</v>
      </c>
      <c r="EB341">
        <v>597</v>
      </c>
      <c r="EC341">
        <v>108</v>
      </c>
      <c r="EE341" s="24"/>
      <c r="EF341">
        <v>190</v>
      </c>
      <c r="EG341">
        <v>200</v>
      </c>
      <c r="EH341">
        <v>197</v>
      </c>
      <c r="EI341">
        <v>119636738</v>
      </c>
      <c r="EJ341">
        <v>214</v>
      </c>
      <c r="EL341" s="24"/>
      <c r="EM341">
        <v>53000</v>
      </c>
      <c r="EN341">
        <v>53602</v>
      </c>
      <c r="EO341">
        <v>53602</v>
      </c>
      <c r="EP341">
        <v>107075</v>
      </c>
      <c r="EQ341">
        <v>696</v>
      </c>
      <c r="ES341" s="24"/>
      <c r="ET341">
        <v>291</v>
      </c>
      <c r="EU341">
        <v>311</v>
      </c>
      <c r="EV341">
        <v>301</v>
      </c>
      <c r="EW341">
        <v>57057037</v>
      </c>
      <c r="EX341">
        <v>636</v>
      </c>
      <c r="EZ341" s="24"/>
      <c r="FA341">
        <v>3000001</v>
      </c>
      <c r="FB341">
        <v>3112874</v>
      </c>
      <c r="FC341">
        <v>3112870</v>
      </c>
      <c r="FD341">
        <v>957</v>
      </c>
      <c r="FE341">
        <v>17</v>
      </c>
      <c r="FG341" s="24"/>
      <c r="FH341">
        <v>10600</v>
      </c>
      <c r="FI341">
        <v>11522</v>
      </c>
      <c r="FJ341">
        <v>10788</v>
      </c>
      <c r="FK341">
        <v>1751841</v>
      </c>
      <c r="FL341">
        <v>507</v>
      </c>
      <c r="FN341" s="24"/>
      <c r="FO341">
        <v>19666</v>
      </c>
      <c r="FP341">
        <v>19667</v>
      </c>
      <c r="FQ341">
        <v>19667</v>
      </c>
      <c r="FR341">
        <v>271982</v>
      </c>
      <c r="FS341">
        <v>95</v>
      </c>
      <c r="FU341" s="24"/>
      <c r="FV341">
        <v>13506</v>
      </c>
      <c r="FW341">
        <v>14775</v>
      </c>
      <c r="FX341">
        <v>14300</v>
      </c>
      <c r="FY341">
        <v>395485</v>
      </c>
      <c r="FZ341">
        <v>1229</v>
      </c>
      <c r="GB341" s="24"/>
      <c r="GC341">
        <v>90999999</v>
      </c>
      <c r="GD341">
        <v>91997987</v>
      </c>
      <c r="GE341">
        <v>91413815</v>
      </c>
      <c r="GF341">
        <v>60</v>
      </c>
      <c r="GG341">
        <v>49</v>
      </c>
      <c r="GI341" s="24"/>
      <c r="GJ341">
        <v>17223267</v>
      </c>
      <c r="GK341">
        <v>17910001</v>
      </c>
      <c r="GL341">
        <v>17224282</v>
      </c>
      <c r="GM341">
        <v>767</v>
      </c>
      <c r="GN341">
        <v>94</v>
      </c>
      <c r="GP341" s="24"/>
      <c r="GQ341">
        <v>106</v>
      </c>
      <c r="GR341">
        <v>113</v>
      </c>
      <c r="GS341">
        <v>111</v>
      </c>
      <c r="GT341">
        <v>193186357</v>
      </c>
      <c r="GU341">
        <v>174</v>
      </c>
      <c r="GW341" s="24"/>
      <c r="GX341">
        <v>413</v>
      </c>
      <c r="GY341">
        <v>434</v>
      </c>
      <c r="GZ341">
        <v>432</v>
      </c>
      <c r="HA341">
        <v>55273623</v>
      </c>
      <c r="HB341">
        <v>250</v>
      </c>
      <c r="HD341" s="24"/>
      <c r="HE341">
        <v>5488</v>
      </c>
      <c r="HF341">
        <v>5496</v>
      </c>
      <c r="HG341">
        <v>5491</v>
      </c>
      <c r="HH341">
        <v>25688141</v>
      </c>
      <c r="HI341">
        <v>365</v>
      </c>
      <c r="HK341" s="24"/>
      <c r="HL341">
        <v>97663829</v>
      </c>
      <c r="HM341">
        <v>104759883</v>
      </c>
      <c r="HN341">
        <v>100295242</v>
      </c>
      <c r="HO341">
        <v>77</v>
      </c>
      <c r="HP341">
        <v>59</v>
      </c>
      <c r="HR341" s="24"/>
      <c r="HS341">
        <v>9002</v>
      </c>
      <c r="HT341">
        <v>9299</v>
      </c>
      <c r="HU341">
        <v>9298</v>
      </c>
      <c r="HV341">
        <v>906348</v>
      </c>
      <c r="HW341">
        <v>203</v>
      </c>
      <c r="HY341" s="24"/>
      <c r="HZ341">
        <v>9228</v>
      </c>
      <c r="IA341">
        <v>9766</v>
      </c>
      <c r="IB341">
        <v>9489</v>
      </c>
      <c r="IC341">
        <v>2169145</v>
      </c>
      <c r="ID341">
        <v>476</v>
      </c>
      <c r="IF341" s="24"/>
      <c r="IG341">
        <v>3049</v>
      </c>
      <c r="IH341">
        <v>3597</v>
      </c>
      <c r="II341">
        <v>3099</v>
      </c>
      <c r="IJ341">
        <v>1951283</v>
      </c>
      <c r="IK341">
        <v>177</v>
      </c>
      <c r="IM341" s="24"/>
      <c r="IN341">
        <v>86007031</v>
      </c>
      <c r="IO341">
        <v>90999971</v>
      </c>
      <c r="IP341">
        <v>90998998</v>
      </c>
      <c r="IQ341">
        <v>104</v>
      </c>
      <c r="IR341">
        <v>60</v>
      </c>
      <c r="IT341" s="24"/>
      <c r="IU341">
        <v>8099</v>
      </c>
      <c r="IV341">
        <v>8200</v>
      </c>
      <c r="IW341">
        <v>8100</v>
      </c>
      <c r="IX341">
        <v>1954178</v>
      </c>
      <c r="IY341">
        <v>167</v>
      </c>
      <c r="JA341" s="24"/>
      <c r="JB341">
        <v>90003001</v>
      </c>
      <c r="JC341">
        <v>93943994</v>
      </c>
      <c r="JD341">
        <v>91504000</v>
      </c>
      <c r="JE341">
        <v>119</v>
      </c>
      <c r="JF341">
        <v>88</v>
      </c>
      <c r="JH341" s="24"/>
      <c r="JI341">
        <v>90004009</v>
      </c>
      <c r="JJ341">
        <v>92700974</v>
      </c>
      <c r="JK341">
        <v>91634928</v>
      </c>
      <c r="JL341">
        <v>47</v>
      </c>
      <c r="JM341">
        <v>34</v>
      </c>
      <c r="JO341" s="24"/>
      <c r="JP341">
        <v>90</v>
      </c>
      <c r="JQ341">
        <v>94</v>
      </c>
      <c r="JR341">
        <v>91</v>
      </c>
      <c r="JS341">
        <v>155934147</v>
      </c>
      <c r="JT341">
        <v>119</v>
      </c>
      <c r="JV341" s="24"/>
      <c r="JW341">
        <v>98</v>
      </c>
      <c r="JX341">
        <v>101</v>
      </c>
      <c r="JY341">
        <v>101</v>
      </c>
      <c r="JZ341">
        <v>191873853</v>
      </c>
      <c r="KA341">
        <v>143</v>
      </c>
      <c r="KC341" s="24"/>
      <c r="KD341">
        <v>20</v>
      </c>
      <c r="KE341">
        <v>21</v>
      </c>
      <c r="KF341">
        <v>20</v>
      </c>
      <c r="KG341">
        <v>58040791</v>
      </c>
      <c r="KH341">
        <v>325</v>
      </c>
      <c r="KJ341" s="24"/>
      <c r="KK341">
        <v>100</v>
      </c>
      <c r="KL341">
        <v>104</v>
      </c>
      <c r="KM341">
        <v>104</v>
      </c>
      <c r="KN341">
        <v>170240511</v>
      </c>
      <c r="KO341">
        <v>147</v>
      </c>
      <c r="KQ341" s="24"/>
      <c r="KR341">
        <v>123025</v>
      </c>
      <c r="KS341">
        <v>124000</v>
      </c>
      <c r="KT341">
        <v>123250</v>
      </c>
      <c r="KU341">
        <v>53584</v>
      </c>
      <c r="KV341">
        <v>648</v>
      </c>
      <c r="KX341" s="24"/>
      <c r="KY341">
        <v>809</v>
      </c>
      <c r="KZ341">
        <v>809</v>
      </c>
      <c r="LA341">
        <v>809</v>
      </c>
      <c r="LB341">
        <v>9362071</v>
      </c>
      <c r="LC341">
        <v>215</v>
      </c>
      <c r="LE341" s="24"/>
      <c r="LF341">
        <v>180003</v>
      </c>
      <c r="LG341">
        <v>180602</v>
      </c>
      <c r="LH341">
        <v>180601</v>
      </c>
      <c r="LI341">
        <v>146232</v>
      </c>
      <c r="LJ341">
        <v>886</v>
      </c>
      <c r="LL341" s="24"/>
      <c r="LM341">
        <v>63763</v>
      </c>
      <c r="LN341">
        <v>63898</v>
      </c>
      <c r="LO341">
        <v>63763</v>
      </c>
      <c r="LP341">
        <v>376787</v>
      </c>
      <c r="LQ341">
        <v>1262</v>
      </c>
      <c r="LS341" s="24"/>
      <c r="LT341">
        <v>440</v>
      </c>
      <c r="LU341">
        <v>452</v>
      </c>
      <c r="LV341">
        <v>451</v>
      </c>
      <c r="LW341">
        <v>106540789</v>
      </c>
      <c r="LX341">
        <v>405</v>
      </c>
      <c r="LZ341" s="24"/>
      <c r="MA341">
        <v>97282</v>
      </c>
      <c r="MB341">
        <v>99999</v>
      </c>
      <c r="MC341">
        <v>99999</v>
      </c>
      <c r="MD341">
        <v>935550</v>
      </c>
      <c r="ME341">
        <v>76</v>
      </c>
    </row>
    <row r="342" spans="2:343" x14ac:dyDescent="0.25">
      <c r="B342" s="24"/>
      <c r="C342">
        <v>3</v>
      </c>
      <c r="D342">
        <v>3</v>
      </c>
      <c r="E342">
        <v>3</v>
      </c>
      <c r="F342">
        <v>24670160409</v>
      </c>
      <c r="G342">
        <v>2646</v>
      </c>
      <c r="I342" s="24"/>
      <c r="J342">
        <v>4</v>
      </c>
      <c r="K342">
        <v>4</v>
      </c>
      <c r="L342">
        <v>4</v>
      </c>
      <c r="M342">
        <v>5521813676</v>
      </c>
      <c r="N342">
        <v>1936</v>
      </c>
      <c r="P342" s="24"/>
      <c r="Q342">
        <v>33</v>
      </c>
      <c r="R342">
        <v>33</v>
      </c>
      <c r="S342">
        <v>33</v>
      </c>
      <c r="T342">
        <v>1793172316</v>
      </c>
      <c r="U342">
        <v>1817</v>
      </c>
      <c r="W342" s="24"/>
      <c r="X342">
        <v>60</v>
      </c>
      <c r="Y342">
        <v>60</v>
      </c>
      <c r="Z342">
        <v>60</v>
      </c>
      <c r="AA342">
        <v>421685354</v>
      </c>
      <c r="AB342">
        <v>1424</v>
      </c>
      <c r="AD342" s="24"/>
      <c r="AE342">
        <v>500</v>
      </c>
      <c r="AF342">
        <v>509</v>
      </c>
      <c r="AG342">
        <v>507</v>
      </c>
      <c r="AH342">
        <v>98185710</v>
      </c>
      <c r="AI342">
        <v>1492</v>
      </c>
      <c r="AK342" s="24"/>
      <c r="AL342">
        <v>782</v>
      </c>
      <c r="AM342">
        <v>787</v>
      </c>
      <c r="AN342">
        <v>787</v>
      </c>
      <c r="AO342">
        <v>36612813</v>
      </c>
      <c r="AP342">
        <v>1288</v>
      </c>
      <c r="AR342" s="24"/>
      <c r="AS342">
        <v>2710</v>
      </c>
      <c r="AT342">
        <v>2799</v>
      </c>
      <c r="AU342">
        <v>2783</v>
      </c>
      <c r="AV342">
        <v>12029689</v>
      </c>
      <c r="AW342">
        <v>1220</v>
      </c>
      <c r="AY342" s="24"/>
      <c r="AZ342">
        <v>425321302</v>
      </c>
      <c r="BA342">
        <v>433988000</v>
      </c>
      <c r="BB342">
        <v>431500000</v>
      </c>
      <c r="BC342">
        <v>2929</v>
      </c>
      <c r="BD342">
        <v>1954</v>
      </c>
      <c r="BF342" s="24"/>
      <c r="BG342">
        <v>24601</v>
      </c>
      <c r="BH342">
        <v>24620</v>
      </c>
      <c r="BI342">
        <v>24620</v>
      </c>
      <c r="BJ342">
        <v>3034321</v>
      </c>
      <c r="BK342">
        <v>240</v>
      </c>
      <c r="BM342" s="24"/>
      <c r="BN342">
        <v>7200530</v>
      </c>
      <c r="BO342">
        <v>7300229</v>
      </c>
      <c r="BP342">
        <v>7200546</v>
      </c>
      <c r="BQ342">
        <v>13144</v>
      </c>
      <c r="BR342">
        <v>399</v>
      </c>
      <c r="BT342" s="24"/>
      <c r="BU342">
        <v>2155</v>
      </c>
      <c r="BV342">
        <v>2189</v>
      </c>
      <c r="BW342">
        <v>2189</v>
      </c>
      <c r="BX342">
        <v>23899564</v>
      </c>
      <c r="BY342">
        <v>270</v>
      </c>
      <c r="CA342" s="24"/>
      <c r="CB342">
        <v>879</v>
      </c>
      <c r="CC342">
        <v>887</v>
      </c>
      <c r="CD342">
        <v>887</v>
      </c>
      <c r="CE342">
        <v>58861659</v>
      </c>
      <c r="CF342">
        <v>266</v>
      </c>
      <c r="CH342" s="24"/>
      <c r="CI342">
        <v>26900</v>
      </c>
      <c r="CJ342">
        <v>26900</v>
      </c>
      <c r="CK342">
        <v>26900</v>
      </c>
      <c r="CL342">
        <v>801930</v>
      </c>
      <c r="CM342">
        <v>147</v>
      </c>
      <c r="CO342" s="24"/>
      <c r="CP342">
        <v>10504</v>
      </c>
      <c r="CQ342">
        <v>11037</v>
      </c>
      <c r="CR342">
        <v>11033</v>
      </c>
      <c r="CS342">
        <v>1128088</v>
      </c>
      <c r="CT342">
        <v>430</v>
      </c>
      <c r="CV342" s="24"/>
      <c r="CW342">
        <v>1080000</v>
      </c>
      <c r="CX342">
        <v>1119999</v>
      </c>
      <c r="CY342">
        <v>1119999</v>
      </c>
      <c r="CZ342">
        <v>12265</v>
      </c>
      <c r="DA342">
        <v>35</v>
      </c>
      <c r="DC342" s="24"/>
      <c r="DD342">
        <v>481</v>
      </c>
      <c r="DE342">
        <v>483</v>
      </c>
      <c r="DF342">
        <v>482</v>
      </c>
      <c r="DG342">
        <v>43838839</v>
      </c>
      <c r="DH342">
        <v>206</v>
      </c>
      <c r="DJ342" s="24"/>
      <c r="DK342">
        <v>32403020</v>
      </c>
      <c r="DL342">
        <v>33499000</v>
      </c>
      <c r="DM342">
        <v>32404004</v>
      </c>
      <c r="DN342">
        <v>239</v>
      </c>
      <c r="DO342">
        <v>67</v>
      </c>
      <c r="DQ342" s="24"/>
      <c r="DR342">
        <v>1010005</v>
      </c>
      <c r="DS342">
        <v>1050005</v>
      </c>
      <c r="DT342">
        <v>1011000</v>
      </c>
      <c r="DU342">
        <v>9317</v>
      </c>
      <c r="DV342">
        <v>243</v>
      </c>
      <c r="DX342" s="24"/>
      <c r="DY342">
        <v>20712111</v>
      </c>
      <c r="DZ342">
        <v>21800000</v>
      </c>
      <c r="EA342">
        <v>21702000</v>
      </c>
      <c r="EB342">
        <v>586</v>
      </c>
      <c r="EC342">
        <v>140</v>
      </c>
      <c r="EE342" s="24"/>
      <c r="EF342">
        <v>194</v>
      </c>
      <c r="EG342">
        <v>201</v>
      </c>
      <c r="EH342">
        <v>200</v>
      </c>
      <c r="EI342">
        <v>146594881</v>
      </c>
      <c r="EJ342">
        <v>257</v>
      </c>
      <c r="EL342" s="24"/>
      <c r="EM342">
        <v>52000</v>
      </c>
      <c r="EN342">
        <v>52003</v>
      </c>
      <c r="EO342">
        <v>52001</v>
      </c>
      <c r="EP342">
        <v>88711</v>
      </c>
      <c r="EQ342">
        <v>727</v>
      </c>
      <c r="ES342" s="24"/>
      <c r="ET342">
        <v>300</v>
      </c>
      <c r="EU342">
        <v>309</v>
      </c>
      <c r="EV342">
        <v>308</v>
      </c>
      <c r="EW342">
        <v>44244027</v>
      </c>
      <c r="EX342">
        <v>609</v>
      </c>
      <c r="EZ342" s="24"/>
      <c r="FA342">
        <v>3000028</v>
      </c>
      <c r="FB342">
        <v>3112868</v>
      </c>
      <c r="FC342">
        <v>3100000</v>
      </c>
      <c r="FD342">
        <v>4490</v>
      </c>
      <c r="FE342">
        <v>42</v>
      </c>
      <c r="FG342" s="24"/>
      <c r="FH342">
        <v>10747</v>
      </c>
      <c r="FI342">
        <v>11049</v>
      </c>
      <c r="FJ342">
        <v>10750</v>
      </c>
      <c r="FK342">
        <v>2218804</v>
      </c>
      <c r="FL342">
        <v>523</v>
      </c>
      <c r="FN342" s="24"/>
      <c r="FO342">
        <v>18714</v>
      </c>
      <c r="FP342">
        <v>19627</v>
      </c>
      <c r="FQ342">
        <v>19626</v>
      </c>
      <c r="FR342">
        <v>224880</v>
      </c>
      <c r="FS342">
        <v>108</v>
      </c>
      <c r="FU342" s="24"/>
      <c r="FV342">
        <v>13516</v>
      </c>
      <c r="FW342">
        <v>13738</v>
      </c>
      <c r="FX342">
        <v>13704</v>
      </c>
      <c r="FY342">
        <v>376867</v>
      </c>
      <c r="FZ342">
        <v>1284</v>
      </c>
      <c r="GB342" s="24"/>
      <c r="GC342">
        <v>88430125</v>
      </c>
      <c r="GD342">
        <v>91000000</v>
      </c>
      <c r="GE342">
        <v>90999999</v>
      </c>
      <c r="GF342">
        <v>108</v>
      </c>
      <c r="GG342">
        <v>72</v>
      </c>
      <c r="GI342" s="24"/>
      <c r="GJ342">
        <v>17482200</v>
      </c>
      <c r="GK342">
        <v>18249998</v>
      </c>
      <c r="GL342">
        <v>17570000</v>
      </c>
      <c r="GM342">
        <v>671</v>
      </c>
      <c r="GN342">
        <v>94</v>
      </c>
      <c r="GP342" s="24"/>
      <c r="GQ342">
        <v>106</v>
      </c>
      <c r="GR342">
        <v>110</v>
      </c>
      <c r="GS342">
        <v>110</v>
      </c>
      <c r="GT342">
        <v>197150115</v>
      </c>
      <c r="GU342">
        <v>171</v>
      </c>
      <c r="GW342" s="24"/>
      <c r="GX342">
        <v>408</v>
      </c>
      <c r="GY342">
        <v>414</v>
      </c>
      <c r="GZ342">
        <v>410</v>
      </c>
      <c r="HA342">
        <v>73818377</v>
      </c>
      <c r="HB342">
        <v>252</v>
      </c>
      <c r="HD342" s="24"/>
      <c r="HE342">
        <v>5405</v>
      </c>
      <c r="HF342">
        <v>5501</v>
      </c>
      <c r="HG342">
        <v>5500</v>
      </c>
      <c r="HH342">
        <v>19140186</v>
      </c>
      <c r="HI342">
        <v>322</v>
      </c>
      <c r="HK342" s="24"/>
      <c r="HL342">
        <v>91324001</v>
      </c>
      <c r="HM342">
        <v>99991997</v>
      </c>
      <c r="HN342">
        <v>97665553</v>
      </c>
      <c r="HO342">
        <v>156</v>
      </c>
      <c r="HP342">
        <v>110</v>
      </c>
      <c r="HR342" s="24"/>
      <c r="HS342">
        <v>9132</v>
      </c>
      <c r="HT342">
        <v>9648</v>
      </c>
      <c r="HU342">
        <v>9500</v>
      </c>
      <c r="HV342">
        <v>1366797</v>
      </c>
      <c r="HW342">
        <v>215</v>
      </c>
      <c r="HY342" s="24"/>
      <c r="HZ342">
        <v>9260</v>
      </c>
      <c r="IA342">
        <v>9550</v>
      </c>
      <c r="IB342">
        <v>9523</v>
      </c>
      <c r="IC342">
        <v>2166982</v>
      </c>
      <c r="ID342">
        <v>519</v>
      </c>
      <c r="IF342" s="24"/>
      <c r="IG342">
        <v>3026</v>
      </c>
      <c r="IH342">
        <v>3596</v>
      </c>
      <c r="II342">
        <v>3577</v>
      </c>
      <c r="IJ342">
        <v>1407625</v>
      </c>
      <c r="IK342">
        <v>147</v>
      </c>
      <c r="IM342" s="24"/>
      <c r="IN342">
        <v>87500021</v>
      </c>
      <c r="IO342">
        <v>98448994</v>
      </c>
      <c r="IP342">
        <v>94173464</v>
      </c>
      <c r="IQ342">
        <v>89</v>
      </c>
      <c r="IR342">
        <v>79</v>
      </c>
      <c r="IT342" s="24"/>
      <c r="IU342">
        <v>8400</v>
      </c>
      <c r="IV342">
        <v>8484</v>
      </c>
      <c r="IW342">
        <v>8484</v>
      </c>
      <c r="IX342">
        <v>1023395</v>
      </c>
      <c r="IY342">
        <v>150</v>
      </c>
      <c r="JA342" s="24"/>
      <c r="JB342">
        <v>90005257</v>
      </c>
      <c r="JC342">
        <v>92700000</v>
      </c>
      <c r="JD342">
        <v>92599999</v>
      </c>
      <c r="JE342">
        <v>132</v>
      </c>
      <c r="JF342">
        <v>106</v>
      </c>
      <c r="JH342" s="24"/>
      <c r="JI342">
        <v>90815729</v>
      </c>
      <c r="JJ342">
        <v>92700972</v>
      </c>
      <c r="JK342">
        <v>92137233</v>
      </c>
      <c r="JL342">
        <v>59</v>
      </c>
      <c r="JM342">
        <v>41</v>
      </c>
      <c r="JO342" s="24"/>
      <c r="JP342">
        <v>95</v>
      </c>
      <c r="JQ342">
        <v>96</v>
      </c>
      <c r="JR342">
        <v>96</v>
      </c>
      <c r="JS342">
        <v>101215051</v>
      </c>
      <c r="JT342">
        <v>106</v>
      </c>
      <c r="JV342" s="24"/>
      <c r="JW342">
        <v>99</v>
      </c>
      <c r="JX342">
        <v>102</v>
      </c>
      <c r="JY342">
        <v>101</v>
      </c>
      <c r="JZ342">
        <v>172255742</v>
      </c>
      <c r="KA342">
        <v>152</v>
      </c>
      <c r="KC342" s="24"/>
      <c r="KD342">
        <v>20</v>
      </c>
      <c r="KE342">
        <v>21</v>
      </c>
      <c r="KF342">
        <v>21</v>
      </c>
      <c r="KG342">
        <v>51062378</v>
      </c>
      <c r="KH342">
        <v>297</v>
      </c>
      <c r="KJ342" s="24"/>
      <c r="KK342">
        <v>102</v>
      </c>
      <c r="KL342">
        <v>108</v>
      </c>
      <c r="KM342">
        <v>104</v>
      </c>
      <c r="KN342">
        <v>167795160</v>
      </c>
      <c r="KO342">
        <v>155</v>
      </c>
      <c r="KQ342" s="24"/>
      <c r="KR342">
        <v>123500</v>
      </c>
      <c r="KS342">
        <v>123899</v>
      </c>
      <c r="KT342">
        <v>123600</v>
      </c>
      <c r="KU342">
        <v>100314</v>
      </c>
      <c r="KV342">
        <v>700</v>
      </c>
      <c r="KX342" s="24"/>
      <c r="KY342">
        <v>809</v>
      </c>
      <c r="KZ342">
        <v>809</v>
      </c>
      <c r="LA342">
        <v>809</v>
      </c>
      <c r="LB342">
        <v>12855740</v>
      </c>
      <c r="LC342">
        <v>220</v>
      </c>
      <c r="LE342" s="24"/>
      <c r="LF342">
        <v>180601</v>
      </c>
      <c r="LG342">
        <v>184741</v>
      </c>
      <c r="LH342">
        <v>180601</v>
      </c>
      <c r="LI342">
        <v>140142</v>
      </c>
      <c r="LJ342">
        <v>995</v>
      </c>
      <c r="LL342" s="24"/>
      <c r="LM342">
        <v>64002</v>
      </c>
      <c r="LN342">
        <v>64008</v>
      </c>
      <c r="LO342">
        <v>64003</v>
      </c>
      <c r="LP342">
        <v>433441</v>
      </c>
      <c r="LQ342">
        <v>1361</v>
      </c>
      <c r="LS342" s="24"/>
      <c r="LT342">
        <v>451</v>
      </c>
      <c r="LU342">
        <v>451</v>
      </c>
      <c r="LV342">
        <v>451</v>
      </c>
      <c r="LW342">
        <v>118953549</v>
      </c>
      <c r="LX342">
        <v>367</v>
      </c>
      <c r="LZ342" s="24"/>
      <c r="MA342">
        <v>98000</v>
      </c>
      <c r="MB342">
        <v>99999</v>
      </c>
      <c r="MC342">
        <v>99999</v>
      </c>
      <c r="MD342">
        <v>1360394</v>
      </c>
      <c r="ME342">
        <v>93</v>
      </c>
    </row>
    <row r="343" spans="2:343" x14ac:dyDescent="0.25">
      <c r="B343" s="24"/>
      <c r="C343">
        <v>3</v>
      </c>
      <c r="D343">
        <v>3</v>
      </c>
      <c r="E343">
        <v>3</v>
      </c>
      <c r="F343">
        <v>44433193031</v>
      </c>
      <c r="G343">
        <v>2385</v>
      </c>
      <c r="I343" s="24"/>
      <c r="J343">
        <v>4</v>
      </c>
      <c r="K343">
        <v>4</v>
      </c>
      <c r="L343">
        <v>4</v>
      </c>
      <c r="M343">
        <v>5579192725</v>
      </c>
      <c r="N343">
        <v>1698</v>
      </c>
      <c r="P343" s="24"/>
      <c r="Q343">
        <v>33</v>
      </c>
      <c r="R343">
        <v>33</v>
      </c>
      <c r="S343">
        <v>33</v>
      </c>
      <c r="T343">
        <v>1270549691</v>
      </c>
      <c r="U343">
        <v>1557</v>
      </c>
      <c r="W343" s="24"/>
      <c r="X343">
        <v>60</v>
      </c>
      <c r="Y343">
        <v>61</v>
      </c>
      <c r="Z343">
        <v>61</v>
      </c>
      <c r="AA343">
        <v>290521342</v>
      </c>
      <c r="AB343">
        <v>1245</v>
      </c>
      <c r="AD343" s="24"/>
      <c r="AE343">
        <v>500</v>
      </c>
      <c r="AF343">
        <v>507</v>
      </c>
      <c r="AG343">
        <v>502</v>
      </c>
      <c r="AH343">
        <v>110012539</v>
      </c>
      <c r="AI343">
        <v>1338</v>
      </c>
      <c r="AK343" s="24"/>
      <c r="AL343">
        <v>788</v>
      </c>
      <c r="AM343">
        <v>793</v>
      </c>
      <c r="AN343">
        <v>790</v>
      </c>
      <c r="AO343">
        <v>39320853</v>
      </c>
      <c r="AP343">
        <v>1118</v>
      </c>
      <c r="AR343" s="24"/>
      <c r="AS343">
        <v>2707</v>
      </c>
      <c r="AT343">
        <v>2799</v>
      </c>
      <c r="AU343">
        <v>2710</v>
      </c>
      <c r="AV343">
        <v>14543726</v>
      </c>
      <c r="AW343">
        <v>1153</v>
      </c>
      <c r="AY343" s="24"/>
      <c r="AZ343">
        <v>421370011</v>
      </c>
      <c r="BA343">
        <v>431121480</v>
      </c>
      <c r="BB343">
        <v>429399000</v>
      </c>
      <c r="BC343">
        <v>2727</v>
      </c>
      <c r="BD343">
        <v>1783</v>
      </c>
      <c r="BF343" s="24"/>
      <c r="BG343">
        <v>25000</v>
      </c>
      <c r="BH343">
        <v>25203</v>
      </c>
      <c r="BI343">
        <v>25003</v>
      </c>
      <c r="BJ343">
        <v>5893205</v>
      </c>
      <c r="BK343">
        <v>220</v>
      </c>
      <c r="BM343" s="24"/>
      <c r="BN343">
        <v>7166204</v>
      </c>
      <c r="BO343">
        <v>7189897</v>
      </c>
      <c r="BP343">
        <v>7167000</v>
      </c>
      <c r="BQ343">
        <v>10128</v>
      </c>
      <c r="BR343">
        <v>307</v>
      </c>
      <c r="BT343" s="24"/>
      <c r="BU343">
        <v>2150</v>
      </c>
      <c r="BV343">
        <v>2189</v>
      </c>
      <c r="BW343">
        <v>2189</v>
      </c>
      <c r="BX343">
        <v>25475451</v>
      </c>
      <c r="BY343">
        <v>239</v>
      </c>
      <c r="CA343" s="24"/>
      <c r="CB343">
        <v>889</v>
      </c>
      <c r="CC343">
        <v>969</v>
      </c>
      <c r="CD343">
        <v>899</v>
      </c>
      <c r="CE343">
        <v>50826461</v>
      </c>
      <c r="CF343">
        <v>276</v>
      </c>
      <c r="CH343" s="24"/>
      <c r="CI343">
        <v>27151</v>
      </c>
      <c r="CJ343">
        <v>27151</v>
      </c>
      <c r="CK343">
        <v>27151</v>
      </c>
      <c r="CL343">
        <v>2039145</v>
      </c>
      <c r="CM343">
        <v>167</v>
      </c>
      <c r="CO343" s="24"/>
      <c r="CP343">
        <v>10530</v>
      </c>
      <c r="CQ343">
        <v>11084</v>
      </c>
      <c r="CR343">
        <v>11041</v>
      </c>
      <c r="CS343">
        <v>1479681</v>
      </c>
      <c r="CT343">
        <v>403</v>
      </c>
      <c r="CV343" s="24"/>
      <c r="CW343">
        <v>1047612</v>
      </c>
      <c r="CX343">
        <v>1073512</v>
      </c>
      <c r="CY343">
        <v>1070002</v>
      </c>
      <c r="CZ343">
        <v>18390</v>
      </c>
      <c r="DA343">
        <v>47</v>
      </c>
      <c r="DC343" s="24"/>
      <c r="DD343">
        <v>483</v>
      </c>
      <c r="DE343">
        <v>485</v>
      </c>
      <c r="DF343">
        <v>484</v>
      </c>
      <c r="DG343">
        <v>63714052</v>
      </c>
      <c r="DH343">
        <v>217</v>
      </c>
      <c r="DJ343" s="24"/>
      <c r="DK343">
        <v>30200303</v>
      </c>
      <c r="DL343">
        <v>32404004</v>
      </c>
      <c r="DM343">
        <v>32403017</v>
      </c>
      <c r="DN343">
        <v>366</v>
      </c>
      <c r="DO343">
        <v>60</v>
      </c>
      <c r="DQ343" s="24"/>
      <c r="DR343">
        <v>1011000</v>
      </c>
      <c r="DS343">
        <v>1011002</v>
      </c>
      <c r="DT343">
        <v>1011000</v>
      </c>
      <c r="DU343">
        <v>9076</v>
      </c>
      <c r="DV343">
        <v>224</v>
      </c>
      <c r="DX343" s="24"/>
      <c r="DY343">
        <v>21601002</v>
      </c>
      <c r="DZ343">
        <v>22999999</v>
      </c>
      <c r="EA343">
        <v>21650007</v>
      </c>
      <c r="EB343">
        <v>658</v>
      </c>
      <c r="EC343">
        <v>129</v>
      </c>
      <c r="EE343" s="24"/>
      <c r="EF343">
        <v>195</v>
      </c>
      <c r="EG343">
        <v>201</v>
      </c>
      <c r="EH343">
        <v>201</v>
      </c>
      <c r="EI343">
        <v>82754895</v>
      </c>
      <c r="EJ343">
        <v>183</v>
      </c>
      <c r="EL343" s="24"/>
      <c r="EM343">
        <v>52000</v>
      </c>
      <c r="EN343">
        <v>52250</v>
      </c>
      <c r="EO343">
        <v>52000</v>
      </c>
      <c r="EP343">
        <v>104658</v>
      </c>
      <c r="EQ343">
        <v>617</v>
      </c>
      <c r="ES343" s="24"/>
      <c r="ET343">
        <v>311</v>
      </c>
      <c r="EU343">
        <v>370</v>
      </c>
      <c r="EV343">
        <v>350</v>
      </c>
      <c r="EW343">
        <v>80098214</v>
      </c>
      <c r="EX343">
        <v>584</v>
      </c>
      <c r="EZ343" s="24"/>
      <c r="FA343">
        <v>3187686</v>
      </c>
      <c r="FB343">
        <v>3219999</v>
      </c>
      <c r="FC343">
        <v>3187686</v>
      </c>
      <c r="FD343">
        <v>1534</v>
      </c>
      <c r="FE343">
        <v>15</v>
      </c>
      <c r="FG343" s="24"/>
      <c r="FH343">
        <v>10750</v>
      </c>
      <c r="FI343">
        <v>11970</v>
      </c>
      <c r="FJ343">
        <v>11049</v>
      </c>
      <c r="FK343">
        <v>3818953</v>
      </c>
      <c r="FL343">
        <v>550</v>
      </c>
      <c r="FN343" s="24"/>
      <c r="FO343">
        <v>18720</v>
      </c>
      <c r="FP343">
        <v>19626</v>
      </c>
      <c r="FQ343">
        <v>19626</v>
      </c>
      <c r="FR343">
        <v>137987</v>
      </c>
      <c r="FS343">
        <v>79</v>
      </c>
      <c r="FU343" s="24"/>
      <c r="FV343">
        <v>13823</v>
      </c>
      <c r="FW343">
        <v>13901</v>
      </c>
      <c r="FX343">
        <v>13823</v>
      </c>
      <c r="FY343">
        <v>502988</v>
      </c>
      <c r="FZ343">
        <v>1034</v>
      </c>
      <c r="GB343" s="24"/>
      <c r="GC343">
        <v>91589957</v>
      </c>
      <c r="GD343">
        <v>94993996</v>
      </c>
      <c r="GE343">
        <v>92970900</v>
      </c>
      <c r="GF343">
        <v>59</v>
      </c>
      <c r="GG343">
        <v>50</v>
      </c>
      <c r="GI343" s="24"/>
      <c r="GJ343">
        <v>18001010</v>
      </c>
      <c r="GK343">
        <v>18599998</v>
      </c>
      <c r="GL343">
        <v>18001010</v>
      </c>
      <c r="GM343">
        <v>906</v>
      </c>
      <c r="GN343">
        <v>105</v>
      </c>
      <c r="GP343" s="24"/>
      <c r="GQ343">
        <v>102</v>
      </c>
      <c r="GR343">
        <v>109</v>
      </c>
      <c r="GS343">
        <v>106</v>
      </c>
      <c r="GT343">
        <v>156538108</v>
      </c>
      <c r="GU343">
        <v>131</v>
      </c>
      <c r="GW343" s="24"/>
      <c r="GX343">
        <v>410</v>
      </c>
      <c r="GY343">
        <v>433</v>
      </c>
      <c r="GZ343">
        <v>424</v>
      </c>
      <c r="HA343">
        <v>57961727</v>
      </c>
      <c r="HB343">
        <v>238</v>
      </c>
      <c r="HD343" s="24"/>
      <c r="HE343">
        <v>5502</v>
      </c>
      <c r="HF343">
        <v>5572</v>
      </c>
      <c r="HG343">
        <v>5572</v>
      </c>
      <c r="HH343">
        <v>16005174</v>
      </c>
      <c r="HI343">
        <v>280</v>
      </c>
      <c r="HK343" s="24"/>
      <c r="HL343">
        <v>91315012</v>
      </c>
      <c r="HM343">
        <v>94540996</v>
      </c>
      <c r="HN343">
        <v>91324001</v>
      </c>
      <c r="HO343">
        <v>162</v>
      </c>
      <c r="HP343">
        <v>110</v>
      </c>
      <c r="HR343" s="24"/>
      <c r="HS343">
        <v>9201</v>
      </c>
      <c r="HT343">
        <v>9900</v>
      </c>
      <c r="HU343">
        <v>9202</v>
      </c>
      <c r="HV343">
        <v>700423</v>
      </c>
      <c r="HW343">
        <v>131</v>
      </c>
      <c r="HY343" s="24"/>
      <c r="HZ343">
        <v>9549</v>
      </c>
      <c r="IA343">
        <v>9999</v>
      </c>
      <c r="IB343">
        <v>9771</v>
      </c>
      <c r="IC343">
        <v>2284918</v>
      </c>
      <c r="ID343">
        <v>447</v>
      </c>
      <c r="IF343" s="24"/>
      <c r="IG343">
        <v>3579</v>
      </c>
      <c r="IH343">
        <v>3579</v>
      </c>
      <c r="II343">
        <v>3579</v>
      </c>
      <c r="IJ343">
        <v>1500107</v>
      </c>
      <c r="IK343">
        <v>141</v>
      </c>
      <c r="IM343" s="24"/>
      <c r="IN343">
        <v>87507000</v>
      </c>
      <c r="IO343">
        <v>96999999</v>
      </c>
      <c r="IP343">
        <v>95216868</v>
      </c>
      <c r="IQ343">
        <v>56</v>
      </c>
      <c r="IR343">
        <v>50</v>
      </c>
      <c r="IT343" s="24"/>
      <c r="IU343">
        <v>8483</v>
      </c>
      <c r="IV343">
        <v>8483</v>
      </c>
      <c r="IW343">
        <v>8483</v>
      </c>
      <c r="IX343">
        <v>974281</v>
      </c>
      <c r="IY343">
        <v>126</v>
      </c>
      <c r="JA343" s="24"/>
      <c r="JB343">
        <v>91006001</v>
      </c>
      <c r="JC343">
        <v>93943996</v>
      </c>
      <c r="JD343">
        <v>92698997</v>
      </c>
      <c r="JE343">
        <v>104</v>
      </c>
      <c r="JF343">
        <v>79</v>
      </c>
      <c r="JH343" s="24"/>
      <c r="JI343">
        <v>90950000</v>
      </c>
      <c r="JJ343">
        <v>93173993</v>
      </c>
      <c r="JK343">
        <v>92276980</v>
      </c>
      <c r="JL343">
        <v>53</v>
      </c>
      <c r="JM343">
        <v>44</v>
      </c>
      <c r="JO343" s="24"/>
      <c r="JP343">
        <v>93</v>
      </c>
      <c r="JQ343">
        <v>96</v>
      </c>
      <c r="JR343">
        <v>96</v>
      </c>
      <c r="JS343">
        <v>92506770</v>
      </c>
      <c r="JT343">
        <v>112</v>
      </c>
      <c r="JV343" s="24"/>
      <c r="JW343">
        <v>98</v>
      </c>
      <c r="JX343">
        <v>102</v>
      </c>
      <c r="JY343">
        <v>99</v>
      </c>
      <c r="JZ343">
        <v>130601077</v>
      </c>
      <c r="KA343">
        <v>128</v>
      </c>
      <c r="KC343" s="24"/>
      <c r="KD343">
        <v>22</v>
      </c>
      <c r="KE343">
        <v>99</v>
      </c>
      <c r="KF343">
        <v>39</v>
      </c>
      <c r="KG343">
        <v>195173868</v>
      </c>
      <c r="KH343">
        <v>382</v>
      </c>
      <c r="KJ343" s="24"/>
      <c r="KK343">
        <v>103</v>
      </c>
      <c r="KL343">
        <v>109</v>
      </c>
      <c r="KM343">
        <v>107</v>
      </c>
      <c r="KN343">
        <v>153761722</v>
      </c>
      <c r="KO343">
        <v>133</v>
      </c>
      <c r="KQ343" s="24"/>
      <c r="KR343">
        <v>123025</v>
      </c>
      <c r="KS343">
        <v>127700</v>
      </c>
      <c r="KT343">
        <v>123600</v>
      </c>
      <c r="KU343">
        <v>98108</v>
      </c>
      <c r="KV343">
        <v>556</v>
      </c>
      <c r="KX343" s="24"/>
      <c r="KY343">
        <v>839</v>
      </c>
      <c r="KZ343">
        <v>839</v>
      </c>
      <c r="LA343">
        <v>839</v>
      </c>
      <c r="LB343">
        <v>8630988</v>
      </c>
      <c r="LC343">
        <v>193</v>
      </c>
      <c r="LE343" s="24"/>
      <c r="LF343">
        <v>180002</v>
      </c>
      <c r="LG343">
        <v>180002</v>
      </c>
      <c r="LH343">
        <v>180002</v>
      </c>
      <c r="LI343">
        <v>141672</v>
      </c>
      <c r="LJ343">
        <v>728</v>
      </c>
      <c r="LL343" s="24"/>
      <c r="LM343">
        <v>64000</v>
      </c>
      <c r="LN343">
        <v>64008</v>
      </c>
      <c r="LO343">
        <v>64007</v>
      </c>
      <c r="LP343">
        <v>571986</v>
      </c>
      <c r="LQ343">
        <v>1177</v>
      </c>
      <c r="LS343" s="24"/>
      <c r="LT343">
        <v>450</v>
      </c>
      <c r="LU343">
        <v>451</v>
      </c>
      <c r="LV343">
        <v>451</v>
      </c>
      <c r="LW343">
        <v>167417710</v>
      </c>
      <c r="LX343">
        <v>360</v>
      </c>
      <c r="LZ343" s="24"/>
      <c r="MA343">
        <v>103000</v>
      </c>
      <c r="MB343">
        <v>103992</v>
      </c>
      <c r="MC343">
        <v>103889</v>
      </c>
      <c r="MD343">
        <v>693544</v>
      </c>
      <c r="ME343">
        <v>83</v>
      </c>
    </row>
    <row r="344" spans="2:343" x14ac:dyDescent="0.25">
      <c r="B344" s="24"/>
      <c r="C344">
        <v>3</v>
      </c>
      <c r="D344">
        <v>3</v>
      </c>
      <c r="E344">
        <v>3</v>
      </c>
      <c r="F344">
        <v>45946803965</v>
      </c>
      <c r="G344">
        <v>2301</v>
      </c>
      <c r="I344" s="24"/>
      <c r="J344">
        <v>4</v>
      </c>
      <c r="K344">
        <v>4</v>
      </c>
      <c r="L344">
        <v>4</v>
      </c>
      <c r="M344">
        <v>6433202811</v>
      </c>
      <c r="N344">
        <v>1665</v>
      </c>
      <c r="P344" s="24"/>
      <c r="Q344">
        <v>33</v>
      </c>
      <c r="R344">
        <v>33</v>
      </c>
      <c r="S344">
        <v>33</v>
      </c>
      <c r="T344">
        <v>1708535735</v>
      </c>
      <c r="U344">
        <v>1490</v>
      </c>
      <c r="W344" s="24"/>
      <c r="X344">
        <v>60</v>
      </c>
      <c r="Y344">
        <v>61</v>
      </c>
      <c r="Z344">
        <v>60</v>
      </c>
      <c r="AA344">
        <v>334946015</v>
      </c>
      <c r="AB344">
        <v>1208</v>
      </c>
      <c r="AD344" s="24"/>
      <c r="AE344">
        <v>490</v>
      </c>
      <c r="AF344">
        <v>502</v>
      </c>
      <c r="AG344">
        <v>499</v>
      </c>
      <c r="AH344">
        <v>153356873</v>
      </c>
      <c r="AI344">
        <v>1349</v>
      </c>
      <c r="AK344" s="24"/>
      <c r="AL344">
        <v>793</v>
      </c>
      <c r="AM344">
        <v>811</v>
      </c>
      <c r="AN344">
        <v>809</v>
      </c>
      <c r="AO344">
        <v>44255088</v>
      </c>
      <c r="AP344">
        <v>1095</v>
      </c>
      <c r="AR344" s="24"/>
      <c r="AS344">
        <v>2708</v>
      </c>
      <c r="AT344">
        <v>2798</v>
      </c>
      <c r="AU344">
        <v>2710</v>
      </c>
      <c r="AV344">
        <v>20082189</v>
      </c>
      <c r="AW344">
        <v>1102</v>
      </c>
      <c r="AY344" s="24"/>
      <c r="AZ344">
        <v>424310100</v>
      </c>
      <c r="BA344">
        <v>433500000</v>
      </c>
      <c r="BB344">
        <v>429300000</v>
      </c>
      <c r="BC344">
        <v>2523</v>
      </c>
      <c r="BD344">
        <v>1785</v>
      </c>
      <c r="BF344" s="24"/>
      <c r="BG344">
        <v>24805</v>
      </c>
      <c r="BH344">
        <v>25004</v>
      </c>
      <c r="BI344">
        <v>24851</v>
      </c>
      <c r="BJ344">
        <v>7394073</v>
      </c>
      <c r="BK344">
        <v>222</v>
      </c>
      <c r="BM344" s="24"/>
      <c r="BN344">
        <v>7166211</v>
      </c>
      <c r="BO344">
        <v>7284521</v>
      </c>
      <c r="BP344">
        <v>7166212</v>
      </c>
      <c r="BQ344">
        <v>13808</v>
      </c>
      <c r="BR344">
        <v>319</v>
      </c>
      <c r="BT344" s="24"/>
      <c r="BU344">
        <v>2169</v>
      </c>
      <c r="BV344">
        <v>2187</v>
      </c>
      <c r="BW344">
        <v>2177</v>
      </c>
      <c r="BX344">
        <v>19850945</v>
      </c>
      <c r="BY344">
        <v>198</v>
      </c>
      <c r="CA344" s="24"/>
      <c r="CB344">
        <v>984</v>
      </c>
      <c r="CC344">
        <v>986</v>
      </c>
      <c r="CD344">
        <v>984</v>
      </c>
      <c r="CE344">
        <v>28129744</v>
      </c>
      <c r="CF344">
        <v>197</v>
      </c>
      <c r="CH344" s="24"/>
      <c r="CI344">
        <v>25311</v>
      </c>
      <c r="CJ344">
        <v>27151</v>
      </c>
      <c r="CK344">
        <v>27151</v>
      </c>
      <c r="CL344">
        <v>3894158</v>
      </c>
      <c r="CM344">
        <v>190</v>
      </c>
      <c r="CO344" s="24"/>
      <c r="CP344">
        <v>10999</v>
      </c>
      <c r="CQ344">
        <v>11160</v>
      </c>
      <c r="CR344">
        <v>11105</v>
      </c>
      <c r="CS344">
        <v>1478082</v>
      </c>
      <c r="CT344">
        <v>300</v>
      </c>
      <c r="CV344" s="24"/>
      <c r="CW344">
        <v>1049999</v>
      </c>
      <c r="CX344">
        <v>1053999</v>
      </c>
      <c r="CY344">
        <v>1052999</v>
      </c>
      <c r="CZ344">
        <v>9405</v>
      </c>
      <c r="DA344">
        <v>28</v>
      </c>
      <c r="DC344" s="24"/>
      <c r="DD344">
        <v>501</v>
      </c>
      <c r="DE344">
        <v>543</v>
      </c>
      <c r="DF344">
        <v>502</v>
      </c>
      <c r="DG344">
        <v>70277294</v>
      </c>
      <c r="DH344">
        <v>209</v>
      </c>
      <c r="DJ344" s="24"/>
      <c r="DK344">
        <v>31200002</v>
      </c>
      <c r="DL344">
        <v>32799999</v>
      </c>
      <c r="DM344">
        <v>32500000</v>
      </c>
      <c r="DN344">
        <v>450</v>
      </c>
      <c r="DO344">
        <v>91</v>
      </c>
      <c r="DQ344" s="24"/>
      <c r="DR344">
        <v>1020002</v>
      </c>
      <c r="DS344">
        <v>1094999</v>
      </c>
      <c r="DT344">
        <v>1050000</v>
      </c>
      <c r="DU344">
        <v>9899</v>
      </c>
      <c r="DV344">
        <v>219</v>
      </c>
      <c r="DX344" s="24"/>
      <c r="DY344">
        <v>21650008</v>
      </c>
      <c r="DZ344">
        <v>22000000</v>
      </c>
      <c r="EA344">
        <v>21652000</v>
      </c>
      <c r="EB344">
        <v>535</v>
      </c>
      <c r="EC344">
        <v>110</v>
      </c>
      <c r="EE344" s="24"/>
      <c r="EF344">
        <v>193</v>
      </c>
      <c r="EG344">
        <v>200</v>
      </c>
      <c r="EH344">
        <v>195</v>
      </c>
      <c r="EI344">
        <v>109795074</v>
      </c>
      <c r="EJ344">
        <v>180</v>
      </c>
      <c r="EL344" s="24"/>
      <c r="EM344">
        <v>52255</v>
      </c>
      <c r="EN344">
        <v>53000</v>
      </c>
      <c r="EO344">
        <v>52511</v>
      </c>
      <c r="EP344">
        <v>65913</v>
      </c>
      <c r="EQ344">
        <v>595</v>
      </c>
      <c r="ES344" s="24"/>
      <c r="ET344">
        <v>349</v>
      </c>
      <c r="EU344">
        <v>395</v>
      </c>
      <c r="EV344">
        <v>370</v>
      </c>
      <c r="EW344">
        <v>252352043</v>
      </c>
      <c r="EX344">
        <v>595</v>
      </c>
      <c r="EZ344" s="24"/>
      <c r="FA344">
        <v>3100001</v>
      </c>
      <c r="FB344">
        <v>3210000</v>
      </c>
      <c r="FC344">
        <v>3210000</v>
      </c>
      <c r="FD344">
        <v>1949</v>
      </c>
      <c r="FE344">
        <v>16</v>
      </c>
      <c r="FG344" s="24"/>
      <c r="FH344">
        <v>10905</v>
      </c>
      <c r="FI344">
        <v>11049</v>
      </c>
      <c r="FJ344">
        <v>10905</v>
      </c>
      <c r="FK344">
        <v>1754314</v>
      </c>
      <c r="FL344">
        <v>356</v>
      </c>
      <c r="FN344" s="24"/>
      <c r="FO344">
        <v>19260</v>
      </c>
      <c r="FP344">
        <v>19261</v>
      </c>
      <c r="FQ344">
        <v>19261</v>
      </c>
      <c r="FR344">
        <v>104928</v>
      </c>
      <c r="FS344">
        <v>56</v>
      </c>
      <c r="FU344" s="24"/>
      <c r="FV344">
        <v>14000</v>
      </c>
      <c r="FW344">
        <v>14100</v>
      </c>
      <c r="FX344">
        <v>14002</v>
      </c>
      <c r="FY344">
        <v>434058</v>
      </c>
      <c r="FZ344">
        <v>1072</v>
      </c>
      <c r="GB344" s="24"/>
      <c r="GC344">
        <v>92999999</v>
      </c>
      <c r="GD344">
        <v>94993997</v>
      </c>
      <c r="GE344">
        <v>94298843</v>
      </c>
      <c r="GF344">
        <v>71</v>
      </c>
      <c r="GG344">
        <v>52</v>
      </c>
      <c r="GI344" s="24"/>
      <c r="GJ344">
        <v>18002000</v>
      </c>
      <c r="GK344">
        <v>18400000</v>
      </c>
      <c r="GL344">
        <v>18002000</v>
      </c>
      <c r="GM344">
        <v>616</v>
      </c>
      <c r="GN344">
        <v>80</v>
      </c>
      <c r="GP344" s="24"/>
      <c r="GQ344">
        <v>102</v>
      </c>
      <c r="GR344">
        <v>104</v>
      </c>
      <c r="GS344">
        <v>102</v>
      </c>
      <c r="GT344">
        <v>140386385</v>
      </c>
      <c r="GU344">
        <v>128</v>
      </c>
      <c r="GW344" s="24"/>
      <c r="GX344">
        <v>411</v>
      </c>
      <c r="GY344">
        <v>430</v>
      </c>
      <c r="GZ344">
        <v>411</v>
      </c>
      <c r="HA344">
        <v>50998157</v>
      </c>
      <c r="HB344">
        <v>216</v>
      </c>
      <c r="HD344" s="24"/>
      <c r="HE344">
        <v>5484</v>
      </c>
      <c r="HF344">
        <v>5568</v>
      </c>
      <c r="HG344">
        <v>5558</v>
      </c>
      <c r="HH344">
        <v>18339775</v>
      </c>
      <c r="HI344">
        <v>279</v>
      </c>
      <c r="HK344" s="24"/>
      <c r="HL344">
        <v>91999999</v>
      </c>
      <c r="HM344">
        <v>93886994</v>
      </c>
      <c r="HN344">
        <v>93151411</v>
      </c>
      <c r="HO344">
        <v>71</v>
      </c>
      <c r="HP344">
        <v>56</v>
      </c>
      <c r="HR344" s="24"/>
      <c r="HS344">
        <v>9249</v>
      </c>
      <c r="HT344">
        <v>9399</v>
      </c>
      <c r="HU344">
        <v>9249</v>
      </c>
      <c r="HV344">
        <v>714137</v>
      </c>
      <c r="HW344">
        <v>139</v>
      </c>
      <c r="HY344" s="24"/>
      <c r="HZ344">
        <v>9961</v>
      </c>
      <c r="IA344">
        <v>10049</v>
      </c>
      <c r="IB344">
        <v>9998</v>
      </c>
      <c r="IC344">
        <v>2335294</v>
      </c>
      <c r="ID344">
        <v>395</v>
      </c>
      <c r="IF344" s="24"/>
      <c r="IG344">
        <v>3437</v>
      </c>
      <c r="IH344">
        <v>3578</v>
      </c>
      <c r="II344">
        <v>3577</v>
      </c>
      <c r="IJ344">
        <v>1905801</v>
      </c>
      <c r="IK344">
        <v>138</v>
      </c>
      <c r="IM344" s="24"/>
      <c r="IN344">
        <v>92000000</v>
      </c>
      <c r="IO344">
        <v>97999995</v>
      </c>
      <c r="IP344">
        <v>93000002</v>
      </c>
      <c r="IQ344">
        <v>104</v>
      </c>
      <c r="IR344">
        <v>67</v>
      </c>
      <c r="IT344" s="24"/>
      <c r="IU344">
        <v>8499</v>
      </c>
      <c r="IV344">
        <v>8499</v>
      </c>
      <c r="IW344">
        <v>8499</v>
      </c>
      <c r="IX344">
        <v>2060688</v>
      </c>
      <c r="IY344">
        <v>121</v>
      </c>
      <c r="JA344" s="24"/>
      <c r="JB344">
        <v>92004000</v>
      </c>
      <c r="JC344">
        <v>96888989</v>
      </c>
      <c r="JD344">
        <v>93713934</v>
      </c>
      <c r="JE344">
        <v>92</v>
      </c>
      <c r="JF344">
        <v>65</v>
      </c>
      <c r="JH344" s="24"/>
      <c r="JI344">
        <v>92586997</v>
      </c>
      <c r="JJ344">
        <v>93951993</v>
      </c>
      <c r="JK344">
        <v>93200724</v>
      </c>
      <c r="JL344">
        <v>41</v>
      </c>
      <c r="JM344">
        <v>35</v>
      </c>
      <c r="JO344" s="24"/>
      <c r="JP344">
        <v>93</v>
      </c>
      <c r="JQ344">
        <v>94</v>
      </c>
      <c r="JR344">
        <v>93</v>
      </c>
      <c r="JS344">
        <v>141629008</v>
      </c>
      <c r="JT344">
        <v>108</v>
      </c>
      <c r="JV344" s="24"/>
      <c r="JW344">
        <v>98</v>
      </c>
      <c r="JX344">
        <v>101</v>
      </c>
      <c r="JY344">
        <v>101</v>
      </c>
      <c r="JZ344">
        <v>90445968</v>
      </c>
      <c r="KA344">
        <v>96</v>
      </c>
      <c r="KC344" s="24"/>
      <c r="KD344">
        <v>64</v>
      </c>
      <c r="KE344">
        <v>80</v>
      </c>
      <c r="KF344">
        <v>78</v>
      </c>
      <c r="KG344">
        <v>168944603</v>
      </c>
      <c r="KH344">
        <v>344</v>
      </c>
      <c r="KJ344" s="24"/>
      <c r="KK344">
        <v>103</v>
      </c>
      <c r="KL344">
        <v>106</v>
      </c>
      <c r="KM344">
        <v>103</v>
      </c>
      <c r="KN344">
        <v>151716104</v>
      </c>
      <c r="KO344">
        <v>118</v>
      </c>
      <c r="KQ344" s="24"/>
      <c r="KR344">
        <v>123072</v>
      </c>
      <c r="KS344">
        <v>128000</v>
      </c>
      <c r="KT344">
        <v>123600</v>
      </c>
      <c r="KU344">
        <v>68776</v>
      </c>
      <c r="KV344">
        <v>635</v>
      </c>
      <c r="KX344" s="24"/>
      <c r="KY344">
        <v>878</v>
      </c>
      <c r="KZ344">
        <v>878</v>
      </c>
      <c r="LA344">
        <v>878</v>
      </c>
      <c r="LB344">
        <v>3342463</v>
      </c>
      <c r="LC344">
        <v>148</v>
      </c>
      <c r="LE344" s="24"/>
      <c r="LF344">
        <v>180002</v>
      </c>
      <c r="LG344">
        <v>184999</v>
      </c>
      <c r="LH344">
        <v>181000</v>
      </c>
      <c r="LI344">
        <v>132602</v>
      </c>
      <c r="LJ344">
        <v>820</v>
      </c>
      <c r="LL344" s="24"/>
      <c r="LM344">
        <v>64700</v>
      </c>
      <c r="LN344">
        <v>64700</v>
      </c>
      <c r="LO344">
        <v>64700</v>
      </c>
      <c r="LP344">
        <v>363402</v>
      </c>
      <c r="LQ344">
        <v>1113</v>
      </c>
      <c r="LS344" s="24"/>
      <c r="LT344">
        <v>445</v>
      </c>
      <c r="LU344">
        <v>450</v>
      </c>
      <c r="LV344">
        <v>450</v>
      </c>
      <c r="LW344">
        <v>105630785</v>
      </c>
      <c r="LX344">
        <v>288</v>
      </c>
      <c r="LZ344" s="24"/>
      <c r="MA344">
        <v>103987</v>
      </c>
      <c r="MB344">
        <v>103989</v>
      </c>
      <c r="MC344">
        <v>103989</v>
      </c>
      <c r="MD344">
        <v>454962</v>
      </c>
      <c r="ME344">
        <v>69</v>
      </c>
    </row>
    <row r="345" spans="2:343" x14ac:dyDescent="0.25">
      <c r="B345" s="24"/>
      <c r="C345">
        <v>3</v>
      </c>
      <c r="D345">
        <v>3</v>
      </c>
      <c r="E345">
        <v>3</v>
      </c>
      <c r="F345">
        <v>29056170571</v>
      </c>
      <c r="G345">
        <v>1981</v>
      </c>
      <c r="I345" s="24"/>
      <c r="J345">
        <v>4</v>
      </c>
      <c r="K345">
        <v>4</v>
      </c>
      <c r="L345">
        <v>4</v>
      </c>
      <c r="M345">
        <v>9487679260</v>
      </c>
      <c r="N345">
        <v>1475</v>
      </c>
      <c r="P345" s="24"/>
      <c r="Q345">
        <v>32</v>
      </c>
      <c r="R345">
        <v>33</v>
      </c>
      <c r="S345">
        <v>32</v>
      </c>
      <c r="T345">
        <v>1807540449</v>
      </c>
      <c r="U345">
        <v>1451</v>
      </c>
      <c r="W345" s="24"/>
      <c r="X345">
        <v>60</v>
      </c>
      <c r="Y345">
        <v>60</v>
      </c>
      <c r="Z345">
        <v>60</v>
      </c>
      <c r="AA345">
        <v>447023538</v>
      </c>
      <c r="AB345">
        <v>1069</v>
      </c>
      <c r="AD345" s="24"/>
      <c r="AE345">
        <v>485</v>
      </c>
      <c r="AF345">
        <v>499</v>
      </c>
      <c r="AG345">
        <v>496</v>
      </c>
      <c r="AH345">
        <v>83164682</v>
      </c>
      <c r="AI345">
        <v>1129</v>
      </c>
      <c r="AK345" s="24"/>
      <c r="AL345">
        <v>800</v>
      </c>
      <c r="AM345">
        <v>814</v>
      </c>
      <c r="AN345">
        <v>800</v>
      </c>
      <c r="AO345">
        <v>22585748</v>
      </c>
      <c r="AP345">
        <v>886</v>
      </c>
      <c r="AR345" s="24"/>
      <c r="AS345">
        <v>2711</v>
      </c>
      <c r="AT345">
        <v>2799</v>
      </c>
      <c r="AU345">
        <v>2717</v>
      </c>
      <c r="AV345">
        <v>12318331</v>
      </c>
      <c r="AW345">
        <v>929</v>
      </c>
      <c r="AY345" s="24"/>
      <c r="AZ345">
        <v>430100025</v>
      </c>
      <c r="BA345">
        <v>437499994</v>
      </c>
      <c r="BB345">
        <v>433999099</v>
      </c>
      <c r="BC345">
        <v>2430</v>
      </c>
      <c r="BD345">
        <v>1649</v>
      </c>
      <c r="BF345" s="24"/>
      <c r="BG345">
        <v>24665</v>
      </c>
      <c r="BH345">
        <v>24666</v>
      </c>
      <c r="BI345">
        <v>24665</v>
      </c>
      <c r="BJ345">
        <v>5536714</v>
      </c>
      <c r="BK345">
        <v>212</v>
      </c>
      <c r="BM345" s="24"/>
      <c r="BN345">
        <v>7166211</v>
      </c>
      <c r="BO345">
        <v>7267499</v>
      </c>
      <c r="BP345">
        <v>7166222</v>
      </c>
      <c r="BQ345">
        <v>13021</v>
      </c>
      <c r="BR345">
        <v>298</v>
      </c>
      <c r="BT345" s="24"/>
      <c r="BU345">
        <v>2150</v>
      </c>
      <c r="BV345">
        <v>2179</v>
      </c>
      <c r="BW345">
        <v>2179</v>
      </c>
      <c r="BX345">
        <v>31973352</v>
      </c>
      <c r="BY345">
        <v>243</v>
      </c>
      <c r="CA345" s="24"/>
      <c r="CB345">
        <v>997</v>
      </c>
      <c r="CC345">
        <v>1034</v>
      </c>
      <c r="CD345">
        <v>998</v>
      </c>
      <c r="CE345">
        <v>40945740</v>
      </c>
      <c r="CF345">
        <v>247</v>
      </c>
      <c r="CH345" s="24"/>
      <c r="CI345">
        <v>25314</v>
      </c>
      <c r="CJ345">
        <v>25314</v>
      </c>
      <c r="CK345">
        <v>25314</v>
      </c>
      <c r="CL345">
        <v>2656426</v>
      </c>
      <c r="CM345">
        <v>130</v>
      </c>
      <c r="CO345" s="24"/>
      <c r="CP345">
        <v>11010</v>
      </c>
      <c r="CQ345">
        <v>11324</v>
      </c>
      <c r="CR345">
        <v>11292</v>
      </c>
      <c r="CS345">
        <v>1368697</v>
      </c>
      <c r="CT345">
        <v>370</v>
      </c>
      <c r="CV345" s="24"/>
      <c r="CW345">
        <v>1007614</v>
      </c>
      <c r="CX345">
        <v>1034000</v>
      </c>
      <c r="CY345">
        <v>1029996</v>
      </c>
      <c r="CZ345">
        <v>11556</v>
      </c>
      <c r="DA345">
        <v>35</v>
      </c>
      <c r="DC345" s="24"/>
      <c r="DD345">
        <v>498</v>
      </c>
      <c r="DE345">
        <v>515</v>
      </c>
      <c r="DF345">
        <v>498</v>
      </c>
      <c r="DG345">
        <v>35659460</v>
      </c>
      <c r="DH345">
        <v>171</v>
      </c>
      <c r="DJ345" s="24"/>
      <c r="DK345">
        <v>31202004</v>
      </c>
      <c r="DL345">
        <v>32000100</v>
      </c>
      <c r="DM345">
        <v>32000000</v>
      </c>
      <c r="DN345">
        <v>405</v>
      </c>
      <c r="DO345">
        <v>52</v>
      </c>
      <c r="DQ345" s="24"/>
      <c r="DR345">
        <v>1020000</v>
      </c>
      <c r="DS345">
        <v>1093999</v>
      </c>
      <c r="DT345">
        <v>1059524</v>
      </c>
      <c r="DU345">
        <v>11097</v>
      </c>
      <c r="DV345">
        <v>209</v>
      </c>
      <c r="DX345" s="24"/>
      <c r="DY345">
        <v>21653106</v>
      </c>
      <c r="DZ345">
        <v>22003006</v>
      </c>
      <c r="EA345">
        <v>21670000</v>
      </c>
      <c r="EB345">
        <v>781</v>
      </c>
      <c r="EC345">
        <v>113</v>
      </c>
      <c r="EE345" s="24"/>
      <c r="EF345">
        <v>198</v>
      </c>
      <c r="EG345">
        <v>200</v>
      </c>
      <c r="EH345">
        <v>200</v>
      </c>
      <c r="EI345">
        <v>78160393</v>
      </c>
      <c r="EJ345">
        <v>149</v>
      </c>
      <c r="EL345" s="24"/>
      <c r="EM345">
        <v>52511</v>
      </c>
      <c r="EN345">
        <v>56979</v>
      </c>
      <c r="EO345">
        <v>52514</v>
      </c>
      <c r="EP345">
        <v>64056</v>
      </c>
      <c r="EQ345">
        <v>507</v>
      </c>
      <c r="ES345" s="24"/>
      <c r="ET345">
        <v>399</v>
      </c>
      <c r="EU345">
        <v>414</v>
      </c>
      <c r="EV345">
        <v>400</v>
      </c>
      <c r="EW345">
        <v>124873090</v>
      </c>
      <c r="EX345">
        <v>605</v>
      </c>
      <c r="EZ345" s="24"/>
      <c r="FA345">
        <v>3100003</v>
      </c>
      <c r="FB345">
        <v>3193990</v>
      </c>
      <c r="FC345">
        <v>3100008</v>
      </c>
      <c r="FD345">
        <v>1839</v>
      </c>
      <c r="FE345">
        <v>17</v>
      </c>
      <c r="FG345" s="24"/>
      <c r="FH345">
        <v>10700</v>
      </c>
      <c r="FI345">
        <v>11021</v>
      </c>
      <c r="FJ345">
        <v>11000</v>
      </c>
      <c r="FK345">
        <v>1723245</v>
      </c>
      <c r="FL345">
        <v>438</v>
      </c>
      <c r="FN345" s="24"/>
      <c r="FO345">
        <v>19247</v>
      </c>
      <c r="FP345">
        <v>19260</v>
      </c>
      <c r="FQ345">
        <v>19248</v>
      </c>
      <c r="FR345">
        <v>270650</v>
      </c>
      <c r="FS345">
        <v>87</v>
      </c>
      <c r="FU345" s="24"/>
      <c r="FV345">
        <v>14000</v>
      </c>
      <c r="FW345">
        <v>14000</v>
      </c>
      <c r="FX345">
        <v>14000</v>
      </c>
      <c r="FY345">
        <v>315263</v>
      </c>
      <c r="FZ345">
        <v>907</v>
      </c>
      <c r="GB345" s="24"/>
      <c r="GC345">
        <v>92121001</v>
      </c>
      <c r="GD345">
        <v>97963997</v>
      </c>
      <c r="GE345">
        <v>95332820</v>
      </c>
      <c r="GF345">
        <v>66</v>
      </c>
      <c r="GG345">
        <v>56</v>
      </c>
      <c r="GI345" s="24"/>
      <c r="GJ345">
        <v>17228000</v>
      </c>
      <c r="GK345">
        <v>17560002</v>
      </c>
      <c r="GL345">
        <v>17550002</v>
      </c>
      <c r="GM345">
        <v>629</v>
      </c>
      <c r="GN345">
        <v>57</v>
      </c>
      <c r="GP345" s="24"/>
      <c r="GQ345">
        <v>103</v>
      </c>
      <c r="GR345">
        <v>106</v>
      </c>
      <c r="GS345">
        <v>104</v>
      </c>
      <c r="GT345">
        <v>89841445</v>
      </c>
      <c r="GU345">
        <v>106</v>
      </c>
      <c r="GW345" s="24"/>
      <c r="GX345">
        <v>412</v>
      </c>
      <c r="GY345">
        <v>426</v>
      </c>
      <c r="GZ345">
        <v>423</v>
      </c>
      <c r="HA345">
        <v>50390913</v>
      </c>
      <c r="HB345">
        <v>242</v>
      </c>
      <c r="HD345" s="24"/>
      <c r="HE345">
        <v>5500</v>
      </c>
      <c r="HF345">
        <v>5531</v>
      </c>
      <c r="HG345">
        <v>5527</v>
      </c>
      <c r="HH345">
        <v>13203922</v>
      </c>
      <c r="HI345">
        <v>221</v>
      </c>
      <c r="HK345" s="24"/>
      <c r="HL345">
        <v>93900000</v>
      </c>
      <c r="HM345">
        <v>101005006</v>
      </c>
      <c r="HN345">
        <v>95240560</v>
      </c>
      <c r="HO345">
        <v>76</v>
      </c>
      <c r="HP345">
        <v>59</v>
      </c>
      <c r="HR345" s="24"/>
      <c r="HS345">
        <v>9249</v>
      </c>
      <c r="HT345">
        <v>9399</v>
      </c>
      <c r="HU345">
        <v>9255</v>
      </c>
      <c r="HV345">
        <v>522888</v>
      </c>
      <c r="HW345">
        <v>105</v>
      </c>
      <c r="HY345" s="24"/>
      <c r="HZ345">
        <v>9955</v>
      </c>
      <c r="IA345">
        <v>10048</v>
      </c>
      <c r="IB345">
        <v>10000</v>
      </c>
      <c r="IC345">
        <v>1744736</v>
      </c>
      <c r="ID345">
        <v>413</v>
      </c>
      <c r="IF345" s="24"/>
      <c r="IG345">
        <v>3404</v>
      </c>
      <c r="IH345">
        <v>3549</v>
      </c>
      <c r="II345">
        <v>3500</v>
      </c>
      <c r="IJ345">
        <v>2053202</v>
      </c>
      <c r="IK345">
        <v>133</v>
      </c>
      <c r="IM345" s="24"/>
      <c r="IN345">
        <v>93006025</v>
      </c>
      <c r="IO345">
        <v>93999998</v>
      </c>
      <c r="IP345">
        <v>93510032</v>
      </c>
      <c r="IQ345">
        <v>163</v>
      </c>
      <c r="IR345">
        <v>105</v>
      </c>
      <c r="IT345" s="24"/>
      <c r="IU345">
        <v>9150</v>
      </c>
      <c r="IV345">
        <v>9150</v>
      </c>
      <c r="IW345">
        <v>9150</v>
      </c>
      <c r="IX345">
        <v>1923673</v>
      </c>
      <c r="IY345">
        <v>115</v>
      </c>
      <c r="JA345" s="24"/>
      <c r="JB345">
        <v>92005015</v>
      </c>
      <c r="JC345">
        <v>97790992</v>
      </c>
      <c r="JD345">
        <v>95365681</v>
      </c>
      <c r="JE345">
        <v>72</v>
      </c>
      <c r="JF345">
        <v>59</v>
      </c>
      <c r="JH345" s="24"/>
      <c r="JI345">
        <v>92501010</v>
      </c>
      <c r="JJ345">
        <v>96494973</v>
      </c>
      <c r="JK345">
        <v>95389789</v>
      </c>
      <c r="JL345">
        <v>70</v>
      </c>
      <c r="JM345">
        <v>51</v>
      </c>
      <c r="JO345" s="24"/>
      <c r="JP345">
        <v>92</v>
      </c>
      <c r="JQ345">
        <v>95</v>
      </c>
      <c r="JR345">
        <v>94</v>
      </c>
      <c r="JS345">
        <v>81430933</v>
      </c>
      <c r="JT345">
        <v>113</v>
      </c>
      <c r="JV345" s="24"/>
      <c r="JW345">
        <v>100</v>
      </c>
      <c r="JX345">
        <v>102</v>
      </c>
      <c r="JY345">
        <v>102</v>
      </c>
      <c r="JZ345">
        <v>167265671</v>
      </c>
      <c r="KA345">
        <v>122</v>
      </c>
      <c r="KC345" s="24"/>
      <c r="KD345">
        <v>60</v>
      </c>
      <c r="KE345">
        <v>70</v>
      </c>
      <c r="KF345">
        <v>67</v>
      </c>
      <c r="KG345">
        <v>127327077</v>
      </c>
      <c r="KH345">
        <v>350</v>
      </c>
      <c r="KJ345" s="24"/>
      <c r="KK345">
        <v>103</v>
      </c>
      <c r="KL345">
        <v>106</v>
      </c>
      <c r="KM345">
        <v>106</v>
      </c>
      <c r="KN345">
        <v>90788290</v>
      </c>
      <c r="KO345">
        <v>93</v>
      </c>
      <c r="KQ345" s="24"/>
      <c r="KR345">
        <v>124075</v>
      </c>
      <c r="KS345">
        <v>124088</v>
      </c>
      <c r="KT345">
        <v>124075</v>
      </c>
      <c r="KU345">
        <v>65744</v>
      </c>
      <c r="KV345">
        <v>520</v>
      </c>
      <c r="KX345" s="24"/>
      <c r="KY345">
        <v>879</v>
      </c>
      <c r="KZ345">
        <v>879</v>
      </c>
      <c r="LA345">
        <v>879</v>
      </c>
      <c r="LB345">
        <v>13787981</v>
      </c>
      <c r="LC345">
        <v>142</v>
      </c>
      <c r="LE345" s="24"/>
      <c r="LF345">
        <v>180500</v>
      </c>
      <c r="LG345">
        <v>181000</v>
      </c>
      <c r="LH345">
        <v>180500</v>
      </c>
      <c r="LI345">
        <v>142273</v>
      </c>
      <c r="LJ345">
        <v>745</v>
      </c>
      <c r="LL345" s="24"/>
      <c r="LM345">
        <v>64001</v>
      </c>
      <c r="LN345">
        <v>64604</v>
      </c>
      <c r="LO345">
        <v>64002</v>
      </c>
      <c r="LP345">
        <v>296691</v>
      </c>
      <c r="LQ345">
        <v>984</v>
      </c>
      <c r="LS345" s="24"/>
      <c r="LT345">
        <v>450</v>
      </c>
      <c r="LU345">
        <v>450</v>
      </c>
      <c r="LV345">
        <v>450</v>
      </c>
      <c r="LW345">
        <v>105774519</v>
      </c>
      <c r="LX345">
        <v>351</v>
      </c>
      <c r="LZ345" s="24"/>
      <c r="MA345">
        <v>100002</v>
      </c>
      <c r="MB345">
        <v>103988</v>
      </c>
      <c r="MC345">
        <v>103898</v>
      </c>
      <c r="MD345">
        <v>1092565</v>
      </c>
      <c r="ME345">
        <v>89</v>
      </c>
    </row>
    <row r="346" spans="2:343" x14ac:dyDescent="0.25">
      <c r="B346" s="24"/>
      <c r="C346">
        <v>3</v>
      </c>
      <c r="D346">
        <v>3</v>
      </c>
      <c r="E346">
        <v>3</v>
      </c>
      <c r="F346">
        <v>50678483786</v>
      </c>
      <c r="G346">
        <v>2109</v>
      </c>
      <c r="I346" s="24"/>
      <c r="J346">
        <v>4</v>
      </c>
      <c r="K346">
        <v>4</v>
      </c>
      <c r="L346">
        <v>4</v>
      </c>
      <c r="M346">
        <v>8256537333</v>
      </c>
      <c r="N346">
        <v>1473</v>
      </c>
      <c r="P346" s="24"/>
      <c r="Q346">
        <v>32</v>
      </c>
      <c r="R346">
        <v>32</v>
      </c>
      <c r="S346">
        <v>32</v>
      </c>
      <c r="T346">
        <v>2360329735</v>
      </c>
      <c r="U346">
        <v>1426</v>
      </c>
      <c r="W346" s="24"/>
      <c r="X346">
        <v>60</v>
      </c>
      <c r="Y346">
        <v>61</v>
      </c>
      <c r="Z346">
        <v>61</v>
      </c>
      <c r="AA346">
        <v>627487175</v>
      </c>
      <c r="AB346">
        <v>1210</v>
      </c>
      <c r="AD346" s="24"/>
      <c r="AE346">
        <v>482</v>
      </c>
      <c r="AF346">
        <v>490</v>
      </c>
      <c r="AG346">
        <v>486</v>
      </c>
      <c r="AH346">
        <v>99629493</v>
      </c>
      <c r="AI346">
        <v>1186</v>
      </c>
      <c r="AK346" s="24"/>
      <c r="AL346">
        <v>794</v>
      </c>
      <c r="AM346">
        <v>807</v>
      </c>
      <c r="AN346">
        <v>800</v>
      </c>
      <c r="AO346">
        <v>28386789</v>
      </c>
      <c r="AP346">
        <v>940</v>
      </c>
      <c r="AR346" s="24"/>
      <c r="AS346">
        <v>2720</v>
      </c>
      <c r="AT346">
        <v>2789</v>
      </c>
      <c r="AU346">
        <v>2769</v>
      </c>
      <c r="AV346">
        <v>11293657</v>
      </c>
      <c r="AW346">
        <v>909</v>
      </c>
      <c r="AY346" s="24"/>
      <c r="AZ346">
        <v>437056000</v>
      </c>
      <c r="BA346">
        <v>447511321</v>
      </c>
      <c r="BB346">
        <v>440000000</v>
      </c>
      <c r="BC346">
        <v>2257</v>
      </c>
      <c r="BD346">
        <v>1662</v>
      </c>
      <c r="BF346" s="24"/>
      <c r="BG346">
        <v>24681</v>
      </c>
      <c r="BH346">
        <v>24700</v>
      </c>
      <c r="BI346">
        <v>24681</v>
      </c>
      <c r="BJ346">
        <v>4278448</v>
      </c>
      <c r="BK346">
        <v>182</v>
      </c>
      <c r="BM346" s="24"/>
      <c r="BN346">
        <v>7166249</v>
      </c>
      <c r="BO346">
        <v>7315000</v>
      </c>
      <c r="BP346">
        <v>7167513</v>
      </c>
      <c r="BQ346">
        <v>12678</v>
      </c>
      <c r="BR346">
        <v>319</v>
      </c>
      <c r="BT346" s="24"/>
      <c r="BU346">
        <v>2116</v>
      </c>
      <c r="BV346">
        <v>2178</v>
      </c>
      <c r="BW346">
        <v>2176</v>
      </c>
      <c r="BX346">
        <v>21420450</v>
      </c>
      <c r="BY346">
        <v>189</v>
      </c>
      <c r="CA346" s="24"/>
      <c r="CB346">
        <v>1097</v>
      </c>
      <c r="CC346">
        <v>1197</v>
      </c>
      <c r="CD346">
        <v>1197</v>
      </c>
      <c r="CE346">
        <v>35690616</v>
      </c>
      <c r="CF346">
        <v>227</v>
      </c>
      <c r="CH346" s="24"/>
      <c r="CI346">
        <v>25314</v>
      </c>
      <c r="CJ346">
        <v>25314</v>
      </c>
      <c r="CK346">
        <v>25314</v>
      </c>
      <c r="CL346">
        <v>1674311</v>
      </c>
      <c r="CM346">
        <v>114</v>
      </c>
      <c r="CO346" s="24"/>
      <c r="CP346">
        <v>11010</v>
      </c>
      <c r="CQ346">
        <v>11331</v>
      </c>
      <c r="CR346">
        <v>11326</v>
      </c>
      <c r="CS346">
        <v>1236636</v>
      </c>
      <c r="CT346">
        <v>302</v>
      </c>
      <c r="CV346" s="24"/>
      <c r="CW346">
        <v>1007614</v>
      </c>
      <c r="CX346">
        <v>1024996</v>
      </c>
      <c r="CY346">
        <v>1007614</v>
      </c>
      <c r="CZ346">
        <v>10252</v>
      </c>
      <c r="DA346">
        <v>37</v>
      </c>
      <c r="DC346" s="24"/>
      <c r="DD346">
        <v>478</v>
      </c>
      <c r="DE346">
        <v>511</v>
      </c>
      <c r="DF346">
        <v>480</v>
      </c>
      <c r="DG346">
        <v>53797683</v>
      </c>
      <c r="DH346">
        <v>210</v>
      </c>
      <c r="DJ346" s="24"/>
      <c r="DK346">
        <v>30203001</v>
      </c>
      <c r="DL346">
        <v>31202004</v>
      </c>
      <c r="DM346">
        <v>30204000</v>
      </c>
      <c r="DN346">
        <v>153</v>
      </c>
      <c r="DO346">
        <v>46</v>
      </c>
      <c r="DQ346" s="24"/>
      <c r="DR346">
        <v>901100</v>
      </c>
      <c r="DS346">
        <v>1035001</v>
      </c>
      <c r="DT346">
        <v>950008</v>
      </c>
      <c r="DU346">
        <v>10434</v>
      </c>
      <c r="DV346">
        <v>235</v>
      </c>
      <c r="DX346" s="24"/>
      <c r="DY346">
        <v>21670004</v>
      </c>
      <c r="DZ346">
        <v>21697001</v>
      </c>
      <c r="EA346">
        <v>21670005</v>
      </c>
      <c r="EB346">
        <v>435</v>
      </c>
      <c r="EC346">
        <v>100</v>
      </c>
      <c r="EE346" s="24"/>
      <c r="EF346">
        <v>195</v>
      </c>
      <c r="EG346">
        <v>200</v>
      </c>
      <c r="EH346">
        <v>199</v>
      </c>
      <c r="EI346">
        <v>50656320</v>
      </c>
      <c r="EJ346">
        <v>132</v>
      </c>
      <c r="EL346" s="24"/>
      <c r="EM346">
        <v>52519</v>
      </c>
      <c r="EN346">
        <v>56665</v>
      </c>
      <c r="EO346">
        <v>53001</v>
      </c>
      <c r="EP346">
        <v>62057</v>
      </c>
      <c r="EQ346">
        <v>512</v>
      </c>
      <c r="ES346" s="24"/>
      <c r="ET346">
        <v>375</v>
      </c>
      <c r="EU346">
        <v>375</v>
      </c>
      <c r="EV346">
        <v>375</v>
      </c>
      <c r="EW346">
        <v>83353560</v>
      </c>
      <c r="EX346">
        <v>503</v>
      </c>
      <c r="EZ346" s="24"/>
      <c r="FA346">
        <v>3100003</v>
      </c>
      <c r="FB346">
        <v>3100008</v>
      </c>
      <c r="FC346">
        <v>3100003</v>
      </c>
      <c r="FD346">
        <v>2842</v>
      </c>
      <c r="FE346">
        <v>30</v>
      </c>
      <c r="FG346" s="24"/>
      <c r="FH346">
        <v>10600</v>
      </c>
      <c r="FI346">
        <v>11016</v>
      </c>
      <c r="FJ346">
        <v>10607</v>
      </c>
      <c r="FK346">
        <v>2927127</v>
      </c>
      <c r="FL346">
        <v>409</v>
      </c>
      <c r="FN346" s="24"/>
      <c r="FO346">
        <v>19000</v>
      </c>
      <c r="FP346">
        <v>19247</v>
      </c>
      <c r="FQ346">
        <v>19247</v>
      </c>
      <c r="FR346">
        <v>158785</v>
      </c>
      <c r="FS346">
        <v>64</v>
      </c>
      <c r="FU346" s="24"/>
      <c r="FV346">
        <v>14007</v>
      </c>
      <c r="FW346">
        <v>14100</v>
      </c>
      <c r="FX346">
        <v>14010</v>
      </c>
      <c r="FY346">
        <v>331712</v>
      </c>
      <c r="FZ346">
        <v>919</v>
      </c>
      <c r="GB346" s="24"/>
      <c r="GC346">
        <v>92158000</v>
      </c>
      <c r="GD346">
        <v>97958997</v>
      </c>
      <c r="GE346">
        <v>95000109</v>
      </c>
      <c r="GF346">
        <v>135</v>
      </c>
      <c r="GG346">
        <v>90</v>
      </c>
      <c r="GI346" s="24"/>
      <c r="GJ346">
        <v>17000001</v>
      </c>
      <c r="GK346">
        <v>17500000</v>
      </c>
      <c r="GL346">
        <v>17400000</v>
      </c>
      <c r="GM346">
        <v>516</v>
      </c>
      <c r="GN346">
        <v>88</v>
      </c>
      <c r="GP346" s="24"/>
      <c r="GQ346">
        <v>106</v>
      </c>
      <c r="GR346">
        <v>106</v>
      </c>
      <c r="GS346">
        <v>106</v>
      </c>
      <c r="GT346">
        <v>67624693</v>
      </c>
      <c r="GU346">
        <v>106</v>
      </c>
      <c r="GW346" s="24"/>
      <c r="GX346">
        <v>426</v>
      </c>
      <c r="GY346">
        <v>427</v>
      </c>
      <c r="GZ346">
        <v>426</v>
      </c>
      <c r="HA346">
        <v>56667960</v>
      </c>
      <c r="HB346">
        <v>211</v>
      </c>
      <c r="HD346" s="24"/>
      <c r="HE346">
        <v>5475</v>
      </c>
      <c r="HF346">
        <v>5516</v>
      </c>
      <c r="HG346">
        <v>5516</v>
      </c>
      <c r="HH346">
        <v>18917215</v>
      </c>
      <c r="HI346">
        <v>238</v>
      </c>
      <c r="HK346" s="24"/>
      <c r="HL346">
        <v>96000000</v>
      </c>
      <c r="HM346">
        <v>96999999</v>
      </c>
      <c r="HN346">
        <v>96000106</v>
      </c>
      <c r="HO346">
        <v>158</v>
      </c>
      <c r="HP346">
        <v>83</v>
      </c>
      <c r="HR346" s="24"/>
      <c r="HS346">
        <v>9003</v>
      </c>
      <c r="HT346">
        <v>9448</v>
      </c>
      <c r="HU346">
        <v>9249</v>
      </c>
      <c r="HV346">
        <v>619790</v>
      </c>
      <c r="HW346">
        <v>112</v>
      </c>
      <c r="HY346" s="24"/>
      <c r="HZ346">
        <v>9720</v>
      </c>
      <c r="IA346">
        <v>10887</v>
      </c>
      <c r="IB346">
        <v>10246</v>
      </c>
      <c r="IC346">
        <v>1851669</v>
      </c>
      <c r="ID346">
        <v>398</v>
      </c>
      <c r="IF346" s="24"/>
      <c r="IG346">
        <v>3409</v>
      </c>
      <c r="IH346">
        <v>3549</v>
      </c>
      <c r="II346">
        <v>3549</v>
      </c>
      <c r="IJ346">
        <v>1676425</v>
      </c>
      <c r="IK346">
        <v>113</v>
      </c>
      <c r="IM346" s="24"/>
      <c r="IN346">
        <v>92000010</v>
      </c>
      <c r="IO346">
        <v>93999997</v>
      </c>
      <c r="IP346">
        <v>93490999</v>
      </c>
      <c r="IQ346">
        <v>103</v>
      </c>
      <c r="IR346">
        <v>73</v>
      </c>
      <c r="IT346" s="24"/>
      <c r="IU346">
        <v>9873</v>
      </c>
      <c r="IV346">
        <v>9880</v>
      </c>
      <c r="IW346">
        <v>9878</v>
      </c>
      <c r="IX346">
        <v>559350</v>
      </c>
      <c r="IY346">
        <v>90</v>
      </c>
      <c r="JA346" s="24"/>
      <c r="JB346">
        <v>93000000</v>
      </c>
      <c r="JC346">
        <v>97585994</v>
      </c>
      <c r="JD346">
        <v>95005005</v>
      </c>
      <c r="JE346">
        <v>127</v>
      </c>
      <c r="JF346">
        <v>83</v>
      </c>
      <c r="JH346" s="24"/>
      <c r="JI346">
        <v>92501000</v>
      </c>
      <c r="JJ346">
        <v>97500001</v>
      </c>
      <c r="JK346">
        <v>95000011</v>
      </c>
      <c r="JL346">
        <v>106</v>
      </c>
      <c r="JM346">
        <v>67</v>
      </c>
      <c r="JO346" s="24"/>
      <c r="JP346">
        <v>92</v>
      </c>
      <c r="JQ346">
        <v>94</v>
      </c>
      <c r="JR346">
        <v>92</v>
      </c>
      <c r="JS346">
        <v>46117868</v>
      </c>
      <c r="JT346">
        <v>76</v>
      </c>
      <c r="JV346" s="24"/>
      <c r="JW346">
        <v>99</v>
      </c>
      <c r="JX346">
        <v>102</v>
      </c>
      <c r="JY346">
        <v>102</v>
      </c>
      <c r="JZ346">
        <v>61164455</v>
      </c>
      <c r="KA346">
        <v>86</v>
      </c>
      <c r="KC346" s="24"/>
      <c r="KD346">
        <v>51</v>
      </c>
      <c r="KE346">
        <v>57</v>
      </c>
      <c r="KF346">
        <v>53</v>
      </c>
      <c r="KG346">
        <v>83298416</v>
      </c>
      <c r="KH346">
        <v>310</v>
      </c>
      <c r="KJ346" s="24"/>
      <c r="KK346">
        <v>104</v>
      </c>
      <c r="KL346">
        <v>107</v>
      </c>
      <c r="KM346">
        <v>107</v>
      </c>
      <c r="KN346">
        <v>68012136</v>
      </c>
      <c r="KO346">
        <v>91</v>
      </c>
      <c r="KQ346" s="24"/>
      <c r="KR346">
        <v>125000</v>
      </c>
      <c r="KS346">
        <v>127001</v>
      </c>
      <c r="KT346">
        <v>125002</v>
      </c>
      <c r="KU346">
        <v>62406</v>
      </c>
      <c r="KV346">
        <v>492</v>
      </c>
      <c r="KX346" s="24"/>
      <c r="KY346">
        <v>956</v>
      </c>
      <c r="KZ346">
        <v>971</v>
      </c>
      <c r="LA346">
        <v>969</v>
      </c>
      <c r="LB346">
        <v>8930112</v>
      </c>
      <c r="LC346">
        <v>166</v>
      </c>
      <c r="LE346" s="24"/>
      <c r="LF346">
        <v>184000</v>
      </c>
      <c r="LG346">
        <v>184001</v>
      </c>
      <c r="LH346">
        <v>184000</v>
      </c>
      <c r="LI346">
        <v>108602</v>
      </c>
      <c r="LJ346">
        <v>680</v>
      </c>
      <c r="LL346" s="24"/>
      <c r="LM346">
        <v>64105</v>
      </c>
      <c r="LN346">
        <v>64500</v>
      </c>
      <c r="LO346">
        <v>64105</v>
      </c>
      <c r="LP346">
        <v>322480</v>
      </c>
      <c r="LQ346">
        <v>966</v>
      </c>
      <c r="LS346" s="24"/>
      <c r="LT346">
        <v>445</v>
      </c>
      <c r="LU346">
        <v>450</v>
      </c>
      <c r="LV346">
        <v>447</v>
      </c>
      <c r="LW346">
        <v>149227046</v>
      </c>
      <c r="LX346">
        <v>327</v>
      </c>
      <c r="LZ346" s="24"/>
      <c r="MA346">
        <v>98502</v>
      </c>
      <c r="MB346">
        <v>102999</v>
      </c>
      <c r="MC346">
        <v>100020</v>
      </c>
      <c r="MD346">
        <v>1056887</v>
      </c>
      <c r="ME346">
        <v>89</v>
      </c>
    </row>
    <row r="347" spans="2:343" x14ac:dyDescent="0.25">
      <c r="B347" s="24"/>
      <c r="C347">
        <v>3</v>
      </c>
      <c r="D347">
        <v>3</v>
      </c>
      <c r="E347">
        <v>3</v>
      </c>
      <c r="F347">
        <v>43540032394</v>
      </c>
      <c r="G347">
        <v>2021</v>
      </c>
      <c r="I347" s="24"/>
      <c r="J347">
        <v>4</v>
      </c>
      <c r="K347">
        <v>4</v>
      </c>
      <c r="L347">
        <v>4</v>
      </c>
      <c r="M347">
        <v>6514733673</v>
      </c>
      <c r="N347">
        <v>1430</v>
      </c>
      <c r="P347" s="24"/>
      <c r="Q347">
        <v>31</v>
      </c>
      <c r="R347">
        <v>32</v>
      </c>
      <c r="S347">
        <v>31</v>
      </c>
      <c r="T347">
        <v>1095039773</v>
      </c>
      <c r="U347">
        <v>1297</v>
      </c>
      <c r="W347" s="24"/>
      <c r="X347">
        <v>59</v>
      </c>
      <c r="Y347">
        <v>61</v>
      </c>
      <c r="Z347">
        <v>61</v>
      </c>
      <c r="AA347">
        <v>323808805</v>
      </c>
      <c r="AB347">
        <v>1009</v>
      </c>
      <c r="AD347" s="24"/>
      <c r="AE347">
        <v>485</v>
      </c>
      <c r="AF347">
        <v>489</v>
      </c>
      <c r="AG347">
        <v>487</v>
      </c>
      <c r="AH347">
        <v>73380550</v>
      </c>
      <c r="AI347">
        <v>1093</v>
      </c>
      <c r="AK347" s="24"/>
      <c r="AL347">
        <v>793</v>
      </c>
      <c r="AM347">
        <v>799</v>
      </c>
      <c r="AN347">
        <v>794</v>
      </c>
      <c r="AO347">
        <v>27085945</v>
      </c>
      <c r="AP347">
        <v>904</v>
      </c>
      <c r="AR347" s="24"/>
      <c r="AS347">
        <v>2743</v>
      </c>
      <c r="AT347">
        <v>2793</v>
      </c>
      <c r="AU347">
        <v>2792</v>
      </c>
      <c r="AV347">
        <v>7597174</v>
      </c>
      <c r="AW347">
        <v>824</v>
      </c>
      <c r="AY347" s="24"/>
      <c r="AZ347">
        <v>441307015</v>
      </c>
      <c r="BA347">
        <v>449500000</v>
      </c>
      <c r="BB347">
        <v>445195000</v>
      </c>
      <c r="BC347">
        <v>2563</v>
      </c>
      <c r="BD347">
        <v>1810</v>
      </c>
      <c r="BF347" s="24"/>
      <c r="BG347">
        <v>24550</v>
      </c>
      <c r="BH347">
        <v>24701</v>
      </c>
      <c r="BI347">
        <v>24575</v>
      </c>
      <c r="BJ347">
        <v>3379037</v>
      </c>
      <c r="BK347">
        <v>235</v>
      </c>
      <c r="BM347" s="24"/>
      <c r="BN347">
        <v>7167515</v>
      </c>
      <c r="BO347">
        <v>7200000</v>
      </c>
      <c r="BP347">
        <v>7200000</v>
      </c>
      <c r="BQ347">
        <v>12548</v>
      </c>
      <c r="BR347">
        <v>327</v>
      </c>
      <c r="BT347" s="24"/>
      <c r="BU347">
        <v>2168</v>
      </c>
      <c r="BV347">
        <v>2176</v>
      </c>
      <c r="BW347">
        <v>2175</v>
      </c>
      <c r="BX347">
        <v>21083254</v>
      </c>
      <c r="BY347">
        <v>207</v>
      </c>
      <c r="CA347" s="24"/>
      <c r="CB347">
        <v>1197</v>
      </c>
      <c r="CC347">
        <v>1200</v>
      </c>
      <c r="CD347">
        <v>1198</v>
      </c>
      <c r="CE347">
        <v>26538272</v>
      </c>
      <c r="CF347">
        <v>203</v>
      </c>
      <c r="CH347" s="24"/>
      <c r="CI347">
        <v>25380</v>
      </c>
      <c r="CJ347">
        <v>25425</v>
      </c>
      <c r="CK347">
        <v>25400</v>
      </c>
      <c r="CL347">
        <v>1120774</v>
      </c>
      <c r="CM347">
        <v>137</v>
      </c>
      <c r="CO347" s="24"/>
      <c r="CP347">
        <v>10855</v>
      </c>
      <c r="CQ347">
        <v>11274</v>
      </c>
      <c r="CR347">
        <v>11000</v>
      </c>
      <c r="CS347">
        <v>936373</v>
      </c>
      <c r="CT347">
        <v>353</v>
      </c>
      <c r="CV347" s="24"/>
      <c r="CW347">
        <v>1017795</v>
      </c>
      <c r="CX347">
        <v>1018998</v>
      </c>
      <c r="CY347">
        <v>1017796</v>
      </c>
      <c r="CZ347">
        <v>5492</v>
      </c>
      <c r="DA347">
        <v>17</v>
      </c>
      <c r="DC347" s="24"/>
      <c r="DD347">
        <v>477</v>
      </c>
      <c r="DE347">
        <v>483</v>
      </c>
      <c r="DF347">
        <v>479</v>
      </c>
      <c r="DG347">
        <v>45649928</v>
      </c>
      <c r="DH347">
        <v>210</v>
      </c>
      <c r="DJ347" s="24"/>
      <c r="DK347">
        <v>30204005</v>
      </c>
      <c r="DL347">
        <v>32203997</v>
      </c>
      <c r="DM347">
        <v>30207009</v>
      </c>
      <c r="DN347">
        <v>136</v>
      </c>
      <c r="DO347">
        <v>44</v>
      </c>
      <c r="DQ347" s="24"/>
      <c r="DR347">
        <v>960000</v>
      </c>
      <c r="DS347">
        <v>1064999</v>
      </c>
      <c r="DT347">
        <v>1050000</v>
      </c>
      <c r="DU347">
        <v>7295</v>
      </c>
      <c r="DV347">
        <v>182</v>
      </c>
      <c r="DX347" s="24"/>
      <c r="DY347">
        <v>21697011</v>
      </c>
      <c r="DZ347">
        <v>22989988</v>
      </c>
      <c r="EA347">
        <v>21697012</v>
      </c>
      <c r="EB347">
        <v>452</v>
      </c>
      <c r="EC347">
        <v>105</v>
      </c>
      <c r="EE347" s="24"/>
      <c r="EF347">
        <v>192</v>
      </c>
      <c r="EG347">
        <v>199</v>
      </c>
      <c r="EH347">
        <v>195</v>
      </c>
      <c r="EI347">
        <v>117383834</v>
      </c>
      <c r="EJ347">
        <v>174</v>
      </c>
      <c r="EL347" s="24"/>
      <c r="EM347">
        <v>53005</v>
      </c>
      <c r="EN347">
        <v>56979</v>
      </c>
      <c r="EO347">
        <v>56679</v>
      </c>
      <c r="EP347">
        <v>94908</v>
      </c>
      <c r="EQ347">
        <v>542</v>
      </c>
      <c r="ES347" s="24"/>
      <c r="ET347">
        <v>312</v>
      </c>
      <c r="EU347">
        <v>358</v>
      </c>
      <c r="EV347">
        <v>339</v>
      </c>
      <c r="EW347">
        <v>106275799</v>
      </c>
      <c r="EX347">
        <v>547</v>
      </c>
      <c r="EZ347" s="24"/>
      <c r="FA347">
        <v>3000029</v>
      </c>
      <c r="FB347">
        <v>3000029</v>
      </c>
      <c r="FC347">
        <v>3000029</v>
      </c>
      <c r="FD347">
        <v>396</v>
      </c>
      <c r="FE347">
        <v>6</v>
      </c>
      <c r="FG347" s="24"/>
      <c r="FH347">
        <v>10200</v>
      </c>
      <c r="FI347">
        <v>10999</v>
      </c>
      <c r="FJ347">
        <v>10600</v>
      </c>
      <c r="FK347">
        <v>1756661</v>
      </c>
      <c r="FL347">
        <v>445</v>
      </c>
      <c r="FN347" s="24"/>
      <c r="FO347">
        <v>18804</v>
      </c>
      <c r="FP347">
        <v>19248</v>
      </c>
      <c r="FQ347">
        <v>19247</v>
      </c>
      <c r="FR347">
        <v>367967</v>
      </c>
      <c r="FS347">
        <v>83</v>
      </c>
      <c r="FU347" s="24"/>
      <c r="FV347">
        <v>14022</v>
      </c>
      <c r="FW347">
        <v>14389</v>
      </c>
      <c r="FX347">
        <v>14023</v>
      </c>
      <c r="FY347">
        <v>310958</v>
      </c>
      <c r="FZ347">
        <v>918</v>
      </c>
      <c r="GB347" s="24"/>
      <c r="GC347">
        <v>92115000</v>
      </c>
      <c r="GD347">
        <v>93500000</v>
      </c>
      <c r="GE347">
        <v>93434999</v>
      </c>
      <c r="GF347">
        <v>134</v>
      </c>
      <c r="GG347">
        <v>70</v>
      </c>
      <c r="GI347" s="24"/>
      <c r="GJ347">
        <v>15603000</v>
      </c>
      <c r="GK347">
        <v>17800000</v>
      </c>
      <c r="GL347">
        <v>17550000</v>
      </c>
      <c r="GM347">
        <v>240</v>
      </c>
      <c r="GN347">
        <v>45</v>
      </c>
      <c r="GP347" s="24"/>
      <c r="GQ347">
        <v>104</v>
      </c>
      <c r="GR347">
        <v>106</v>
      </c>
      <c r="GS347">
        <v>106</v>
      </c>
      <c r="GT347">
        <v>117395625</v>
      </c>
      <c r="GU347">
        <v>123</v>
      </c>
      <c r="GW347" s="24"/>
      <c r="GX347">
        <v>410</v>
      </c>
      <c r="GY347">
        <v>427</v>
      </c>
      <c r="GZ347">
        <v>423</v>
      </c>
      <c r="HA347">
        <v>51331863</v>
      </c>
      <c r="HB347">
        <v>200</v>
      </c>
      <c r="HD347" s="24"/>
      <c r="HE347">
        <v>5385</v>
      </c>
      <c r="HF347">
        <v>5492</v>
      </c>
      <c r="HG347">
        <v>5421</v>
      </c>
      <c r="HH347">
        <v>16179760</v>
      </c>
      <c r="HI347">
        <v>226</v>
      </c>
      <c r="HK347" s="24"/>
      <c r="HL347">
        <v>93002010</v>
      </c>
      <c r="HM347">
        <v>96999963</v>
      </c>
      <c r="HN347">
        <v>95999999</v>
      </c>
      <c r="HO347">
        <v>115</v>
      </c>
      <c r="HP347">
        <v>78</v>
      </c>
      <c r="HR347" s="24"/>
      <c r="HS347">
        <v>9199</v>
      </c>
      <c r="HT347">
        <v>9239</v>
      </c>
      <c r="HU347">
        <v>9233</v>
      </c>
      <c r="HV347">
        <v>750989</v>
      </c>
      <c r="HW347">
        <v>128</v>
      </c>
      <c r="HY347" s="24"/>
      <c r="HZ347">
        <v>9799</v>
      </c>
      <c r="IA347">
        <v>10198</v>
      </c>
      <c r="IB347">
        <v>10049</v>
      </c>
      <c r="IC347">
        <v>1888581</v>
      </c>
      <c r="ID347">
        <v>404</v>
      </c>
      <c r="IF347" s="24"/>
      <c r="IG347">
        <v>3415</v>
      </c>
      <c r="IH347">
        <v>3499</v>
      </c>
      <c r="II347">
        <v>3499</v>
      </c>
      <c r="IJ347">
        <v>985781</v>
      </c>
      <c r="IK347">
        <v>126</v>
      </c>
      <c r="IM347" s="24"/>
      <c r="IN347">
        <v>93000000</v>
      </c>
      <c r="IO347">
        <v>97234022</v>
      </c>
      <c r="IP347">
        <v>94197253</v>
      </c>
      <c r="IQ347">
        <v>96</v>
      </c>
      <c r="IR347">
        <v>70</v>
      </c>
      <c r="IT347" s="24"/>
      <c r="IU347">
        <v>9100</v>
      </c>
      <c r="IV347">
        <v>9495</v>
      </c>
      <c r="IW347">
        <v>9453</v>
      </c>
      <c r="IX347">
        <v>947176</v>
      </c>
      <c r="IY347">
        <v>115</v>
      </c>
      <c r="JA347" s="24"/>
      <c r="JB347">
        <v>93003025</v>
      </c>
      <c r="JC347">
        <v>97583999</v>
      </c>
      <c r="JD347">
        <v>93003034</v>
      </c>
      <c r="JE347">
        <v>134</v>
      </c>
      <c r="JF347">
        <v>79</v>
      </c>
      <c r="JH347" s="24"/>
      <c r="JI347">
        <v>90822061</v>
      </c>
      <c r="JJ347">
        <v>97999988</v>
      </c>
      <c r="JK347">
        <v>96513579</v>
      </c>
      <c r="JL347">
        <v>54</v>
      </c>
      <c r="JM347">
        <v>44</v>
      </c>
      <c r="JO347" s="24"/>
      <c r="JP347">
        <v>87</v>
      </c>
      <c r="JQ347">
        <v>92</v>
      </c>
      <c r="JR347">
        <v>87</v>
      </c>
      <c r="JS347">
        <v>104912771</v>
      </c>
      <c r="JT347">
        <v>85</v>
      </c>
      <c r="JV347" s="24"/>
      <c r="JW347">
        <v>96</v>
      </c>
      <c r="JX347">
        <v>101</v>
      </c>
      <c r="JY347">
        <v>101</v>
      </c>
      <c r="JZ347">
        <v>169616463</v>
      </c>
      <c r="KA347">
        <v>126</v>
      </c>
      <c r="KC347" s="24"/>
      <c r="KD347">
        <v>31</v>
      </c>
      <c r="KE347">
        <v>44</v>
      </c>
      <c r="KF347">
        <v>40</v>
      </c>
      <c r="KG347">
        <v>112632333</v>
      </c>
      <c r="KH347">
        <v>304</v>
      </c>
      <c r="KJ347" s="24"/>
      <c r="KK347">
        <v>104</v>
      </c>
      <c r="KL347">
        <v>106</v>
      </c>
      <c r="KM347">
        <v>104</v>
      </c>
      <c r="KN347">
        <v>134055381</v>
      </c>
      <c r="KO347">
        <v>111</v>
      </c>
      <c r="KQ347" s="24"/>
      <c r="KR347">
        <v>128090</v>
      </c>
      <c r="KS347">
        <v>128199</v>
      </c>
      <c r="KT347">
        <v>128199</v>
      </c>
      <c r="KU347">
        <v>63303</v>
      </c>
      <c r="KV347">
        <v>484</v>
      </c>
      <c r="KX347" s="24"/>
      <c r="KY347">
        <v>930</v>
      </c>
      <c r="KZ347">
        <v>993</v>
      </c>
      <c r="LA347">
        <v>953</v>
      </c>
      <c r="LB347">
        <v>6737598</v>
      </c>
      <c r="LC347">
        <v>171</v>
      </c>
      <c r="LE347" s="24"/>
      <c r="LF347">
        <v>185000</v>
      </c>
      <c r="LG347">
        <v>186000</v>
      </c>
      <c r="LH347">
        <v>186000</v>
      </c>
      <c r="LI347">
        <v>101824</v>
      </c>
      <c r="LJ347">
        <v>675</v>
      </c>
      <c r="LL347" s="24"/>
      <c r="LM347">
        <v>64109</v>
      </c>
      <c r="LN347">
        <v>65395</v>
      </c>
      <c r="LO347">
        <v>64110</v>
      </c>
      <c r="LP347">
        <v>315437</v>
      </c>
      <c r="LQ347">
        <v>974</v>
      </c>
      <c r="LS347" s="24"/>
      <c r="LT347">
        <v>442</v>
      </c>
      <c r="LU347">
        <v>446</v>
      </c>
      <c r="LV347">
        <v>446</v>
      </c>
      <c r="LW347">
        <v>131752810</v>
      </c>
      <c r="LX347">
        <v>346</v>
      </c>
      <c r="LZ347" s="24"/>
      <c r="MA347">
        <v>100000</v>
      </c>
      <c r="MB347">
        <v>102881</v>
      </c>
      <c r="MC347">
        <v>102881</v>
      </c>
      <c r="MD347">
        <v>646066</v>
      </c>
      <c r="ME347">
        <v>54</v>
      </c>
    </row>
    <row r="348" spans="2:343" x14ac:dyDescent="0.25">
      <c r="B348" s="24"/>
      <c r="C348">
        <v>3</v>
      </c>
      <c r="D348">
        <v>3</v>
      </c>
      <c r="E348">
        <v>3</v>
      </c>
      <c r="F348">
        <v>28126362997</v>
      </c>
      <c r="G348">
        <v>2296</v>
      </c>
      <c r="I348" s="24"/>
      <c r="J348">
        <v>4</v>
      </c>
      <c r="K348">
        <v>4</v>
      </c>
      <c r="L348">
        <v>4</v>
      </c>
      <c r="M348">
        <v>4469092654</v>
      </c>
      <c r="N348">
        <v>1596</v>
      </c>
      <c r="P348" s="24"/>
      <c r="Q348">
        <v>31</v>
      </c>
      <c r="R348">
        <v>31</v>
      </c>
      <c r="S348">
        <v>31</v>
      </c>
      <c r="T348">
        <v>1686475558</v>
      </c>
      <c r="U348">
        <v>1499</v>
      </c>
      <c r="W348" s="24"/>
      <c r="X348">
        <v>60</v>
      </c>
      <c r="Y348">
        <v>60</v>
      </c>
      <c r="Z348">
        <v>60</v>
      </c>
      <c r="AA348">
        <v>370437329</v>
      </c>
      <c r="AB348">
        <v>1213</v>
      </c>
      <c r="AD348" s="24"/>
      <c r="AE348">
        <v>479</v>
      </c>
      <c r="AF348">
        <v>486</v>
      </c>
      <c r="AG348">
        <v>482</v>
      </c>
      <c r="AH348">
        <v>130685548</v>
      </c>
      <c r="AI348">
        <v>1321</v>
      </c>
      <c r="AK348" s="24"/>
      <c r="AL348">
        <v>771</v>
      </c>
      <c r="AM348">
        <v>798</v>
      </c>
      <c r="AN348">
        <v>793</v>
      </c>
      <c r="AO348">
        <v>46162964</v>
      </c>
      <c r="AP348">
        <v>1102</v>
      </c>
      <c r="AR348" s="24"/>
      <c r="AS348">
        <v>2720</v>
      </c>
      <c r="AT348">
        <v>2789</v>
      </c>
      <c r="AU348">
        <v>2741</v>
      </c>
      <c r="AV348">
        <v>15597203</v>
      </c>
      <c r="AW348">
        <v>1055</v>
      </c>
      <c r="AY348" s="24"/>
      <c r="AZ348">
        <v>441501100</v>
      </c>
      <c r="BA348">
        <v>451282000</v>
      </c>
      <c r="BB348">
        <v>448000000</v>
      </c>
      <c r="BC348">
        <v>2548</v>
      </c>
      <c r="BD348">
        <v>1727</v>
      </c>
      <c r="BF348" s="24"/>
      <c r="BG348">
        <v>24587</v>
      </c>
      <c r="BH348">
        <v>25000</v>
      </c>
      <c r="BI348">
        <v>24625</v>
      </c>
      <c r="BJ348">
        <v>3994844</v>
      </c>
      <c r="BK348">
        <v>254</v>
      </c>
      <c r="BM348" s="24"/>
      <c r="BN348">
        <v>7200005</v>
      </c>
      <c r="BO348">
        <v>7415899</v>
      </c>
      <c r="BP348">
        <v>7200010</v>
      </c>
      <c r="BQ348">
        <v>17892</v>
      </c>
      <c r="BR348">
        <v>444</v>
      </c>
      <c r="BT348" s="24"/>
      <c r="BU348">
        <v>2122</v>
      </c>
      <c r="BV348">
        <v>2173</v>
      </c>
      <c r="BW348">
        <v>2170</v>
      </c>
      <c r="BX348">
        <v>36267061</v>
      </c>
      <c r="BY348">
        <v>263</v>
      </c>
      <c r="CA348" s="24"/>
      <c r="CB348">
        <v>1199</v>
      </c>
      <c r="CC348">
        <v>1231</v>
      </c>
      <c r="CD348">
        <v>1199</v>
      </c>
      <c r="CE348">
        <v>59546104</v>
      </c>
      <c r="CF348">
        <v>326</v>
      </c>
      <c r="CH348" s="24"/>
      <c r="CI348">
        <v>25430</v>
      </c>
      <c r="CJ348">
        <v>25450</v>
      </c>
      <c r="CK348">
        <v>25450</v>
      </c>
      <c r="CL348">
        <v>1268615</v>
      </c>
      <c r="CM348">
        <v>183</v>
      </c>
      <c r="CO348" s="24"/>
      <c r="CP348">
        <v>10860</v>
      </c>
      <c r="CQ348">
        <v>11186</v>
      </c>
      <c r="CR348">
        <v>11099</v>
      </c>
      <c r="CS348">
        <v>1104968</v>
      </c>
      <c r="CT348">
        <v>367</v>
      </c>
      <c r="CV348" s="24"/>
      <c r="CW348">
        <v>1017690</v>
      </c>
      <c r="CX348">
        <v>1019999</v>
      </c>
      <c r="CY348">
        <v>1017700</v>
      </c>
      <c r="CZ348">
        <v>20931</v>
      </c>
      <c r="DA348">
        <v>52</v>
      </c>
      <c r="DC348" s="24"/>
      <c r="DD348">
        <v>465</v>
      </c>
      <c r="DE348">
        <v>483</v>
      </c>
      <c r="DF348">
        <v>481</v>
      </c>
      <c r="DG348">
        <v>49571894</v>
      </c>
      <c r="DH348">
        <v>180</v>
      </c>
      <c r="DJ348" s="24"/>
      <c r="DK348">
        <v>30207035</v>
      </c>
      <c r="DL348">
        <v>32799998</v>
      </c>
      <c r="DM348">
        <v>31300001</v>
      </c>
      <c r="DN348">
        <v>331</v>
      </c>
      <c r="DO348">
        <v>74</v>
      </c>
      <c r="DQ348" s="24"/>
      <c r="DR348">
        <v>1000006</v>
      </c>
      <c r="DS348">
        <v>1064899</v>
      </c>
      <c r="DT348">
        <v>1050000</v>
      </c>
      <c r="DU348">
        <v>13260</v>
      </c>
      <c r="DV348">
        <v>255</v>
      </c>
      <c r="DX348" s="24"/>
      <c r="DY348">
        <v>21698011</v>
      </c>
      <c r="DZ348">
        <v>22950000</v>
      </c>
      <c r="EA348">
        <v>21902001</v>
      </c>
      <c r="EB348">
        <v>464</v>
      </c>
      <c r="EC348">
        <v>111</v>
      </c>
      <c r="EE348" s="24"/>
      <c r="EF348">
        <v>188</v>
      </c>
      <c r="EG348">
        <v>199</v>
      </c>
      <c r="EH348">
        <v>199</v>
      </c>
      <c r="EI348">
        <v>107599539</v>
      </c>
      <c r="EJ348">
        <v>196</v>
      </c>
      <c r="EL348" s="24"/>
      <c r="EM348">
        <v>53008</v>
      </c>
      <c r="EN348">
        <v>53100</v>
      </c>
      <c r="EO348">
        <v>53100</v>
      </c>
      <c r="EP348">
        <v>89571</v>
      </c>
      <c r="EQ348">
        <v>569</v>
      </c>
      <c r="ES348" s="24"/>
      <c r="ET348">
        <v>328</v>
      </c>
      <c r="EU348">
        <v>349</v>
      </c>
      <c r="EV348">
        <v>339</v>
      </c>
      <c r="EW348">
        <v>67746292</v>
      </c>
      <c r="EX348">
        <v>605</v>
      </c>
      <c r="EZ348" s="24"/>
      <c r="FA348">
        <v>3188991</v>
      </c>
      <c r="FB348">
        <v>3189997</v>
      </c>
      <c r="FC348">
        <v>3189997</v>
      </c>
      <c r="FD348">
        <v>2433</v>
      </c>
      <c r="FE348">
        <v>19</v>
      </c>
      <c r="FG348" s="24"/>
      <c r="FH348">
        <v>10144</v>
      </c>
      <c r="FI348">
        <v>10685</v>
      </c>
      <c r="FJ348">
        <v>10400</v>
      </c>
      <c r="FK348">
        <v>1691929</v>
      </c>
      <c r="FL348">
        <v>433</v>
      </c>
      <c r="FN348" s="24"/>
      <c r="FO348">
        <v>19248</v>
      </c>
      <c r="FP348">
        <v>19248</v>
      </c>
      <c r="FQ348">
        <v>19248</v>
      </c>
      <c r="FR348">
        <v>125306</v>
      </c>
      <c r="FS348">
        <v>76</v>
      </c>
      <c r="FU348" s="24"/>
      <c r="FV348">
        <v>13710</v>
      </c>
      <c r="FW348">
        <v>14010</v>
      </c>
      <c r="FX348">
        <v>14010</v>
      </c>
      <c r="FY348">
        <v>409632</v>
      </c>
      <c r="FZ348">
        <v>990</v>
      </c>
      <c r="GB348" s="24"/>
      <c r="GC348">
        <v>92112501</v>
      </c>
      <c r="GD348">
        <v>95998999</v>
      </c>
      <c r="GE348">
        <v>94827398</v>
      </c>
      <c r="GF348">
        <v>77</v>
      </c>
      <c r="GG348">
        <v>61</v>
      </c>
      <c r="GI348" s="24"/>
      <c r="GJ348">
        <v>17031007</v>
      </c>
      <c r="GK348">
        <v>17999996</v>
      </c>
      <c r="GL348">
        <v>17031009</v>
      </c>
      <c r="GM348">
        <v>754</v>
      </c>
      <c r="GN348">
        <v>114</v>
      </c>
      <c r="GP348" s="24"/>
      <c r="GQ348">
        <v>102</v>
      </c>
      <c r="GR348">
        <v>107</v>
      </c>
      <c r="GS348">
        <v>106</v>
      </c>
      <c r="GT348">
        <v>155260309</v>
      </c>
      <c r="GU348">
        <v>161</v>
      </c>
      <c r="GW348" s="24"/>
      <c r="GX348">
        <v>423</v>
      </c>
      <c r="GY348">
        <v>427</v>
      </c>
      <c r="GZ348">
        <v>425</v>
      </c>
      <c r="HA348">
        <v>52849377</v>
      </c>
      <c r="HB348">
        <v>234</v>
      </c>
      <c r="HD348" s="24"/>
      <c r="HE348">
        <v>5435</v>
      </c>
      <c r="HF348">
        <v>5437</v>
      </c>
      <c r="HG348">
        <v>5436</v>
      </c>
      <c r="HH348">
        <v>17845830</v>
      </c>
      <c r="HI348">
        <v>281</v>
      </c>
      <c r="HK348" s="24"/>
      <c r="HL348">
        <v>92009000</v>
      </c>
      <c r="HM348">
        <v>95989999</v>
      </c>
      <c r="HN348">
        <v>94700272</v>
      </c>
      <c r="HO348">
        <v>81</v>
      </c>
      <c r="HP348">
        <v>58</v>
      </c>
      <c r="HR348" s="24"/>
      <c r="HS348">
        <v>9101</v>
      </c>
      <c r="HT348">
        <v>9450</v>
      </c>
      <c r="HU348">
        <v>9299</v>
      </c>
      <c r="HV348">
        <v>1033543</v>
      </c>
      <c r="HW348">
        <v>181</v>
      </c>
      <c r="HY348" s="24"/>
      <c r="HZ348">
        <v>10000</v>
      </c>
      <c r="IA348">
        <v>10148</v>
      </c>
      <c r="IB348">
        <v>10099</v>
      </c>
      <c r="IC348">
        <v>2224671</v>
      </c>
      <c r="ID348">
        <v>454</v>
      </c>
      <c r="IF348" s="24"/>
      <c r="IG348">
        <v>3494</v>
      </c>
      <c r="IH348">
        <v>3499</v>
      </c>
      <c r="II348">
        <v>3495</v>
      </c>
      <c r="IJ348">
        <v>2036240</v>
      </c>
      <c r="IK348">
        <v>163</v>
      </c>
      <c r="IM348" s="24"/>
      <c r="IN348">
        <v>92001301</v>
      </c>
      <c r="IO348">
        <v>97228999</v>
      </c>
      <c r="IP348">
        <v>94000361</v>
      </c>
      <c r="IQ348">
        <v>100</v>
      </c>
      <c r="IR348">
        <v>63</v>
      </c>
      <c r="IT348" s="24"/>
      <c r="IU348">
        <v>9101</v>
      </c>
      <c r="IV348">
        <v>9451</v>
      </c>
      <c r="IW348">
        <v>9199</v>
      </c>
      <c r="IX348">
        <v>1693418</v>
      </c>
      <c r="IY348">
        <v>170</v>
      </c>
      <c r="JA348" s="24"/>
      <c r="JB348">
        <v>93003100</v>
      </c>
      <c r="JC348">
        <v>95999997</v>
      </c>
      <c r="JD348">
        <v>95058455</v>
      </c>
      <c r="JE348">
        <v>91</v>
      </c>
      <c r="JF348">
        <v>72</v>
      </c>
      <c r="JH348" s="24"/>
      <c r="JI348">
        <v>92829000</v>
      </c>
      <c r="JJ348">
        <v>97999894</v>
      </c>
      <c r="JK348">
        <v>95884384</v>
      </c>
      <c r="JL348">
        <v>44</v>
      </c>
      <c r="JM348">
        <v>30</v>
      </c>
      <c r="JO348" s="24"/>
      <c r="JP348">
        <v>87</v>
      </c>
      <c r="JQ348">
        <v>92</v>
      </c>
      <c r="JR348">
        <v>90</v>
      </c>
      <c r="JS348">
        <v>72659914</v>
      </c>
      <c r="JT348">
        <v>92</v>
      </c>
      <c r="JV348" s="24"/>
      <c r="JW348">
        <v>100</v>
      </c>
      <c r="JX348">
        <v>100</v>
      </c>
      <c r="JY348">
        <v>100</v>
      </c>
      <c r="JZ348">
        <v>131147929</v>
      </c>
      <c r="KA348">
        <v>115</v>
      </c>
      <c r="KC348" s="24"/>
      <c r="KD348">
        <v>45</v>
      </c>
      <c r="KE348">
        <v>55</v>
      </c>
      <c r="KF348">
        <v>54</v>
      </c>
      <c r="KG348">
        <v>112064757</v>
      </c>
      <c r="KH348">
        <v>394</v>
      </c>
      <c r="KJ348" s="24"/>
      <c r="KK348">
        <v>103</v>
      </c>
      <c r="KL348">
        <v>108</v>
      </c>
      <c r="KM348">
        <v>107</v>
      </c>
      <c r="KN348">
        <v>123184922</v>
      </c>
      <c r="KO348">
        <v>127</v>
      </c>
      <c r="KQ348" s="24"/>
      <c r="KR348">
        <v>125302</v>
      </c>
      <c r="KS348">
        <v>127000</v>
      </c>
      <c r="KT348">
        <v>125303</v>
      </c>
      <c r="KU348">
        <v>60774</v>
      </c>
      <c r="KV348">
        <v>560</v>
      </c>
      <c r="KX348" s="24"/>
      <c r="KY348">
        <v>910</v>
      </c>
      <c r="KZ348">
        <v>989</v>
      </c>
      <c r="LA348">
        <v>977</v>
      </c>
      <c r="LB348">
        <v>5416071</v>
      </c>
      <c r="LC348">
        <v>165</v>
      </c>
      <c r="LE348" s="24"/>
      <c r="LF348">
        <v>180004</v>
      </c>
      <c r="LG348">
        <v>184001</v>
      </c>
      <c r="LH348">
        <v>180005</v>
      </c>
      <c r="LI348">
        <v>98505</v>
      </c>
      <c r="LJ348">
        <v>735</v>
      </c>
      <c r="LL348" s="24"/>
      <c r="LM348">
        <v>64112</v>
      </c>
      <c r="LN348">
        <v>64115</v>
      </c>
      <c r="LO348">
        <v>64114</v>
      </c>
      <c r="LP348">
        <v>397039</v>
      </c>
      <c r="LQ348">
        <v>1021</v>
      </c>
      <c r="LS348" s="24"/>
      <c r="LT348">
        <v>446</v>
      </c>
      <c r="LU348">
        <v>447</v>
      </c>
      <c r="LV348">
        <v>446</v>
      </c>
      <c r="LW348">
        <v>148945273</v>
      </c>
      <c r="LX348">
        <v>376</v>
      </c>
      <c r="LZ348" s="24"/>
      <c r="MA348">
        <v>102500</v>
      </c>
      <c r="MB348">
        <v>102881</v>
      </c>
      <c r="MC348">
        <v>102878</v>
      </c>
      <c r="MD348">
        <v>1238792</v>
      </c>
      <c r="ME348">
        <v>79</v>
      </c>
    </row>
    <row r="349" spans="2:343" x14ac:dyDescent="0.25">
      <c r="B349" s="24"/>
      <c r="C349">
        <v>3</v>
      </c>
      <c r="D349">
        <v>3</v>
      </c>
      <c r="E349">
        <v>3</v>
      </c>
      <c r="F349">
        <v>22817996442</v>
      </c>
      <c r="G349">
        <v>2304</v>
      </c>
      <c r="I349" s="24"/>
      <c r="J349">
        <v>4</v>
      </c>
      <c r="K349">
        <v>4</v>
      </c>
      <c r="L349">
        <v>4</v>
      </c>
      <c r="M349">
        <v>5946025289</v>
      </c>
      <c r="N349">
        <v>1613</v>
      </c>
      <c r="P349" s="24"/>
      <c r="Q349">
        <v>31</v>
      </c>
      <c r="R349">
        <v>32</v>
      </c>
      <c r="S349">
        <v>32</v>
      </c>
      <c r="T349">
        <v>1595136223</v>
      </c>
      <c r="U349">
        <v>1536</v>
      </c>
      <c r="W349" s="24"/>
      <c r="X349">
        <v>60</v>
      </c>
      <c r="Y349">
        <v>60</v>
      </c>
      <c r="Z349">
        <v>60</v>
      </c>
      <c r="AA349">
        <v>324160985</v>
      </c>
      <c r="AB349">
        <v>1241</v>
      </c>
      <c r="AD349" s="24"/>
      <c r="AE349">
        <v>481</v>
      </c>
      <c r="AF349">
        <v>484</v>
      </c>
      <c r="AG349">
        <v>483</v>
      </c>
      <c r="AH349">
        <v>90875795</v>
      </c>
      <c r="AI349">
        <v>1297</v>
      </c>
      <c r="AK349" s="24"/>
      <c r="AL349">
        <v>772</v>
      </c>
      <c r="AM349">
        <v>796</v>
      </c>
      <c r="AN349">
        <v>793</v>
      </c>
      <c r="AO349">
        <v>40922828</v>
      </c>
      <c r="AP349">
        <v>1170</v>
      </c>
      <c r="AR349" s="24"/>
      <c r="AS349">
        <v>2720</v>
      </c>
      <c r="AT349">
        <v>2794</v>
      </c>
      <c r="AU349">
        <v>2777</v>
      </c>
      <c r="AV349">
        <v>13050214</v>
      </c>
      <c r="AW349">
        <v>1072</v>
      </c>
      <c r="AY349" s="24"/>
      <c r="AZ349">
        <v>452600002</v>
      </c>
      <c r="BA349">
        <v>465000000</v>
      </c>
      <c r="BB349">
        <v>458000000</v>
      </c>
      <c r="BC349">
        <v>2497</v>
      </c>
      <c r="BD349">
        <v>1857</v>
      </c>
      <c r="BF349" s="24"/>
      <c r="BG349">
        <v>24587</v>
      </c>
      <c r="BH349">
        <v>24700</v>
      </c>
      <c r="BI349">
        <v>24600</v>
      </c>
      <c r="BJ349">
        <v>5171728</v>
      </c>
      <c r="BK349">
        <v>280</v>
      </c>
      <c r="BM349" s="24"/>
      <c r="BN349">
        <v>7200005</v>
      </c>
      <c r="BO349">
        <v>7329999</v>
      </c>
      <c r="BP349">
        <v>7200009</v>
      </c>
      <c r="BQ349">
        <v>15237</v>
      </c>
      <c r="BR349">
        <v>364</v>
      </c>
      <c r="BT349" s="24"/>
      <c r="BU349">
        <v>2163</v>
      </c>
      <c r="BV349">
        <v>2165</v>
      </c>
      <c r="BW349">
        <v>2164</v>
      </c>
      <c r="BX349">
        <v>33414027</v>
      </c>
      <c r="BY349">
        <v>256</v>
      </c>
      <c r="CA349" s="24"/>
      <c r="CB349">
        <v>1246</v>
      </c>
      <c r="CC349">
        <v>1330</v>
      </c>
      <c r="CD349">
        <v>1249</v>
      </c>
      <c r="CE349">
        <v>26038614</v>
      </c>
      <c r="CF349">
        <v>226</v>
      </c>
      <c r="CH349" s="24"/>
      <c r="CI349">
        <v>25450</v>
      </c>
      <c r="CJ349">
        <v>25450</v>
      </c>
      <c r="CK349">
        <v>25450</v>
      </c>
      <c r="CL349">
        <v>1446995</v>
      </c>
      <c r="CM349">
        <v>186</v>
      </c>
      <c r="CO349" s="24"/>
      <c r="CP349">
        <v>10861</v>
      </c>
      <c r="CQ349">
        <v>11299</v>
      </c>
      <c r="CR349">
        <v>11290</v>
      </c>
      <c r="CS349">
        <v>1330569</v>
      </c>
      <c r="CT349">
        <v>379</v>
      </c>
      <c r="CV349" s="24"/>
      <c r="CW349">
        <v>1060000</v>
      </c>
      <c r="CX349">
        <v>1119999</v>
      </c>
      <c r="CY349">
        <v>1074999</v>
      </c>
      <c r="CZ349">
        <v>8406</v>
      </c>
      <c r="DA349">
        <v>37</v>
      </c>
      <c r="DC349" s="24"/>
      <c r="DD349">
        <v>483</v>
      </c>
      <c r="DE349">
        <v>489</v>
      </c>
      <c r="DF349">
        <v>488</v>
      </c>
      <c r="DG349">
        <v>46904902</v>
      </c>
      <c r="DH349">
        <v>226</v>
      </c>
      <c r="DJ349" s="24"/>
      <c r="DK349">
        <v>31700505</v>
      </c>
      <c r="DL349">
        <v>33100399</v>
      </c>
      <c r="DM349">
        <v>32101005</v>
      </c>
      <c r="DN349">
        <v>501</v>
      </c>
      <c r="DO349">
        <v>98</v>
      </c>
      <c r="DQ349" s="24"/>
      <c r="DR349">
        <v>1000000</v>
      </c>
      <c r="DS349">
        <v>1005100</v>
      </c>
      <c r="DT349">
        <v>1005000</v>
      </c>
      <c r="DU349">
        <v>7884</v>
      </c>
      <c r="DV349">
        <v>234</v>
      </c>
      <c r="DX349" s="24"/>
      <c r="DY349">
        <v>22001001</v>
      </c>
      <c r="DZ349">
        <v>22890001</v>
      </c>
      <c r="EA349">
        <v>22002017</v>
      </c>
      <c r="EB349">
        <v>410</v>
      </c>
      <c r="EC349">
        <v>100</v>
      </c>
      <c r="EE349" s="24"/>
      <c r="EF349">
        <v>192</v>
      </c>
      <c r="EG349">
        <v>200</v>
      </c>
      <c r="EH349">
        <v>199</v>
      </c>
      <c r="EI349">
        <v>115424471</v>
      </c>
      <c r="EJ349">
        <v>232</v>
      </c>
      <c r="EL349" s="24"/>
      <c r="EM349">
        <v>53009</v>
      </c>
      <c r="EN349">
        <v>55949</v>
      </c>
      <c r="EO349">
        <v>53022</v>
      </c>
      <c r="EP349">
        <v>106702</v>
      </c>
      <c r="EQ349">
        <v>638</v>
      </c>
      <c r="ES349" s="24"/>
      <c r="ET349">
        <v>358</v>
      </c>
      <c r="EU349">
        <v>379</v>
      </c>
      <c r="EV349">
        <v>370</v>
      </c>
      <c r="EW349">
        <v>92947384</v>
      </c>
      <c r="EX349">
        <v>652</v>
      </c>
      <c r="EZ349" s="24"/>
      <c r="FA349">
        <v>3050031</v>
      </c>
      <c r="FB349">
        <v>3186980</v>
      </c>
      <c r="FC349">
        <v>3060000</v>
      </c>
      <c r="FD349">
        <v>484</v>
      </c>
      <c r="FE349">
        <v>9</v>
      </c>
      <c r="FG349" s="24"/>
      <c r="FH349">
        <v>10011</v>
      </c>
      <c r="FI349">
        <v>10600</v>
      </c>
      <c r="FJ349">
        <v>10424</v>
      </c>
      <c r="FK349">
        <v>1724468</v>
      </c>
      <c r="FL349">
        <v>463</v>
      </c>
      <c r="FN349" s="24"/>
      <c r="FO349">
        <v>19247</v>
      </c>
      <c r="FP349">
        <v>19248</v>
      </c>
      <c r="FQ349">
        <v>19247</v>
      </c>
      <c r="FR349">
        <v>263756</v>
      </c>
      <c r="FS349">
        <v>95</v>
      </c>
      <c r="FU349" s="24"/>
      <c r="FV349">
        <v>13200</v>
      </c>
      <c r="FW349">
        <v>14249</v>
      </c>
      <c r="FX349">
        <v>13502</v>
      </c>
      <c r="FY349">
        <v>507840</v>
      </c>
      <c r="FZ349">
        <v>1107</v>
      </c>
      <c r="GB349" s="24"/>
      <c r="GC349">
        <v>92220100</v>
      </c>
      <c r="GD349">
        <v>96000000</v>
      </c>
      <c r="GE349">
        <v>93940692</v>
      </c>
      <c r="GF349">
        <v>83</v>
      </c>
      <c r="GG349">
        <v>57</v>
      </c>
      <c r="GI349" s="24"/>
      <c r="GJ349">
        <v>17113000</v>
      </c>
      <c r="GK349">
        <v>17114000</v>
      </c>
      <c r="GL349">
        <v>17113003</v>
      </c>
      <c r="GM349">
        <v>757</v>
      </c>
      <c r="GN349">
        <v>116</v>
      </c>
      <c r="GP349" s="24"/>
      <c r="GQ349">
        <v>106</v>
      </c>
      <c r="GR349">
        <v>108</v>
      </c>
      <c r="GS349">
        <v>108</v>
      </c>
      <c r="GT349">
        <v>116253686</v>
      </c>
      <c r="GU349">
        <v>145</v>
      </c>
      <c r="GW349" s="24"/>
      <c r="GX349">
        <v>427</v>
      </c>
      <c r="GY349">
        <v>428</v>
      </c>
      <c r="GZ349">
        <v>427</v>
      </c>
      <c r="HA349">
        <v>43464352</v>
      </c>
      <c r="HB349">
        <v>220</v>
      </c>
      <c r="HD349" s="24"/>
      <c r="HE349">
        <v>5432</v>
      </c>
      <c r="HF349">
        <v>5519</v>
      </c>
      <c r="HG349">
        <v>5438</v>
      </c>
      <c r="HH349">
        <v>22575046</v>
      </c>
      <c r="HI349">
        <v>335</v>
      </c>
      <c r="HK349" s="24"/>
      <c r="HL349">
        <v>95989999</v>
      </c>
      <c r="HM349">
        <v>99000000</v>
      </c>
      <c r="HN349">
        <v>96181973</v>
      </c>
      <c r="HO349">
        <v>92</v>
      </c>
      <c r="HP349">
        <v>68</v>
      </c>
      <c r="HR349" s="24"/>
      <c r="HS349">
        <v>9703</v>
      </c>
      <c r="HT349">
        <v>9999</v>
      </c>
      <c r="HU349">
        <v>9997</v>
      </c>
      <c r="HV349">
        <v>817256</v>
      </c>
      <c r="HW349">
        <v>149</v>
      </c>
      <c r="HY349" s="24"/>
      <c r="HZ349">
        <v>9900</v>
      </c>
      <c r="IA349">
        <v>10146</v>
      </c>
      <c r="IB349">
        <v>10099</v>
      </c>
      <c r="IC349">
        <v>2184529</v>
      </c>
      <c r="ID349">
        <v>441</v>
      </c>
      <c r="IF349" s="24"/>
      <c r="IG349">
        <v>3549</v>
      </c>
      <c r="IH349">
        <v>3600</v>
      </c>
      <c r="II349">
        <v>3600</v>
      </c>
      <c r="IJ349">
        <v>3852997</v>
      </c>
      <c r="IK349">
        <v>177</v>
      </c>
      <c r="IM349" s="24"/>
      <c r="IN349">
        <v>92019000</v>
      </c>
      <c r="IO349">
        <v>97225999</v>
      </c>
      <c r="IP349">
        <v>96090093</v>
      </c>
      <c r="IQ349">
        <v>45</v>
      </c>
      <c r="IR349">
        <v>37</v>
      </c>
      <c r="IT349" s="24"/>
      <c r="IU349">
        <v>9122</v>
      </c>
      <c r="IV349">
        <v>9413</v>
      </c>
      <c r="IW349">
        <v>9412</v>
      </c>
      <c r="IX349">
        <v>2022489</v>
      </c>
      <c r="IY349">
        <v>185</v>
      </c>
      <c r="JA349" s="24"/>
      <c r="JB349">
        <v>93003200</v>
      </c>
      <c r="JC349">
        <v>96000000</v>
      </c>
      <c r="JD349">
        <v>95130636</v>
      </c>
      <c r="JE349">
        <v>77</v>
      </c>
      <c r="JF349">
        <v>56</v>
      </c>
      <c r="JH349" s="24"/>
      <c r="JI349">
        <v>92833103</v>
      </c>
      <c r="JJ349">
        <v>97999893</v>
      </c>
      <c r="JK349">
        <v>96367865</v>
      </c>
      <c r="JL349">
        <v>44</v>
      </c>
      <c r="JM349">
        <v>37</v>
      </c>
      <c r="JO349" s="24"/>
      <c r="JP349">
        <v>91</v>
      </c>
      <c r="JQ349">
        <v>96</v>
      </c>
      <c r="JR349">
        <v>95</v>
      </c>
      <c r="JS349">
        <v>284844245</v>
      </c>
      <c r="JT349">
        <v>148</v>
      </c>
      <c r="JV349" s="24"/>
      <c r="JW349">
        <v>98</v>
      </c>
      <c r="JX349">
        <v>102</v>
      </c>
      <c r="JY349">
        <v>101</v>
      </c>
      <c r="JZ349">
        <v>159209962</v>
      </c>
      <c r="KA349">
        <v>145</v>
      </c>
      <c r="KC349" s="24"/>
      <c r="KD349">
        <v>62</v>
      </c>
      <c r="KE349">
        <v>76</v>
      </c>
      <c r="KF349">
        <v>62</v>
      </c>
      <c r="KG349">
        <v>239477489</v>
      </c>
      <c r="KH349">
        <v>435</v>
      </c>
      <c r="KJ349" s="24"/>
      <c r="KK349">
        <v>103</v>
      </c>
      <c r="KL349">
        <v>108</v>
      </c>
      <c r="KM349">
        <v>107</v>
      </c>
      <c r="KN349">
        <v>222452064</v>
      </c>
      <c r="KO349">
        <v>189</v>
      </c>
      <c r="KQ349" s="24"/>
      <c r="KR349">
        <v>125308</v>
      </c>
      <c r="KS349">
        <v>125316</v>
      </c>
      <c r="KT349">
        <v>125310</v>
      </c>
      <c r="KU349">
        <v>58509</v>
      </c>
      <c r="KV349">
        <v>629</v>
      </c>
      <c r="KX349" s="24"/>
      <c r="KY349">
        <v>911</v>
      </c>
      <c r="KZ349">
        <v>973</v>
      </c>
      <c r="LA349">
        <v>930</v>
      </c>
      <c r="LB349">
        <v>10995229</v>
      </c>
      <c r="LC349">
        <v>222</v>
      </c>
      <c r="LE349" s="24"/>
      <c r="LF349">
        <v>180010</v>
      </c>
      <c r="LG349">
        <v>182000</v>
      </c>
      <c r="LH349">
        <v>180307</v>
      </c>
      <c r="LI349">
        <v>125685</v>
      </c>
      <c r="LJ349">
        <v>845</v>
      </c>
      <c r="LL349" s="24"/>
      <c r="LM349">
        <v>64118</v>
      </c>
      <c r="LN349">
        <v>64150</v>
      </c>
      <c r="LO349">
        <v>64119</v>
      </c>
      <c r="LP349">
        <v>442231</v>
      </c>
      <c r="LQ349">
        <v>1141</v>
      </c>
      <c r="LS349" s="24"/>
      <c r="LT349">
        <v>443</v>
      </c>
      <c r="LU349">
        <v>449</v>
      </c>
      <c r="LV349">
        <v>448</v>
      </c>
      <c r="LW349">
        <v>132474857</v>
      </c>
      <c r="LX349">
        <v>415</v>
      </c>
      <c r="LZ349" s="24"/>
      <c r="MA349">
        <v>100002</v>
      </c>
      <c r="MB349">
        <v>102881</v>
      </c>
      <c r="MC349">
        <v>102881</v>
      </c>
      <c r="MD349">
        <v>452708</v>
      </c>
      <c r="ME349">
        <v>56</v>
      </c>
    </row>
    <row r="350" spans="2:343" x14ac:dyDescent="0.25">
      <c r="B350" s="24"/>
      <c r="C350">
        <v>3</v>
      </c>
      <c r="D350">
        <v>3</v>
      </c>
      <c r="E350">
        <v>3</v>
      </c>
      <c r="F350">
        <v>52453313018</v>
      </c>
      <c r="G350">
        <v>1962</v>
      </c>
      <c r="I350" s="24"/>
      <c r="J350">
        <v>4</v>
      </c>
      <c r="K350">
        <v>4</v>
      </c>
      <c r="L350">
        <v>4</v>
      </c>
      <c r="M350">
        <v>5982260637</v>
      </c>
      <c r="N350">
        <v>1280</v>
      </c>
      <c r="P350" s="24"/>
      <c r="Q350">
        <v>32</v>
      </c>
      <c r="R350">
        <v>32</v>
      </c>
      <c r="S350">
        <v>32</v>
      </c>
      <c r="T350">
        <v>1145274522</v>
      </c>
      <c r="U350">
        <v>1231</v>
      </c>
      <c r="W350" s="24"/>
      <c r="X350">
        <v>59</v>
      </c>
      <c r="Y350">
        <v>60</v>
      </c>
      <c r="Z350">
        <v>60</v>
      </c>
      <c r="AA350">
        <v>259448742</v>
      </c>
      <c r="AB350">
        <v>937</v>
      </c>
      <c r="AD350" s="24"/>
      <c r="AE350">
        <v>479</v>
      </c>
      <c r="AF350">
        <v>482</v>
      </c>
      <c r="AG350">
        <v>482</v>
      </c>
      <c r="AH350">
        <v>88883122</v>
      </c>
      <c r="AI350">
        <v>1062</v>
      </c>
      <c r="AK350" s="24"/>
      <c r="AL350">
        <v>767</v>
      </c>
      <c r="AM350">
        <v>791</v>
      </c>
      <c r="AN350">
        <v>780</v>
      </c>
      <c r="AO350">
        <v>52982827</v>
      </c>
      <c r="AP350">
        <v>938</v>
      </c>
      <c r="AR350" s="24"/>
      <c r="AS350">
        <v>2710</v>
      </c>
      <c r="AT350">
        <v>2793</v>
      </c>
      <c r="AU350">
        <v>2713</v>
      </c>
      <c r="AV350">
        <v>18482685</v>
      </c>
      <c r="AW350">
        <v>876</v>
      </c>
      <c r="AY350" s="24"/>
      <c r="AZ350">
        <v>469999123</v>
      </c>
      <c r="BA350">
        <v>496640996</v>
      </c>
      <c r="BB350">
        <v>484600608</v>
      </c>
      <c r="BC350">
        <v>2644</v>
      </c>
      <c r="BD350">
        <v>1805</v>
      </c>
      <c r="BF350" s="24"/>
      <c r="BG350">
        <v>24675</v>
      </c>
      <c r="BH350">
        <v>24689</v>
      </c>
      <c r="BI350">
        <v>24688</v>
      </c>
      <c r="BJ350">
        <v>5156060</v>
      </c>
      <c r="BK350">
        <v>256</v>
      </c>
      <c r="BM350" s="24"/>
      <c r="BN350">
        <v>7000010</v>
      </c>
      <c r="BO350">
        <v>7178152</v>
      </c>
      <c r="BP350">
        <v>7011001</v>
      </c>
      <c r="BQ350">
        <v>10624</v>
      </c>
      <c r="BR350">
        <v>329</v>
      </c>
      <c r="BT350" s="24"/>
      <c r="BU350">
        <v>2120</v>
      </c>
      <c r="BV350">
        <v>2170</v>
      </c>
      <c r="BW350">
        <v>2170</v>
      </c>
      <c r="BX350">
        <v>23618235</v>
      </c>
      <c r="BY350">
        <v>179</v>
      </c>
      <c r="CA350" s="24"/>
      <c r="CB350">
        <v>1248</v>
      </c>
      <c r="CC350">
        <v>1299</v>
      </c>
      <c r="CD350">
        <v>1250</v>
      </c>
      <c r="CE350">
        <v>32250221</v>
      </c>
      <c r="CF350">
        <v>221</v>
      </c>
      <c r="CH350" s="24"/>
      <c r="CI350">
        <v>25450</v>
      </c>
      <c r="CJ350">
        <v>25551</v>
      </c>
      <c r="CK350">
        <v>25473</v>
      </c>
      <c r="CL350">
        <v>1029330</v>
      </c>
      <c r="CM350">
        <v>162</v>
      </c>
      <c r="CO350" s="24"/>
      <c r="CP350">
        <v>10963</v>
      </c>
      <c r="CQ350">
        <v>11299</v>
      </c>
      <c r="CR350">
        <v>11199</v>
      </c>
      <c r="CS350">
        <v>1070003</v>
      </c>
      <c r="CT350">
        <v>361</v>
      </c>
      <c r="CV350" s="24"/>
      <c r="CW350">
        <v>1080000</v>
      </c>
      <c r="CX350">
        <v>1104899</v>
      </c>
      <c r="CY350">
        <v>1099999</v>
      </c>
      <c r="CZ350">
        <v>10081</v>
      </c>
      <c r="DA350">
        <v>42</v>
      </c>
      <c r="DC350" s="24"/>
      <c r="DD350">
        <v>472</v>
      </c>
      <c r="DE350">
        <v>503</v>
      </c>
      <c r="DF350">
        <v>489</v>
      </c>
      <c r="DG350">
        <v>37748387</v>
      </c>
      <c r="DH350">
        <v>190</v>
      </c>
      <c r="DJ350" s="24"/>
      <c r="DK350">
        <v>31602004</v>
      </c>
      <c r="DL350">
        <v>31603009</v>
      </c>
      <c r="DM350">
        <v>31603002</v>
      </c>
      <c r="DN350">
        <v>303</v>
      </c>
      <c r="DO350">
        <v>65</v>
      </c>
      <c r="DQ350" s="24"/>
      <c r="DR350">
        <v>1013009</v>
      </c>
      <c r="DS350">
        <v>1064898</v>
      </c>
      <c r="DT350">
        <v>1064886</v>
      </c>
      <c r="DU350">
        <v>7370</v>
      </c>
      <c r="DV350">
        <v>203</v>
      </c>
      <c r="DX350" s="24"/>
      <c r="DY350">
        <v>22003001</v>
      </c>
      <c r="DZ350">
        <v>22003008</v>
      </c>
      <c r="EA350">
        <v>22003001</v>
      </c>
      <c r="EB350">
        <v>364</v>
      </c>
      <c r="EC350">
        <v>54</v>
      </c>
      <c r="EE350" s="24"/>
      <c r="EF350">
        <v>201</v>
      </c>
      <c r="EG350">
        <v>202</v>
      </c>
      <c r="EH350">
        <v>202</v>
      </c>
      <c r="EI350">
        <v>119696242</v>
      </c>
      <c r="EJ350">
        <v>153</v>
      </c>
      <c r="EL350" s="24"/>
      <c r="EM350">
        <v>53040</v>
      </c>
      <c r="EN350">
        <v>55899</v>
      </c>
      <c r="EO350">
        <v>53044</v>
      </c>
      <c r="EP350">
        <v>112175</v>
      </c>
      <c r="EQ350">
        <v>470</v>
      </c>
      <c r="ES350" s="24"/>
      <c r="ET350">
        <v>377</v>
      </c>
      <c r="EU350">
        <v>388</v>
      </c>
      <c r="EV350">
        <v>388</v>
      </c>
      <c r="EW350">
        <v>43961990</v>
      </c>
      <c r="EX350">
        <v>479</v>
      </c>
      <c r="EZ350" s="24"/>
      <c r="FA350">
        <v>3060000</v>
      </c>
      <c r="FB350">
        <v>3060000</v>
      </c>
      <c r="FC350">
        <v>3060000</v>
      </c>
      <c r="FD350">
        <v>1206</v>
      </c>
      <c r="FE350">
        <v>15</v>
      </c>
      <c r="FG350" s="24"/>
      <c r="FH350">
        <v>10014</v>
      </c>
      <c r="FI350">
        <v>10419</v>
      </c>
      <c r="FJ350">
        <v>10417</v>
      </c>
      <c r="FK350">
        <v>1393952</v>
      </c>
      <c r="FL350">
        <v>421</v>
      </c>
      <c r="FN350" s="24"/>
      <c r="FO350">
        <v>18859</v>
      </c>
      <c r="FP350">
        <v>19247</v>
      </c>
      <c r="FQ350">
        <v>18885</v>
      </c>
      <c r="FR350">
        <v>151834</v>
      </c>
      <c r="FS350">
        <v>82</v>
      </c>
      <c r="FU350" s="24"/>
      <c r="FV350">
        <v>13254</v>
      </c>
      <c r="FW350">
        <v>13257</v>
      </c>
      <c r="FX350">
        <v>13255</v>
      </c>
      <c r="FY350">
        <v>376299</v>
      </c>
      <c r="FZ350">
        <v>826</v>
      </c>
      <c r="GB350" s="24"/>
      <c r="GC350">
        <v>93000106</v>
      </c>
      <c r="GD350">
        <v>96475499</v>
      </c>
      <c r="GE350">
        <v>94883527</v>
      </c>
      <c r="GF350">
        <v>93</v>
      </c>
      <c r="GG350">
        <v>68</v>
      </c>
      <c r="GI350" s="24"/>
      <c r="GJ350">
        <v>17300000</v>
      </c>
      <c r="GK350">
        <v>17900000</v>
      </c>
      <c r="GL350">
        <v>17300015</v>
      </c>
      <c r="GM350">
        <v>651</v>
      </c>
      <c r="GN350">
        <v>104</v>
      </c>
      <c r="GP350" s="24"/>
      <c r="GQ350">
        <v>105</v>
      </c>
      <c r="GR350">
        <v>105</v>
      </c>
      <c r="GS350">
        <v>105</v>
      </c>
      <c r="GT350">
        <v>139321467</v>
      </c>
      <c r="GU350">
        <v>116</v>
      </c>
      <c r="GW350" s="24"/>
      <c r="GX350">
        <v>422</v>
      </c>
      <c r="GY350">
        <v>427</v>
      </c>
      <c r="GZ350">
        <v>427</v>
      </c>
      <c r="HA350">
        <v>46176974</v>
      </c>
      <c r="HB350">
        <v>191</v>
      </c>
      <c r="HD350" s="24"/>
      <c r="HE350">
        <v>5433</v>
      </c>
      <c r="HF350">
        <v>5531</v>
      </c>
      <c r="HG350">
        <v>5531</v>
      </c>
      <c r="HH350">
        <v>16833812</v>
      </c>
      <c r="HI350">
        <v>289</v>
      </c>
      <c r="HK350" s="24"/>
      <c r="HL350">
        <v>92114512</v>
      </c>
      <c r="HM350">
        <v>105999990</v>
      </c>
      <c r="HN350">
        <v>101729798</v>
      </c>
      <c r="HO350">
        <v>59</v>
      </c>
      <c r="HP350">
        <v>49</v>
      </c>
      <c r="HR350" s="24"/>
      <c r="HS350">
        <v>9800</v>
      </c>
      <c r="HT350">
        <v>10093</v>
      </c>
      <c r="HU350">
        <v>10085</v>
      </c>
      <c r="HV350">
        <v>814772</v>
      </c>
      <c r="HW350">
        <v>176</v>
      </c>
      <c r="HY350" s="24"/>
      <c r="HZ350">
        <v>9799</v>
      </c>
      <c r="IA350">
        <v>10099</v>
      </c>
      <c r="IB350">
        <v>9999</v>
      </c>
      <c r="IC350">
        <v>1711772</v>
      </c>
      <c r="ID350">
        <v>379</v>
      </c>
      <c r="IF350" s="24"/>
      <c r="IG350">
        <v>4590</v>
      </c>
      <c r="IH350">
        <v>4722</v>
      </c>
      <c r="II350">
        <v>4719</v>
      </c>
      <c r="IJ350">
        <v>892810</v>
      </c>
      <c r="IK350">
        <v>112</v>
      </c>
      <c r="IM350" s="24"/>
      <c r="IN350">
        <v>92020108</v>
      </c>
      <c r="IO350">
        <v>97224900</v>
      </c>
      <c r="IP350">
        <v>95298024</v>
      </c>
      <c r="IQ350">
        <v>74</v>
      </c>
      <c r="IR350">
        <v>62</v>
      </c>
      <c r="IT350" s="24"/>
      <c r="IU350">
        <v>8975</v>
      </c>
      <c r="IV350">
        <v>9338</v>
      </c>
      <c r="IW350">
        <v>9015</v>
      </c>
      <c r="IX350">
        <v>1317611</v>
      </c>
      <c r="IY350">
        <v>142</v>
      </c>
      <c r="JA350" s="24"/>
      <c r="JB350">
        <v>93013026</v>
      </c>
      <c r="JC350">
        <v>97576998</v>
      </c>
      <c r="JD350">
        <v>93013105</v>
      </c>
      <c r="JE350">
        <v>110</v>
      </c>
      <c r="JF350">
        <v>66</v>
      </c>
      <c r="JH350" s="24"/>
      <c r="JI350">
        <v>94999999</v>
      </c>
      <c r="JJ350">
        <v>107999493</v>
      </c>
      <c r="JK350">
        <v>98681776</v>
      </c>
      <c r="JL350">
        <v>70</v>
      </c>
      <c r="JM350">
        <v>51</v>
      </c>
      <c r="JO350" s="24"/>
      <c r="JP350">
        <v>97</v>
      </c>
      <c r="JQ350">
        <v>102</v>
      </c>
      <c r="JR350">
        <v>102</v>
      </c>
      <c r="JS350">
        <v>70871437</v>
      </c>
      <c r="JT350">
        <v>89</v>
      </c>
      <c r="JV350" s="24"/>
      <c r="JW350">
        <v>101</v>
      </c>
      <c r="JX350">
        <v>101</v>
      </c>
      <c r="JY350">
        <v>101</v>
      </c>
      <c r="JZ350">
        <v>83400097</v>
      </c>
      <c r="KA350">
        <v>103</v>
      </c>
      <c r="KC350" s="24"/>
      <c r="KD350">
        <v>70</v>
      </c>
      <c r="KE350">
        <v>86</v>
      </c>
      <c r="KF350">
        <v>76</v>
      </c>
      <c r="KG350">
        <v>70591693</v>
      </c>
      <c r="KH350">
        <v>347</v>
      </c>
      <c r="KJ350" s="24"/>
      <c r="KK350">
        <v>104</v>
      </c>
      <c r="KL350">
        <v>109</v>
      </c>
      <c r="KM350">
        <v>108</v>
      </c>
      <c r="KN350">
        <v>118864527</v>
      </c>
      <c r="KO350">
        <v>110</v>
      </c>
      <c r="KQ350" s="24"/>
      <c r="KR350">
        <v>125317</v>
      </c>
      <c r="KS350">
        <v>125318</v>
      </c>
      <c r="KT350">
        <v>125318</v>
      </c>
      <c r="KU350">
        <v>73631</v>
      </c>
      <c r="KV350">
        <v>487</v>
      </c>
      <c r="KX350" s="24"/>
      <c r="KY350">
        <v>904</v>
      </c>
      <c r="KZ350">
        <v>963</v>
      </c>
      <c r="LA350">
        <v>955</v>
      </c>
      <c r="LB350">
        <v>5154469</v>
      </c>
      <c r="LC350">
        <v>158</v>
      </c>
      <c r="LE350" s="24"/>
      <c r="LF350">
        <v>179000</v>
      </c>
      <c r="LG350">
        <v>180017</v>
      </c>
      <c r="LH350">
        <v>180001</v>
      </c>
      <c r="LI350">
        <v>155521</v>
      </c>
      <c r="LJ350">
        <v>683</v>
      </c>
      <c r="LL350" s="24"/>
      <c r="LM350">
        <v>63025</v>
      </c>
      <c r="LN350">
        <v>64000</v>
      </c>
      <c r="LO350">
        <v>63800</v>
      </c>
      <c r="LP350">
        <v>382356</v>
      </c>
      <c r="LQ350">
        <v>853</v>
      </c>
      <c r="LS350" s="24"/>
      <c r="LT350">
        <v>441</v>
      </c>
      <c r="LU350">
        <v>449</v>
      </c>
      <c r="LV350">
        <v>448</v>
      </c>
      <c r="LW350">
        <v>112563894</v>
      </c>
      <c r="LX350">
        <v>332</v>
      </c>
      <c r="LZ350" s="24"/>
      <c r="MA350">
        <v>100013</v>
      </c>
      <c r="MB350">
        <v>103992</v>
      </c>
      <c r="MC350">
        <v>100051</v>
      </c>
      <c r="MD350">
        <v>1757460</v>
      </c>
      <c r="ME350">
        <v>102</v>
      </c>
    </row>
    <row r="351" spans="2:343" x14ac:dyDescent="0.25">
      <c r="B351" s="24"/>
      <c r="C351">
        <v>3</v>
      </c>
      <c r="D351">
        <v>3</v>
      </c>
      <c r="E351">
        <v>3</v>
      </c>
      <c r="F351">
        <v>38668877346</v>
      </c>
      <c r="G351">
        <v>1926</v>
      </c>
      <c r="I351" s="24"/>
      <c r="J351">
        <v>4</v>
      </c>
      <c r="K351">
        <v>4</v>
      </c>
      <c r="L351">
        <v>4</v>
      </c>
      <c r="M351">
        <v>7687593292</v>
      </c>
      <c r="N351">
        <v>1336</v>
      </c>
      <c r="P351" s="24"/>
      <c r="Q351">
        <v>31</v>
      </c>
      <c r="R351">
        <v>32</v>
      </c>
      <c r="S351">
        <v>32</v>
      </c>
      <c r="T351">
        <v>2206392723</v>
      </c>
      <c r="U351">
        <v>1322</v>
      </c>
      <c r="W351" s="24"/>
      <c r="X351">
        <v>59</v>
      </c>
      <c r="Y351">
        <v>60</v>
      </c>
      <c r="Z351">
        <v>60</v>
      </c>
      <c r="AA351">
        <v>325707005</v>
      </c>
      <c r="AB351">
        <v>1009</v>
      </c>
      <c r="AD351" s="24"/>
      <c r="AE351">
        <v>475</v>
      </c>
      <c r="AF351">
        <v>481</v>
      </c>
      <c r="AG351">
        <v>481</v>
      </c>
      <c r="AH351">
        <v>90990161</v>
      </c>
      <c r="AI351">
        <v>1050</v>
      </c>
      <c r="AK351" s="24"/>
      <c r="AL351">
        <v>770</v>
      </c>
      <c r="AM351">
        <v>788</v>
      </c>
      <c r="AN351">
        <v>784</v>
      </c>
      <c r="AO351">
        <v>37391835</v>
      </c>
      <c r="AP351">
        <v>918</v>
      </c>
      <c r="AR351" s="24"/>
      <c r="AS351">
        <v>2713</v>
      </c>
      <c r="AT351">
        <v>2783</v>
      </c>
      <c r="AU351">
        <v>2775</v>
      </c>
      <c r="AV351">
        <v>10893065</v>
      </c>
      <c r="AW351">
        <v>847</v>
      </c>
      <c r="AY351" s="24"/>
      <c r="AZ351">
        <v>489497992</v>
      </c>
      <c r="BA351">
        <v>512999999</v>
      </c>
      <c r="BB351">
        <v>500000000</v>
      </c>
      <c r="BC351">
        <v>3102</v>
      </c>
      <c r="BD351">
        <v>2249</v>
      </c>
      <c r="BF351" s="24"/>
      <c r="BG351">
        <v>24550</v>
      </c>
      <c r="BH351">
        <v>24625</v>
      </c>
      <c r="BI351">
        <v>24576</v>
      </c>
      <c r="BJ351">
        <v>5481566</v>
      </c>
      <c r="BK351">
        <v>239</v>
      </c>
      <c r="BM351" s="24"/>
      <c r="BN351">
        <v>7199166</v>
      </c>
      <c r="BO351">
        <v>7349992</v>
      </c>
      <c r="BP351">
        <v>7317992</v>
      </c>
      <c r="BQ351">
        <v>18247</v>
      </c>
      <c r="BR351">
        <v>398</v>
      </c>
      <c r="BT351" s="24"/>
      <c r="BU351">
        <v>2115</v>
      </c>
      <c r="BV351">
        <v>2164</v>
      </c>
      <c r="BW351">
        <v>2161</v>
      </c>
      <c r="BX351">
        <v>24831198</v>
      </c>
      <c r="BY351">
        <v>218</v>
      </c>
      <c r="CA351" s="24"/>
      <c r="CB351">
        <v>1299</v>
      </c>
      <c r="CC351">
        <v>1338</v>
      </c>
      <c r="CD351">
        <v>1338</v>
      </c>
      <c r="CE351">
        <v>30153300</v>
      </c>
      <c r="CF351">
        <v>207</v>
      </c>
      <c r="CH351" s="24"/>
      <c r="CI351">
        <v>25576</v>
      </c>
      <c r="CJ351">
        <v>25578</v>
      </c>
      <c r="CK351">
        <v>25576</v>
      </c>
      <c r="CL351">
        <v>2767765</v>
      </c>
      <c r="CM351">
        <v>174</v>
      </c>
      <c r="CO351" s="24"/>
      <c r="CP351">
        <v>10710</v>
      </c>
      <c r="CQ351">
        <v>11247</v>
      </c>
      <c r="CR351">
        <v>10963</v>
      </c>
      <c r="CS351">
        <v>1186550</v>
      </c>
      <c r="CT351">
        <v>323</v>
      </c>
      <c r="CV351" s="24"/>
      <c r="CW351">
        <v>1060000</v>
      </c>
      <c r="CX351">
        <v>1094999</v>
      </c>
      <c r="CY351">
        <v>1088000</v>
      </c>
      <c r="CZ351">
        <v>10004</v>
      </c>
      <c r="DA351">
        <v>34</v>
      </c>
      <c r="DC351" s="24"/>
      <c r="DD351">
        <v>476</v>
      </c>
      <c r="DE351">
        <v>499</v>
      </c>
      <c r="DF351">
        <v>497</v>
      </c>
      <c r="DG351">
        <v>35369656</v>
      </c>
      <c r="DH351">
        <v>180</v>
      </c>
      <c r="DJ351" s="24"/>
      <c r="DK351">
        <v>32000001</v>
      </c>
      <c r="DL351">
        <v>32999991</v>
      </c>
      <c r="DM351">
        <v>32000007</v>
      </c>
      <c r="DN351">
        <v>193</v>
      </c>
      <c r="DO351">
        <v>62</v>
      </c>
      <c r="DQ351" s="24"/>
      <c r="DR351">
        <v>1000005</v>
      </c>
      <c r="DS351">
        <v>1030001</v>
      </c>
      <c r="DT351">
        <v>1025000</v>
      </c>
      <c r="DU351">
        <v>10575</v>
      </c>
      <c r="DV351">
        <v>233</v>
      </c>
      <c r="DX351" s="24"/>
      <c r="DY351">
        <v>20716004</v>
      </c>
      <c r="DZ351">
        <v>22888997</v>
      </c>
      <c r="EA351">
        <v>22003001</v>
      </c>
      <c r="EB351">
        <v>794</v>
      </c>
      <c r="EC351">
        <v>110</v>
      </c>
      <c r="EE351" s="24"/>
      <c r="EF351">
        <v>200</v>
      </c>
      <c r="EG351">
        <v>219</v>
      </c>
      <c r="EH351">
        <v>203</v>
      </c>
      <c r="EI351">
        <v>67283561</v>
      </c>
      <c r="EJ351">
        <v>125</v>
      </c>
      <c r="EL351" s="24"/>
      <c r="EM351">
        <v>53103</v>
      </c>
      <c r="EN351">
        <v>53113</v>
      </c>
      <c r="EO351">
        <v>53107</v>
      </c>
      <c r="EP351">
        <v>62597</v>
      </c>
      <c r="EQ351">
        <v>459</v>
      </c>
      <c r="ES351" s="24"/>
      <c r="ET351">
        <v>350</v>
      </c>
      <c r="EU351">
        <v>397</v>
      </c>
      <c r="EV351">
        <v>377</v>
      </c>
      <c r="EW351">
        <v>71352761</v>
      </c>
      <c r="EX351">
        <v>487</v>
      </c>
      <c r="EZ351" s="24"/>
      <c r="FA351">
        <v>3060002</v>
      </c>
      <c r="FB351">
        <v>3080002</v>
      </c>
      <c r="FC351">
        <v>3060002</v>
      </c>
      <c r="FD351">
        <v>1988</v>
      </c>
      <c r="FE351">
        <v>16</v>
      </c>
      <c r="FG351" s="24"/>
      <c r="FH351">
        <v>9600</v>
      </c>
      <c r="FI351">
        <v>10388</v>
      </c>
      <c r="FJ351">
        <v>10017</v>
      </c>
      <c r="FK351">
        <v>1952949</v>
      </c>
      <c r="FL351">
        <v>370</v>
      </c>
      <c r="FN351" s="24"/>
      <c r="FO351">
        <v>19247</v>
      </c>
      <c r="FP351">
        <v>19247</v>
      </c>
      <c r="FQ351">
        <v>19247</v>
      </c>
      <c r="FR351">
        <v>154359</v>
      </c>
      <c r="FS351">
        <v>68</v>
      </c>
      <c r="FU351" s="24"/>
      <c r="FV351">
        <v>13262</v>
      </c>
      <c r="FW351">
        <v>14149</v>
      </c>
      <c r="FX351">
        <v>13264</v>
      </c>
      <c r="FY351">
        <v>329395</v>
      </c>
      <c r="FZ351">
        <v>800</v>
      </c>
      <c r="GB351" s="24"/>
      <c r="GC351">
        <v>96475999</v>
      </c>
      <c r="GD351">
        <v>100005000</v>
      </c>
      <c r="GE351">
        <v>99976000</v>
      </c>
      <c r="GF351">
        <v>125</v>
      </c>
      <c r="GG351">
        <v>71</v>
      </c>
      <c r="GI351" s="24"/>
      <c r="GJ351">
        <v>16800101</v>
      </c>
      <c r="GK351">
        <v>17000000</v>
      </c>
      <c r="GL351">
        <v>16900012</v>
      </c>
      <c r="GM351">
        <v>469</v>
      </c>
      <c r="GN351">
        <v>77</v>
      </c>
      <c r="GP351" s="24"/>
      <c r="GQ351">
        <v>105</v>
      </c>
      <c r="GR351">
        <v>107</v>
      </c>
      <c r="GS351">
        <v>107</v>
      </c>
      <c r="GT351">
        <v>62863351</v>
      </c>
      <c r="GU351">
        <v>81</v>
      </c>
      <c r="GW351" s="24"/>
      <c r="GX351">
        <v>412</v>
      </c>
      <c r="GY351">
        <v>427</v>
      </c>
      <c r="GZ351">
        <v>421</v>
      </c>
      <c r="HA351">
        <v>64264771</v>
      </c>
      <c r="HB351">
        <v>191</v>
      </c>
      <c r="HD351" s="24"/>
      <c r="HE351">
        <v>5278</v>
      </c>
      <c r="HF351">
        <v>5493</v>
      </c>
      <c r="HG351">
        <v>5431</v>
      </c>
      <c r="HH351">
        <v>18558127</v>
      </c>
      <c r="HI351">
        <v>238</v>
      </c>
      <c r="HK351" s="24"/>
      <c r="HL351">
        <v>95999996</v>
      </c>
      <c r="HM351">
        <v>105999986</v>
      </c>
      <c r="HN351">
        <v>100587662</v>
      </c>
      <c r="HO351">
        <v>88</v>
      </c>
      <c r="HP351">
        <v>61</v>
      </c>
      <c r="HR351" s="24"/>
      <c r="HS351">
        <v>9255</v>
      </c>
      <c r="HT351">
        <v>9919</v>
      </c>
      <c r="HU351">
        <v>9450</v>
      </c>
      <c r="HV351">
        <v>590573</v>
      </c>
      <c r="HW351">
        <v>124</v>
      </c>
      <c r="HY351" s="24"/>
      <c r="HZ351">
        <v>9506</v>
      </c>
      <c r="IA351">
        <v>9779</v>
      </c>
      <c r="IB351">
        <v>9699</v>
      </c>
      <c r="IC351">
        <v>2056005</v>
      </c>
      <c r="ID351">
        <v>378</v>
      </c>
      <c r="IF351" s="24"/>
      <c r="IG351">
        <v>4010</v>
      </c>
      <c r="IH351">
        <v>4409</v>
      </c>
      <c r="II351">
        <v>4399</v>
      </c>
      <c r="IJ351">
        <v>1358248</v>
      </c>
      <c r="IK351">
        <v>114</v>
      </c>
      <c r="IM351" s="24"/>
      <c r="IN351">
        <v>92037250</v>
      </c>
      <c r="IO351">
        <v>97000000</v>
      </c>
      <c r="IP351">
        <v>96158565</v>
      </c>
      <c r="IQ351">
        <v>54</v>
      </c>
      <c r="IR351">
        <v>51</v>
      </c>
      <c r="IT351" s="24"/>
      <c r="IU351">
        <v>8961</v>
      </c>
      <c r="IV351">
        <v>9000</v>
      </c>
      <c r="IW351">
        <v>8999</v>
      </c>
      <c r="IX351">
        <v>1358029</v>
      </c>
      <c r="IY351">
        <v>121</v>
      </c>
      <c r="JA351" s="24"/>
      <c r="JB351">
        <v>93026023</v>
      </c>
      <c r="JC351">
        <v>97533997</v>
      </c>
      <c r="JD351">
        <v>95234233</v>
      </c>
      <c r="JE351">
        <v>86</v>
      </c>
      <c r="JF351">
        <v>58</v>
      </c>
      <c r="JH351" s="24"/>
      <c r="JI351">
        <v>93014302</v>
      </c>
      <c r="JJ351">
        <v>108999976</v>
      </c>
      <c r="JK351">
        <v>106555259</v>
      </c>
      <c r="JL351">
        <v>30</v>
      </c>
      <c r="JM351">
        <v>27</v>
      </c>
      <c r="JO351" s="24"/>
      <c r="JP351">
        <v>99</v>
      </c>
      <c r="JQ351">
        <v>99</v>
      </c>
      <c r="JR351">
        <v>99</v>
      </c>
      <c r="JS351">
        <v>184671818</v>
      </c>
      <c r="JT351">
        <v>93</v>
      </c>
      <c r="JV351" s="24"/>
      <c r="JW351">
        <v>99</v>
      </c>
      <c r="JX351">
        <v>101</v>
      </c>
      <c r="JY351">
        <v>101</v>
      </c>
      <c r="JZ351">
        <v>89134256</v>
      </c>
      <c r="KA351">
        <v>97</v>
      </c>
      <c r="KC351" s="24"/>
      <c r="KD351">
        <v>79</v>
      </c>
      <c r="KE351">
        <v>94</v>
      </c>
      <c r="KF351">
        <v>85</v>
      </c>
      <c r="KG351">
        <v>163324193</v>
      </c>
      <c r="KH351">
        <v>380</v>
      </c>
      <c r="KJ351" s="24"/>
      <c r="KK351">
        <v>109</v>
      </c>
      <c r="KL351">
        <v>111</v>
      </c>
      <c r="KM351">
        <v>111</v>
      </c>
      <c r="KN351">
        <v>71198704</v>
      </c>
      <c r="KO351">
        <v>95</v>
      </c>
      <c r="KQ351" s="24"/>
      <c r="KR351">
        <v>125320</v>
      </c>
      <c r="KS351">
        <v>129989</v>
      </c>
      <c r="KT351">
        <v>125321</v>
      </c>
      <c r="KU351">
        <v>91711</v>
      </c>
      <c r="KV351">
        <v>485</v>
      </c>
      <c r="KX351" s="24"/>
      <c r="KY351">
        <v>907</v>
      </c>
      <c r="KZ351">
        <v>951</v>
      </c>
      <c r="LA351">
        <v>951</v>
      </c>
      <c r="LB351">
        <v>6802420</v>
      </c>
      <c r="LC351">
        <v>128</v>
      </c>
      <c r="LE351" s="24"/>
      <c r="LF351">
        <v>178001</v>
      </c>
      <c r="LG351">
        <v>184900</v>
      </c>
      <c r="LH351">
        <v>178404</v>
      </c>
      <c r="LI351">
        <v>133136</v>
      </c>
      <c r="LJ351">
        <v>656</v>
      </c>
      <c r="LL351" s="24"/>
      <c r="LM351">
        <v>63204</v>
      </c>
      <c r="LN351">
        <v>64899</v>
      </c>
      <c r="LO351">
        <v>63205</v>
      </c>
      <c r="LP351">
        <v>353417</v>
      </c>
      <c r="LQ351">
        <v>879</v>
      </c>
      <c r="LS351" s="24"/>
      <c r="LT351">
        <v>448</v>
      </c>
      <c r="LU351">
        <v>449</v>
      </c>
      <c r="LV351">
        <v>449</v>
      </c>
      <c r="LW351">
        <v>95250210</v>
      </c>
      <c r="LX351">
        <v>320</v>
      </c>
      <c r="LZ351" s="24"/>
      <c r="MA351">
        <v>100100</v>
      </c>
      <c r="MB351">
        <v>103898</v>
      </c>
      <c r="MC351">
        <v>102000</v>
      </c>
      <c r="MD351">
        <v>575838</v>
      </c>
      <c r="ME351">
        <v>59</v>
      </c>
    </row>
    <row r="352" spans="2:343" x14ac:dyDescent="0.25">
      <c r="B352" s="24"/>
      <c r="C352">
        <v>3</v>
      </c>
      <c r="D352">
        <v>3</v>
      </c>
      <c r="E352">
        <v>3</v>
      </c>
      <c r="F352">
        <v>31659705980</v>
      </c>
      <c r="G352">
        <v>1809</v>
      </c>
      <c r="I352" s="24"/>
      <c r="J352">
        <v>4</v>
      </c>
      <c r="K352">
        <v>4</v>
      </c>
      <c r="L352">
        <v>4</v>
      </c>
      <c r="M352">
        <v>5669431795</v>
      </c>
      <c r="N352">
        <v>1230</v>
      </c>
      <c r="P352" s="24"/>
      <c r="Q352">
        <v>32</v>
      </c>
      <c r="R352">
        <v>32</v>
      </c>
      <c r="S352">
        <v>32</v>
      </c>
      <c r="T352">
        <v>1128468955</v>
      </c>
      <c r="U352">
        <v>1180</v>
      </c>
      <c r="W352" s="24"/>
      <c r="X352">
        <v>60</v>
      </c>
      <c r="Y352">
        <v>60</v>
      </c>
      <c r="Z352">
        <v>60</v>
      </c>
      <c r="AA352">
        <v>425513240</v>
      </c>
      <c r="AB352">
        <v>984</v>
      </c>
      <c r="AD352" s="24"/>
      <c r="AE352">
        <v>480</v>
      </c>
      <c r="AF352">
        <v>481</v>
      </c>
      <c r="AG352">
        <v>480</v>
      </c>
      <c r="AH352">
        <v>116996192</v>
      </c>
      <c r="AI352">
        <v>1001</v>
      </c>
      <c r="AK352" s="24"/>
      <c r="AL352">
        <v>769</v>
      </c>
      <c r="AM352">
        <v>770</v>
      </c>
      <c r="AN352">
        <v>770</v>
      </c>
      <c r="AO352">
        <v>53780477</v>
      </c>
      <c r="AP352">
        <v>890</v>
      </c>
      <c r="AR352" s="24"/>
      <c r="AS352">
        <v>2715</v>
      </c>
      <c r="AT352">
        <v>2780</v>
      </c>
      <c r="AU352">
        <v>2715</v>
      </c>
      <c r="AV352">
        <v>11978298</v>
      </c>
      <c r="AW352">
        <v>818</v>
      </c>
      <c r="AY352" s="24"/>
      <c r="AZ352">
        <v>488000000</v>
      </c>
      <c r="BA352">
        <v>499001000</v>
      </c>
      <c r="BB352">
        <v>493660000</v>
      </c>
      <c r="BC352">
        <v>2992</v>
      </c>
      <c r="BD352">
        <v>2119</v>
      </c>
      <c r="BF352" s="24"/>
      <c r="BG352">
        <v>24100</v>
      </c>
      <c r="BH352">
        <v>24600</v>
      </c>
      <c r="BI352">
        <v>24150</v>
      </c>
      <c r="BJ352">
        <v>4233048</v>
      </c>
      <c r="BK352">
        <v>231</v>
      </c>
      <c r="BM352" s="24"/>
      <c r="BN352">
        <v>7153002</v>
      </c>
      <c r="BO352">
        <v>7453005</v>
      </c>
      <c r="BP352">
        <v>7153156</v>
      </c>
      <c r="BQ352">
        <v>14546</v>
      </c>
      <c r="BR352">
        <v>418</v>
      </c>
      <c r="BT352" s="24"/>
      <c r="BU352">
        <v>2100</v>
      </c>
      <c r="BV352">
        <v>2155</v>
      </c>
      <c r="BW352">
        <v>2153</v>
      </c>
      <c r="BX352">
        <v>24845397</v>
      </c>
      <c r="BY352">
        <v>196</v>
      </c>
      <c r="CA352" s="24"/>
      <c r="CB352">
        <v>1344</v>
      </c>
      <c r="CC352">
        <v>1367</v>
      </c>
      <c r="CD352">
        <v>1348</v>
      </c>
      <c r="CE352">
        <v>40681355</v>
      </c>
      <c r="CF352">
        <v>227</v>
      </c>
      <c r="CH352" s="24"/>
      <c r="CI352">
        <v>25578</v>
      </c>
      <c r="CJ352">
        <v>25579</v>
      </c>
      <c r="CK352">
        <v>25579</v>
      </c>
      <c r="CL352">
        <v>2326613</v>
      </c>
      <c r="CM352">
        <v>167</v>
      </c>
      <c r="CO352" s="24"/>
      <c r="CP352">
        <v>10711</v>
      </c>
      <c r="CQ352">
        <v>11045</v>
      </c>
      <c r="CR352">
        <v>10750</v>
      </c>
      <c r="CS352">
        <v>1495246</v>
      </c>
      <c r="CT352">
        <v>353</v>
      </c>
      <c r="CV352" s="24"/>
      <c r="CW352">
        <v>1099000</v>
      </c>
      <c r="CX352">
        <v>1099998</v>
      </c>
      <c r="CY352">
        <v>1099998</v>
      </c>
      <c r="CZ352">
        <v>14843</v>
      </c>
      <c r="DA352">
        <v>45</v>
      </c>
      <c r="DC352" s="24"/>
      <c r="DD352">
        <v>476</v>
      </c>
      <c r="DE352">
        <v>496</v>
      </c>
      <c r="DF352">
        <v>482</v>
      </c>
      <c r="DG352">
        <v>54612759</v>
      </c>
      <c r="DH352">
        <v>210</v>
      </c>
      <c r="DJ352" s="24"/>
      <c r="DK352">
        <v>32001000</v>
      </c>
      <c r="DL352">
        <v>32300000</v>
      </c>
      <c r="DM352">
        <v>32101007</v>
      </c>
      <c r="DN352">
        <v>374</v>
      </c>
      <c r="DO352">
        <v>70</v>
      </c>
      <c r="DQ352" s="24"/>
      <c r="DR352">
        <v>1000002</v>
      </c>
      <c r="DS352">
        <v>1099999</v>
      </c>
      <c r="DT352">
        <v>1080000</v>
      </c>
      <c r="DU352">
        <v>10456</v>
      </c>
      <c r="DV352">
        <v>202</v>
      </c>
      <c r="DX352" s="24"/>
      <c r="DY352">
        <v>21001001</v>
      </c>
      <c r="DZ352">
        <v>22799897</v>
      </c>
      <c r="EA352">
        <v>21001003</v>
      </c>
      <c r="EB352">
        <v>339</v>
      </c>
      <c r="EC352">
        <v>70</v>
      </c>
      <c r="EE352" s="24"/>
      <c r="EF352">
        <v>205</v>
      </c>
      <c r="EG352">
        <v>212</v>
      </c>
      <c r="EH352">
        <v>212</v>
      </c>
      <c r="EI352">
        <v>93426029</v>
      </c>
      <c r="EJ352">
        <v>157</v>
      </c>
      <c r="EL352" s="24"/>
      <c r="EM352">
        <v>53118</v>
      </c>
      <c r="EN352">
        <v>56120</v>
      </c>
      <c r="EO352">
        <v>53118</v>
      </c>
      <c r="EP352">
        <v>63065</v>
      </c>
      <c r="EQ352">
        <v>447</v>
      </c>
      <c r="ES352" s="24"/>
      <c r="ET352">
        <v>370</v>
      </c>
      <c r="EU352">
        <v>388</v>
      </c>
      <c r="EV352">
        <v>381</v>
      </c>
      <c r="EW352">
        <v>52638464</v>
      </c>
      <c r="EX352">
        <v>545</v>
      </c>
      <c r="EZ352" s="24"/>
      <c r="FA352">
        <v>2500005</v>
      </c>
      <c r="FB352">
        <v>3060005</v>
      </c>
      <c r="FC352">
        <v>3050031</v>
      </c>
      <c r="FD352">
        <v>1938</v>
      </c>
      <c r="FE352">
        <v>19</v>
      </c>
      <c r="FG352" s="24"/>
      <c r="FH352">
        <v>9461</v>
      </c>
      <c r="FI352">
        <v>10289</v>
      </c>
      <c r="FJ352">
        <v>10199</v>
      </c>
      <c r="FK352">
        <v>1474722</v>
      </c>
      <c r="FL352">
        <v>391</v>
      </c>
      <c r="FN352" s="24"/>
      <c r="FO352">
        <v>19241</v>
      </c>
      <c r="FP352">
        <v>19244</v>
      </c>
      <c r="FQ352">
        <v>19241</v>
      </c>
      <c r="FR352">
        <v>138549</v>
      </c>
      <c r="FS352">
        <v>59</v>
      </c>
      <c r="FU352" s="24"/>
      <c r="FV352">
        <v>13269</v>
      </c>
      <c r="FW352">
        <v>13892</v>
      </c>
      <c r="FX352">
        <v>13276</v>
      </c>
      <c r="FY352">
        <v>277172</v>
      </c>
      <c r="FZ352">
        <v>774</v>
      </c>
      <c r="GB352" s="24"/>
      <c r="GC352">
        <v>93012003</v>
      </c>
      <c r="GD352">
        <v>97811699</v>
      </c>
      <c r="GE352">
        <v>93012005</v>
      </c>
      <c r="GF352">
        <v>123</v>
      </c>
      <c r="GG352">
        <v>63</v>
      </c>
      <c r="GI352" s="24"/>
      <c r="GJ352">
        <v>17000025</v>
      </c>
      <c r="GK352">
        <v>17980000</v>
      </c>
      <c r="GL352">
        <v>17000035</v>
      </c>
      <c r="GM352">
        <v>305</v>
      </c>
      <c r="GN352">
        <v>59</v>
      </c>
      <c r="GP352" s="24"/>
      <c r="GQ352">
        <v>107</v>
      </c>
      <c r="GR352">
        <v>108</v>
      </c>
      <c r="GS352">
        <v>107</v>
      </c>
      <c r="GT352">
        <v>125150508</v>
      </c>
      <c r="GU352">
        <v>124</v>
      </c>
      <c r="GW352" s="24"/>
      <c r="GX352">
        <v>415</v>
      </c>
      <c r="GY352">
        <v>422</v>
      </c>
      <c r="GZ352">
        <v>420</v>
      </c>
      <c r="HA352">
        <v>50595021</v>
      </c>
      <c r="HB352">
        <v>217</v>
      </c>
      <c r="HD352" s="24"/>
      <c r="HE352">
        <v>5289</v>
      </c>
      <c r="HF352">
        <v>5492</v>
      </c>
      <c r="HG352">
        <v>5477</v>
      </c>
      <c r="HH352">
        <v>13234740</v>
      </c>
      <c r="HI352">
        <v>239</v>
      </c>
      <c r="HK352" s="24"/>
      <c r="HL352">
        <v>92143000</v>
      </c>
      <c r="HM352">
        <v>100000000</v>
      </c>
      <c r="HN352">
        <v>95993998</v>
      </c>
      <c r="HO352">
        <v>159</v>
      </c>
      <c r="HP352">
        <v>85</v>
      </c>
      <c r="HR352" s="24"/>
      <c r="HS352">
        <v>9500</v>
      </c>
      <c r="HT352">
        <v>10298</v>
      </c>
      <c r="HU352">
        <v>10295</v>
      </c>
      <c r="HV352">
        <v>771612</v>
      </c>
      <c r="HW352">
        <v>159</v>
      </c>
      <c r="HY352" s="24"/>
      <c r="HZ352">
        <v>9271</v>
      </c>
      <c r="IA352">
        <v>9598</v>
      </c>
      <c r="IB352">
        <v>9273</v>
      </c>
      <c r="IC352">
        <v>2298550</v>
      </c>
      <c r="ID352">
        <v>395</v>
      </c>
      <c r="IF352" s="24"/>
      <c r="IG352">
        <v>4009</v>
      </c>
      <c r="IH352">
        <v>4128</v>
      </c>
      <c r="II352">
        <v>4050</v>
      </c>
      <c r="IJ352">
        <v>2473854</v>
      </c>
      <c r="IK352">
        <v>143</v>
      </c>
      <c r="IM352" s="24"/>
      <c r="IN352">
        <v>93005101</v>
      </c>
      <c r="IO352">
        <v>97000000</v>
      </c>
      <c r="IP352">
        <v>95294717</v>
      </c>
      <c r="IQ352">
        <v>66</v>
      </c>
      <c r="IR352">
        <v>45</v>
      </c>
      <c r="IT352" s="24"/>
      <c r="IU352">
        <v>8125</v>
      </c>
      <c r="IV352">
        <v>8996</v>
      </c>
      <c r="IW352">
        <v>8993</v>
      </c>
      <c r="IX352">
        <v>770342</v>
      </c>
      <c r="IY352">
        <v>107</v>
      </c>
      <c r="JA352" s="24"/>
      <c r="JB352">
        <v>93300001</v>
      </c>
      <c r="JC352">
        <v>96229889</v>
      </c>
      <c r="JD352">
        <v>93300010</v>
      </c>
      <c r="JE352">
        <v>126</v>
      </c>
      <c r="JF352">
        <v>68</v>
      </c>
      <c r="JH352" s="24"/>
      <c r="JI352">
        <v>93132000</v>
      </c>
      <c r="JJ352">
        <v>118999695</v>
      </c>
      <c r="JK352">
        <v>100827823</v>
      </c>
      <c r="JL352">
        <v>62</v>
      </c>
      <c r="JM352">
        <v>34</v>
      </c>
      <c r="JO352" s="24"/>
      <c r="JP352">
        <v>93</v>
      </c>
      <c r="JQ352">
        <v>102</v>
      </c>
      <c r="JR352">
        <v>94</v>
      </c>
      <c r="JS352">
        <v>71935032</v>
      </c>
      <c r="JT352">
        <v>67</v>
      </c>
      <c r="JV352" s="24"/>
      <c r="JW352">
        <v>101</v>
      </c>
      <c r="JX352">
        <v>104</v>
      </c>
      <c r="JY352">
        <v>102</v>
      </c>
      <c r="JZ352">
        <v>186329541</v>
      </c>
      <c r="KA352">
        <v>130</v>
      </c>
      <c r="KC352" s="24"/>
      <c r="KD352">
        <v>90</v>
      </c>
      <c r="KE352">
        <v>91</v>
      </c>
      <c r="KF352">
        <v>91</v>
      </c>
      <c r="KG352">
        <v>153358337</v>
      </c>
      <c r="KH352">
        <v>337</v>
      </c>
      <c r="KJ352" s="24"/>
      <c r="KK352">
        <v>107</v>
      </c>
      <c r="KL352">
        <v>111</v>
      </c>
      <c r="KM352">
        <v>107</v>
      </c>
      <c r="KN352">
        <v>164615971</v>
      </c>
      <c r="KO352">
        <v>146</v>
      </c>
      <c r="KQ352" s="24"/>
      <c r="KR352">
        <v>125400</v>
      </c>
      <c r="KS352">
        <v>129998</v>
      </c>
      <c r="KT352">
        <v>126000</v>
      </c>
      <c r="KU352">
        <v>53587</v>
      </c>
      <c r="KV352">
        <v>414</v>
      </c>
      <c r="KX352" s="24"/>
      <c r="KY352">
        <v>908</v>
      </c>
      <c r="KZ352">
        <v>917</v>
      </c>
      <c r="LA352">
        <v>912</v>
      </c>
      <c r="LB352">
        <v>3812933</v>
      </c>
      <c r="LC352">
        <v>164</v>
      </c>
      <c r="LE352" s="24"/>
      <c r="LF352">
        <v>180500</v>
      </c>
      <c r="LG352">
        <v>183998</v>
      </c>
      <c r="LH352">
        <v>181999</v>
      </c>
      <c r="LI352">
        <v>168085</v>
      </c>
      <c r="LJ352">
        <v>581</v>
      </c>
      <c r="LL352" s="24"/>
      <c r="LM352">
        <v>63220</v>
      </c>
      <c r="LN352">
        <v>63998</v>
      </c>
      <c r="LO352">
        <v>63225</v>
      </c>
      <c r="LP352">
        <v>297210</v>
      </c>
      <c r="LQ352">
        <v>831</v>
      </c>
      <c r="LS352" s="24"/>
      <c r="LT352">
        <v>443</v>
      </c>
      <c r="LU352">
        <v>448</v>
      </c>
      <c r="LV352">
        <v>447</v>
      </c>
      <c r="LW352">
        <v>77761422</v>
      </c>
      <c r="LX352">
        <v>343</v>
      </c>
      <c r="LZ352" s="24"/>
      <c r="MA352">
        <v>99510</v>
      </c>
      <c r="MB352">
        <v>100400</v>
      </c>
      <c r="MC352">
        <v>100399</v>
      </c>
      <c r="MD352">
        <v>687848</v>
      </c>
      <c r="ME352">
        <v>65</v>
      </c>
    </row>
    <row r="353" spans="2:343" x14ac:dyDescent="0.25">
      <c r="B353" s="24"/>
      <c r="C353">
        <v>3</v>
      </c>
      <c r="D353">
        <v>3</v>
      </c>
      <c r="E353">
        <v>3</v>
      </c>
      <c r="F353">
        <v>37009988431</v>
      </c>
      <c r="G353">
        <v>1817</v>
      </c>
      <c r="I353" s="24"/>
      <c r="J353">
        <v>4</v>
      </c>
      <c r="K353">
        <v>4</v>
      </c>
      <c r="L353">
        <v>4</v>
      </c>
      <c r="M353">
        <v>7765323746</v>
      </c>
      <c r="N353">
        <v>1263</v>
      </c>
      <c r="P353" s="24"/>
      <c r="Q353">
        <v>32</v>
      </c>
      <c r="R353">
        <v>32</v>
      </c>
      <c r="S353">
        <v>32</v>
      </c>
      <c r="T353">
        <v>1198523898</v>
      </c>
      <c r="U353">
        <v>1175</v>
      </c>
      <c r="W353" s="24"/>
      <c r="X353">
        <v>60</v>
      </c>
      <c r="Y353">
        <v>60</v>
      </c>
      <c r="Z353">
        <v>60</v>
      </c>
      <c r="AA353">
        <v>250232636</v>
      </c>
      <c r="AB353">
        <v>883</v>
      </c>
      <c r="AD353" s="24"/>
      <c r="AE353">
        <v>475</v>
      </c>
      <c r="AF353">
        <v>480</v>
      </c>
      <c r="AG353">
        <v>479</v>
      </c>
      <c r="AH353">
        <v>83094257</v>
      </c>
      <c r="AI353">
        <v>962</v>
      </c>
      <c r="AK353" s="24"/>
      <c r="AL353">
        <v>761</v>
      </c>
      <c r="AM353">
        <v>775</v>
      </c>
      <c r="AN353">
        <v>765</v>
      </c>
      <c r="AO353">
        <v>39714783</v>
      </c>
      <c r="AP353">
        <v>836</v>
      </c>
      <c r="AR353" s="24"/>
      <c r="AS353">
        <v>2720</v>
      </c>
      <c r="AT353">
        <v>2750</v>
      </c>
      <c r="AU353">
        <v>2748</v>
      </c>
      <c r="AV353">
        <v>15550188</v>
      </c>
      <c r="AW353">
        <v>810</v>
      </c>
      <c r="AY353" s="24"/>
      <c r="AZ353">
        <v>488000202</v>
      </c>
      <c r="BA353">
        <v>498219999</v>
      </c>
      <c r="BB353">
        <v>492650000</v>
      </c>
      <c r="BC353">
        <v>2388</v>
      </c>
      <c r="BD353">
        <v>1876</v>
      </c>
      <c r="BF353" s="24"/>
      <c r="BG353">
        <v>24552</v>
      </c>
      <c r="BH353">
        <v>25500</v>
      </c>
      <c r="BI353">
        <v>24669</v>
      </c>
      <c r="BJ353">
        <v>3638323</v>
      </c>
      <c r="BK353">
        <v>205</v>
      </c>
      <c r="BM353" s="24"/>
      <c r="BN353">
        <v>6967500</v>
      </c>
      <c r="BO353">
        <v>7149999</v>
      </c>
      <c r="BP353">
        <v>7014001</v>
      </c>
      <c r="BQ353">
        <v>16274</v>
      </c>
      <c r="BR353">
        <v>377</v>
      </c>
      <c r="BT353" s="24"/>
      <c r="BU353">
        <v>2134</v>
      </c>
      <c r="BV353">
        <v>2153</v>
      </c>
      <c r="BW353">
        <v>2153</v>
      </c>
      <c r="BX353">
        <v>24150835</v>
      </c>
      <c r="BY353">
        <v>171</v>
      </c>
      <c r="CA353" s="24"/>
      <c r="CB353">
        <v>1349</v>
      </c>
      <c r="CC353">
        <v>1400</v>
      </c>
      <c r="CD353">
        <v>1368</v>
      </c>
      <c r="CE353">
        <v>37649353</v>
      </c>
      <c r="CF353">
        <v>239</v>
      </c>
      <c r="CH353" s="24"/>
      <c r="CI353">
        <v>26000</v>
      </c>
      <c r="CJ353">
        <v>27240</v>
      </c>
      <c r="CK353">
        <v>26000</v>
      </c>
      <c r="CL353">
        <v>1039959</v>
      </c>
      <c r="CM353">
        <v>150</v>
      </c>
      <c r="CO353" s="24"/>
      <c r="CP353">
        <v>10709</v>
      </c>
      <c r="CQ353">
        <v>10907</v>
      </c>
      <c r="CR353">
        <v>10887</v>
      </c>
      <c r="CS353">
        <v>1404871</v>
      </c>
      <c r="CT353">
        <v>315</v>
      </c>
      <c r="CV353" s="24"/>
      <c r="CW353">
        <v>1050000</v>
      </c>
      <c r="CX353">
        <v>1093999</v>
      </c>
      <c r="CY353">
        <v>1070000</v>
      </c>
      <c r="CZ353">
        <v>9153</v>
      </c>
      <c r="DA353">
        <v>34</v>
      </c>
      <c r="DC353" s="24"/>
      <c r="DD353">
        <v>472</v>
      </c>
      <c r="DE353">
        <v>489</v>
      </c>
      <c r="DF353">
        <v>489</v>
      </c>
      <c r="DG353">
        <v>39911936</v>
      </c>
      <c r="DH353">
        <v>188</v>
      </c>
      <c r="DJ353" s="24"/>
      <c r="DK353">
        <v>32001009</v>
      </c>
      <c r="DL353">
        <v>32001009</v>
      </c>
      <c r="DM353">
        <v>32001009</v>
      </c>
      <c r="DN353">
        <v>393</v>
      </c>
      <c r="DO353">
        <v>73</v>
      </c>
      <c r="DQ353" s="24"/>
      <c r="DR353">
        <v>901000</v>
      </c>
      <c r="DS353">
        <v>1051007</v>
      </c>
      <c r="DT353">
        <v>1010000</v>
      </c>
      <c r="DU353">
        <v>9378</v>
      </c>
      <c r="DV353">
        <v>196</v>
      </c>
      <c r="DX353" s="24"/>
      <c r="DY353">
        <v>21001005</v>
      </c>
      <c r="DZ353">
        <v>21601005</v>
      </c>
      <c r="EA353">
        <v>21001005</v>
      </c>
      <c r="EB353">
        <v>542</v>
      </c>
      <c r="EC353">
        <v>101</v>
      </c>
      <c r="EE353" s="24"/>
      <c r="EF353">
        <v>207</v>
      </c>
      <c r="EG353">
        <v>217</v>
      </c>
      <c r="EH353">
        <v>208</v>
      </c>
      <c r="EI353">
        <v>89400384</v>
      </c>
      <c r="EJ353">
        <v>140</v>
      </c>
      <c r="EL353" s="24"/>
      <c r="EM353">
        <v>53120</v>
      </c>
      <c r="EN353">
        <v>56399</v>
      </c>
      <c r="EO353">
        <v>53200</v>
      </c>
      <c r="EP353">
        <v>72705</v>
      </c>
      <c r="EQ353">
        <v>450</v>
      </c>
      <c r="ES353" s="24"/>
      <c r="ET353">
        <v>354</v>
      </c>
      <c r="EU353">
        <v>369</v>
      </c>
      <c r="EV353">
        <v>355</v>
      </c>
      <c r="EW353">
        <v>74977056</v>
      </c>
      <c r="EX353">
        <v>469</v>
      </c>
      <c r="EZ353" s="24"/>
      <c r="FA353">
        <v>2500005</v>
      </c>
      <c r="FB353">
        <v>2500005</v>
      </c>
      <c r="FC353">
        <v>2500005</v>
      </c>
      <c r="FD353">
        <v>400</v>
      </c>
      <c r="FE353">
        <v>9</v>
      </c>
      <c r="FG353" s="24"/>
      <c r="FH353">
        <v>9489</v>
      </c>
      <c r="FI353">
        <v>10099</v>
      </c>
      <c r="FJ353">
        <v>9978</v>
      </c>
      <c r="FK353">
        <v>2573800</v>
      </c>
      <c r="FL353">
        <v>424</v>
      </c>
      <c r="FN353" s="24"/>
      <c r="FO353">
        <v>18813</v>
      </c>
      <c r="FP353">
        <v>19241</v>
      </c>
      <c r="FQ353">
        <v>19240</v>
      </c>
      <c r="FR353">
        <v>121584</v>
      </c>
      <c r="FS353">
        <v>65</v>
      </c>
      <c r="FU353" s="24"/>
      <c r="FV353">
        <v>13279</v>
      </c>
      <c r="FW353">
        <v>13887</v>
      </c>
      <c r="FX353">
        <v>13886</v>
      </c>
      <c r="FY353">
        <v>679986</v>
      </c>
      <c r="FZ353">
        <v>819</v>
      </c>
      <c r="GB353" s="24"/>
      <c r="GC353">
        <v>93018019</v>
      </c>
      <c r="GD353">
        <v>97730999</v>
      </c>
      <c r="GE353">
        <v>95483261</v>
      </c>
      <c r="GF353">
        <v>71</v>
      </c>
      <c r="GG353">
        <v>54</v>
      </c>
      <c r="GI353" s="24"/>
      <c r="GJ353">
        <v>17000038</v>
      </c>
      <c r="GK353">
        <v>17160000</v>
      </c>
      <c r="GL353">
        <v>17003000</v>
      </c>
      <c r="GM353">
        <v>911</v>
      </c>
      <c r="GN353">
        <v>98</v>
      </c>
      <c r="GP353" s="24"/>
      <c r="GQ353">
        <v>104</v>
      </c>
      <c r="GR353">
        <v>108</v>
      </c>
      <c r="GS353">
        <v>105</v>
      </c>
      <c r="GT353">
        <v>126829755</v>
      </c>
      <c r="GU353">
        <v>115</v>
      </c>
      <c r="GW353" s="24"/>
      <c r="GX353">
        <v>409</v>
      </c>
      <c r="GY353">
        <v>413</v>
      </c>
      <c r="GZ353">
        <v>412</v>
      </c>
      <c r="HA353">
        <v>40605780</v>
      </c>
      <c r="HB353">
        <v>187</v>
      </c>
      <c r="HD353" s="24"/>
      <c r="HE353">
        <v>5351</v>
      </c>
      <c r="HF353">
        <v>5459</v>
      </c>
      <c r="HG353">
        <v>5369</v>
      </c>
      <c r="HH353">
        <v>13402932</v>
      </c>
      <c r="HI353">
        <v>210</v>
      </c>
      <c r="HK353" s="24"/>
      <c r="HL353">
        <v>94010001</v>
      </c>
      <c r="HM353">
        <v>104498500</v>
      </c>
      <c r="HN353">
        <v>97953256</v>
      </c>
      <c r="HO353">
        <v>85</v>
      </c>
      <c r="HP353">
        <v>59</v>
      </c>
      <c r="HR353" s="24"/>
      <c r="HS353">
        <v>10500</v>
      </c>
      <c r="HT353">
        <v>10978</v>
      </c>
      <c r="HU353">
        <v>10976</v>
      </c>
      <c r="HV353">
        <v>1032196</v>
      </c>
      <c r="HW353">
        <v>138</v>
      </c>
      <c r="HY353" s="24"/>
      <c r="HZ353">
        <v>8914</v>
      </c>
      <c r="IA353">
        <v>9400</v>
      </c>
      <c r="IB353">
        <v>9000</v>
      </c>
      <c r="IC353">
        <v>2289165</v>
      </c>
      <c r="ID353">
        <v>366</v>
      </c>
      <c r="IF353" s="24"/>
      <c r="IG353">
        <v>4125</v>
      </c>
      <c r="IH353">
        <v>4126</v>
      </c>
      <c r="II353">
        <v>4126</v>
      </c>
      <c r="IJ353">
        <v>1296680</v>
      </c>
      <c r="IK353">
        <v>105</v>
      </c>
      <c r="IM353" s="24"/>
      <c r="IN353">
        <v>93007004</v>
      </c>
      <c r="IO353">
        <v>97224999</v>
      </c>
      <c r="IP353">
        <v>95662507</v>
      </c>
      <c r="IQ353">
        <v>59</v>
      </c>
      <c r="IR353">
        <v>50</v>
      </c>
      <c r="IT353" s="24"/>
      <c r="IU353">
        <v>7751</v>
      </c>
      <c r="IV353">
        <v>8302</v>
      </c>
      <c r="IW353">
        <v>7931</v>
      </c>
      <c r="IX353">
        <v>2323619</v>
      </c>
      <c r="IY353">
        <v>144</v>
      </c>
      <c r="JA353" s="24"/>
      <c r="JB353">
        <v>93306004</v>
      </c>
      <c r="JC353">
        <v>96219800</v>
      </c>
      <c r="JD353">
        <v>95852395</v>
      </c>
      <c r="JE353">
        <v>48</v>
      </c>
      <c r="JF353">
        <v>47</v>
      </c>
      <c r="JH353" s="24"/>
      <c r="JI353">
        <v>93165003</v>
      </c>
      <c r="JJ353">
        <v>117496450</v>
      </c>
      <c r="JK353">
        <v>102346590</v>
      </c>
      <c r="JL353">
        <v>52</v>
      </c>
      <c r="JM353">
        <v>32</v>
      </c>
      <c r="JO353" s="24"/>
      <c r="JP353">
        <v>93</v>
      </c>
      <c r="JQ353">
        <v>94</v>
      </c>
      <c r="JR353">
        <v>93</v>
      </c>
      <c r="JS353">
        <v>151110762</v>
      </c>
      <c r="JT353">
        <v>103</v>
      </c>
      <c r="JV353" s="24"/>
      <c r="JW353">
        <v>106</v>
      </c>
      <c r="JX353">
        <v>115</v>
      </c>
      <c r="JY353">
        <v>107</v>
      </c>
      <c r="JZ353">
        <v>102886915</v>
      </c>
      <c r="KA353">
        <v>87</v>
      </c>
      <c r="KC353" s="24"/>
      <c r="KD353">
        <v>80</v>
      </c>
      <c r="KE353">
        <v>89</v>
      </c>
      <c r="KF353">
        <v>84</v>
      </c>
      <c r="KG353">
        <v>65486579</v>
      </c>
      <c r="KH353">
        <v>285</v>
      </c>
      <c r="KJ353" s="24"/>
      <c r="KK353">
        <v>104</v>
      </c>
      <c r="KL353">
        <v>109</v>
      </c>
      <c r="KM353">
        <v>106</v>
      </c>
      <c r="KN353">
        <v>98175300</v>
      </c>
      <c r="KO353">
        <v>121</v>
      </c>
      <c r="KQ353" s="24"/>
      <c r="KR353">
        <v>125501</v>
      </c>
      <c r="KS353">
        <v>125501</v>
      </c>
      <c r="KT353">
        <v>125501</v>
      </c>
      <c r="KU353">
        <v>82524</v>
      </c>
      <c r="KV353">
        <v>447</v>
      </c>
      <c r="KX353" s="24"/>
      <c r="KY353">
        <v>871</v>
      </c>
      <c r="KZ353">
        <v>912</v>
      </c>
      <c r="LA353">
        <v>871</v>
      </c>
      <c r="LB353">
        <v>5155458</v>
      </c>
      <c r="LC353">
        <v>158</v>
      </c>
      <c r="LE353" s="24"/>
      <c r="LF353">
        <v>180709</v>
      </c>
      <c r="LG353">
        <v>180716</v>
      </c>
      <c r="LH353">
        <v>180710</v>
      </c>
      <c r="LI353">
        <v>125636</v>
      </c>
      <c r="LJ353">
        <v>598</v>
      </c>
      <c r="LL353" s="24"/>
      <c r="LM353">
        <v>63225</v>
      </c>
      <c r="LN353">
        <v>63898</v>
      </c>
      <c r="LO353">
        <v>63227</v>
      </c>
      <c r="LP353">
        <v>586556</v>
      </c>
      <c r="LQ353">
        <v>848</v>
      </c>
      <c r="LS353" s="24"/>
      <c r="LT353">
        <v>441</v>
      </c>
      <c r="LU353">
        <v>448</v>
      </c>
      <c r="LV353">
        <v>447</v>
      </c>
      <c r="LW353">
        <v>116353946</v>
      </c>
      <c r="LX353">
        <v>320</v>
      </c>
      <c r="LZ353" s="24"/>
      <c r="MA353">
        <v>100999</v>
      </c>
      <c r="MB353">
        <v>100999</v>
      </c>
      <c r="MC353">
        <v>100999</v>
      </c>
      <c r="MD353">
        <v>775007</v>
      </c>
      <c r="ME353">
        <v>56</v>
      </c>
    </row>
    <row r="354" spans="2:343" x14ac:dyDescent="0.25">
      <c r="B354" s="24"/>
      <c r="C354">
        <v>3</v>
      </c>
      <c r="D354">
        <v>3</v>
      </c>
      <c r="E354">
        <v>3</v>
      </c>
      <c r="F354">
        <v>40155414093</v>
      </c>
      <c r="G354">
        <v>1961</v>
      </c>
      <c r="I354" s="24"/>
      <c r="J354">
        <v>4</v>
      </c>
      <c r="K354">
        <v>4</v>
      </c>
      <c r="L354">
        <v>4</v>
      </c>
      <c r="M354">
        <v>4856182970</v>
      </c>
      <c r="N354">
        <v>1295</v>
      </c>
      <c r="P354" s="24"/>
      <c r="Q354">
        <v>32</v>
      </c>
      <c r="R354">
        <v>33</v>
      </c>
      <c r="S354">
        <v>32</v>
      </c>
      <c r="T354">
        <v>1554889376</v>
      </c>
      <c r="U354">
        <v>1311</v>
      </c>
      <c r="W354" s="24"/>
      <c r="X354">
        <v>60</v>
      </c>
      <c r="Y354">
        <v>61</v>
      </c>
      <c r="Z354">
        <v>60</v>
      </c>
      <c r="AA354">
        <v>437222641</v>
      </c>
      <c r="AB354">
        <v>1009</v>
      </c>
      <c r="AD354" s="24"/>
      <c r="AE354">
        <v>475</v>
      </c>
      <c r="AF354">
        <v>481</v>
      </c>
      <c r="AG354">
        <v>480</v>
      </c>
      <c r="AH354">
        <v>112251084</v>
      </c>
      <c r="AI354">
        <v>1136</v>
      </c>
      <c r="AK354" s="24"/>
      <c r="AL354">
        <v>759</v>
      </c>
      <c r="AM354">
        <v>787</v>
      </c>
      <c r="AN354">
        <v>780</v>
      </c>
      <c r="AO354">
        <v>25148293</v>
      </c>
      <c r="AP354">
        <v>912</v>
      </c>
      <c r="AR354" s="24"/>
      <c r="AS354">
        <v>2725</v>
      </c>
      <c r="AT354">
        <v>2845</v>
      </c>
      <c r="AU354">
        <v>2796</v>
      </c>
      <c r="AV354">
        <v>12604071</v>
      </c>
      <c r="AW354">
        <v>963</v>
      </c>
      <c r="AY354" s="24"/>
      <c r="AZ354">
        <v>482023000</v>
      </c>
      <c r="BA354">
        <v>492500000</v>
      </c>
      <c r="BB354">
        <v>484001484</v>
      </c>
      <c r="BC354">
        <v>3011</v>
      </c>
      <c r="BD354">
        <v>2018</v>
      </c>
      <c r="BF354" s="24"/>
      <c r="BG354">
        <v>24451</v>
      </c>
      <c r="BH354">
        <v>24550</v>
      </c>
      <c r="BI354">
        <v>24452</v>
      </c>
      <c r="BJ354">
        <v>1800895</v>
      </c>
      <c r="BK354">
        <v>197</v>
      </c>
      <c r="BM354" s="24"/>
      <c r="BN354">
        <v>6989999</v>
      </c>
      <c r="BO354">
        <v>7012435</v>
      </c>
      <c r="BP354">
        <v>7011434</v>
      </c>
      <c r="BQ354">
        <v>12670</v>
      </c>
      <c r="BR354">
        <v>336</v>
      </c>
      <c r="BT354" s="24"/>
      <c r="BU354">
        <v>2150</v>
      </c>
      <c r="BV354">
        <v>2341</v>
      </c>
      <c r="BW354">
        <v>2170</v>
      </c>
      <c r="BX354">
        <v>53044605</v>
      </c>
      <c r="BY354">
        <v>274</v>
      </c>
      <c r="CA354" s="24"/>
      <c r="CB354">
        <v>1335</v>
      </c>
      <c r="CC354">
        <v>1435</v>
      </c>
      <c r="CD354">
        <v>1399</v>
      </c>
      <c r="CE354">
        <v>39181708</v>
      </c>
      <c r="CF354">
        <v>261</v>
      </c>
      <c r="CH354" s="24"/>
      <c r="CI354">
        <v>26684</v>
      </c>
      <c r="CJ354">
        <v>26685</v>
      </c>
      <c r="CK354">
        <v>26684</v>
      </c>
      <c r="CL354">
        <v>359447</v>
      </c>
      <c r="CM354">
        <v>141</v>
      </c>
      <c r="CO354" s="24"/>
      <c r="CP354">
        <v>10200</v>
      </c>
      <c r="CQ354">
        <v>10900</v>
      </c>
      <c r="CR354">
        <v>10899</v>
      </c>
      <c r="CS354">
        <v>1110280</v>
      </c>
      <c r="CT354">
        <v>356</v>
      </c>
      <c r="CV354" s="24"/>
      <c r="CW354">
        <v>1092999</v>
      </c>
      <c r="CX354">
        <v>1108993</v>
      </c>
      <c r="CY354">
        <v>1092999</v>
      </c>
      <c r="CZ354">
        <v>8394</v>
      </c>
      <c r="DA354">
        <v>37</v>
      </c>
      <c r="DC354" s="24"/>
      <c r="DD354">
        <v>468</v>
      </c>
      <c r="DE354">
        <v>488</v>
      </c>
      <c r="DF354">
        <v>480</v>
      </c>
      <c r="DG354">
        <v>57405861</v>
      </c>
      <c r="DH354">
        <v>203</v>
      </c>
      <c r="DJ354" s="24"/>
      <c r="DK354">
        <v>32001012</v>
      </c>
      <c r="DL354">
        <v>32001012</v>
      </c>
      <c r="DM354">
        <v>32001012</v>
      </c>
      <c r="DN354">
        <v>198</v>
      </c>
      <c r="DO354">
        <v>46</v>
      </c>
      <c r="DQ354" s="24"/>
      <c r="DR354">
        <v>971006</v>
      </c>
      <c r="DS354">
        <v>1099979</v>
      </c>
      <c r="DT354">
        <v>1020000</v>
      </c>
      <c r="DU354">
        <v>7328</v>
      </c>
      <c r="DV354">
        <v>228</v>
      </c>
      <c r="DX354" s="24"/>
      <c r="DY354">
        <v>21001009</v>
      </c>
      <c r="DZ354">
        <v>21002000</v>
      </c>
      <c r="EA354">
        <v>21001010</v>
      </c>
      <c r="EB354">
        <v>420</v>
      </c>
      <c r="EC354">
        <v>96</v>
      </c>
      <c r="EE354" s="24"/>
      <c r="EF354">
        <v>208</v>
      </c>
      <c r="EG354">
        <v>216</v>
      </c>
      <c r="EH354">
        <v>209</v>
      </c>
      <c r="EI354">
        <v>113806127</v>
      </c>
      <c r="EJ354">
        <v>167</v>
      </c>
      <c r="EL354" s="24"/>
      <c r="EM354">
        <v>53123</v>
      </c>
      <c r="EN354">
        <v>53500</v>
      </c>
      <c r="EO354">
        <v>53124</v>
      </c>
      <c r="EP354">
        <v>87010</v>
      </c>
      <c r="EQ354">
        <v>497</v>
      </c>
      <c r="ES354" s="24"/>
      <c r="ET354">
        <v>369</v>
      </c>
      <c r="EU354">
        <v>386</v>
      </c>
      <c r="EV354">
        <v>379</v>
      </c>
      <c r="EW354">
        <v>59253815</v>
      </c>
      <c r="EX354">
        <v>557</v>
      </c>
      <c r="EZ354" s="24"/>
      <c r="FA354">
        <v>2895899</v>
      </c>
      <c r="FB354">
        <v>2898000</v>
      </c>
      <c r="FC354">
        <v>2897999</v>
      </c>
      <c r="FD354">
        <v>901</v>
      </c>
      <c r="FE354">
        <v>16</v>
      </c>
      <c r="FG354" s="24"/>
      <c r="FH354">
        <v>9851</v>
      </c>
      <c r="FI354">
        <v>9999</v>
      </c>
      <c r="FJ354">
        <v>9888</v>
      </c>
      <c r="FK354">
        <v>2576697</v>
      </c>
      <c r="FL354">
        <v>428</v>
      </c>
      <c r="FN354" s="24"/>
      <c r="FO354">
        <v>18923</v>
      </c>
      <c r="FP354">
        <v>19300</v>
      </c>
      <c r="FQ354">
        <v>19299</v>
      </c>
      <c r="FR354">
        <v>287687</v>
      </c>
      <c r="FS354">
        <v>76</v>
      </c>
      <c r="FU354" s="24"/>
      <c r="FV354">
        <v>13281</v>
      </c>
      <c r="FW354">
        <v>13300</v>
      </c>
      <c r="FX354">
        <v>13281</v>
      </c>
      <c r="FY354">
        <v>451272</v>
      </c>
      <c r="FZ354">
        <v>887</v>
      </c>
      <c r="GB354" s="24"/>
      <c r="GC354">
        <v>93030004</v>
      </c>
      <c r="GD354">
        <v>97629600</v>
      </c>
      <c r="GE354">
        <v>94100003</v>
      </c>
      <c r="GF354">
        <v>117</v>
      </c>
      <c r="GG354">
        <v>80</v>
      </c>
      <c r="GI354" s="24"/>
      <c r="GJ354">
        <v>16900001</v>
      </c>
      <c r="GK354">
        <v>17000000</v>
      </c>
      <c r="GL354">
        <v>16970000</v>
      </c>
      <c r="GM354">
        <v>478</v>
      </c>
      <c r="GN354">
        <v>72</v>
      </c>
      <c r="GP354" s="24"/>
      <c r="GQ354">
        <v>107</v>
      </c>
      <c r="GR354">
        <v>107</v>
      </c>
      <c r="GS354">
        <v>107</v>
      </c>
      <c r="GT354">
        <v>96822555</v>
      </c>
      <c r="GU354">
        <v>111</v>
      </c>
      <c r="GW354" s="24"/>
      <c r="GX354">
        <v>398</v>
      </c>
      <c r="GY354">
        <v>411</v>
      </c>
      <c r="GZ354">
        <v>408</v>
      </c>
      <c r="HA354">
        <v>39094838</v>
      </c>
      <c r="HB354">
        <v>177</v>
      </c>
      <c r="HD354" s="24"/>
      <c r="HE354">
        <v>5375</v>
      </c>
      <c r="HF354">
        <v>5440</v>
      </c>
      <c r="HG354">
        <v>5435</v>
      </c>
      <c r="HH354">
        <v>20584248</v>
      </c>
      <c r="HI354">
        <v>263</v>
      </c>
      <c r="HK354" s="24"/>
      <c r="HL354">
        <v>94015001</v>
      </c>
      <c r="HM354">
        <v>96991999</v>
      </c>
      <c r="HN354">
        <v>94100000</v>
      </c>
      <c r="HO354">
        <v>159</v>
      </c>
      <c r="HP354">
        <v>103</v>
      </c>
      <c r="HR354" s="24"/>
      <c r="HS354">
        <v>9278</v>
      </c>
      <c r="HT354">
        <v>9999</v>
      </c>
      <c r="HU354">
        <v>9998</v>
      </c>
      <c r="HV354">
        <v>815499</v>
      </c>
      <c r="HW354">
        <v>121</v>
      </c>
      <c r="HY354" s="24"/>
      <c r="HZ354">
        <v>8898</v>
      </c>
      <c r="IA354">
        <v>8979</v>
      </c>
      <c r="IB354">
        <v>8974</v>
      </c>
      <c r="IC354">
        <v>1997850</v>
      </c>
      <c r="ID354">
        <v>423</v>
      </c>
      <c r="IF354" s="24"/>
      <c r="IG354">
        <v>3900</v>
      </c>
      <c r="IH354">
        <v>4119</v>
      </c>
      <c r="II354">
        <v>4000</v>
      </c>
      <c r="IJ354">
        <v>2017262</v>
      </c>
      <c r="IK354">
        <v>138</v>
      </c>
      <c r="IM354" s="24"/>
      <c r="IN354">
        <v>94800003</v>
      </c>
      <c r="IO354">
        <v>97224998</v>
      </c>
      <c r="IP354">
        <v>95000000</v>
      </c>
      <c r="IQ354">
        <v>126</v>
      </c>
      <c r="IR354">
        <v>78</v>
      </c>
      <c r="IT354" s="24"/>
      <c r="IU354">
        <v>8495</v>
      </c>
      <c r="IV354">
        <v>8890</v>
      </c>
      <c r="IW354">
        <v>8890</v>
      </c>
      <c r="IX354">
        <v>1277163</v>
      </c>
      <c r="IY354">
        <v>127</v>
      </c>
      <c r="JA354" s="24"/>
      <c r="JB354">
        <v>93701503</v>
      </c>
      <c r="JC354">
        <v>96219400</v>
      </c>
      <c r="JD354">
        <v>96219199</v>
      </c>
      <c r="JE354">
        <v>116</v>
      </c>
      <c r="JF354">
        <v>84</v>
      </c>
      <c r="JH354" s="24"/>
      <c r="JI354">
        <v>100000000</v>
      </c>
      <c r="JJ354">
        <v>110999699</v>
      </c>
      <c r="JK354">
        <v>102075578</v>
      </c>
      <c r="JL354">
        <v>91</v>
      </c>
      <c r="JM354">
        <v>66</v>
      </c>
      <c r="JO354" s="24"/>
      <c r="JP354">
        <v>92</v>
      </c>
      <c r="JQ354">
        <v>96</v>
      </c>
      <c r="JR354">
        <v>96</v>
      </c>
      <c r="JS354">
        <v>74386763</v>
      </c>
      <c r="JT354">
        <v>75</v>
      </c>
      <c r="JV354" s="24"/>
      <c r="JW354">
        <v>107</v>
      </c>
      <c r="JX354">
        <v>110</v>
      </c>
      <c r="JY354">
        <v>107</v>
      </c>
      <c r="JZ354">
        <v>139436333</v>
      </c>
      <c r="KA354">
        <v>91</v>
      </c>
      <c r="KC354" s="24"/>
      <c r="KD354">
        <v>89</v>
      </c>
      <c r="KE354">
        <v>133</v>
      </c>
      <c r="KF354">
        <v>107</v>
      </c>
      <c r="KG354">
        <v>276282933</v>
      </c>
      <c r="KH354">
        <v>420</v>
      </c>
      <c r="KJ354" s="24"/>
      <c r="KK354">
        <v>108</v>
      </c>
      <c r="KL354">
        <v>108</v>
      </c>
      <c r="KM354">
        <v>108</v>
      </c>
      <c r="KN354">
        <v>139579124</v>
      </c>
      <c r="KO354">
        <v>121</v>
      </c>
      <c r="KQ354" s="24"/>
      <c r="KR354">
        <v>123251</v>
      </c>
      <c r="KS354">
        <v>126499</v>
      </c>
      <c r="KT354">
        <v>125306</v>
      </c>
      <c r="KU354">
        <v>103908</v>
      </c>
      <c r="KV354">
        <v>494</v>
      </c>
      <c r="KX354" s="24"/>
      <c r="KY354">
        <v>874</v>
      </c>
      <c r="KZ354">
        <v>900</v>
      </c>
      <c r="LA354">
        <v>898</v>
      </c>
      <c r="LB354">
        <v>5883559</v>
      </c>
      <c r="LC354">
        <v>157</v>
      </c>
      <c r="LE354" s="24"/>
      <c r="LF354">
        <v>180708</v>
      </c>
      <c r="LG354">
        <v>180721</v>
      </c>
      <c r="LH354">
        <v>180720</v>
      </c>
      <c r="LI354">
        <v>115897</v>
      </c>
      <c r="LJ354">
        <v>664</v>
      </c>
      <c r="LL354" s="24"/>
      <c r="LM354">
        <v>62005</v>
      </c>
      <c r="LN354">
        <v>63204</v>
      </c>
      <c r="LO354">
        <v>63007</v>
      </c>
      <c r="LP354">
        <v>391922</v>
      </c>
      <c r="LQ354">
        <v>898</v>
      </c>
      <c r="LS354" s="24"/>
      <c r="LT354">
        <v>446</v>
      </c>
      <c r="LU354">
        <v>448</v>
      </c>
      <c r="LV354">
        <v>448</v>
      </c>
      <c r="LW354">
        <v>118993472</v>
      </c>
      <c r="LX354">
        <v>376</v>
      </c>
      <c r="LZ354" s="24"/>
      <c r="MA354">
        <v>98000</v>
      </c>
      <c r="MB354">
        <v>100997</v>
      </c>
      <c r="MC354">
        <v>98250</v>
      </c>
      <c r="MD354">
        <v>1438066</v>
      </c>
      <c r="ME354">
        <v>71</v>
      </c>
    </row>
    <row r="355" spans="2:343" x14ac:dyDescent="0.25">
      <c r="B355" s="24"/>
      <c r="C355">
        <v>3</v>
      </c>
      <c r="D355">
        <v>3</v>
      </c>
      <c r="E355">
        <v>3</v>
      </c>
      <c r="F355">
        <v>37406962416</v>
      </c>
      <c r="G355">
        <v>2296</v>
      </c>
      <c r="I355" s="24"/>
      <c r="J355">
        <v>4</v>
      </c>
      <c r="K355">
        <v>4</v>
      </c>
      <c r="L355">
        <v>4</v>
      </c>
      <c r="M355">
        <v>4107834270</v>
      </c>
      <c r="N355">
        <v>1499</v>
      </c>
      <c r="P355" s="24"/>
      <c r="Q355">
        <v>34</v>
      </c>
      <c r="R355">
        <v>35</v>
      </c>
      <c r="S355">
        <v>34</v>
      </c>
      <c r="T355">
        <v>1830468638</v>
      </c>
      <c r="U355">
        <v>1588</v>
      </c>
      <c r="W355" s="24"/>
      <c r="X355">
        <v>62</v>
      </c>
      <c r="Y355">
        <v>62</v>
      </c>
      <c r="Z355">
        <v>62</v>
      </c>
      <c r="AA355">
        <v>284528735</v>
      </c>
      <c r="AB355">
        <v>1132</v>
      </c>
      <c r="AD355" s="24"/>
      <c r="AE355">
        <v>477</v>
      </c>
      <c r="AF355">
        <v>486</v>
      </c>
      <c r="AG355">
        <v>484</v>
      </c>
      <c r="AH355">
        <v>77874708</v>
      </c>
      <c r="AI355">
        <v>1237</v>
      </c>
      <c r="AK355" s="24"/>
      <c r="AL355">
        <v>767</v>
      </c>
      <c r="AM355">
        <v>787</v>
      </c>
      <c r="AN355">
        <v>782</v>
      </c>
      <c r="AO355">
        <v>24937105</v>
      </c>
      <c r="AP355">
        <v>1050</v>
      </c>
      <c r="AR355" s="24"/>
      <c r="AS355">
        <v>2758</v>
      </c>
      <c r="AT355">
        <v>2859</v>
      </c>
      <c r="AU355">
        <v>2841</v>
      </c>
      <c r="AV355">
        <v>11177197</v>
      </c>
      <c r="AW355">
        <v>1089</v>
      </c>
      <c r="AY355" s="24"/>
      <c r="AZ355">
        <v>459899896</v>
      </c>
      <c r="BA355">
        <v>470498898</v>
      </c>
      <c r="BB355">
        <v>462999999</v>
      </c>
      <c r="BC355">
        <v>3306</v>
      </c>
      <c r="BD355">
        <v>2397</v>
      </c>
      <c r="BF355" s="24"/>
      <c r="BG355">
        <v>24551</v>
      </c>
      <c r="BH355">
        <v>24700</v>
      </c>
      <c r="BI355">
        <v>24651</v>
      </c>
      <c r="BJ355">
        <v>1752032</v>
      </c>
      <c r="BK355">
        <v>217</v>
      </c>
      <c r="BM355" s="24"/>
      <c r="BN355">
        <v>6801000</v>
      </c>
      <c r="BO355">
        <v>6803033</v>
      </c>
      <c r="BP355">
        <v>6803033</v>
      </c>
      <c r="BQ355">
        <v>15772</v>
      </c>
      <c r="BR355">
        <v>427</v>
      </c>
      <c r="BT355" s="24"/>
      <c r="BU355">
        <v>2200</v>
      </c>
      <c r="BV355">
        <v>2366</v>
      </c>
      <c r="BW355">
        <v>2319</v>
      </c>
      <c r="BX355">
        <v>28147862</v>
      </c>
      <c r="BY355">
        <v>277</v>
      </c>
      <c r="CA355" s="24"/>
      <c r="CB355">
        <v>1360</v>
      </c>
      <c r="CC355">
        <v>1399</v>
      </c>
      <c r="CD355">
        <v>1383</v>
      </c>
      <c r="CE355">
        <v>24598441</v>
      </c>
      <c r="CF355">
        <v>241</v>
      </c>
      <c r="CH355" s="24"/>
      <c r="CI355">
        <v>26695</v>
      </c>
      <c r="CJ355">
        <v>26696</v>
      </c>
      <c r="CK355">
        <v>26696</v>
      </c>
      <c r="CL355">
        <v>392752</v>
      </c>
      <c r="CM355">
        <v>156</v>
      </c>
      <c r="CO355" s="24"/>
      <c r="CP355">
        <v>10204</v>
      </c>
      <c r="CQ355">
        <v>10898</v>
      </c>
      <c r="CR355">
        <v>10888</v>
      </c>
      <c r="CS355">
        <v>1214413</v>
      </c>
      <c r="CT355">
        <v>410</v>
      </c>
      <c r="CV355" s="24"/>
      <c r="CW355">
        <v>1110000</v>
      </c>
      <c r="CX355">
        <v>1209995</v>
      </c>
      <c r="CY355">
        <v>1198900</v>
      </c>
      <c r="CZ355">
        <v>10187</v>
      </c>
      <c r="DA355">
        <v>31</v>
      </c>
      <c r="DC355" s="24"/>
      <c r="DD355">
        <v>487</v>
      </c>
      <c r="DE355">
        <v>487</v>
      </c>
      <c r="DF355">
        <v>487</v>
      </c>
      <c r="DG355">
        <v>34134864</v>
      </c>
      <c r="DH355">
        <v>186</v>
      </c>
      <c r="DJ355" s="24"/>
      <c r="DK355">
        <v>32003012</v>
      </c>
      <c r="DL355">
        <v>32005005</v>
      </c>
      <c r="DM355">
        <v>32004005</v>
      </c>
      <c r="DN355">
        <v>520</v>
      </c>
      <c r="DO355">
        <v>77</v>
      </c>
      <c r="DQ355" s="24"/>
      <c r="DR355">
        <v>1015051</v>
      </c>
      <c r="DS355">
        <v>1099979</v>
      </c>
      <c r="DT355">
        <v>1091006</v>
      </c>
      <c r="DU355">
        <v>7346</v>
      </c>
      <c r="DV355">
        <v>226</v>
      </c>
      <c r="DX355" s="24"/>
      <c r="DY355">
        <v>21002012</v>
      </c>
      <c r="DZ355">
        <v>22399986</v>
      </c>
      <c r="EA355">
        <v>21002013</v>
      </c>
      <c r="EB355">
        <v>573</v>
      </c>
      <c r="EC355">
        <v>98</v>
      </c>
      <c r="EE355" s="24"/>
      <c r="EF355">
        <v>207</v>
      </c>
      <c r="EG355">
        <v>212</v>
      </c>
      <c r="EH355">
        <v>211</v>
      </c>
      <c r="EI355">
        <v>109973423</v>
      </c>
      <c r="EJ355">
        <v>233</v>
      </c>
      <c r="EL355" s="24"/>
      <c r="EM355">
        <v>53301</v>
      </c>
      <c r="EN355">
        <v>56497</v>
      </c>
      <c r="EO355">
        <v>53303</v>
      </c>
      <c r="EP355">
        <v>97496</v>
      </c>
      <c r="EQ355">
        <v>577</v>
      </c>
      <c r="ES355" s="24"/>
      <c r="ET355">
        <v>388</v>
      </c>
      <c r="EU355">
        <v>400</v>
      </c>
      <c r="EV355">
        <v>389</v>
      </c>
      <c r="EW355">
        <v>91106559</v>
      </c>
      <c r="EX355">
        <v>631</v>
      </c>
      <c r="EZ355" s="24"/>
      <c r="FA355">
        <v>2660000</v>
      </c>
      <c r="FB355">
        <v>2893999</v>
      </c>
      <c r="FC355">
        <v>2874899</v>
      </c>
      <c r="FD355">
        <v>2265</v>
      </c>
      <c r="FE355">
        <v>24</v>
      </c>
      <c r="FG355" s="24"/>
      <c r="FH355">
        <v>9500</v>
      </c>
      <c r="FI355">
        <v>9851</v>
      </c>
      <c r="FJ355">
        <v>9776</v>
      </c>
      <c r="FK355">
        <v>2917375</v>
      </c>
      <c r="FL355">
        <v>507</v>
      </c>
      <c r="FN355" s="24"/>
      <c r="FO355">
        <v>19626</v>
      </c>
      <c r="FP355">
        <v>19626</v>
      </c>
      <c r="FQ355">
        <v>19626</v>
      </c>
      <c r="FR355">
        <v>275009</v>
      </c>
      <c r="FS355">
        <v>90</v>
      </c>
      <c r="FU355" s="24"/>
      <c r="FV355">
        <v>13284</v>
      </c>
      <c r="FW355">
        <v>13798</v>
      </c>
      <c r="FX355">
        <v>13502</v>
      </c>
      <c r="FY355">
        <v>380432</v>
      </c>
      <c r="FZ355">
        <v>1035</v>
      </c>
      <c r="GB355" s="24"/>
      <c r="GC355">
        <v>94120104</v>
      </c>
      <c r="GD355">
        <v>97730594</v>
      </c>
      <c r="GE355">
        <v>95008000</v>
      </c>
      <c r="GF355">
        <v>191</v>
      </c>
      <c r="GG355">
        <v>103</v>
      </c>
      <c r="GI355" s="24"/>
      <c r="GJ355">
        <v>16000998</v>
      </c>
      <c r="GK355">
        <v>16961112</v>
      </c>
      <c r="GL355">
        <v>16960000</v>
      </c>
      <c r="GM355">
        <v>876</v>
      </c>
      <c r="GN355">
        <v>84</v>
      </c>
      <c r="GP355" s="24"/>
      <c r="GQ355">
        <v>108</v>
      </c>
      <c r="GR355">
        <v>112</v>
      </c>
      <c r="GS355">
        <v>109</v>
      </c>
      <c r="GT355">
        <v>144670895</v>
      </c>
      <c r="GU355">
        <v>142</v>
      </c>
      <c r="GW355" s="24"/>
      <c r="GX355">
        <v>409</v>
      </c>
      <c r="GY355">
        <v>413</v>
      </c>
      <c r="GZ355">
        <v>413</v>
      </c>
      <c r="HA355">
        <v>44859397</v>
      </c>
      <c r="HB355">
        <v>222</v>
      </c>
      <c r="HD355" s="24"/>
      <c r="HE355">
        <v>5408</v>
      </c>
      <c r="HF355">
        <v>5433</v>
      </c>
      <c r="HG355">
        <v>5418</v>
      </c>
      <c r="HH355">
        <v>24850785</v>
      </c>
      <c r="HI355">
        <v>343</v>
      </c>
      <c r="HK355" s="24"/>
      <c r="HL355">
        <v>94051001</v>
      </c>
      <c r="HM355">
        <v>95004003</v>
      </c>
      <c r="HN355">
        <v>94053000</v>
      </c>
      <c r="HO355">
        <v>241</v>
      </c>
      <c r="HP355">
        <v>95</v>
      </c>
      <c r="HR355" s="24"/>
      <c r="HS355">
        <v>9280</v>
      </c>
      <c r="HT355">
        <v>9800</v>
      </c>
      <c r="HU355">
        <v>9750</v>
      </c>
      <c r="HV355">
        <v>885817</v>
      </c>
      <c r="HW355">
        <v>186</v>
      </c>
      <c r="HY355" s="24"/>
      <c r="HZ355">
        <v>8319</v>
      </c>
      <c r="IA355">
        <v>8888</v>
      </c>
      <c r="IB355">
        <v>8498</v>
      </c>
      <c r="IC355">
        <v>2000386</v>
      </c>
      <c r="ID355">
        <v>493</v>
      </c>
      <c r="IF355" s="24"/>
      <c r="IG355">
        <v>3800</v>
      </c>
      <c r="IH355">
        <v>3998</v>
      </c>
      <c r="II355">
        <v>3897</v>
      </c>
      <c r="IJ355">
        <v>1869049</v>
      </c>
      <c r="IK355">
        <v>162</v>
      </c>
      <c r="IM355" s="24"/>
      <c r="IN355">
        <v>97228900</v>
      </c>
      <c r="IO355">
        <v>100000000</v>
      </c>
      <c r="IP355">
        <v>98513058</v>
      </c>
      <c r="IQ355">
        <v>80</v>
      </c>
      <c r="IR355">
        <v>59</v>
      </c>
      <c r="IT355" s="24"/>
      <c r="IU355">
        <v>8700</v>
      </c>
      <c r="IV355">
        <v>8889</v>
      </c>
      <c r="IW355">
        <v>8888</v>
      </c>
      <c r="IX355">
        <v>1111530</v>
      </c>
      <c r="IY355">
        <v>156</v>
      </c>
      <c r="JA355" s="24"/>
      <c r="JB355">
        <v>94010000</v>
      </c>
      <c r="JC355">
        <v>97791900</v>
      </c>
      <c r="JD355">
        <v>97532997</v>
      </c>
      <c r="JE355">
        <v>107</v>
      </c>
      <c r="JF355">
        <v>78</v>
      </c>
      <c r="JH355" s="24"/>
      <c r="JI355">
        <v>95003001</v>
      </c>
      <c r="JJ355">
        <v>110784400</v>
      </c>
      <c r="JK355">
        <v>101008690</v>
      </c>
      <c r="JL355">
        <v>80</v>
      </c>
      <c r="JM355">
        <v>53</v>
      </c>
      <c r="JO355" s="24"/>
      <c r="JP355">
        <v>93</v>
      </c>
      <c r="JQ355">
        <v>94</v>
      </c>
      <c r="JR355">
        <v>94</v>
      </c>
      <c r="JS355">
        <v>128064060</v>
      </c>
      <c r="JT355">
        <v>95</v>
      </c>
      <c r="JV355" s="24"/>
      <c r="JW355">
        <v>109</v>
      </c>
      <c r="JX355">
        <v>114</v>
      </c>
      <c r="JY355">
        <v>110</v>
      </c>
      <c r="JZ355">
        <v>112716160</v>
      </c>
      <c r="KA355">
        <v>107</v>
      </c>
      <c r="KC355" s="24"/>
      <c r="KD355">
        <v>150</v>
      </c>
      <c r="KE355">
        <v>228</v>
      </c>
      <c r="KF355">
        <v>180</v>
      </c>
      <c r="KG355">
        <v>212572344</v>
      </c>
      <c r="KH355">
        <v>557</v>
      </c>
      <c r="KJ355" s="24"/>
      <c r="KK355">
        <v>104</v>
      </c>
      <c r="KL355">
        <v>110</v>
      </c>
      <c r="KM355">
        <v>108</v>
      </c>
      <c r="KN355">
        <v>126363411</v>
      </c>
      <c r="KO355">
        <v>109</v>
      </c>
      <c r="KQ355" s="24"/>
      <c r="KR355">
        <v>123250</v>
      </c>
      <c r="KS355">
        <v>123252</v>
      </c>
      <c r="KT355">
        <v>123252</v>
      </c>
      <c r="KU355">
        <v>73193</v>
      </c>
      <c r="KV355">
        <v>517</v>
      </c>
      <c r="KX355" s="24"/>
      <c r="KY355">
        <v>850</v>
      </c>
      <c r="KZ355">
        <v>871</v>
      </c>
      <c r="LA355">
        <v>850</v>
      </c>
      <c r="LB355">
        <v>4488674</v>
      </c>
      <c r="LC355">
        <v>186</v>
      </c>
      <c r="LE355" s="24"/>
      <c r="LF355">
        <v>178007</v>
      </c>
      <c r="LG355">
        <v>178505</v>
      </c>
      <c r="LH355">
        <v>178012</v>
      </c>
      <c r="LI355">
        <v>156036</v>
      </c>
      <c r="LJ355">
        <v>787</v>
      </c>
      <c r="LL355" s="24"/>
      <c r="LM355">
        <v>63001</v>
      </c>
      <c r="LN355">
        <v>63205</v>
      </c>
      <c r="LO355">
        <v>63002</v>
      </c>
      <c r="LP355">
        <v>341596</v>
      </c>
      <c r="LQ355">
        <v>1032</v>
      </c>
      <c r="LS355" s="24"/>
      <c r="LT355">
        <v>442</v>
      </c>
      <c r="LU355">
        <v>448</v>
      </c>
      <c r="LV355">
        <v>448</v>
      </c>
      <c r="LW355">
        <v>108169802</v>
      </c>
      <c r="LX355">
        <v>452</v>
      </c>
      <c r="LZ355" s="24"/>
      <c r="MA355">
        <v>97760</v>
      </c>
      <c r="MB355">
        <v>100950</v>
      </c>
      <c r="MC355">
        <v>100940</v>
      </c>
      <c r="MD355">
        <v>998796</v>
      </c>
      <c r="ME355">
        <v>72</v>
      </c>
    </row>
    <row r="356" spans="2:343" x14ac:dyDescent="0.25">
      <c r="B356" s="24"/>
      <c r="C356">
        <v>3</v>
      </c>
      <c r="D356">
        <v>3</v>
      </c>
      <c r="E356">
        <v>3</v>
      </c>
      <c r="F356">
        <v>28087700708</v>
      </c>
      <c r="G356">
        <v>2350</v>
      </c>
      <c r="I356" s="24"/>
      <c r="J356">
        <v>4</v>
      </c>
      <c r="K356">
        <v>4</v>
      </c>
      <c r="L356">
        <v>4</v>
      </c>
      <c r="M356">
        <v>6801008877</v>
      </c>
      <c r="N356">
        <v>1705</v>
      </c>
      <c r="P356" s="24"/>
      <c r="Q356">
        <v>34</v>
      </c>
      <c r="R356">
        <v>35</v>
      </c>
      <c r="S356">
        <v>35</v>
      </c>
      <c r="T356">
        <v>1670381491</v>
      </c>
      <c r="U356">
        <v>1696</v>
      </c>
      <c r="W356" s="24"/>
      <c r="X356">
        <v>61</v>
      </c>
      <c r="Y356">
        <v>62</v>
      </c>
      <c r="Z356">
        <v>62</v>
      </c>
      <c r="AA356">
        <v>315928653</v>
      </c>
      <c r="AB356">
        <v>1283</v>
      </c>
      <c r="AD356" s="24"/>
      <c r="AE356">
        <v>485</v>
      </c>
      <c r="AF356">
        <v>493</v>
      </c>
      <c r="AG356">
        <v>488</v>
      </c>
      <c r="AH356">
        <v>80210952</v>
      </c>
      <c r="AI356">
        <v>1414</v>
      </c>
      <c r="AK356" s="24"/>
      <c r="AL356">
        <v>782</v>
      </c>
      <c r="AM356">
        <v>798</v>
      </c>
      <c r="AN356">
        <v>788</v>
      </c>
      <c r="AO356">
        <v>41511366</v>
      </c>
      <c r="AP356">
        <v>1223</v>
      </c>
      <c r="AR356" s="24"/>
      <c r="AS356">
        <v>2773</v>
      </c>
      <c r="AT356">
        <v>2854</v>
      </c>
      <c r="AU356">
        <v>2824</v>
      </c>
      <c r="AV356">
        <v>19964354</v>
      </c>
      <c r="AW356">
        <v>1209</v>
      </c>
      <c r="AY356" s="24"/>
      <c r="AZ356">
        <v>458325000</v>
      </c>
      <c r="BA356">
        <v>472003011</v>
      </c>
      <c r="BB356">
        <v>462503010</v>
      </c>
      <c r="BC356">
        <v>3111</v>
      </c>
      <c r="BD356">
        <v>2248</v>
      </c>
      <c r="BF356" s="24"/>
      <c r="BG356">
        <v>24500</v>
      </c>
      <c r="BH356">
        <v>24990</v>
      </c>
      <c r="BI356">
        <v>24500</v>
      </c>
      <c r="BJ356">
        <v>3584070</v>
      </c>
      <c r="BK356">
        <v>240</v>
      </c>
      <c r="BM356" s="24"/>
      <c r="BN356">
        <v>6810000</v>
      </c>
      <c r="BO356">
        <v>7074994</v>
      </c>
      <c r="BP356">
        <v>6850001</v>
      </c>
      <c r="BQ356">
        <v>15972</v>
      </c>
      <c r="BR356">
        <v>423</v>
      </c>
      <c r="BT356" s="24"/>
      <c r="BU356">
        <v>2050</v>
      </c>
      <c r="BV356">
        <v>2187</v>
      </c>
      <c r="BW356">
        <v>2165</v>
      </c>
      <c r="BX356">
        <v>44149672</v>
      </c>
      <c r="BY356">
        <v>270</v>
      </c>
      <c r="CA356" s="24"/>
      <c r="CB356">
        <v>1400</v>
      </c>
      <c r="CC356">
        <v>1429</v>
      </c>
      <c r="CD356">
        <v>1427</v>
      </c>
      <c r="CE356">
        <v>32488109</v>
      </c>
      <c r="CF356">
        <v>288</v>
      </c>
      <c r="CH356" s="24"/>
      <c r="CI356">
        <v>26726</v>
      </c>
      <c r="CJ356">
        <v>26750</v>
      </c>
      <c r="CK356">
        <v>26750</v>
      </c>
      <c r="CL356">
        <v>3122728</v>
      </c>
      <c r="CM356">
        <v>190</v>
      </c>
      <c r="CO356" s="24"/>
      <c r="CP356">
        <v>10088</v>
      </c>
      <c r="CQ356">
        <v>10550</v>
      </c>
      <c r="CR356">
        <v>10276</v>
      </c>
      <c r="CS356">
        <v>1636406</v>
      </c>
      <c r="CT356">
        <v>428</v>
      </c>
      <c r="CV356" s="24"/>
      <c r="CW356">
        <v>1090003</v>
      </c>
      <c r="CX356">
        <v>1198900</v>
      </c>
      <c r="CY356">
        <v>1179999</v>
      </c>
      <c r="CZ356">
        <v>11067</v>
      </c>
      <c r="DA356">
        <v>33</v>
      </c>
      <c r="DC356" s="24"/>
      <c r="DD356">
        <v>484</v>
      </c>
      <c r="DE356">
        <v>487</v>
      </c>
      <c r="DF356">
        <v>487</v>
      </c>
      <c r="DG356">
        <v>36783283</v>
      </c>
      <c r="DH356">
        <v>208</v>
      </c>
      <c r="DJ356" s="24"/>
      <c r="DK356">
        <v>32004009</v>
      </c>
      <c r="DL356">
        <v>32004020</v>
      </c>
      <c r="DM356">
        <v>32004013</v>
      </c>
      <c r="DN356">
        <v>403</v>
      </c>
      <c r="DO356">
        <v>90</v>
      </c>
      <c r="DQ356" s="24"/>
      <c r="DR356">
        <v>1050014</v>
      </c>
      <c r="DS356">
        <v>1099995</v>
      </c>
      <c r="DT356">
        <v>1060019</v>
      </c>
      <c r="DU356">
        <v>8496</v>
      </c>
      <c r="DV356">
        <v>280</v>
      </c>
      <c r="DX356" s="24"/>
      <c r="DY356">
        <v>21003000</v>
      </c>
      <c r="DZ356">
        <v>22749897</v>
      </c>
      <c r="EA356">
        <v>21749914</v>
      </c>
      <c r="EB356">
        <v>393</v>
      </c>
      <c r="EC356">
        <v>99</v>
      </c>
      <c r="EE356" s="24"/>
      <c r="EF356">
        <v>198</v>
      </c>
      <c r="EG356">
        <v>205</v>
      </c>
      <c r="EH356">
        <v>203</v>
      </c>
      <c r="EI356">
        <v>104634679</v>
      </c>
      <c r="EJ356">
        <v>188</v>
      </c>
      <c r="EL356" s="24"/>
      <c r="EM356">
        <v>53304</v>
      </c>
      <c r="EN356">
        <v>53307</v>
      </c>
      <c r="EO356">
        <v>53305</v>
      </c>
      <c r="EP356">
        <v>100653</v>
      </c>
      <c r="EQ356">
        <v>648</v>
      </c>
      <c r="ES356" s="24"/>
      <c r="ET356">
        <v>402</v>
      </c>
      <c r="EU356">
        <v>417</v>
      </c>
      <c r="EV356">
        <v>411</v>
      </c>
      <c r="EW356">
        <v>81210307</v>
      </c>
      <c r="EX356">
        <v>726</v>
      </c>
      <c r="EZ356" s="24"/>
      <c r="FA356">
        <v>2660000</v>
      </c>
      <c r="FB356">
        <v>2760081</v>
      </c>
      <c r="FC356">
        <v>2760081</v>
      </c>
      <c r="FD356">
        <v>2638</v>
      </c>
      <c r="FE356">
        <v>25</v>
      </c>
      <c r="FG356" s="24"/>
      <c r="FH356">
        <v>9500</v>
      </c>
      <c r="FI356">
        <v>9943</v>
      </c>
      <c r="FJ356">
        <v>9797</v>
      </c>
      <c r="FK356">
        <v>1754035</v>
      </c>
      <c r="FL356">
        <v>450</v>
      </c>
      <c r="FN356" s="24"/>
      <c r="FO356">
        <v>19020</v>
      </c>
      <c r="FP356">
        <v>19766</v>
      </c>
      <c r="FQ356">
        <v>19662</v>
      </c>
      <c r="FR356">
        <v>135775</v>
      </c>
      <c r="FS356">
        <v>78</v>
      </c>
      <c r="FU356" s="24"/>
      <c r="FV356">
        <v>13251</v>
      </c>
      <c r="FW356">
        <v>13505</v>
      </c>
      <c r="FX356">
        <v>13502</v>
      </c>
      <c r="FY356">
        <v>487854</v>
      </c>
      <c r="FZ356">
        <v>1099</v>
      </c>
      <c r="GB356" s="24"/>
      <c r="GC356">
        <v>95010049</v>
      </c>
      <c r="GD356">
        <v>100017000</v>
      </c>
      <c r="GE356">
        <v>99013000</v>
      </c>
      <c r="GF356">
        <v>158</v>
      </c>
      <c r="GG356">
        <v>97</v>
      </c>
      <c r="GI356" s="24"/>
      <c r="GJ356">
        <v>16108000</v>
      </c>
      <c r="GK356">
        <v>17099998</v>
      </c>
      <c r="GL356">
        <v>16108026</v>
      </c>
      <c r="GM356">
        <v>517</v>
      </c>
      <c r="GN356">
        <v>92</v>
      </c>
      <c r="GP356" s="24"/>
      <c r="GQ356">
        <v>108</v>
      </c>
      <c r="GR356">
        <v>110</v>
      </c>
      <c r="GS356">
        <v>109</v>
      </c>
      <c r="GT356">
        <v>196700970</v>
      </c>
      <c r="GU356">
        <v>161</v>
      </c>
      <c r="GW356" s="24"/>
      <c r="GX356">
        <v>405</v>
      </c>
      <c r="GY356">
        <v>413</v>
      </c>
      <c r="GZ356">
        <v>413</v>
      </c>
      <c r="HA356">
        <v>58973317</v>
      </c>
      <c r="HB356">
        <v>263</v>
      </c>
      <c r="HD356" s="24"/>
      <c r="HE356">
        <v>5461</v>
      </c>
      <c r="HF356">
        <v>5642</v>
      </c>
      <c r="HG356">
        <v>5502</v>
      </c>
      <c r="HH356">
        <v>25437664</v>
      </c>
      <c r="HI356">
        <v>328</v>
      </c>
      <c r="HK356" s="24"/>
      <c r="HL356">
        <v>93001501</v>
      </c>
      <c r="HM356">
        <v>97954999</v>
      </c>
      <c r="HN356">
        <v>94052002</v>
      </c>
      <c r="HO356">
        <v>160</v>
      </c>
      <c r="HP356">
        <v>86</v>
      </c>
      <c r="HR356" s="24"/>
      <c r="HS356">
        <v>9830</v>
      </c>
      <c r="HT356">
        <v>9850</v>
      </c>
      <c r="HU356">
        <v>9839</v>
      </c>
      <c r="HV356">
        <v>901847</v>
      </c>
      <c r="HW356">
        <v>180</v>
      </c>
      <c r="HY356" s="24"/>
      <c r="HZ356">
        <v>8528</v>
      </c>
      <c r="IA356">
        <v>8898</v>
      </c>
      <c r="IB356">
        <v>8796</v>
      </c>
      <c r="IC356">
        <v>1968210</v>
      </c>
      <c r="ID356">
        <v>527</v>
      </c>
      <c r="IF356" s="24"/>
      <c r="IG356">
        <v>3914</v>
      </c>
      <c r="IH356">
        <v>4119</v>
      </c>
      <c r="II356">
        <v>4118</v>
      </c>
      <c r="IJ356">
        <v>1264547</v>
      </c>
      <c r="IK356">
        <v>144</v>
      </c>
      <c r="IM356" s="24"/>
      <c r="IN356">
        <v>94008002</v>
      </c>
      <c r="IO356">
        <v>99986795</v>
      </c>
      <c r="IP356">
        <v>94009003</v>
      </c>
      <c r="IQ356">
        <v>199</v>
      </c>
      <c r="IR356">
        <v>93</v>
      </c>
      <c r="IT356" s="24"/>
      <c r="IU356">
        <v>8601</v>
      </c>
      <c r="IV356">
        <v>8699</v>
      </c>
      <c r="IW356">
        <v>8603</v>
      </c>
      <c r="IX356">
        <v>1542477</v>
      </c>
      <c r="IY356">
        <v>159</v>
      </c>
      <c r="JA356" s="24"/>
      <c r="JB356">
        <v>93723000</v>
      </c>
      <c r="JC356">
        <v>99093499</v>
      </c>
      <c r="JD356">
        <v>94009001</v>
      </c>
      <c r="JE356">
        <v>181</v>
      </c>
      <c r="JF356">
        <v>92</v>
      </c>
      <c r="JH356" s="24"/>
      <c r="JI356">
        <v>94015001</v>
      </c>
      <c r="JJ356">
        <v>102776195</v>
      </c>
      <c r="JK356">
        <v>97054510</v>
      </c>
      <c r="JL356">
        <v>82</v>
      </c>
      <c r="JM356">
        <v>55</v>
      </c>
      <c r="JO356" s="24"/>
      <c r="JP356">
        <v>93</v>
      </c>
      <c r="JQ356">
        <v>94</v>
      </c>
      <c r="JR356">
        <v>94</v>
      </c>
      <c r="JS356">
        <v>117559217</v>
      </c>
      <c r="JT356">
        <v>117</v>
      </c>
      <c r="JV356" s="24"/>
      <c r="JW356">
        <v>108</v>
      </c>
      <c r="JX356">
        <v>112</v>
      </c>
      <c r="JY356">
        <v>110</v>
      </c>
      <c r="JZ356">
        <v>188738210</v>
      </c>
      <c r="KA356">
        <v>145</v>
      </c>
      <c r="KC356" s="24"/>
      <c r="KD356">
        <v>158</v>
      </c>
      <c r="KE356">
        <v>171</v>
      </c>
      <c r="KF356">
        <v>161</v>
      </c>
      <c r="KG356">
        <v>122075175</v>
      </c>
      <c r="KH356">
        <v>506</v>
      </c>
      <c r="KJ356" s="24"/>
      <c r="KK356">
        <v>107</v>
      </c>
      <c r="KL356">
        <v>110</v>
      </c>
      <c r="KM356">
        <v>109</v>
      </c>
      <c r="KN356">
        <v>114547058</v>
      </c>
      <c r="KO356">
        <v>124</v>
      </c>
      <c r="KQ356" s="24"/>
      <c r="KR356">
        <v>123254</v>
      </c>
      <c r="KS356">
        <v>123254</v>
      </c>
      <c r="KT356">
        <v>123254</v>
      </c>
      <c r="KU356">
        <v>79814</v>
      </c>
      <c r="KV356">
        <v>634</v>
      </c>
      <c r="KX356" s="24"/>
      <c r="KY356">
        <v>840</v>
      </c>
      <c r="KZ356">
        <v>870</v>
      </c>
      <c r="LA356">
        <v>869</v>
      </c>
      <c r="LB356">
        <v>8654859</v>
      </c>
      <c r="LC356">
        <v>202</v>
      </c>
      <c r="LE356" s="24"/>
      <c r="LF356">
        <v>178012</v>
      </c>
      <c r="LG356">
        <v>180414</v>
      </c>
      <c r="LH356">
        <v>178015</v>
      </c>
      <c r="LI356">
        <v>198225</v>
      </c>
      <c r="LJ356">
        <v>906</v>
      </c>
      <c r="LL356" s="24"/>
      <c r="LM356">
        <v>62011</v>
      </c>
      <c r="LN356">
        <v>63205</v>
      </c>
      <c r="LO356">
        <v>63201</v>
      </c>
      <c r="LP356">
        <v>510453</v>
      </c>
      <c r="LQ356">
        <v>1203</v>
      </c>
      <c r="LS356" s="24"/>
      <c r="LT356">
        <v>446</v>
      </c>
      <c r="LU356">
        <v>447</v>
      </c>
      <c r="LV356">
        <v>446</v>
      </c>
      <c r="LW356">
        <v>122288216</v>
      </c>
      <c r="LX356">
        <v>400</v>
      </c>
      <c r="LZ356" s="24"/>
      <c r="MA356">
        <v>100949</v>
      </c>
      <c r="MB356">
        <v>100949</v>
      </c>
      <c r="MC356">
        <v>100949</v>
      </c>
      <c r="MD356">
        <v>1059155</v>
      </c>
      <c r="ME356">
        <v>73</v>
      </c>
    </row>
    <row r="357" spans="2:343" x14ac:dyDescent="0.25">
      <c r="B357" s="24"/>
      <c r="C357">
        <v>3</v>
      </c>
      <c r="D357">
        <v>3</v>
      </c>
      <c r="E357">
        <v>3</v>
      </c>
      <c r="F357">
        <v>40972473218</v>
      </c>
      <c r="G357">
        <v>1965</v>
      </c>
      <c r="I357" s="24"/>
      <c r="J357">
        <v>4</v>
      </c>
      <c r="K357">
        <v>4</v>
      </c>
      <c r="L357">
        <v>4</v>
      </c>
      <c r="M357">
        <v>7130038596</v>
      </c>
      <c r="N357">
        <v>1330</v>
      </c>
      <c r="P357" s="24"/>
      <c r="Q357">
        <v>34</v>
      </c>
      <c r="R357">
        <v>34</v>
      </c>
      <c r="S357">
        <v>34</v>
      </c>
      <c r="T357">
        <v>1341635599</v>
      </c>
      <c r="U357">
        <v>1320</v>
      </c>
      <c r="W357" s="24"/>
      <c r="X357">
        <v>61</v>
      </c>
      <c r="Y357">
        <v>61</v>
      </c>
      <c r="Z357">
        <v>61</v>
      </c>
      <c r="AA357">
        <v>358389462</v>
      </c>
      <c r="AB357">
        <v>1027</v>
      </c>
      <c r="AD357" s="24"/>
      <c r="AE357">
        <v>483</v>
      </c>
      <c r="AF357">
        <v>486</v>
      </c>
      <c r="AG357">
        <v>483</v>
      </c>
      <c r="AH357">
        <v>77925358</v>
      </c>
      <c r="AI357">
        <v>1073</v>
      </c>
      <c r="AK357" s="24"/>
      <c r="AL357">
        <v>775</v>
      </c>
      <c r="AM357">
        <v>794</v>
      </c>
      <c r="AN357">
        <v>780</v>
      </c>
      <c r="AO357">
        <v>36288803</v>
      </c>
      <c r="AP357">
        <v>951</v>
      </c>
      <c r="AR357" s="24"/>
      <c r="AS357">
        <v>2771</v>
      </c>
      <c r="AT357">
        <v>2877</v>
      </c>
      <c r="AU357">
        <v>2854</v>
      </c>
      <c r="AV357">
        <v>19048427</v>
      </c>
      <c r="AW357">
        <v>976</v>
      </c>
      <c r="AY357" s="24"/>
      <c r="AZ357">
        <v>462000321</v>
      </c>
      <c r="BA357">
        <v>470999920</v>
      </c>
      <c r="BB357">
        <v>467007009</v>
      </c>
      <c r="BC357">
        <v>2303</v>
      </c>
      <c r="BD357">
        <v>1763</v>
      </c>
      <c r="BF357" s="24"/>
      <c r="BG357">
        <v>24501</v>
      </c>
      <c r="BH357">
        <v>24501</v>
      </c>
      <c r="BI357">
        <v>24501</v>
      </c>
      <c r="BJ357">
        <v>3879773</v>
      </c>
      <c r="BK357">
        <v>238</v>
      </c>
      <c r="BM357" s="24"/>
      <c r="BN357">
        <v>6850007</v>
      </c>
      <c r="BO357">
        <v>7150000</v>
      </c>
      <c r="BP357">
        <v>6860048</v>
      </c>
      <c r="BQ357">
        <v>12069</v>
      </c>
      <c r="BR357">
        <v>355</v>
      </c>
      <c r="BT357" s="24"/>
      <c r="BU357">
        <v>2125</v>
      </c>
      <c r="BV357">
        <v>2127</v>
      </c>
      <c r="BW357">
        <v>2125</v>
      </c>
      <c r="BX357">
        <v>27786931</v>
      </c>
      <c r="BY357">
        <v>208</v>
      </c>
      <c r="CA357" s="24"/>
      <c r="CB357">
        <v>1379</v>
      </c>
      <c r="CC357">
        <v>1429</v>
      </c>
      <c r="CD357">
        <v>1429</v>
      </c>
      <c r="CE357">
        <v>21905926</v>
      </c>
      <c r="CF357">
        <v>210</v>
      </c>
      <c r="CH357" s="24"/>
      <c r="CI357">
        <v>26384</v>
      </c>
      <c r="CJ357">
        <v>26384</v>
      </c>
      <c r="CK357">
        <v>26384</v>
      </c>
      <c r="CL357">
        <v>2748439</v>
      </c>
      <c r="CM357">
        <v>166</v>
      </c>
      <c r="CO357" s="24"/>
      <c r="CP357">
        <v>9456</v>
      </c>
      <c r="CQ357">
        <v>9999</v>
      </c>
      <c r="CR357">
        <v>9998</v>
      </c>
      <c r="CS357">
        <v>756180</v>
      </c>
      <c r="CT357">
        <v>275</v>
      </c>
      <c r="CV357" s="24"/>
      <c r="CW357">
        <v>1145000</v>
      </c>
      <c r="CX357">
        <v>1172999</v>
      </c>
      <c r="CY357">
        <v>1172992</v>
      </c>
      <c r="CZ357">
        <v>10019</v>
      </c>
      <c r="DA357">
        <v>31</v>
      </c>
      <c r="DC357" s="24"/>
      <c r="DD357">
        <v>475</v>
      </c>
      <c r="DE357">
        <v>484</v>
      </c>
      <c r="DF357">
        <v>476</v>
      </c>
      <c r="DG357">
        <v>46962828</v>
      </c>
      <c r="DH357">
        <v>164</v>
      </c>
      <c r="DJ357" s="24"/>
      <c r="DK357">
        <v>32004022</v>
      </c>
      <c r="DL357">
        <v>32300000</v>
      </c>
      <c r="DM357">
        <v>32006000</v>
      </c>
      <c r="DN357">
        <v>389</v>
      </c>
      <c r="DO357">
        <v>72</v>
      </c>
      <c r="DQ357" s="24"/>
      <c r="DR357">
        <v>1051001</v>
      </c>
      <c r="DS357">
        <v>1140996</v>
      </c>
      <c r="DT357">
        <v>1060000</v>
      </c>
      <c r="DU357">
        <v>10978</v>
      </c>
      <c r="DV357">
        <v>206</v>
      </c>
      <c r="DX357" s="24"/>
      <c r="DY357">
        <v>21760001</v>
      </c>
      <c r="DZ357">
        <v>22698998</v>
      </c>
      <c r="EA357">
        <v>21763000</v>
      </c>
      <c r="EB357">
        <v>646</v>
      </c>
      <c r="EC357">
        <v>94</v>
      </c>
      <c r="EE357" s="24"/>
      <c r="EF357">
        <v>201</v>
      </c>
      <c r="EG357">
        <v>212</v>
      </c>
      <c r="EH357">
        <v>212</v>
      </c>
      <c r="EI357">
        <v>90160592</v>
      </c>
      <c r="EJ357">
        <v>147</v>
      </c>
      <c r="EL357" s="24"/>
      <c r="EM357">
        <v>53304</v>
      </c>
      <c r="EN357">
        <v>53305</v>
      </c>
      <c r="EO357">
        <v>53304</v>
      </c>
      <c r="EP357">
        <v>163602</v>
      </c>
      <c r="EQ357">
        <v>536</v>
      </c>
      <c r="ES357" s="24"/>
      <c r="ET357">
        <v>389</v>
      </c>
      <c r="EU357">
        <v>411</v>
      </c>
      <c r="EV357">
        <v>409</v>
      </c>
      <c r="EW357">
        <v>54910829</v>
      </c>
      <c r="EX357">
        <v>533</v>
      </c>
      <c r="EZ357" s="24"/>
      <c r="FA357">
        <v>2661004</v>
      </c>
      <c r="FB357">
        <v>2830443</v>
      </c>
      <c r="FC357">
        <v>2700007</v>
      </c>
      <c r="FD357">
        <v>1812</v>
      </c>
      <c r="FE357">
        <v>31</v>
      </c>
      <c r="FG357" s="24"/>
      <c r="FH357">
        <v>9592</v>
      </c>
      <c r="FI357">
        <v>9937</v>
      </c>
      <c r="FJ357">
        <v>9593</v>
      </c>
      <c r="FK357">
        <v>1475921</v>
      </c>
      <c r="FL357">
        <v>399</v>
      </c>
      <c r="FN357" s="24"/>
      <c r="FO357">
        <v>19102</v>
      </c>
      <c r="FP357">
        <v>20492</v>
      </c>
      <c r="FQ357">
        <v>20492</v>
      </c>
      <c r="FR357">
        <v>151069</v>
      </c>
      <c r="FS357">
        <v>50</v>
      </c>
      <c r="FU357" s="24"/>
      <c r="FV357">
        <v>12627</v>
      </c>
      <c r="FW357">
        <v>13101</v>
      </c>
      <c r="FX357">
        <v>13005</v>
      </c>
      <c r="FY357">
        <v>528802</v>
      </c>
      <c r="FZ357">
        <v>890</v>
      </c>
      <c r="GB357" s="24"/>
      <c r="GC357">
        <v>93013205</v>
      </c>
      <c r="GD357">
        <v>96913203</v>
      </c>
      <c r="GE357">
        <v>94703434</v>
      </c>
      <c r="GF357">
        <v>87</v>
      </c>
      <c r="GG357">
        <v>63</v>
      </c>
      <c r="GI357" s="24"/>
      <c r="GJ357">
        <v>16308888</v>
      </c>
      <c r="GK357">
        <v>17000000</v>
      </c>
      <c r="GL357">
        <v>16700001</v>
      </c>
      <c r="GM357">
        <v>563</v>
      </c>
      <c r="GN357">
        <v>70</v>
      </c>
      <c r="GP357" s="24"/>
      <c r="GQ357">
        <v>104</v>
      </c>
      <c r="GR357">
        <v>108</v>
      </c>
      <c r="GS357">
        <v>106</v>
      </c>
      <c r="GT357">
        <v>207693697</v>
      </c>
      <c r="GU357">
        <v>129</v>
      </c>
      <c r="GW357" s="24"/>
      <c r="GX357">
        <v>412</v>
      </c>
      <c r="GY357">
        <v>418</v>
      </c>
      <c r="GZ357">
        <v>418</v>
      </c>
      <c r="HA357">
        <v>45330787</v>
      </c>
      <c r="HB357">
        <v>217</v>
      </c>
      <c r="HD357" s="24"/>
      <c r="HE357">
        <v>5400</v>
      </c>
      <c r="HF357">
        <v>5487</v>
      </c>
      <c r="HG357">
        <v>5486</v>
      </c>
      <c r="HH357">
        <v>17391395</v>
      </c>
      <c r="HI357">
        <v>263</v>
      </c>
      <c r="HK357" s="24"/>
      <c r="HL357">
        <v>95918604</v>
      </c>
      <c r="HM357">
        <v>97794999</v>
      </c>
      <c r="HN357">
        <v>96589596</v>
      </c>
      <c r="HO357">
        <v>68</v>
      </c>
      <c r="HP357">
        <v>57</v>
      </c>
      <c r="HR357" s="24"/>
      <c r="HS357">
        <v>9994</v>
      </c>
      <c r="HT357">
        <v>9994</v>
      </c>
      <c r="HU357">
        <v>9994</v>
      </c>
      <c r="HV357">
        <v>1310568</v>
      </c>
      <c r="HW357">
        <v>179</v>
      </c>
      <c r="HY357" s="24"/>
      <c r="HZ357">
        <v>8651</v>
      </c>
      <c r="IA357">
        <v>9088</v>
      </c>
      <c r="IB357">
        <v>8977</v>
      </c>
      <c r="IC357">
        <v>1635349</v>
      </c>
      <c r="ID357">
        <v>410</v>
      </c>
      <c r="IF357" s="24"/>
      <c r="IG357">
        <v>3920</v>
      </c>
      <c r="IH357">
        <v>4115</v>
      </c>
      <c r="II357">
        <v>4000</v>
      </c>
      <c r="IJ357">
        <v>1930058</v>
      </c>
      <c r="IK357">
        <v>130</v>
      </c>
      <c r="IM357" s="24"/>
      <c r="IN357">
        <v>95000005</v>
      </c>
      <c r="IO357">
        <v>99981999</v>
      </c>
      <c r="IP357">
        <v>96258939</v>
      </c>
      <c r="IQ357">
        <v>94</v>
      </c>
      <c r="IR357">
        <v>59</v>
      </c>
      <c r="IT357" s="24"/>
      <c r="IU357">
        <v>8687</v>
      </c>
      <c r="IV357">
        <v>8688</v>
      </c>
      <c r="IW357">
        <v>8688</v>
      </c>
      <c r="IX357">
        <v>890713</v>
      </c>
      <c r="IY357">
        <v>103</v>
      </c>
      <c r="JA357" s="24"/>
      <c r="JB357">
        <v>94104001</v>
      </c>
      <c r="JC357">
        <v>97996999</v>
      </c>
      <c r="JD357">
        <v>96534070</v>
      </c>
      <c r="JE357">
        <v>79</v>
      </c>
      <c r="JF357">
        <v>56</v>
      </c>
      <c r="JH357" s="24"/>
      <c r="JI357">
        <v>93145000</v>
      </c>
      <c r="JJ357">
        <v>96500000</v>
      </c>
      <c r="JK357">
        <v>95936322</v>
      </c>
      <c r="JL357">
        <v>119</v>
      </c>
      <c r="JM357">
        <v>73</v>
      </c>
      <c r="JO357" s="24"/>
      <c r="JP357">
        <v>93</v>
      </c>
      <c r="JQ357">
        <v>94</v>
      </c>
      <c r="JR357">
        <v>94</v>
      </c>
      <c r="JS357">
        <v>210023940</v>
      </c>
      <c r="JT357">
        <v>127</v>
      </c>
      <c r="JV357" s="24"/>
      <c r="JW357">
        <v>98</v>
      </c>
      <c r="JX357">
        <v>99</v>
      </c>
      <c r="JY357">
        <v>98</v>
      </c>
      <c r="JZ357">
        <v>146211478</v>
      </c>
      <c r="KA357">
        <v>108</v>
      </c>
      <c r="KC357" s="24"/>
      <c r="KD357">
        <v>120</v>
      </c>
      <c r="KE357">
        <v>152</v>
      </c>
      <c r="KF357">
        <v>136</v>
      </c>
      <c r="KG357">
        <v>77789764</v>
      </c>
      <c r="KH357">
        <v>355</v>
      </c>
      <c r="KJ357" s="24"/>
      <c r="KK357">
        <v>107</v>
      </c>
      <c r="KL357">
        <v>110</v>
      </c>
      <c r="KM357">
        <v>107</v>
      </c>
      <c r="KN357">
        <v>141642543</v>
      </c>
      <c r="KO357">
        <v>122</v>
      </c>
      <c r="KQ357" s="24"/>
      <c r="KR357">
        <v>123072</v>
      </c>
      <c r="KS357">
        <v>123500</v>
      </c>
      <c r="KT357">
        <v>123253</v>
      </c>
      <c r="KU357">
        <v>121749</v>
      </c>
      <c r="KV357">
        <v>521</v>
      </c>
      <c r="KX357" s="24"/>
      <c r="KY357">
        <v>868</v>
      </c>
      <c r="KZ357">
        <v>869</v>
      </c>
      <c r="LA357">
        <v>868</v>
      </c>
      <c r="LB357">
        <v>5115613</v>
      </c>
      <c r="LC357">
        <v>147</v>
      </c>
      <c r="LE357" s="24"/>
      <c r="LF357">
        <v>178015</v>
      </c>
      <c r="LG357">
        <v>178500</v>
      </c>
      <c r="LH357">
        <v>178120</v>
      </c>
      <c r="LI357">
        <v>144067</v>
      </c>
      <c r="LJ357">
        <v>708</v>
      </c>
      <c r="LL357" s="24"/>
      <c r="LM357">
        <v>60200</v>
      </c>
      <c r="LN357">
        <v>62006</v>
      </c>
      <c r="LO357">
        <v>61061</v>
      </c>
      <c r="LP357">
        <v>509387</v>
      </c>
      <c r="LQ357">
        <v>956</v>
      </c>
      <c r="LS357" s="24"/>
      <c r="LT357">
        <v>438</v>
      </c>
      <c r="LU357">
        <v>445</v>
      </c>
      <c r="LV357">
        <v>444</v>
      </c>
      <c r="LW357">
        <v>96251484</v>
      </c>
      <c r="LX357">
        <v>324</v>
      </c>
      <c r="LZ357" s="24"/>
      <c r="MA357">
        <v>99013</v>
      </c>
      <c r="MB357">
        <v>100887</v>
      </c>
      <c r="MC357">
        <v>99100</v>
      </c>
      <c r="MD357">
        <v>784651</v>
      </c>
      <c r="ME357">
        <v>74</v>
      </c>
    </row>
    <row r="358" spans="2:343" x14ac:dyDescent="0.25">
      <c r="B358" s="24"/>
      <c r="C358">
        <v>3</v>
      </c>
      <c r="D358">
        <v>3</v>
      </c>
      <c r="E358">
        <v>3</v>
      </c>
      <c r="F358">
        <v>32756677501</v>
      </c>
      <c r="G358">
        <v>1837</v>
      </c>
      <c r="I358" s="24"/>
      <c r="J358">
        <v>4</v>
      </c>
      <c r="K358">
        <v>4</v>
      </c>
      <c r="L358">
        <v>4</v>
      </c>
      <c r="M358">
        <v>8940162695</v>
      </c>
      <c r="N358">
        <v>1308</v>
      </c>
      <c r="P358" s="24"/>
      <c r="Q358">
        <v>33</v>
      </c>
      <c r="R358">
        <v>34</v>
      </c>
      <c r="S358">
        <v>34</v>
      </c>
      <c r="T358">
        <v>1932148320</v>
      </c>
      <c r="U358">
        <v>1258</v>
      </c>
      <c r="W358" s="24"/>
      <c r="X358">
        <v>60</v>
      </c>
      <c r="Y358">
        <v>61</v>
      </c>
      <c r="Z358">
        <v>61</v>
      </c>
      <c r="AA358">
        <v>420174754</v>
      </c>
      <c r="AB358">
        <v>935</v>
      </c>
      <c r="AD358" s="24"/>
      <c r="AE358">
        <v>481</v>
      </c>
      <c r="AF358">
        <v>486</v>
      </c>
      <c r="AG358">
        <v>484</v>
      </c>
      <c r="AH358">
        <v>180095166</v>
      </c>
      <c r="AI358">
        <v>1095</v>
      </c>
      <c r="AK358" s="24"/>
      <c r="AL358">
        <v>780</v>
      </c>
      <c r="AM358">
        <v>793</v>
      </c>
      <c r="AN358">
        <v>790</v>
      </c>
      <c r="AO358">
        <v>41570408</v>
      </c>
      <c r="AP358">
        <v>904</v>
      </c>
      <c r="AR358" s="24"/>
      <c r="AS358">
        <v>2767</v>
      </c>
      <c r="AT358">
        <v>2867</v>
      </c>
      <c r="AU358">
        <v>2771</v>
      </c>
      <c r="AV358">
        <v>18109912</v>
      </c>
      <c r="AW358">
        <v>919</v>
      </c>
      <c r="AY358" s="24"/>
      <c r="AZ358">
        <v>475000000</v>
      </c>
      <c r="BA358">
        <v>482000000</v>
      </c>
      <c r="BB358">
        <v>479400125</v>
      </c>
      <c r="BC358">
        <v>2377</v>
      </c>
      <c r="BD358">
        <v>1809</v>
      </c>
      <c r="BF358" s="24"/>
      <c r="BG358">
        <v>24651</v>
      </c>
      <c r="BH358">
        <v>25165</v>
      </c>
      <c r="BI358">
        <v>24700</v>
      </c>
      <c r="BJ358">
        <v>8731769</v>
      </c>
      <c r="BK358">
        <v>250</v>
      </c>
      <c r="BM358" s="24"/>
      <c r="BN358">
        <v>6870000</v>
      </c>
      <c r="BO358">
        <v>7098000</v>
      </c>
      <c r="BP358">
        <v>6908000</v>
      </c>
      <c r="BQ358">
        <v>14455</v>
      </c>
      <c r="BR358">
        <v>378</v>
      </c>
      <c r="BT358" s="24"/>
      <c r="BU358">
        <v>2070</v>
      </c>
      <c r="BV358">
        <v>2117</v>
      </c>
      <c r="BW358">
        <v>2117</v>
      </c>
      <c r="BX358">
        <v>26773614</v>
      </c>
      <c r="BY358">
        <v>198</v>
      </c>
      <c r="CA358" s="24"/>
      <c r="CB358">
        <v>1400</v>
      </c>
      <c r="CC358">
        <v>1426</v>
      </c>
      <c r="CD358">
        <v>1424</v>
      </c>
      <c r="CE358">
        <v>31657544</v>
      </c>
      <c r="CF358">
        <v>245</v>
      </c>
      <c r="CH358" s="24"/>
      <c r="CI358">
        <v>26425</v>
      </c>
      <c r="CJ358">
        <v>26425</v>
      </c>
      <c r="CK358">
        <v>26425</v>
      </c>
      <c r="CL358">
        <v>1746392</v>
      </c>
      <c r="CM358">
        <v>151</v>
      </c>
      <c r="CO358" s="24"/>
      <c r="CP358">
        <v>9502</v>
      </c>
      <c r="CQ358">
        <v>9989</v>
      </c>
      <c r="CR358">
        <v>9976</v>
      </c>
      <c r="CS358">
        <v>956402</v>
      </c>
      <c r="CT358">
        <v>323</v>
      </c>
      <c r="CV358" s="24"/>
      <c r="CW358">
        <v>1144999</v>
      </c>
      <c r="CX358">
        <v>1171998</v>
      </c>
      <c r="CY358">
        <v>1170000</v>
      </c>
      <c r="CZ358">
        <v>14076</v>
      </c>
      <c r="DA358">
        <v>53</v>
      </c>
      <c r="DC358" s="24"/>
      <c r="DD358">
        <v>472</v>
      </c>
      <c r="DE358">
        <v>484</v>
      </c>
      <c r="DF358">
        <v>483</v>
      </c>
      <c r="DG358">
        <v>32610939</v>
      </c>
      <c r="DH358">
        <v>162</v>
      </c>
      <c r="DJ358" s="24"/>
      <c r="DK358">
        <v>30409001</v>
      </c>
      <c r="DL358">
        <v>31000000</v>
      </c>
      <c r="DM358">
        <v>30500006</v>
      </c>
      <c r="DN358">
        <v>200</v>
      </c>
      <c r="DO358">
        <v>53</v>
      </c>
      <c r="DQ358" s="24"/>
      <c r="DR358">
        <v>1052779</v>
      </c>
      <c r="DS358">
        <v>1133777</v>
      </c>
      <c r="DT358">
        <v>1052782</v>
      </c>
      <c r="DU358">
        <v>11012</v>
      </c>
      <c r="DV358">
        <v>180</v>
      </c>
      <c r="DX358" s="24"/>
      <c r="DY358">
        <v>21762959</v>
      </c>
      <c r="DZ358">
        <v>22709999</v>
      </c>
      <c r="EA358">
        <v>21762960</v>
      </c>
      <c r="EB358">
        <v>404</v>
      </c>
      <c r="EC358">
        <v>70</v>
      </c>
      <c r="EE358" s="24"/>
      <c r="EF358">
        <v>202</v>
      </c>
      <c r="EG358">
        <v>211</v>
      </c>
      <c r="EH358">
        <v>211</v>
      </c>
      <c r="EI358">
        <v>94163529</v>
      </c>
      <c r="EJ358">
        <v>180</v>
      </c>
      <c r="EL358" s="24"/>
      <c r="EM358">
        <v>53000</v>
      </c>
      <c r="EN358">
        <v>55887</v>
      </c>
      <c r="EO358">
        <v>53001</v>
      </c>
      <c r="EP358">
        <v>119341</v>
      </c>
      <c r="EQ358">
        <v>501</v>
      </c>
      <c r="ES358" s="24"/>
      <c r="ET358">
        <v>397</v>
      </c>
      <c r="EU358">
        <v>412</v>
      </c>
      <c r="EV358">
        <v>410</v>
      </c>
      <c r="EW358">
        <v>32834842</v>
      </c>
      <c r="EX358">
        <v>508</v>
      </c>
      <c r="EZ358" s="24"/>
      <c r="FA358">
        <v>2830444</v>
      </c>
      <c r="FB358">
        <v>2854998</v>
      </c>
      <c r="FC358">
        <v>2833004</v>
      </c>
      <c r="FD358">
        <v>3138</v>
      </c>
      <c r="FE358">
        <v>45</v>
      </c>
      <c r="FG358" s="24"/>
      <c r="FH358">
        <v>9450</v>
      </c>
      <c r="FI358">
        <v>9934</v>
      </c>
      <c r="FJ358">
        <v>9930</v>
      </c>
      <c r="FK358">
        <v>2126924</v>
      </c>
      <c r="FL358">
        <v>407</v>
      </c>
      <c r="FN358" s="24"/>
      <c r="FO358">
        <v>20490</v>
      </c>
      <c r="FP358">
        <v>20492</v>
      </c>
      <c r="FQ358">
        <v>20491</v>
      </c>
      <c r="FR358">
        <v>93643</v>
      </c>
      <c r="FS358">
        <v>68</v>
      </c>
      <c r="FU358" s="24"/>
      <c r="FV358">
        <v>12626</v>
      </c>
      <c r="FW358">
        <v>13500</v>
      </c>
      <c r="FX358">
        <v>12630</v>
      </c>
      <c r="FY358">
        <v>536334</v>
      </c>
      <c r="FZ358">
        <v>849</v>
      </c>
      <c r="GB358" s="24"/>
      <c r="GC358">
        <v>93000100</v>
      </c>
      <c r="GD358">
        <v>95996999</v>
      </c>
      <c r="GE358">
        <v>93013205</v>
      </c>
      <c r="GF358">
        <v>145</v>
      </c>
      <c r="GG358">
        <v>92</v>
      </c>
      <c r="GI358" s="24"/>
      <c r="GJ358">
        <v>15600013</v>
      </c>
      <c r="GK358">
        <v>16601111</v>
      </c>
      <c r="GL358">
        <v>16301004</v>
      </c>
      <c r="GM358">
        <v>989</v>
      </c>
      <c r="GN358">
        <v>77</v>
      </c>
      <c r="GP358" s="24"/>
      <c r="GQ358">
        <v>105</v>
      </c>
      <c r="GR358">
        <v>109</v>
      </c>
      <c r="GS358">
        <v>109</v>
      </c>
      <c r="GT358">
        <v>122445188</v>
      </c>
      <c r="GU358">
        <v>124</v>
      </c>
      <c r="GW358" s="24"/>
      <c r="GX358">
        <v>406</v>
      </c>
      <c r="GY358">
        <v>417</v>
      </c>
      <c r="GZ358">
        <v>406</v>
      </c>
      <c r="HA358">
        <v>48578901</v>
      </c>
      <c r="HB358">
        <v>227</v>
      </c>
      <c r="HD358" s="24"/>
      <c r="HE358">
        <v>5455</v>
      </c>
      <c r="HF358">
        <v>5480</v>
      </c>
      <c r="HG358">
        <v>5480</v>
      </c>
      <c r="HH358">
        <v>16800549</v>
      </c>
      <c r="HI358">
        <v>278</v>
      </c>
      <c r="HK358" s="24"/>
      <c r="HL358">
        <v>93000000</v>
      </c>
      <c r="HM358">
        <v>96999898</v>
      </c>
      <c r="HN358">
        <v>93007001</v>
      </c>
      <c r="HO358">
        <v>116</v>
      </c>
      <c r="HP358">
        <v>73</v>
      </c>
      <c r="HR358" s="24"/>
      <c r="HS358">
        <v>9800</v>
      </c>
      <c r="HT358">
        <v>10187</v>
      </c>
      <c r="HU358">
        <v>10095</v>
      </c>
      <c r="HV358">
        <v>744765</v>
      </c>
      <c r="HW358">
        <v>127</v>
      </c>
      <c r="HY358" s="24"/>
      <c r="HZ358">
        <v>9003</v>
      </c>
      <c r="IA358">
        <v>9440</v>
      </c>
      <c r="IB358">
        <v>9281</v>
      </c>
      <c r="IC358">
        <v>2014799</v>
      </c>
      <c r="ID358">
        <v>473</v>
      </c>
      <c r="IF358" s="24"/>
      <c r="IG358">
        <v>3951</v>
      </c>
      <c r="IH358">
        <v>4113</v>
      </c>
      <c r="II358">
        <v>4113</v>
      </c>
      <c r="IJ358">
        <v>2131650</v>
      </c>
      <c r="IK358">
        <v>150</v>
      </c>
      <c r="IM358" s="24"/>
      <c r="IN358">
        <v>93032100</v>
      </c>
      <c r="IO358">
        <v>99968999</v>
      </c>
      <c r="IP358">
        <v>95485992</v>
      </c>
      <c r="IQ358">
        <v>87</v>
      </c>
      <c r="IR358">
        <v>64</v>
      </c>
      <c r="IT358" s="24"/>
      <c r="IU358">
        <v>8685</v>
      </c>
      <c r="IV358">
        <v>8685</v>
      </c>
      <c r="IW358">
        <v>8685</v>
      </c>
      <c r="IX358">
        <v>1179464</v>
      </c>
      <c r="IY358">
        <v>139</v>
      </c>
      <c r="JA358" s="24"/>
      <c r="JB358">
        <v>93000000</v>
      </c>
      <c r="JC358">
        <v>93505999</v>
      </c>
      <c r="JD358">
        <v>93088010</v>
      </c>
      <c r="JE358">
        <v>162</v>
      </c>
      <c r="JF358">
        <v>91</v>
      </c>
      <c r="JH358" s="24"/>
      <c r="JI358">
        <v>91000001</v>
      </c>
      <c r="JJ358">
        <v>102465948</v>
      </c>
      <c r="JK358">
        <v>98086271</v>
      </c>
      <c r="JL358">
        <v>50</v>
      </c>
      <c r="JM358">
        <v>46</v>
      </c>
      <c r="JO358" s="24"/>
      <c r="JP358">
        <v>99</v>
      </c>
      <c r="JQ358">
        <v>99</v>
      </c>
      <c r="JR358">
        <v>99</v>
      </c>
      <c r="JS358">
        <v>68246276</v>
      </c>
      <c r="JT358">
        <v>76</v>
      </c>
      <c r="JV358" s="24"/>
      <c r="JW358">
        <v>92</v>
      </c>
      <c r="JX358">
        <v>99</v>
      </c>
      <c r="JY358">
        <v>98</v>
      </c>
      <c r="JZ358">
        <v>135363243</v>
      </c>
      <c r="KA358">
        <v>135</v>
      </c>
      <c r="KC358" s="24"/>
      <c r="KD358">
        <v>140</v>
      </c>
      <c r="KE358">
        <v>150</v>
      </c>
      <c r="KF358">
        <v>149</v>
      </c>
      <c r="KG358">
        <v>68015978</v>
      </c>
      <c r="KH358">
        <v>340</v>
      </c>
      <c r="KJ358" s="24"/>
      <c r="KK358">
        <v>104</v>
      </c>
      <c r="KL358">
        <v>110</v>
      </c>
      <c r="KM358">
        <v>109</v>
      </c>
      <c r="KN358">
        <v>140548385</v>
      </c>
      <c r="KO358">
        <v>130</v>
      </c>
      <c r="KQ358" s="24"/>
      <c r="KR358">
        <v>117812</v>
      </c>
      <c r="KS358">
        <v>125898</v>
      </c>
      <c r="KT358">
        <v>120120</v>
      </c>
      <c r="KU358">
        <v>88503</v>
      </c>
      <c r="KV358">
        <v>491</v>
      </c>
      <c r="KX358" s="24"/>
      <c r="KY358">
        <v>832</v>
      </c>
      <c r="KZ358">
        <v>867</v>
      </c>
      <c r="LA358">
        <v>832</v>
      </c>
      <c r="LB358">
        <v>11980268</v>
      </c>
      <c r="LC358">
        <v>196</v>
      </c>
      <c r="LE358" s="24"/>
      <c r="LF358">
        <v>178002</v>
      </c>
      <c r="LG358">
        <v>180005</v>
      </c>
      <c r="LH358">
        <v>178014</v>
      </c>
      <c r="LI358">
        <v>150504</v>
      </c>
      <c r="LJ358">
        <v>701</v>
      </c>
      <c r="LL358" s="24"/>
      <c r="LM358">
        <v>55000</v>
      </c>
      <c r="LN358">
        <v>60000</v>
      </c>
      <c r="LO358">
        <v>57501</v>
      </c>
      <c r="LP358">
        <v>673082</v>
      </c>
      <c r="LQ358">
        <v>1001</v>
      </c>
      <c r="LS358" s="24"/>
      <c r="LT358">
        <v>438</v>
      </c>
      <c r="LU358">
        <v>445</v>
      </c>
      <c r="LV358">
        <v>444</v>
      </c>
      <c r="LW358">
        <v>101686237</v>
      </c>
      <c r="LX358">
        <v>367</v>
      </c>
      <c r="LZ358" s="24"/>
      <c r="MA358">
        <v>98005</v>
      </c>
      <c r="MB358">
        <v>100800</v>
      </c>
      <c r="MC358">
        <v>98006</v>
      </c>
      <c r="MD358">
        <v>693158</v>
      </c>
      <c r="ME358">
        <v>75</v>
      </c>
    </row>
    <row r="359" spans="2:343" x14ac:dyDescent="0.25">
      <c r="B359" s="24"/>
      <c r="C359">
        <v>3</v>
      </c>
      <c r="D359">
        <v>3</v>
      </c>
      <c r="E359">
        <v>3</v>
      </c>
      <c r="F359">
        <v>29086982013</v>
      </c>
      <c r="G359">
        <v>1808</v>
      </c>
      <c r="I359" s="24"/>
      <c r="J359">
        <v>4</v>
      </c>
      <c r="K359">
        <v>4</v>
      </c>
      <c r="L359">
        <v>4</v>
      </c>
      <c r="M359">
        <v>6335852842</v>
      </c>
      <c r="N359">
        <v>1265</v>
      </c>
      <c r="P359" s="24"/>
      <c r="Q359">
        <v>33</v>
      </c>
      <c r="R359">
        <v>34</v>
      </c>
      <c r="S359">
        <v>34</v>
      </c>
      <c r="T359">
        <v>1902589403</v>
      </c>
      <c r="U359">
        <v>1189</v>
      </c>
      <c r="W359" s="24"/>
      <c r="X359">
        <v>60</v>
      </c>
      <c r="Y359">
        <v>62</v>
      </c>
      <c r="Z359">
        <v>62</v>
      </c>
      <c r="AA359">
        <v>368473734</v>
      </c>
      <c r="AB359">
        <v>953</v>
      </c>
      <c r="AD359" s="24"/>
      <c r="AE359">
        <v>472</v>
      </c>
      <c r="AF359">
        <v>490</v>
      </c>
      <c r="AG359">
        <v>484</v>
      </c>
      <c r="AH359">
        <v>124314563</v>
      </c>
      <c r="AI359">
        <v>1126</v>
      </c>
      <c r="AK359" s="24"/>
      <c r="AL359">
        <v>777</v>
      </c>
      <c r="AM359">
        <v>792</v>
      </c>
      <c r="AN359">
        <v>783</v>
      </c>
      <c r="AO359">
        <v>37593440</v>
      </c>
      <c r="AP359">
        <v>852</v>
      </c>
      <c r="AR359" s="24"/>
      <c r="AS359">
        <v>2767</v>
      </c>
      <c r="AT359">
        <v>2856</v>
      </c>
      <c r="AU359">
        <v>2800</v>
      </c>
      <c r="AV359">
        <v>14071525</v>
      </c>
      <c r="AW359">
        <v>818</v>
      </c>
      <c r="AY359" s="24"/>
      <c r="AZ359">
        <v>477255000</v>
      </c>
      <c r="BA359">
        <v>486447000</v>
      </c>
      <c r="BB359">
        <v>483988000</v>
      </c>
      <c r="BC359">
        <v>2552</v>
      </c>
      <c r="BD359">
        <v>1770</v>
      </c>
      <c r="BF359" s="24"/>
      <c r="BG359">
        <v>24877</v>
      </c>
      <c r="BH359">
        <v>24878</v>
      </c>
      <c r="BI359">
        <v>24877</v>
      </c>
      <c r="BJ359">
        <v>2555838</v>
      </c>
      <c r="BK359">
        <v>200</v>
      </c>
      <c r="BM359" s="24"/>
      <c r="BN359">
        <v>6861011</v>
      </c>
      <c r="BO359">
        <v>7024899</v>
      </c>
      <c r="BP359">
        <v>6861043</v>
      </c>
      <c r="BQ359">
        <v>11138</v>
      </c>
      <c r="BR359">
        <v>321</v>
      </c>
      <c r="BT359" s="24"/>
      <c r="BU359">
        <v>2081</v>
      </c>
      <c r="BV359">
        <v>2109</v>
      </c>
      <c r="BW359">
        <v>2108</v>
      </c>
      <c r="BX359">
        <v>22437057</v>
      </c>
      <c r="BY359">
        <v>211</v>
      </c>
      <c r="CA359" s="24"/>
      <c r="CB359">
        <v>1381</v>
      </c>
      <c r="CC359">
        <v>1424</v>
      </c>
      <c r="CD359">
        <v>1414</v>
      </c>
      <c r="CE359">
        <v>24386954</v>
      </c>
      <c r="CF359">
        <v>228</v>
      </c>
      <c r="CH359" s="24"/>
      <c r="CI359">
        <v>26428</v>
      </c>
      <c r="CJ359">
        <v>26830</v>
      </c>
      <c r="CK359">
        <v>26430</v>
      </c>
      <c r="CL359">
        <v>1950697</v>
      </c>
      <c r="CM359">
        <v>161</v>
      </c>
      <c r="CO359" s="24"/>
      <c r="CP359">
        <v>9928</v>
      </c>
      <c r="CQ359">
        <v>10000</v>
      </c>
      <c r="CR359">
        <v>9936</v>
      </c>
      <c r="CS359">
        <v>1465871</v>
      </c>
      <c r="CT359">
        <v>363</v>
      </c>
      <c r="CV359" s="24"/>
      <c r="CW359">
        <v>1172998</v>
      </c>
      <c r="CX359">
        <v>1172999</v>
      </c>
      <c r="CY359">
        <v>1172999</v>
      </c>
      <c r="CZ359">
        <v>6697</v>
      </c>
      <c r="DA359">
        <v>30</v>
      </c>
      <c r="DC359" s="24"/>
      <c r="DD359">
        <v>471</v>
      </c>
      <c r="DE359">
        <v>483</v>
      </c>
      <c r="DF359">
        <v>479</v>
      </c>
      <c r="DG359">
        <v>36136022</v>
      </c>
      <c r="DH359">
        <v>167</v>
      </c>
      <c r="DJ359" s="24"/>
      <c r="DK359">
        <v>30500041</v>
      </c>
      <c r="DL359">
        <v>33086999</v>
      </c>
      <c r="DM359">
        <v>30500041</v>
      </c>
      <c r="DN359">
        <v>221</v>
      </c>
      <c r="DO359">
        <v>53</v>
      </c>
      <c r="DQ359" s="24"/>
      <c r="DR359">
        <v>1052780</v>
      </c>
      <c r="DS359">
        <v>1090004</v>
      </c>
      <c r="DT359">
        <v>1080004</v>
      </c>
      <c r="DU359">
        <v>13654</v>
      </c>
      <c r="DV359">
        <v>211</v>
      </c>
      <c r="DX359" s="24"/>
      <c r="DY359">
        <v>21763008</v>
      </c>
      <c r="DZ359">
        <v>21765002</v>
      </c>
      <c r="EA359">
        <v>21763013</v>
      </c>
      <c r="EB359">
        <v>585</v>
      </c>
      <c r="EC359">
        <v>102</v>
      </c>
      <c r="EE359" s="24"/>
      <c r="EF359">
        <v>205</v>
      </c>
      <c r="EG359">
        <v>212</v>
      </c>
      <c r="EH359">
        <v>211</v>
      </c>
      <c r="EI359">
        <v>109150512</v>
      </c>
      <c r="EJ359">
        <v>188</v>
      </c>
      <c r="EL359" s="24"/>
      <c r="EM359">
        <v>52002</v>
      </c>
      <c r="EN359">
        <v>52003</v>
      </c>
      <c r="EO359">
        <v>52003</v>
      </c>
      <c r="EP359">
        <v>84062</v>
      </c>
      <c r="EQ359">
        <v>484</v>
      </c>
      <c r="ES359" s="24"/>
      <c r="ET359">
        <v>393</v>
      </c>
      <c r="EU359">
        <v>425</v>
      </c>
      <c r="EV359">
        <v>409</v>
      </c>
      <c r="EW359">
        <v>41105299</v>
      </c>
      <c r="EX359">
        <v>567</v>
      </c>
      <c r="EZ359" s="24"/>
      <c r="FA359">
        <v>2849972</v>
      </c>
      <c r="FB359">
        <v>2849989</v>
      </c>
      <c r="FC359">
        <v>2849989</v>
      </c>
      <c r="FD359">
        <v>945</v>
      </c>
      <c r="FE359">
        <v>18</v>
      </c>
      <c r="FG359" s="24"/>
      <c r="FH359">
        <v>9499</v>
      </c>
      <c r="FI359">
        <v>9976</v>
      </c>
      <c r="FJ359">
        <v>9909</v>
      </c>
      <c r="FK359">
        <v>1823875</v>
      </c>
      <c r="FL359">
        <v>433</v>
      </c>
      <c r="FN359" s="24"/>
      <c r="FO359">
        <v>20490</v>
      </c>
      <c r="FP359">
        <v>20491</v>
      </c>
      <c r="FQ359">
        <v>20491</v>
      </c>
      <c r="FR359">
        <v>144357</v>
      </c>
      <c r="FS359">
        <v>68</v>
      </c>
      <c r="FU359" s="24"/>
      <c r="FV359">
        <v>12627</v>
      </c>
      <c r="FW359">
        <v>13090</v>
      </c>
      <c r="FX359">
        <v>12627</v>
      </c>
      <c r="FY359">
        <v>549880</v>
      </c>
      <c r="FZ359">
        <v>802</v>
      </c>
      <c r="GB359" s="24"/>
      <c r="GC359">
        <v>94000110</v>
      </c>
      <c r="GD359">
        <v>96000002</v>
      </c>
      <c r="GE359">
        <v>96000000</v>
      </c>
      <c r="GF359">
        <v>242</v>
      </c>
      <c r="GG359">
        <v>103</v>
      </c>
      <c r="GI359" s="24"/>
      <c r="GJ359">
        <v>16000004</v>
      </c>
      <c r="GK359">
        <v>16200000</v>
      </c>
      <c r="GL359">
        <v>16100000</v>
      </c>
      <c r="GM359">
        <v>673</v>
      </c>
      <c r="GN359">
        <v>72</v>
      </c>
      <c r="GP359" s="24"/>
      <c r="GQ359">
        <v>111</v>
      </c>
      <c r="GR359">
        <v>114</v>
      </c>
      <c r="GS359">
        <v>112</v>
      </c>
      <c r="GT359">
        <v>130709248</v>
      </c>
      <c r="GU359">
        <v>121</v>
      </c>
      <c r="GW359" s="24"/>
      <c r="GX359">
        <v>397</v>
      </c>
      <c r="GY359">
        <v>415</v>
      </c>
      <c r="GZ359">
        <v>414</v>
      </c>
      <c r="HA359">
        <v>38191550</v>
      </c>
      <c r="HB359">
        <v>212</v>
      </c>
      <c r="HD359" s="24"/>
      <c r="HE359">
        <v>5425</v>
      </c>
      <c r="HF359">
        <v>5470</v>
      </c>
      <c r="HG359">
        <v>5469</v>
      </c>
      <c r="HH359">
        <v>15480738</v>
      </c>
      <c r="HI359">
        <v>265</v>
      </c>
      <c r="HK359" s="24"/>
      <c r="HL359">
        <v>92118410</v>
      </c>
      <c r="HM359">
        <v>94996896</v>
      </c>
      <c r="HN359">
        <v>93606192</v>
      </c>
      <c r="HO359">
        <v>97</v>
      </c>
      <c r="HP359">
        <v>69</v>
      </c>
      <c r="HR359" s="24"/>
      <c r="HS359">
        <v>9779</v>
      </c>
      <c r="HT359">
        <v>10110</v>
      </c>
      <c r="HU359">
        <v>10100</v>
      </c>
      <c r="HV359">
        <v>750440</v>
      </c>
      <c r="HW359">
        <v>126</v>
      </c>
      <c r="HY359" s="24"/>
      <c r="HZ359">
        <v>9200</v>
      </c>
      <c r="IA359">
        <v>9500</v>
      </c>
      <c r="IB359">
        <v>9498</v>
      </c>
      <c r="IC359">
        <v>2181836</v>
      </c>
      <c r="ID359">
        <v>496</v>
      </c>
      <c r="IF359" s="24"/>
      <c r="IG359">
        <v>4128</v>
      </c>
      <c r="IH359">
        <v>4261</v>
      </c>
      <c r="II359">
        <v>4128</v>
      </c>
      <c r="IJ359">
        <v>1689341</v>
      </c>
      <c r="IK359">
        <v>106</v>
      </c>
      <c r="IM359" s="24"/>
      <c r="IN359">
        <v>93032000</v>
      </c>
      <c r="IO359">
        <v>98957999</v>
      </c>
      <c r="IP359">
        <v>93032004</v>
      </c>
      <c r="IQ359">
        <v>140</v>
      </c>
      <c r="IR359">
        <v>92</v>
      </c>
      <c r="IT359" s="24"/>
      <c r="IU359">
        <v>8550</v>
      </c>
      <c r="IV359">
        <v>8686</v>
      </c>
      <c r="IW359">
        <v>8686</v>
      </c>
      <c r="IX359">
        <v>1555354</v>
      </c>
      <c r="IY359">
        <v>141</v>
      </c>
      <c r="JA359" s="24"/>
      <c r="JB359">
        <v>90105003</v>
      </c>
      <c r="JC359">
        <v>97868864</v>
      </c>
      <c r="JD359">
        <v>90108004</v>
      </c>
      <c r="JE359">
        <v>116</v>
      </c>
      <c r="JF359">
        <v>83</v>
      </c>
      <c r="JH359" s="24"/>
      <c r="JI359">
        <v>91010006</v>
      </c>
      <c r="JJ359">
        <v>99868799</v>
      </c>
      <c r="JK359">
        <v>95360612</v>
      </c>
      <c r="JL359">
        <v>67</v>
      </c>
      <c r="JM359">
        <v>50</v>
      </c>
      <c r="JO359" s="24"/>
      <c r="JP359">
        <v>96</v>
      </c>
      <c r="JQ359">
        <v>97</v>
      </c>
      <c r="JR359">
        <v>96</v>
      </c>
      <c r="JS359">
        <v>136897656</v>
      </c>
      <c r="JT359">
        <v>95</v>
      </c>
      <c r="JV359" s="24"/>
      <c r="JW359">
        <v>97</v>
      </c>
      <c r="JX359">
        <v>98</v>
      </c>
      <c r="JY359">
        <v>98</v>
      </c>
      <c r="JZ359">
        <v>73364721</v>
      </c>
      <c r="KA359">
        <v>103</v>
      </c>
      <c r="KC359" s="24"/>
      <c r="KD359">
        <v>129</v>
      </c>
      <c r="KE359">
        <v>139</v>
      </c>
      <c r="KF359">
        <v>138</v>
      </c>
      <c r="KG359">
        <v>45073451</v>
      </c>
      <c r="KH359">
        <v>370</v>
      </c>
      <c r="KJ359" s="24"/>
      <c r="KK359">
        <v>114</v>
      </c>
      <c r="KL359">
        <v>120</v>
      </c>
      <c r="KM359">
        <v>118</v>
      </c>
      <c r="KN359">
        <v>150336947</v>
      </c>
      <c r="KO359">
        <v>142</v>
      </c>
      <c r="KQ359" s="24"/>
      <c r="KR359">
        <v>118251</v>
      </c>
      <c r="KS359">
        <v>119000</v>
      </c>
      <c r="KT359">
        <v>118252</v>
      </c>
      <c r="KU359">
        <v>92452</v>
      </c>
      <c r="KV359">
        <v>484</v>
      </c>
      <c r="KX359" s="24"/>
      <c r="KY359">
        <v>817</v>
      </c>
      <c r="KZ359">
        <v>861</v>
      </c>
      <c r="LA359">
        <v>860</v>
      </c>
      <c r="LB359">
        <v>5275992</v>
      </c>
      <c r="LC359">
        <v>152</v>
      </c>
      <c r="LE359" s="24"/>
      <c r="LF359">
        <v>178002</v>
      </c>
      <c r="LG359">
        <v>178100</v>
      </c>
      <c r="LH359">
        <v>178003</v>
      </c>
      <c r="LI359">
        <v>174959</v>
      </c>
      <c r="LJ359">
        <v>645</v>
      </c>
      <c r="LL359" s="24"/>
      <c r="LM359">
        <v>57056</v>
      </c>
      <c r="LN359">
        <v>60048</v>
      </c>
      <c r="LO359">
        <v>57103</v>
      </c>
      <c r="LP359">
        <v>500576</v>
      </c>
      <c r="LQ359">
        <v>877</v>
      </c>
      <c r="LS359" s="24"/>
      <c r="LT359">
        <v>436</v>
      </c>
      <c r="LU359">
        <v>444</v>
      </c>
      <c r="LV359">
        <v>439</v>
      </c>
      <c r="LW359">
        <v>114625763</v>
      </c>
      <c r="LX359">
        <v>382</v>
      </c>
      <c r="LZ359" s="24"/>
      <c r="MA359">
        <v>99999</v>
      </c>
      <c r="MB359">
        <v>99999</v>
      </c>
      <c r="MC359">
        <v>99999</v>
      </c>
      <c r="MD359">
        <v>351003</v>
      </c>
      <c r="ME359">
        <v>41</v>
      </c>
    </row>
    <row r="360" spans="2:343" x14ac:dyDescent="0.25">
      <c r="B360" s="24"/>
      <c r="C360">
        <v>3</v>
      </c>
      <c r="D360">
        <v>3</v>
      </c>
      <c r="E360">
        <v>3</v>
      </c>
      <c r="F360">
        <v>19844104097</v>
      </c>
      <c r="G360">
        <v>1876</v>
      </c>
      <c r="I360" s="24"/>
      <c r="J360">
        <v>4</v>
      </c>
      <c r="K360">
        <v>4</v>
      </c>
      <c r="L360">
        <v>4</v>
      </c>
      <c r="M360">
        <v>4701167156</v>
      </c>
      <c r="N360">
        <v>1337</v>
      </c>
      <c r="P360" s="24"/>
      <c r="Q360">
        <v>34</v>
      </c>
      <c r="R360">
        <v>34</v>
      </c>
      <c r="S360">
        <v>34</v>
      </c>
      <c r="T360">
        <v>1389977282</v>
      </c>
      <c r="U360">
        <v>1249</v>
      </c>
      <c r="W360" s="24"/>
      <c r="X360">
        <v>61</v>
      </c>
      <c r="Y360">
        <v>61</v>
      </c>
      <c r="Z360">
        <v>61</v>
      </c>
      <c r="AA360">
        <v>285904649</v>
      </c>
      <c r="AB360">
        <v>1019</v>
      </c>
      <c r="AD360" s="24"/>
      <c r="AE360">
        <v>480</v>
      </c>
      <c r="AF360">
        <v>482</v>
      </c>
      <c r="AG360">
        <v>480</v>
      </c>
      <c r="AH360">
        <v>82587017</v>
      </c>
      <c r="AI360">
        <v>1094</v>
      </c>
      <c r="AK360" s="24"/>
      <c r="AL360">
        <v>776</v>
      </c>
      <c r="AM360">
        <v>787</v>
      </c>
      <c r="AN360">
        <v>779</v>
      </c>
      <c r="AO360">
        <v>59897203</v>
      </c>
      <c r="AP360">
        <v>947</v>
      </c>
      <c r="AR360" s="24"/>
      <c r="AS360">
        <v>2766</v>
      </c>
      <c r="AT360">
        <v>2807</v>
      </c>
      <c r="AU360">
        <v>2803</v>
      </c>
      <c r="AV360">
        <v>10545829</v>
      </c>
      <c r="AW360">
        <v>857</v>
      </c>
      <c r="AY360" s="24"/>
      <c r="AZ360">
        <v>478000117</v>
      </c>
      <c r="BA360">
        <v>488000000</v>
      </c>
      <c r="BB360">
        <v>482800000</v>
      </c>
      <c r="BC360">
        <v>2636</v>
      </c>
      <c r="BD360">
        <v>1888</v>
      </c>
      <c r="BF360" s="24"/>
      <c r="BG360">
        <v>24499</v>
      </c>
      <c r="BH360">
        <v>25000</v>
      </c>
      <c r="BI360">
        <v>24949</v>
      </c>
      <c r="BJ360">
        <v>7042148</v>
      </c>
      <c r="BK360">
        <v>270</v>
      </c>
      <c r="BM360" s="24"/>
      <c r="BN360">
        <v>6700000</v>
      </c>
      <c r="BO360">
        <v>6973670</v>
      </c>
      <c r="BP360">
        <v>6700000</v>
      </c>
      <c r="BQ360">
        <v>11886</v>
      </c>
      <c r="BR360">
        <v>370</v>
      </c>
      <c r="BT360" s="24"/>
      <c r="BU360">
        <v>2082</v>
      </c>
      <c r="BV360">
        <v>2106</v>
      </c>
      <c r="BW360">
        <v>2090</v>
      </c>
      <c r="BX360">
        <v>17106618</v>
      </c>
      <c r="BY360">
        <v>200</v>
      </c>
      <c r="CA360" s="24"/>
      <c r="CB360">
        <v>1389</v>
      </c>
      <c r="CC360">
        <v>1420</v>
      </c>
      <c r="CD360">
        <v>1414</v>
      </c>
      <c r="CE360">
        <v>31501118</v>
      </c>
      <c r="CF360">
        <v>242</v>
      </c>
      <c r="CH360" s="24"/>
      <c r="CI360">
        <v>26451</v>
      </c>
      <c r="CJ360">
        <v>27880</v>
      </c>
      <c r="CK360">
        <v>26500</v>
      </c>
      <c r="CL360">
        <v>862501</v>
      </c>
      <c r="CM360">
        <v>162</v>
      </c>
      <c r="CO360" s="24"/>
      <c r="CP360">
        <v>9658</v>
      </c>
      <c r="CQ360">
        <v>10098</v>
      </c>
      <c r="CR360">
        <v>9949</v>
      </c>
      <c r="CS360">
        <v>1026925</v>
      </c>
      <c r="CT360">
        <v>307</v>
      </c>
      <c r="CV360" s="24"/>
      <c r="CW360">
        <v>1150000</v>
      </c>
      <c r="CX360">
        <v>1168999</v>
      </c>
      <c r="CY360">
        <v>1160000</v>
      </c>
      <c r="CZ360">
        <v>7233</v>
      </c>
      <c r="DA360">
        <v>25</v>
      </c>
      <c r="DC360" s="24"/>
      <c r="DD360">
        <v>467</v>
      </c>
      <c r="DE360">
        <v>478</v>
      </c>
      <c r="DF360">
        <v>478</v>
      </c>
      <c r="DG360">
        <v>26117522</v>
      </c>
      <c r="DH360">
        <v>186</v>
      </c>
      <c r="DJ360" s="24"/>
      <c r="DK360">
        <v>30519922</v>
      </c>
      <c r="DL360">
        <v>30523000</v>
      </c>
      <c r="DM360">
        <v>30522050</v>
      </c>
      <c r="DN360">
        <v>219</v>
      </c>
      <c r="DO360">
        <v>57</v>
      </c>
      <c r="DQ360" s="24"/>
      <c r="DR360">
        <v>950000</v>
      </c>
      <c r="DS360">
        <v>1000000</v>
      </c>
      <c r="DT360">
        <v>960066</v>
      </c>
      <c r="DU360">
        <v>7767</v>
      </c>
      <c r="DV360">
        <v>164</v>
      </c>
      <c r="DX360" s="24"/>
      <c r="DY360">
        <v>21763008</v>
      </c>
      <c r="DZ360">
        <v>21763008</v>
      </c>
      <c r="EA360">
        <v>21763008</v>
      </c>
      <c r="EB360">
        <v>410</v>
      </c>
      <c r="EC360">
        <v>77</v>
      </c>
      <c r="EE360" s="24"/>
      <c r="EF360">
        <v>200</v>
      </c>
      <c r="EG360">
        <v>211</v>
      </c>
      <c r="EH360">
        <v>203</v>
      </c>
      <c r="EI360">
        <v>63215955</v>
      </c>
      <c r="EJ360">
        <v>124</v>
      </c>
      <c r="EL360" s="24"/>
      <c r="EM360">
        <v>52000</v>
      </c>
      <c r="EN360">
        <v>52020</v>
      </c>
      <c r="EO360">
        <v>52020</v>
      </c>
      <c r="EP360">
        <v>134236</v>
      </c>
      <c r="EQ360">
        <v>530</v>
      </c>
      <c r="ES360" s="24"/>
      <c r="ET360">
        <v>394</v>
      </c>
      <c r="EU360">
        <v>409</v>
      </c>
      <c r="EV360">
        <v>403</v>
      </c>
      <c r="EW360">
        <v>60659057</v>
      </c>
      <c r="EX360">
        <v>521</v>
      </c>
      <c r="EZ360" s="24"/>
      <c r="FA360">
        <v>2850000</v>
      </c>
      <c r="FB360">
        <v>2900007</v>
      </c>
      <c r="FC360">
        <v>2857000</v>
      </c>
      <c r="FD360">
        <v>1196</v>
      </c>
      <c r="FE360">
        <v>17</v>
      </c>
      <c r="FG360" s="24"/>
      <c r="FH360">
        <v>9503</v>
      </c>
      <c r="FI360">
        <v>9889</v>
      </c>
      <c r="FJ360">
        <v>9649</v>
      </c>
      <c r="FK360">
        <v>1401128</v>
      </c>
      <c r="FL360">
        <v>359</v>
      </c>
      <c r="FN360" s="24"/>
      <c r="FO360">
        <v>20956</v>
      </c>
      <c r="FP360">
        <v>21999</v>
      </c>
      <c r="FQ360">
        <v>21000</v>
      </c>
      <c r="FR360">
        <v>103732</v>
      </c>
      <c r="FS360">
        <v>65</v>
      </c>
      <c r="FU360" s="24"/>
      <c r="FV360">
        <v>12400</v>
      </c>
      <c r="FW360">
        <v>13398</v>
      </c>
      <c r="FX360">
        <v>12627</v>
      </c>
      <c r="FY360">
        <v>445409</v>
      </c>
      <c r="FZ360">
        <v>930</v>
      </c>
      <c r="GB360" s="24"/>
      <c r="GC360">
        <v>92125000</v>
      </c>
      <c r="GD360">
        <v>98929999</v>
      </c>
      <c r="GE360">
        <v>93000001</v>
      </c>
      <c r="GF360">
        <v>108</v>
      </c>
      <c r="GG360">
        <v>86</v>
      </c>
      <c r="GI360" s="24"/>
      <c r="GJ360">
        <v>13900000</v>
      </c>
      <c r="GK360">
        <v>16200002</v>
      </c>
      <c r="GL360">
        <v>16000000</v>
      </c>
      <c r="GM360">
        <v>576</v>
      </c>
      <c r="GN360">
        <v>87</v>
      </c>
      <c r="GP360" s="24"/>
      <c r="GQ360">
        <v>111</v>
      </c>
      <c r="GR360">
        <v>117</v>
      </c>
      <c r="GS360">
        <v>112</v>
      </c>
      <c r="GT360">
        <v>49236933</v>
      </c>
      <c r="GU360">
        <v>101</v>
      </c>
      <c r="GW360" s="24"/>
      <c r="GX360">
        <v>400</v>
      </c>
      <c r="GY360">
        <v>415</v>
      </c>
      <c r="GZ360">
        <v>414</v>
      </c>
      <c r="HA360">
        <v>52366300</v>
      </c>
      <c r="HB360">
        <v>231</v>
      </c>
      <c r="HD360" s="24"/>
      <c r="HE360">
        <v>5280</v>
      </c>
      <c r="HF360">
        <v>5441</v>
      </c>
      <c r="HG360">
        <v>5435</v>
      </c>
      <c r="HH360">
        <v>9341458</v>
      </c>
      <c r="HI360">
        <v>229</v>
      </c>
      <c r="HK360" s="24"/>
      <c r="HL360">
        <v>92120004</v>
      </c>
      <c r="HM360">
        <v>95998441</v>
      </c>
      <c r="HN360">
        <v>94449999</v>
      </c>
      <c r="HO360">
        <v>134</v>
      </c>
      <c r="HP360">
        <v>93</v>
      </c>
      <c r="HR360" s="24"/>
      <c r="HS360">
        <v>9780</v>
      </c>
      <c r="HT360">
        <v>10099</v>
      </c>
      <c r="HU360">
        <v>10044</v>
      </c>
      <c r="HV360">
        <v>764748</v>
      </c>
      <c r="HW360">
        <v>128</v>
      </c>
      <c r="HY360" s="24"/>
      <c r="HZ360">
        <v>9080</v>
      </c>
      <c r="IA360">
        <v>9399</v>
      </c>
      <c r="IB360">
        <v>9102</v>
      </c>
      <c r="IC360">
        <v>1924178</v>
      </c>
      <c r="ID360">
        <v>404</v>
      </c>
      <c r="IF360" s="24"/>
      <c r="IG360">
        <v>4600</v>
      </c>
      <c r="IH360">
        <v>4996</v>
      </c>
      <c r="II360">
        <v>4603</v>
      </c>
      <c r="IJ360">
        <v>1404445</v>
      </c>
      <c r="IK360">
        <v>118</v>
      </c>
      <c r="IM360" s="24"/>
      <c r="IN360">
        <v>93024108</v>
      </c>
      <c r="IO360">
        <v>97964998</v>
      </c>
      <c r="IP360">
        <v>93027001</v>
      </c>
      <c r="IQ360">
        <v>125</v>
      </c>
      <c r="IR360">
        <v>94</v>
      </c>
      <c r="IT360" s="24"/>
      <c r="IU360">
        <v>8562</v>
      </c>
      <c r="IV360">
        <v>8685</v>
      </c>
      <c r="IW360">
        <v>8562</v>
      </c>
      <c r="IX360">
        <v>1026556</v>
      </c>
      <c r="IY360">
        <v>120</v>
      </c>
      <c r="JA360" s="24"/>
      <c r="JB360">
        <v>91001001</v>
      </c>
      <c r="JC360">
        <v>97796996</v>
      </c>
      <c r="JD360">
        <v>97790974</v>
      </c>
      <c r="JE360">
        <v>105</v>
      </c>
      <c r="JF360">
        <v>85</v>
      </c>
      <c r="JH360" s="24"/>
      <c r="JI360">
        <v>93000005</v>
      </c>
      <c r="JJ360">
        <v>99742998</v>
      </c>
      <c r="JK360">
        <v>96549060</v>
      </c>
      <c r="JL360">
        <v>70</v>
      </c>
      <c r="JM360">
        <v>61</v>
      </c>
      <c r="JO360" s="24"/>
      <c r="JP360">
        <v>91</v>
      </c>
      <c r="JQ360">
        <v>92</v>
      </c>
      <c r="JR360">
        <v>91</v>
      </c>
      <c r="JS360">
        <v>86075905</v>
      </c>
      <c r="JT360">
        <v>93</v>
      </c>
      <c r="JV360" s="24"/>
      <c r="JW360">
        <v>94</v>
      </c>
      <c r="JX360">
        <v>94</v>
      </c>
      <c r="JY360">
        <v>94</v>
      </c>
      <c r="JZ360">
        <v>115059837</v>
      </c>
      <c r="KA360">
        <v>90</v>
      </c>
      <c r="KC360" s="24"/>
      <c r="KD360">
        <v>140</v>
      </c>
      <c r="KE360">
        <v>146</v>
      </c>
      <c r="KF360">
        <v>140</v>
      </c>
      <c r="KG360">
        <v>94396484</v>
      </c>
      <c r="KH360">
        <v>343</v>
      </c>
      <c r="KJ360" s="24"/>
      <c r="KK360">
        <v>112</v>
      </c>
      <c r="KL360">
        <v>123</v>
      </c>
      <c r="KM360">
        <v>118</v>
      </c>
      <c r="KN360">
        <v>141647832</v>
      </c>
      <c r="KO360">
        <v>110</v>
      </c>
      <c r="KQ360" s="24"/>
      <c r="KR360">
        <v>118301</v>
      </c>
      <c r="KS360">
        <v>125700</v>
      </c>
      <c r="KT360">
        <v>118306</v>
      </c>
      <c r="KU360">
        <v>66866</v>
      </c>
      <c r="KV360">
        <v>497</v>
      </c>
      <c r="KX360" s="24"/>
      <c r="KY360">
        <v>767</v>
      </c>
      <c r="KZ360">
        <v>859</v>
      </c>
      <c r="LA360">
        <v>817</v>
      </c>
      <c r="LB360">
        <v>9191302</v>
      </c>
      <c r="LC360">
        <v>165</v>
      </c>
      <c r="LE360" s="24"/>
      <c r="LF360">
        <v>177102</v>
      </c>
      <c r="LG360">
        <v>178030</v>
      </c>
      <c r="LH360">
        <v>178000</v>
      </c>
      <c r="LI360">
        <v>128305</v>
      </c>
      <c r="LJ360">
        <v>670</v>
      </c>
      <c r="LL360" s="24"/>
      <c r="LM360">
        <v>57200</v>
      </c>
      <c r="LN360">
        <v>59899</v>
      </c>
      <c r="LO360">
        <v>57520</v>
      </c>
      <c r="LP360">
        <v>386251</v>
      </c>
      <c r="LQ360">
        <v>982</v>
      </c>
      <c r="LS360" s="24"/>
      <c r="LT360">
        <v>437</v>
      </c>
      <c r="LU360">
        <v>438</v>
      </c>
      <c r="LV360">
        <v>438</v>
      </c>
      <c r="LW360">
        <v>79980686</v>
      </c>
      <c r="LX360">
        <v>353</v>
      </c>
      <c r="LZ360" s="24"/>
      <c r="MA360">
        <v>98000</v>
      </c>
      <c r="MB360">
        <v>100748</v>
      </c>
      <c r="MC360">
        <v>99000</v>
      </c>
      <c r="MD360">
        <v>810959</v>
      </c>
      <c r="ME360">
        <v>64</v>
      </c>
    </row>
    <row r="361" spans="2:343" x14ac:dyDescent="0.25">
      <c r="B361" s="24"/>
      <c r="C361">
        <v>3</v>
      </c>
      <c r="D361">
        <v>3</v>
      </c>
      <c r="E361">
        <v>3</v>
      </c>
      <c r="F361">
        <v>21310836743</v>
      </c>
      <c r="G361">
        <v>1872</v>
      </c>
      <c r="I361" s="24"/>
      <c r="J361">
        <v>4</v>
      </c>
      <c r="K361">
        <v>4</v>
      </c>
      <c r="L361">
        <v>4</v>
      </c>
      <c r="M361">
        <v>6028094521</v>
      </c>
      <c r="N361">
        <v>1283</v>
      </c>
      <c r="P361" s="24"/>
      <c r="Q361">
        <v>34</v>
      </c>
      <c r="R361">
        <v>34</v>
      </c>
      <c r="S361">
        <v>34</v>
      </c>
      <c r="T361">
        <v>1628120011</v>
      </c>
      <c r="U361">
        <v>1277</v>
      </c>
      <c r="W361" s="24"/>
      <c r="X361">
        <v>61</v>
      </c>
      <c r="Y361">
        <v>61</v>
      </c>
      <c r="Z361">
        <v>61</v>
      </c>
      <c r="AA361">
        <v>483239127</v>
      </c>
      <c r="AB361">
        <v>1021</v>
      </c>
      <c r="AD361" s="24"/>
      <c r="AE361">
        <v>479</v>
      </c>
      <c r="AF361">
        <v>480</v>
      </c>
      <c r="AG361">
        <v>479</v>
      </c>
      <c r="AH361">
        <v>109211860</v>
      </c>
      <c r="AI361">
        <v>1043</v>
      </c>
      <c r="AK361" s="24"/>
      <c r="AL361">
        <v>765</v>
      </c>
      <c r="AM361">
        <v>779</v>
      </c>
      <c r="AN361">
        <v>778</v>
      </c>
      <c r="AO361">
        <v>51761177</v>
      </c>
      <c r="AP361">
        <v>916</v>
      </c>
      <c r="AR361" s="24"/>
      <c r="AS361">
        <v>2766</v>
      </c>
      <c r="AT361">
        <v>2805</v>
      </c>
      <c r="AU361">
        <v>2805</v>
      </c>
      <c r="AV361">
        <v>14353051</v>
      </c>
      <c r="AW361">
        <v>831</v>
      </c>
      <c r="AY361" s="24"/>
      <c r="AZ361">
        <v>479600000</v>
      </c>
      <c r="BA361">
        <v>486989999</v>
      </c>
      <c r="BB361">
        <v>481600480</v>
      </c>
      <c r="BC361">
        <v>2528</v>
      </c>
      <c r="BD361">
        <v>1685</v>
      </c>
      <c r="BF361" s="24"/>
      <c r="BG361">
        <v>24401</v>
      </c>
      <c r="BH361">
        <v>24407</v>
      </c>
      <c r="BI361">
        <v>24405</v>
      </c>
      <c r="BJ361">
        <v>4015412</v>
      </c>
      <c r="BK361">
        <v>212</v>
      </c>
      <c r="BM361" s="24"/>
      <c r="BN361">
        <v>6730004</v>
      </c>
      <c r="BO361">
        <v>7034998</v>
      </c>
      <c r="BP361">
        <v>6850000</v>
      </c>
      <c r="BQ361">
        <v>12156</v>
      </c>
      <c r="BR361">
        <v>393</v>
      </c>
      <c r="BT361" s="24"/>
      <c r="BU361">
        <v>2063</v>
      </c>
      <c r="BV361">
        <v>2078</v>
      </c>
      <c r="BW361">
        <v>2073</v>
      </c>
      <c r="BX361">
        <v>22673008</v>
      </c>
      <c r="BY361">
        <v>217</v>
      </c>
      <c r="CA361" s="24"/>
      <c r="CB361">
        <v>1382</v>
      </c>
      <c r="CC361">
        <v>1420</v>
      </c>
      <c r="CD361">
        <v>1416</v>
      </c>
      <c r="CE361">
        <v>29226969</v>
      </c>
      <c r="CF361">
        <v>235</v>
      </c>
      <c r="CH361" s="24"/>
      <c r="CI361">
        <v>26600</v>
      </c>
      <c r="CJ361">
        <v>26925</v>
      </c>
      <c r="CK361">
        <v>26925</v>
      </c>
      <c r="CL361">
        <v>1543609</v>
      </c>
      <c r="CM361">
        <v>160</v>
      </c>
      <c r="CO361" s="24"/>
      <c r="CP361">
        <v>9838</v>
      </c>
      <c r="CQ361">
        <v>10175</v>
      </c>
      <c r="CR361">
        <v>10091</v>
      </c>
      <c r="CS361">
        <v>1178178</v>
      </c>
      <c r="CT361">
        <v>300</v>
      </c>
      <c r="CV361" s="24"/>
      <c r="CW361">
        <v>1145000</v>
      </c>
      <c r="CX361">
        <v>1148999</v>
      </c>
      <c r="CY361">
        <v>1148000</v>
      </c>
      <c r="CZ361">
        <v>10974</v>
      </c>
      <c r="DA361">
        <v>45</v>
      </c>
      <c r="DC361" s="24"/>
      <c r="DD361">
        <v>465</v>
      </c>
      <c r="DE361">
        <v>467</v>
      </c>
      <c r="DF361">
        <v>466</v>
      </c>
      <c r="DG361">
        <v>40408654</v>
      </c>
      <c r="DH361">
        <v>170</v>
      </c>
      <c r="DJ361" s="24"/>
      <c r="DK361">
        <v>31000006</v>
      </c>
      <c r="DL361">
        <v>31024020</v>
      </c>
      <c r="DM361">
        <v>31023004</v>
      </c>
      <c r="DN361">
        <v>270</v>
      </c>
      <c r="DO361">
        <v>79</v>
      </c>
      <c r="DQ361" s="24"/>
      <c r="DR361">
        <v>961000</v>
      </c>
      <c r="DS361">
        <v>1084999</v>
      </c>
      <c r="DT361">
        <v>1000000</v>
      </c>
      <c r="DU361">
        <v>11636</v>
      </c>
      <c r="DV361">
        <v>207</v>
      </c>
      <c r="DX361" s="24"/>
      <c r="DY361">
        <v>20721000</v>
      </c>
      <c r="DZ361">
        <v>21199999</v>
      </c>
      <c r="EA361">
        <v>21003042</v>
      </c>
      <c r="EB361">
        <v>440</v>
      </c>
      <c r="EC361">
        <v>64</v>
      </c>
      <c r="EE361" s="24"/>
      <c r="EF361">
        <v>198</v>
      </c>
      <c r="EG361">
        <v>210</v>
      </c>
      <c r="EH361">
        <v>210</v>
      </c>
      <c r="EI361">
        <v>62689863</v>
      </c>
      <c r="EJ361">
        <v>138</v>
      </c>
      <c r="EL361" s="24"/>
      <c r="EM361">
        <v>50011</v>
      </c>
      <c r="EN361">
        <v>52020</v>
      </c>
      <c r="EO361">
        <v>50012</v>
      </c>
      <c r="EP361">
        <v>82785</v>
      </c>
      <c r="EQ361">
        <v>480</v>
      </c>
      <c r="ES361" s="24"/>
      <c r="ET361">
        <v>320</v>
      </c>
      <c r="EU361">
        <v>396</v>
      </c>
      <c r="EV361">
        <v>390</v>
      </c>
      <c r="EW361">
        <v>55506744</v>
      </c>
      <c r="EX361">
        <v>511</v>
      </c>
      <c r="EZ361" s="24"/>
      <c r="FA361">
        <v>2900000</v>
      </c>
      <c r="FB361">
        <v>2900000</v>
      </c>
      <c r="FC361">
        <v>2900000</v>
      </c>
      <c r="FD361">
        <v>1399</v>
      </c>
      <c r="FE361">
        <v>24</v>
      </c>
      <c r="FG361" s="24"/>
      <c r="FH361">
        <v>9887</v>
      </c>
      <c r="FI361">
        <v>10259</v>
      </c>
      <c r="FJ361">
        <v>10093</v>
      </c>
      <c r="FK361">
        <v>2710467</v>
      </c>
      <c r="FL361">
        <v>420</v>
      </c>
      <c r="FN361" s="24"/>
      <c r="FO361">
        <v>21999</v>
      </c>
      <c r="FP361">
        <v>21999</v>
      </c>
      <c r="FQ361">
        <v>21999</v>
      </c>
      <c r="FR361">
        <v>138431</v>
      </c>
      <c r="FS361">
        <v>58</v>
      </c>
      <c r="FU361" s="24"/>
      <c r="FV361">
        <v>12451</v>
      </c>
      <c r="FW361">
        <v>12600</v>
      </c>
      <c r="FX361">
        <v>12500</v>
      </c>
      <c r="FY361">
        <v>265806</v>
      </c>
      <c r="FZ361">
        <v>882</v>
      </c>
      <c r="GB361" s="24"/>
      <c r="GC361">
        <v>92112110</v>
      </c>
      <c r="GD361">
        <v>94993998</v>
      </c>
      <c r="GE361">
        <v>94286054</v>
      </c>
      <c r="GF361">
        <v>80</v>
      </c>
      <c r="GG361">
        <v>66</v>
      </c>
      <c r="GI361" s="24"/>
      <c r="GJ361">
        <v>15605000</v>
      </c>
      <c r="GK361">
        <v>16397000</v>
      </c>
      <c r="GL361">
        <v>16250000</v>
      </c>
      <c r="GM361">
        <v>211</v>
      </c>
      <c r="GN361">
        <v>40</v>
      </c>
      <c r="GP361" s="24"/>
      <c r="GQ361">
        <v>110</v>
      </c>
      <c r="GR361">
        <v>115</v>
      </c>
      <c r="GS361">
        <v>110</v>
      </c>
      <c r="GT361">
        <v>97786415</v>
      </c>
      <c r="GU361">
        <v>102</v>
      </c>
      <c r="GW361" s="24"/>
      <c r="GX361">
        <v>400</v>
      </c>
      <c r="GY361">
        <v>415</v>
      </c>
      <c r="GZ361">
        <v>405</v>
      </c>
      <c r="HA361">
        <v>44272265</v>
      </c>
      <c r="HB361">
        <v>201</v>
      </c>
      <c r="HD361" s="24"/>
      <c r="HE361">
        <v>5285</v>
      </c>
      <c r="HF361">
        <v>5378</v>
      </c>
      <c r="HG361">
        <v>5353</v>
      </c>
      <c r="HH361">
        <v>14725363</v>
      </c>
      <c r="HI361">
        <v>230</v>
      </c>
      <c r="HK361" s="24"/>
      <c r="HL361">
        <v>92131000</v>
      </c>
      <c r="HM361">
        <v>97121001</v>
      </c>
      <c r="HN361">
        <v>92137009</v>
      </c>
      <c r="HO361">
        <v>113</v>
      </c>
      <c r="HP361">
        <v>75</v>
      </c>
      <c r="HR361" s="24"/>
      <c r="HS361">
        <v>10089</v>
      </c>
      <c r="HT361">
        <v>10426</v>
      </c>
      <c r="HU361">
        <v>10100</v>
      </c>
      <c r="HV361">
        <v>1129781</v>
      </c>
      <c r="HW361">
        <v>143</v>
      </c>
      <c r="HY361" s="24"/>
      <c r="HZ361">
        <v>9339</v>
      </c>
      <c r="IA361">
        <v>9700</v>
      </c>
      <c r="IB361">
        <v>9349</v>
      </c>
      <c r="IC361">
        <v>3356401</v>
      </c>
      <c r="ID361">
        <v>506</v>
      </c>
      <c r="IF361" s="24"/>
      <c r="IG361">
        <v>4339</v>
      </c>
      <c r="IH361">
        <v>4994</v>
      </c>
      <c r="II361">
        <v>4989</v>
      </c>
      <c r="IJ361">
        <v>1140572</v>
      </c>
      <c r="IK361">
        <v>125</v>
      </c>
      <c r="IM361" s="24"/>
      <c r="IN361">
        <v>93010002</v>
      </c>
      <c r="IO361">
        <v>97030998</v>
      </c>
      <c r="IP361">
        <v>93037998</v>
      </c>
      <c r="IQ361">
        <v>118</v>
      </c>
      <c r="IR361">
        <v>66</v>
      </c>
      <c r="IT361" s="24"/>
      <c r="IU361">
        <v>8686</v>
      </c>
      <c r="IV361">
        <v>8686</v>
      </c>
      <c r="IW361">
        <v>8686</v>
      </c>
      <c r="IX361">
        <v>949351</v>
      </c>
      <c r="IY361">
        <v>107</v>
      </c>
      <c r="JA361" s="24"/>
      <c r="JB361">
        <v>91111004</v>
      </c>
      <c r="JC361">
        <v>97786982</v>
      </c>
      <c r="JD361">
        <v>91295000</v>
      </c>
      <c r="JE361">
        <v>123</v>
      </c>
      <c r="JF361">
        <v>86</v>
      </c>
      <c r="JH361" s="24"/>
      <c r="JI361">
        <v>93004999</v>
      </c>
      <c r="JJ361">
        <v>99696000</v>
      </c>
      <c r="JK361">
        <v>96299751</v>
      </c>
      <c r="JL361">
        <v>63</v>
      </c>
      <c r="JM361">
        <v>47</v>
      </c>
      <c r="JO361" s="24"/>
      <c r="JP361">
        <v>91</v>
      </c>
      <c r="JQ361">
        <v>94</v>
      </c>
      <c r="JR361">
        <v>91</v>
      </c>
      <c r="JS361">
        <v>71708974</v>
      </c>
      <c r="JT361">
        <v>66</v>
      </c>
      <c r="JV361" s="24"/>
      <c r="JW361">
        <v>95</v>
      </c>
      <c r="JX361">
        <v>96</v>
      </c>
      <c r="JY361">
        <v>95</v>
      </c>
      <c r="JZ361">
        <v>126208218</v>
      </c>
      <c r="KA361">
        <v>106</v>
      </c>
      <c r="KC361" s="24"/>
      <c r="KD361">
        <v>130</v>
      </c>
      <c r="KE361">
        <v>150</v>
      </c>
      <c r="KF361">
        <v>134</v>
      </c>
      <c r="KG361">
        <v>102198399</v>
      </c>
      <c r="KH361">
        <v>344</v>
      </c>
      <c r="KJ361" s="24"/>
      <c r="KK361">
        <v>112</v>
      </c>
      <c r="KL361">
        <v>116</v>
      </c>
      <c r="KM361">
        <v>115</v>
      </c>
      <c r="KN361">
        <v>101485834</v>
      </c>
      <c r="KO361">
        <v>116</v>
      </c>
      <c r="KQ361" s="24"/>
      <c r="KR361">
        <v>118502</v>
      </c>
      <c r="KS361">
        <v>118511</v>
      </c>
      <c r="KT361">
        <v>118502</v>
      </c>
      <c r="KU361">
        <v>33230</v>
      </c>
      <c r="KV361">
        <v>464</v>
      </c>
      <c r="KX361" s="24"/>
      <c r="KY361">
        <v>776</v>
      </c>
      <c r="KZ361">
        <v>858</v>
      </c>
      <c r="LA361">
        <v>858</v>
      </c>
      <c r="LB361">
        <v>4671408</v>
      </c>
      <c r="LC361">
        <v>141</v>
      </c>
      <c r="LE361" s="24"/>
      <c r="LF361">
        <v>175500</v>
      </c>
      <c r="LG361">
        <v>177499</v>
      </c>
      <c r="LH361">
        <v>175606</v>
      </c>
      <c r="LI361">
        <v>84337</v>
      </c>
      <c r="LJ361">
        <v>669</v>
      </c>
      <c r="LL361" s="24"/>
      <c r="LM361">
        <v>58302</v>
      </c>
      <c r="LN361">
        <v>58501</v>
      </c>
      <c r="LO361">
        <v>58500</v>
      </c>
      <c r="LP361">
        <v>358689</v>
      </c>
      <c r="LQ361">
        <v>909</v>
      </c>
      <c r="LS361" s="24"/>
      <c r="LT361">
        <v>431</v>
      </c>
      <c r="LU361">
        <v>438</v>
      </c>
      <c r="LV361">
        <v>434</v>
      </c>
      <c r="LW361">
        <v>109500215</v>
      </c>
      <c r="LX361">
        <v>387</v>
      </c>
      <c r="LZ361" s="24"/>
      <c r="MA361">
        <v>99200</v>
      </c>
      <c r="MB361">
        <v>100749</v>
      </c>
      <c r="MC361">
        <v>100749</v>
      </c>
      <c r="MD361">
        <v>668971</v>
      </c>
      <c r="ME361">
        <v>76</v>
      </c>
    </row>
    <row r="362" spans="2:343" x14ac:dyDescent="0.25">
      <c r="B362" s="24"/>
      <c r="C362">
        <v>3</v>
      </c>
      <c r="D362">
        <v>3</v>
      </c>
      <c r="E362">
        <v>3</v>
      </c>
      <c r="F362">
        <v>35014598170</v>
      </c>
      <c r="G362">
        <v>2247</v>
      </c>
      <c r="I362" s="24"/>
      <c r="J362">
        <v>4</v>
      </c>
      <c r="K362">
        <v>4</v>
      </c>
      <c r="L362">
        <v>4</v>
      </c>
      <c r="M362">
        <v>4852101670</v>
      </c>
      <c r="N362">
        <v>1527</v>
      </c>
      <c r="P362" s="24"/>
      <c r="Q362">
        <v>34</v>
      </c>
      <c r="R362">
        <v>34</v>
      </c>
      <c r="S362">
        <v>34</v>
      </c>
      <c r="T362">
        <v>1670028790</v>
      </c>
      <c r="U362">
        <v>1458</v>
      </c>
      <c r="W362" s="24"/>
      <c r="X362">
        <v>59</v>
      </c>
      <c r="Y362">
        <v>61</v>
      </c>
      <c r="Z362">
        <v>60</v>
      </c>
      <c r="AA362">
        <v>325717080</v>
      </c>
      <c r="AB362">
        <v>1204</v>
      </c>
      <c r="AD362" s="24"/>
      <c r="AE362">
        <v>480</v>
      </c>
      <c r="AF362">
        <v>490</v>
      </c>
      <c r="AG362">
        <v>489</v>
      </c>
      <c r="AH362">
        <v>84547807</v>
      </c>
      <c r="AI362">
        <v>1268</v>
      </c>
      <c r="AK362" s="24"/>
      <c r="AL362">
        <v>770</v>
      </c>
      <c r="AM362">
        <v>779</v>
      </c>
      <c r="AN362">
        <v>779</v>
      </c>
      <c r="AO362">
        <v>36625756</v>
      </c>
      <c r="AP362">
        <v>1049</v>
      </c>
      <c r="AR362" s="24"/>
      <c r="AS362">
        <v>2767</v>
      </c>
      <c r="AT362">
        <v>2805</v>
      </c>
      <c r="AU362">
        <v>2803</v>
      </c>
      <c r="AV362">
        <v>15415996</v>
      </c>
      <c r="AW362">
        <v>1007</v>
      </c>
      <c r="AY362" s="24"/>
      <c r="AZ362">
        <v>476037400</v>
      </c>
      <c r="BA362">
        <v>485250000</v>
      </c>
      <c r="BB362">
        <v>482500000</v>
      </c>
      <c r="BC362">
        <v>2988</v>
      </c>
      <c r="BD362">
        <v>2107</v>
      </c>
      <c r="BF362" s="24"/>
      <c r="BG362">
        <v>24576</v>
      </c>
      <c r="BH362">
        <v>24700</v>
      </c>
      <c r="BI362">
        <v>24700</v>
      </c>
      <c r="BJ362">
        <v>3356108</v>
      </c>
      <c r="BK362">
        <v>222</v>
      </c>
      <c r="BM362" s="24"/>
      <c r="BN362">
        <v>6702571</v>
      </c>
      <c r="BO362">
        <v>6879998</v>
      </c>
      <c r="BP362">
        <v>6730006</v>
      </c>
      <c r="BQ362">
        <v>15698</v>
      </c>
      <c r="BR362">
        <v>435</v>
      </c>
      <c r="BT362" s="24"/>
      <c r="BU362">
        <v>2027</v>
      </c>
      <c r="BV362">
        <v>2034</v>
      </c>
      <c r="BW362">
        <v>2034</v>
      </c>
      <c r="BX362">
        <v>26064825</v>
      </c>
      <c r="BY362">
        <v>261</v>
      </c>
      <c r="CA362" s="24"/>
      <c r="CB362">
        <v>1350</v>
      </c>
      <c r="CC362">
        <v>1407</v>
      </c>
      <c r="CD362">
        <v>1389</v>
      </c>
      <c r="CE362">
        <v>32271684</v>
      </c>
      <c r="CF362">
        <v>277</v>
      </c>
      <c r="CH362" s="24"/>
      <c r="CI362">
        <v>26600</v>
      </c>
      <c r="CJ362">
        <v>26900</v>
      </c>
      <c r="CK362">
        <v>26900</v>
      </c>
      <c r="CL362">
        <v>1482469</v>
      </c>
      <c r="CM362">
        <v>161</v>
      </c>
      <c r="CO362" s="24"/>
      <c r="CP362">
        <v>11244</v>
      </c>
      <c r="CQ362">
        <v>13999</v>
      </c>
      <c r="CR362">
        <v>12000</v>
      </c>
      <c r="CS362">
        <v>1808246</v>
      </c>
      <c r="CT362">
        <v>485</v>
      </c>
      <c r="CV362" s="24"/>
      <c r="CW362">
        <v>1148999</v>
      </c>
      <c r="CX362">
        <v>1149994</v>
      </c>
      <c r="CY362">
        <v>1149894</v>
      </c>
      <c r="CZ362">
        <v>7224</v>
      </c>
      <c r="DA362">
        <v>32</v>
      </c>
      <c r="DC362" s="24"/>
      <c r="DD362">
        <v>441</v>
      </c>
      <c r="DE362">
        <v>468</v>
      </c>
      <c r="DF362">
        <v>467</v>
      </c>
      <c r="DG362">
        <v>48543542</v>
      </c>
      <c r="DH362">
        <v>259</v>
      </c>
      <c r="DJ362" s="24"/>
      <c r="DK362">
        <v>31033005</v>
      </c>
      <c r="DL362">
        <v>32796995</v>
      </c>
      <c r="DM362">
        <v>31051066</v>
      </c>
      <c r="DN362">
        <v>410</v>
      </c>
      <c r="DO362">
        <v>83</v>
      </c>
      <c r="DQ362" s="24"/>
      <c r="DR362">
        <v>1010000</v>
      </c>
      <c r="DS362">
        <v>1084998</v>
      </c>
      <c r="DT362">
        <v>1010006</v>
      </c>
      <c r="DU362">
        <v>8204</v>
      </c>
      <c r="DV362">
        <v>245</v>
      </c>
      <c r="DX362" s="24"/>
      <c r="DY362">
        <v>18602027</v>
      </c>
      <c r="DZ362">
        <v>22399998</v>
      </c>
      <c r="EA362">
        <v>20499999</v>
      </c>
      <c r="EB362">
        <v>458</v>
      </c>
      <c r="EC362">
        <v>117</v>
      </c>
      <c r="EE362" s="24"/>
      <c r="EF362">
        <v>200</v>
      </c>
      <c r="EG362">
        <v>208</v>
      </c>
      <c r="EH362">
        <v>205</v>
      </c>
      <c r="EI362">
        <v>114049165</v>
      </c>
      <c r="EJ362">
        <v>189</v>
      </c>
      <c r="EL362" s="24"/>
      <c r="EM362">
        <v>48008</v>
      </c>
      <c r="EN362">
        <v>52019</v>
      </c>
      <c r="EO362">
        <v>48251</v>
      </c>
      <c r="EP362">
        <v>90988</v>
      </c>
      <c r="EQ362">
        <v>569</v>
      </c>
      <c r="ES362" s="24"/>
      <c r="ET362">
        <v>370</v>
      </c>
      <c r="EU362">
        <v>393</v>
      </c>
      <c r="EV362">
        <v>391</v>
      </c>
      <c r="EW362">
        <v>55115473</v>
      </c>
      <c r="EX362">
        <v>620</v>
      </c>
      <c r="EZ362" s="24"/>
      <c r="FA362">
        <v>2963118</v>
      </c>
      <c r="FB362">
        <v>2989998</v>
      </c>
      <c r="FC362">
        <v>2963118</v>
      </c>
      <c r="FD362">
        <v>2885</v>
      </c>
      <c r="FE362">
        <v>26</v>
      </c>
      <c r="FG362" s="24"/>
      <c r="FH362">
        <v>10007</v>
      </c>
      <c r="FI362">
        <v>11799</v>
      </c>
      <c r="FJ362">
        <v>11484</v>
      </c>
      <c r="FK362">
        <v>2164576</v>
      </c>
      <c r="FL362">
        <v>517</v>
      </c>
      <c r="FN362" s="24"/>
      <c r="FO362">
        <v>20760</v>
      </c>
      <c r="FP362">
        <v>25402</v>
      </c>
      <c r="FQ362">
        <v>25399</v>
      </c>
      <c r="FR362">
        <v>92178</v>
      </c>
      <c r="FS362">
        <v>76</v>
      </c>
      <c r="FU362" s="24"/>
      <c r="FV362">
        <v>12460</v>
      </c>
      <c r="FW362">
        <v>12462</v>
      </c>
      <c r="FX362">
        <v>12460</v>
      </c>
      <c r="FY362">
        <v>359444</v>
      </c>
      <c r="FZ362">
        <v>998</v>
      </c>
      <c r="GB362" s="24"/>
      <c r="GC362">
        <v>92124002</v>
      </c>
      <c r="GD362">
        <v>94914990</v>
      </c>
      <c r="GE362">
        <v>94905997</v>
      </c>
      <c r="GF362">
        <v>105</v>
      </c>
      <c r="GG362">
        <v>69</v>
      </c>
      <c r="GI362" s="24"/>
      <c r="GJ362">
        <v>16102000</v>
      </c>
      <c r="GK362">
        <v>16500000</v>
      </c>
      <c r="GL362">
        <v>16398000</v>
      </c>
      <c r="GM362">
        <v>686</v>
      </c>
      <c r="GN362">
        <v>86</v>
      </c>
      <c r="GP362" s="24"/>
      <c r="GQ362">
        <v>107</v>
      </c>
      <c r="GR362">
        <v>113</v>
      </c>
      <c r="GS362">
        <v>110</v>
      </c>
      <c r="GT362">
        <v>149252365</v>
      </c>
      <c r="GU362">
        <v>165</v>
      </c>
      <c r="GW362" s="24"/>
      <c r="GX362">
        <v>403</v>
      </c>
      <c r="GY362">
        <v>414</v>
      </c>
      <c r="GZ362">
        <v>408</v>
      </c>
      <c r="HA362">
        <v>52047747</v>
      </c>
      <c r="HB362">
        <v>260</v>
      </c>
      <c r="HD362" s="24"/>
      <c r="HE362">
        <v>5281</v>
      </c>
      <c r="HF362">
        <v>5345</v>
      </c>
      <c r="HG362">
        <v>5339</v>
      </c>
      <c r="HH362">
        <v>17236929</v>
      </c>
      <c r="HI362">
        <v>301</v>
      </c>
      <c r="HK362" s="24"/>
      <c r="HL362">
        <v>92144009</v>
      </c>
      <c r="HM362">
        <v>96192889</v>
      </c>
      <c r="HN362">
        <v>92144109</v>
      </c>
      <c r="HO362">
        <v>149</v>
      </c>
      <c r="HP362">
        <v>70</v>
      </c>
      <c r="HR362" s="24"/>
      <c r="HS362">
        <v>10001</v>
      </c>
      <c r="HT362">
        <v>11740</v>
      </c>
      <c r="HU362">
        <v>11499</v>
      </c>
      <c r="HV362">
        <v>1229762</v>
      </c>
      <c r="HW362">
        <v>164</v>
      </c>
      <c r="HY362" s="24"/>
      <c r="HZ362">
        <v>10201</v>
      </c>
      <c r="IA362">
        <v>10997</v>
      </c>
      <c r="IB362">
        <v>10222</v>
      </c>
      <c r="IC362">
        <v>3739350</v>
      </c>
      <c r="ID362">
        <v>557</v>
      </c>
      <c r="IF362" s="24"/>
      <c r="IG362">
        <v>4340</v>
      </c>
      <c r="IH362">
        <v>4972</v>
      </c>
      <c r="II362">
        <v>4968</v>
      </c>
      <c r="IJ362">
        <v>1710276</v>
      </c>
      <c r="IK362">
        <v>151</v>
      </c>
      <c r="IM362" s="24"/>
      <c r="IN362">
        <v>90945991</v>
      </c>
      <c r="IO362">
        <v>93021001</v>
      </c>
      <c r="IP362">
        <v>93000000</v>
      </c>
      <c r="IQ362">
        <v>230</v>
      </c>
      <c r="IR362">
        <v>117</v>
      </c>
      <c r="IT362" s="24"/>
      <c r="IU362">
        <v>8602</v>
      </c>
      <c r="IV362">
        <v>8686</v>
      </c>
      <c r="IW362">
        <v>8686</v>
      </c>
      <c r="IX362">
        <v>900181</v>
      </c>
      <c r="IY362">
        <v>131</v>
      </c>
      <c r="JA362" s="24"/>
      <c r="JB362">
        <v>91115000</v>
      </c>
      <c r="JC362">
        <v>93001474</v>
      </c>
      <c r="JD362">
        <v>93001372</v>
      </c>
      <c r="JE362">
        <v>207</v>
      </c>
      <c r="JF362">
        <v>102</v>
      </c>
      <c r="JH362" s="24"/>
      <c r="JI362">
        <v>93007009</v>
      </c>
      <c r="JJ362">
        <v>98689998</v>
      </c>
      <c r="JK362">
        <v>95098867</v>
      </c>
      <c r="JL362">
        <v>90</v>
      </c>
      <c r="JM362">
        <v>54</v>
      </c>
      <c r="JO362" s="24"/>
      <c r="JP362">
        <v>88</v>
      </c>
      <c r="JQ362">
        <v>93</v>
      </c>
      <c r="JR362">
        <v>89</v>
      </c>
      <c r="JS362">
        <v>83981742</v>
      </c>
      <c r="JT362">
        <v>94</v>
      </c>
      <c r="JV362" s="24"/>
      <c r="JW362">
        <v>92</v>
      </c>
      <c r="JX362">
        <v>96</v>
      </c>
      <c r="JY362">
        <v>96</v>
      </c>
      <c r="JZ362">
        <v>154254815</v>
      </c>
      <c r="KA362">
        <v>134</v>
      </c>
      <c r="KC362" s="24"/>
      <c r="KD362">
        <v>152</v>
      </c>
      <c r="KE362">
        <v>153</v>
      </c>
      <c r="KF362">
        <v>153</v>
      </c>
      <c r="KG362">
        <v>145554767</v>
      </c>
      <c r="KH362">
        <v>423</v>
      </c>
      <c r="KJ362" s="24"/>
      <c r="KK362">
        <v>109</v>
      </c>
      <c r="KL362">
        <v>114</v>
      </c>
      <c r="KM362">
        <v>111</v>
      </c>
      <c r="KN362">
        <v>145312229</v>
      </c>
      <c r="KO362">
        <v>144</v>
      </c>
      <c r="KQ362" s="24"/>
      <c r="KR362">
        <v>118756</v>
      </c>
      <c r="KS362">
        <v>124197</v>
      </c>
      <c r="KT362">
        <v>120000</v>
      </c>
      <c r="KU362">
        <v>64263</v>
      </c>
      <c r="KV362">
        <v>593</v>
      </c>
      <c r="KX362" s="24"/>
      <c r="KY362">
        <v>822</v>
      </c>
      <c r="KZ362">
        <v>847</v>
      </c>
      <c r="LA362">
        <v>825</v>
      </c>
      <c r="LB362">
        <v>5565674</v>
      </c>
      <c r="LC362">
        <v>178</v>
      </c>
      <c r="LE362" s="24"/>
      <c r="LF362">
        <v>175608</v>
      </c>
      <c r="LG362">
        <v>175611</v>
      </c>
      <c r="LH362">
        <v>175609</v>
      </c>
      <c r="LI362">
        <v>100848</v>
      </c>
      <c r="LJ362">
        <v>828</v>
      </c>
      <c r="LL362" s="24"/>
      <c r="LM362">
        <v>58305</v>
      </c>
      <c r="LN362">
        <v>58326</v>
      </c>
      <c r="LO362">
        <v>58325</v>
      </c>
      <c r="LP362">
        <v>328952</v>
      </c>
      <c r="LQ362">
        <v>1070</v>
      </c>
      <c r="LS362" s="24"/>
      <c r="LT362">
        <v>433</v>
      </c>
      <c r="LU362">
        <v>440</v>
      </c>
      <c r="LV362">
        <v>433</v>
      </c>
      <c r="LW362">
        <v>183559835</v>
      </c>
      <c r="LX362">
        <v>477</v>
      </c>
      <c r="LZ362" s="24"/>
      <c r="MA362">
        <v>99502</v>
      </c>
      <c r="MB362">
        <v>100799</v>
      </c>
      <c r="MC362">
        <v>100799</v>
      </c>
      <c r="MD362">
        <v>988921</v>
      </c>
      <c r="ME362">
        <v>85</v>
      </c>
    </row>
    <row r="363" spans="2:343" x14ac:dyDescent="0.25">
      <c r="B363" s="24"/>
      <c r="C363">
        <v>3</v>
      </c>
      <c r="D363">
        <v>3</v>
      </c>
      <c r="E363">
        <v>3</v>
      </c>
      <c r="F363">
        <v>35482442247</v>
      </c>
      <c r="G363">
        <v>2181</v>
      </c>
      <c r="I363" s="24"/>
      <c r="J363">
        <v>4</v>
      </c>
      <c r="K363">
        <v>4</v>
      </c>
      <c r="L363">
        <v>4</v>
      </c>
      <c r="M363">
        <v>5437249089</v>
      </c>
      <c r="N363">
        <v>1505</v>
      </c>
      <c r="P363" s="24"/>
      <c r="Q363">
        <v>34</v>
      </c>
      <c r="R363">
        <v>35</v>
      </c>
      <c r="S363">
        <v>35</v>
      </c>
      <c r="T363">
        <v>1348111671</v>
      </c>
      <c r="U363">
        <v>1501</v>
      </c>
      <c r="W363" s="24"/>
      <c r="X363">
        <v>60</v>
      </c>
      <c r="Y363">
        <v>61</v>
      </c>
      <c r="Z363">
        <v>61</v>
      </c>
      <c r="AA363">
        <v>229050048</v>
      </c>
      <c r="AB363">
        <v>1120</v>
      </c>
      <c r="AD363" s="24"/>
      <c r="AE363">
        <v>483</v>
      </c>
      <c r="AF363">
        <v>489</v>
      </c>
      <c r="AG363">
        <v>484</v>
      </c>
      <c r="AH363">
        <v>106461870</v>
      </c>
      <c r="AI363">
        <v>1256</v>
      </c>
      <c r="AK363" s="24"/>
      <c r="AL363">
        <v>770</v>
      </c>
      <c r="AM363">
        <v>777</v>
      </c>
      <c r="AN363">
        <v>770</v>
      </c>
      <c r="AO363">
        <v>36206043</v>
      </c>
      <c r="AP363">
        <v>1064</v>
      </c>
      <c r="AR363" s="24"/>
      <c r="AS363">
        <v>2730</v>
      </c>
      <c r="AT363">
        <v>2900</v>
      </c>
      <c r="AU363">
        <v>2789</v>
      </c>
      <c r="AV363">
        <v>18117607</v>
      </c>
      <c r="AW363">
        <v>1034</v>
      </c>
      <c r="AY363" s="24"/>
      <c r="AZ363">
        <v>473071110</v>
      </c>
      <c r="BA363">
        <v>482999888</v>
      </c>
      <c r="BB363">
        <v>479200100</v>
      </c>
      <c r="BC363">
        <v>2805</v>
      </c>
      <c r="BD363">
        <v>1924</v>
      </c>
      <c r="BF363" s="24"/>
      <c r="BG363">
        <v>24552</v>
      </c>
      <c r="BH363">
        <v>25400</v>
      </c>
      <c r="BI363">
        <v>24652</v>
      </c>
      <c r="BJ363">
        <v>2541652</v>
      </c>
      <c r="BK363">
        <v>245</v>
      </c>
      <c r="BM363" s="24"/>
      <c r="BN363">
        <v>6708590</v>
      </c>
      <c r="BO363">
        <v>7000000</v>
      </c>
      <c r="BP363">
        <v>6715502</v>
      </c>
      <c r="BQ363">
        <v>12465</v>
      </c>
      <c r="BR363">
        <v>436</v>
      </c>
      <c r="BT363" s="24"/>
      <c r="BU363">
        <v>2018</v>
      </c>
      <c r="BV363">
        <v>2019</v>
      </c>
      <c r="BW363">
        <v>2019</v>
      </c>
      <c r="BX363">
        <v>36160332</v>
      </c>
      <c r="BY363">
        <v>242</v>
      </c>
      <c r="CA363" s="24"/>
      <c r="CB363">
        <v>1272</v>
      </c>
      <c r="CC363">
        <v>1399</v>
      </c>
      <c r="CD363">
        <v>1379</v>
      </c>
      <c r="CE363">
        <v>29679865</v>
      </c>
      <c r="CF363">
        <v>289</v>
      </c>
      <c r="CH363" s="24"/>
      <c r="CI363">
        <v>26900</v>
      </c>
      <c r="CJ363">
        <v>27202</v>
      </c>
      <c r="CK363">
        <v>26903</v>
      </c>
      <c r="CL363">
        <v>1963626</v>
      </c>
      <c r="CM363">
        <v>225</v>
      </c>
      <c r="CO363" s="24"/>
      <c r="CP363">
        <v>10549</v>
      </c>
      <c r="CQ363">
        <v>13888</v>
      </c>
      <c r="CR363">
        <v>13495</v>
      </c>
      <c r="CS363">
        <v>1048872</v>
      </c>
      <c r="CT363">
        <v>338</v>
      </c>
      <c r="CV363" s="24"/>
      <c r="CW363">
        <v>1148899</v>
      </c>
      <c r="CX363">
        <v>1149991</v>
      </c>
      <c r="CY363">
        <v>1148904</v>
      </c>
      <c r="CZ363">
        <v>10952</v>
      </c>
      <c r="DA363">
        <v>43</v>
      </c>
      <c r="DC363" s="24"/>
      <c r="DD363">
        <v>453</v>
      </c>
      <c r="DE363">
        <v>466</v>
      </c>
      <c r="DF363">
        <v>462</v>
      </c>
      <c r="DG363">
        <v>41151034</v>
      </c>
      <c r="DH363">
        <v>176</v>
      </c>
      <c r="DJ363" s="24"/>
      <c r="DK363">
        <v>31051063</v>
      </c>
      <c r="DL363">
        <v>31501000</v>
      </c>
      <c r="DM363">
        <v>31500000</v>
      </c>
      <c r="DN363">
        <v>758</v>
      </c>
      <c r="DO363">
        <v>95</v>
      </c>
      <c r="DQ363" s="24"/>
      <c r="DR363">
        <v>1050003</v>
      </c>
      <c r="DS363">
        <v>1080009</v>
      </c>
      <c r="DT363">
        <v>1050016</v>
      </c>
      <c r="DU363">
        <v>9094</v>
      </c>
      <c r="DV363">
        <v>243</v>
      </c>
      <c r="DX363" s="24"/>
      <c r="DY363">
        <v>19501001</v>
      </c>
      <c r="DZ363">
        <v>21000000</v>
      </c>
      <c r="EA363">
        <v>19505018</v>
      </c>
      <c r="EB363">
        <v>379</v>
      </c>
      <c r="EC363">
        <v>94</v>
      </c>
      <c r="EE363" s="24"/>
      <c r="EF363">
        <v>200</v>
      </c>
      <c r="EG363">
        <v>208</v>
      </c>
      <c r="EH363">
        <v>204</v>
      </c>
      <c r="EI363">
        <v>103614322</v>
      </c>
      <c r="EJ363">
        <v>169</v>
      </c>
      <c r="EL363" s="24"/>
      <c r="EM363">
        <v>48502</v>
      </c>
      <c r="EN363">
        <v>49999</v>
      </c>
      <c r="EO363">
        <v>48504</v>
      </c>
      <c r="EP363">
        <v>111397</v>
      </c>
      <c r="EQ363">
        <v>630</v>
      </c>
      <c r="ES363" s="24"/>
      <c r="ET363">
        <v>382</v>
      </c>
      <c r="EU363">
        <v>400</v>
      </c>
      <c r="EV363">
        <v>399</v>
      </c>
      <c r="EW363">
        <v>88960938</v>
      </c>
      <c r="EX363">
        <v>639</v>
      </c>
      <c r="EZ363" s="24"/>
      <c r="FA363">
        <v>3120001</v>
      </c>
      <c r="FB363">
        <v>3144000</v>
      </c>
      <c r="FC363">
        <v>3139999</v>
      </c>
      <c r="FD363">
        <v>1948</v>
      </c>
      <c r="FE363">
        <v>24</v>
      </c>
      <c r="FG363" s="24"/>
      <c r="FH363">
        <v>10333</v>
      </c>
      <c r="FI363">
        <v>11389</v>
      </c>
      <c r="FJ363">
        <v>10339</v>
      </c>
      <c r="FK363">
        <v>1680001</v>
      </c>
      <c r="FL363">
        <v>407</v>
      </c>
      <c r="FN363" s="24"/>
      <c r="FO363">
        <v>22550</v>
      </c>
      <c r="FP363">
        <v>24982</v>
      </c>
      <c r="FQ363">
        <v>22550</v>
      </c>
      <c r="FR363">
        <v>388361</v>
      </c>
      <c r="FS363">
        <v>83</v>
      </c>
      <c r="FU363" s="24"/>
      <c r="FV363">
        <v>12502</v>
      </c>
      <c r="FW363">
        <v>12503</v>
      </c>
      <c r="FX363">
        <v>12502</v>
      </c>
      <c r="FY363">
        <v>473984</v>
      </c>
      <c r="FZ363">
        <v>1079</v>
      </c>
      <c r="GB363" s="24"/>
      <c r="GC363">
        <v>88509550</v>
      </c>
      <c r="GD363">
        <v>94899993</v>
      </c>
      <c r="GE363">
        <v>91999999</v>
      </c>
      <c r="GF363">
        <v>254</v>
      </c>
      <c r="GG363">
        <v>118</v>
      </c>
      <c r="GI363" s="24"/>
      <c r="GJ363">
        <v>16606011</v>
      </c>
      <c r="GK363">
        <v>17097000</v>
      </c>
      <c r="GL363">
        <v>16699999</v>
      </c>
      <c r="GM363">
        <v>695</v>
      </c>
      <c r="GN363">
        <v>98</v>
      </c>
      <c r="GP363" s="24"/>
      <c r="GQ363">
        <v>106</v>
      </c>
      <c r="GR363">
        <v>114</v>
      </c>
      <c r="GS363">
        <v>110</v>
      </c>
      <c r="GT363">
        <v>203139170</v>
      </c>
      <c r="GU363">
        <v>142</v>
      </c>
      <c r="GW363" s="24"/>
      <c r="GX363">
        <v>406</v>
      </c>
      <c r="GY363">
        <v>414</v>
      </c>
      <c r="GZ363">
        <v>407</v>
      </c>
      <c r="HA363">
        <v>54857001</v>
      </c>
      <c r="HB363">
        <v>246</v>
      </c>
      <c r="HD363" s="24"/>
      <c r="HE363">
        <v>5171</v>
      </c>
      <c r="HF363">
        <v>5318</v>
      </c>
      <c r="HG363">
        <v>5284</v>
      </c>
      <c r="HH363">
        <v>18346165</v>
      </c>
      <c r="HI363">
        <v>276</v>
      </c>
      <c r="HK363" s="24"/>
      <c r="HL363">
        <v>89339008</v>
      </c>
      <c r="HM363">
        <v>91345698</v>
      </c>
      <c r="HN363">
        <v>89340000</v>
      </c>
      <c r="HO363">
        <v>206</v>
      </c>
      <c r="HP363">
        <v>115</v>
      </c>
      <c r="HR363" s="24"/>
      <c r="HS363">
        <v>10540</v>
      </c>
      <c r="HT363">
        <v>12900</v>
      </c>
      <c r="HU363">
        <v>11980</v>
      </c>
      <c r="HV363">
        <v>730299</v>
      </c>
      <c r="HW363">
        <v>141</v>
      </c>
      <c r="HY363" s="24"/>
      <c r="HZ363">
        <v>9702</v>
      </c>
      <c r="IA363">
        <v>9999</v>
      </c>
      <c r="IB363">
        <v>9938</v>
      </c>
      <c r="IC363">
        <v>1968182</v>
      </c>
      <c r="ID363">
        <v>481</v>
      </c>
      <c r="IF363" s="24"/>
      <c r="IG363">
        <v>4342</v>
      </c>
      <c r="IH363">
        <v>4899</v>
      </c>
      <c r="II363">
        <v>4825</v>
      </c>
      <c r="IJ363">
        <v>1574903</v>
      </c>
      <c r="IK363">
        <v>132</v>
      </c>
      <c r="IM363" s="24"/>
      <c r="IN363">
        <v>92000000</v>
      </c>
      <c r="IO363">
        <v>94697999</v>
      </c>
      <c r="IP363">
        <v>93999999</v>
      </c>
      <c r="IQ363">
        <v>145</v>
      </c>
      <c r="IR363">
        <v>82</v>
      </c>
      <c r="IT363" s="24"/>
      <c r="IU363">
        <v>8686</v>
      </c>
      <c r="IV363">
        <v>8887</v>
      </c>
      <c r="IW363">
        <v>8699</v>
      </c>
      <c r="IX363">
        <v>1648787</v>
      </c>
      <c r="IY363">
        <v>148</v>
      </c>
      <c r="JA363" s="24"/>
      <c r="JB363">
        <v>91005002</v>
      </c>
      <c r="JC363">
        <v>93998996</v>
      </c>
      <c r="JD363">
        <v>91114009</v>
      </c>
      <c r="JE363">
        <v>194</v>
      </c>
      <c r="JF363">
        <v>125</v>
      </c>
      <c r="JH363" s="24"/>
      <c r="JI363">
        <v>91013001</v>
      </c>
      <c r="JJ363">
        <v>96992999</v>
      </c>
      <c r="JK363">
        <v>93609005</v>
      </c>
      <c r="JL363">
        <v>147</v>
      </c>
      <c r="JM363">
        <v>86</v>
      </c>
      <c r="JO363" s="24"/>
      <c r="JP363">
        <v>88</v>
      </c>
      <c r="JQ363">
        <v>92</v>
      </c>
      <c r="JR363">
        <v>88</v>
      </c>
      <c r="JS363">
        <v>122124516</v>
      </c>
      <c r="JT363">
        <v>107</v>
      </c>
      <c r="JV363" s="24"/>
      <c r="JW363">
        <v>93</v>
      </c>
      <c r="JX363">
        <v>97</v>
      </c>
      <c r="JY363">
        <v>93</v>
      </c>
      <c r="JZ363">
        <v>100958895</v>
      </c>
      <c r="KA363">
        <v>128</v>
      </c>
      <c r="KC363" s="24"/>
      <c r="KD363">
        <v>179</v>
      </c>
      <c r="KE363">
        <v>186</v>
      </c>
      <c r="KF363">
        <v>179</v>
      </c>
      <c r="KG363">
        <v>60457535</v>
      </c>
      <c r="KH363">
        <v>385</v>
      </c>
      <c r="KJ363" s="24"/>
      <c r="KK363">
        <v>109</v>
      </c>
      <c r="KL363">
        <v>113</v>
      </c>
      <c r="KM363">
        <v>112</v>
      </c>
      <c r="KN363">
        <v>159281262</v>
      </c>
      <c r="KO363">
        <v>154</v>
      </c>
      <c r="KQ363" s="24"/>
      <c r="KR363">
        <v>120501</v>
      </c>
      <c r="KS363">
        <v>121000</v>
      </c>
      <c r="KT363">
        <v>120501</v>
      </c>
      <c r="KU363">
        <v>100689</v>
      </c>
      <c r="KV363">
        <v>635</v>
      </c>
      <c r="KX363" s="24"/>
      <c r="KY363">
        <v>810</v>
      </c>
      <c r="KZ363">
        <v>843</v>
      </c>
      <c r="LA363">
        <v>826</v>
      </c>
      <c r="LB363">
        <v>9092060</v>
      </c>
      <c r="LC363">
        <v>197</v>
      </c>
      <c r="LE363" s="24"/>
      <c r="LF363">
        <v>175612</v>
      </c>
      <c r="LG363">
        <v>176012</v>
      </c>
      <c r="LH363">
        <v>176006</v>
      </c>
      <c r="LI363">
        <v>141384</v>
      </c>
      <c r="LJ363">
        <v>1005</v>
      </c>
      <c r="LL363" s="24"/>
      <c r="LM363">
        <v>58500</v>
      </c>
      <c r="LN363">
        <v>58501</v>
      </c>
      <c r="LO363">
        <v>58501</v>
      </c>
      <c r="LP363">
        <v>524146</v>
      </c>
      <c r="LQ363">
        <v>1135</v>
      </c>
      <c r="LS363" s="24"/>
      <c r="LT363">
        <v>390</v>
      </c>
      <c r="LU363">
        <v>415</v>
      </c>
      <c r="LV363">
        <v>400</v>
      </c>
      <c r="LW363">
        <v>143179132</v>
      </c>
      <c r="LX363">
        <v>345</v>
      </c>
      <c r="LZ363" s="24"/>
      <c r="MA363">
        <v>100000</v>
      </c>
      <c r="MB363">
        <v>100998</v>
      </c>
      <c r="MC363">
        <v>100989</v>
      </c>
      <c r="MD363">
        <v>529662</v>
      </c>
      <c r="ME363">
        <v>124</v>
      </c>
    </row>
    <row r="364" spans="2:343" x14ac:dyDescent="0.25">
      <c r="B364" s="24"/>
      <c r="C364">
        <v>3</v>
      </c>
      <c r="D364">
        <v>3</v>
      </c>
      <c r="E364">
        <v>3</v>
      </c>
      <c r="F364">
        <v>35645203186</v>
      </c>
      <c r="G364">
        <v>1944</v>
      </c>
      <c r="I364" s="24"/>
      <c r="J364">
        <v>4</v>
      </c>
      <c r="K364">
        <v>4</v>
      </c>
      <c r="L364">
        <v>4</v>
      </c>
      <c r="M364">
        <v>8398735753</v>
      </c>
      <c r="N364">
        <v>1432</v>
      </c>
      <c r="P364" s="24"/>
      <c r="Q364">
        <v>35</v>
      </c>
      <c r="R364">
        <v>35</v>
      </c>
      <c r="S364">
        <v>35</v>
      </c>
      <c r="T364">
        <v>1951765891</v>
      </c>
      <c r="U364">
        <v>1352</v>
      </c>
      <c r="W364" s="24"/>
      <c r="X364">
        <v>61</v>
      </c>
      <c r="Y364">
        <v>62</v>
      </c>
      <c r="Z364">
        <v>61</v>
      </c>
      <c r="AA364">
        <v>467055757</v>
      </c>
      <c r="AB364">
        <v>1096</v>
      </c>
      <c r="AD364" s="24"/>
      <c r="AE364">
        <v>481</v>
      </c>
      <c r="AF364">
        <v>490</v>
      </c>
      <c r="AG364">
        <v>490</v>
      </c>
      <c r="AH364">
        <v>113528402</v>
      </c>
      <c r="AI364">
        <v>1147</v>
      </c>
      <c r="AK364" s="24"/>
      <c r="AL364">
        <v>759</v>
      </c>
      <c r="AM364">
        <v>778</v>
      </c>
      <c r="AN364">
        <v>777</v>
      </c>
      <c r="AO364">
        <v>45819021</v>
      </c>
      <c r="AP364">
        <v>1000</v>
      </c>
      <c r="AR364" s="24"/>
      <c r="AS364">
        <v>2727</v>
      </c>
      <c r="AT364">
        <v>2803</v>
      </c>
      <c r="AU364">
        <v>2727</v>
      </c>
      <c r="AV364">
        <v>17145191</v>
      </c>
      <c r="AW364">
        <v>981</v>
      </c>
      <c r="AY364" s="24"/>
      <c r="AZ364">
        <v>475112124</v>
      </c>
      <c r="BA364">
        <v>483594000</v>
      </c>
      <c r="BB364">
        <v>482606900</v>
      </c>
      <c r="BC364">
        <v>2631</v>
      </c>
      <c r="BD364">
        <v>1830</v>
      </c>
      <c r="BF364" s="24"/>
      <c r="BG364">
        <v>24557</v>
      </c>
      <c r="BH364">
        <v>24757</v>
      </c>
      <c r="BI364">
        <v>24563</v>
      </c>
      <c r="BJ364">
        <v>4910261</v>
      </c>
      <c r="BK364">
        <v>220</v>
      </c>
      <c r="BM364" s="24"/>
      <c r="BN364">
        <v>6900005</v>
      </c>
      <c r="BO364">
        <v>7001004</v>
      </c>
      <c r="BP364">
        <v>7000000</v>
      </c>
      <c r="BQ364">
        <v>12551</v>
      </c>
      <c r="BR364">
        <v>342</v>
      </c>
      <c r="BT364" s="24"/>
      <c r="BU364">
        <v>2023</v>
      </c>
      <c r="BV364">
        <v>2026</v>
      </c>
      <c r="BW364">
        <v>2024</v>
      </c>
      <c r="BX364">
        <v>29610655</v>
      </c>
      <c r="BY364">
        <v>256</v>
      </c>
      <c r="CA364" s="24"/>
      <c r="CB364">
        <v>1271</v>
      </c>
      <c r="CC364">
        <v>1361</v>
      </c>
      <c r="CD364">
        <v>1347</v>
      </c>
      <c r="CE364">
        <v>34612565</v>
      </c>
      <c r="CF364">
        <v>256</v>
      </c>
      <c r="CH364" s="24"/>
      <c r="CI364">
        <v>27380</v>
      </c>
      <c r="CJ364">
        <v>27400</v>
      </c>
      <c r="CK364">
        <v>27390</v>
      </c>
      <c r="CL364">
        <v>655526</v>
      </c>
      <c r="CM364">
        <v>151</v>
      </c>
      <c r="CO364" s="24"/>
      <c r="CP364">
        <v>11500</v>
      </c>
      <c r="CQ364">
        <v>12995</v>
      </c>
      <c r="CR364">
        <v>12225</v>
      </c>
      <c r="CS364">
        <v>1165616</v>
      </c>
      <c r="CT364">
        <v>328</v>
      </c>
      <c r="CV364" s="24"/>
      <c r="CW364">
        <v>1130111</v>
      </c>
      <c r="CX364">
        <v>1145000</v>
      </c>
      <c r="CY364">
        <v>1130111</v>
      </c>
      <c r="CZ364">
        <v>6065</v>
      </c>
      <c r="DA364">
        <v>23</v>
      </c>
      <c r="DC364" s="24"/>
      <c r="DD364">
        <v>446</v>
      </c>
      <c r="DE364">
        <v>459</v>
      </c>
      <c r="DF364">
        <v>452</v>
      </c>
      <c r="DG364">
        <v>37765269</v>
      </c>
      <c r="DH364">
        <v>181</v>
      </c>
      <c r="DJ364" s="24"/>
      <c r="DK364">
        <v>31800010</v>
      </c>
      <c r="DL364">
        <v>32000000</v>
      </c>
      <c r="DM364">
        <v>32000000</v>
      </c>
      <c r="DN364">
        <v>255</v>
      </c>
      <c r="DO364">
        <v>60</v>
      </c>
      <c r="DQ364" s="24"/>
      <c r="DR364">
        <v>1040018</v>
      </c>
      <c r="DS364">
        <v>1098888</v>
      </c>
      <c r="DT364">
        <v>1042001</v>
      </c>
      <c r="DU364">
        <v>7531</v>
      </c>
      <c r="DV364">
        <v>243</v>
      </c>
      <c r="DX364" s="24"/>
      <c r="DY364">
        <v>21000041</v>
      </c>
      <c r="DZ364">
        <v>22599998</v>
      </c>
      <c r="EA364">
        <v>22149999</v>
      </c>
      <c r="EB364">
        <v>769</v>
      </c>
      <c r="EC364">
        <v>140</v>
      </c>
      <c r="EE364" s="24"/>
      <c r="EF364">
        <v>200</v>
      </c>
      <c r="EG364">
        <v>206</v>
      </c>
      <c r="EH364">
        <v>202</v>
      </c>
      <c r="EI364">
        <v>96415075</v>
      </c>
      <c r="EJ364">
        <v>188</v>
      </c>
      <c r="EL364" s="24"/>
      <c r="EM364">
        <v>50001</v>
      </c>
      <c r="EN364">
        <v>50002</v>
      </c>
      <c r="EO364">
        <v>50001</v>
      </c>
      <c r="EP364">
        <v>76537</v>
      </c>
      <c r="EQ364">
        <v>521</v>
      </c>
      <c r="ES364" s="24"/>
      <c r="ET364">
        <v>375</v>
      </c>
      <c r="EU364">
        <v>400</v>
      </c>
      <c r="EV364">
        <v>385</v>
      </c>
      <c r="EW364">
        <v>64537339</v>
      </c>
      <c r="EX364">
        <v>573</v>
      </c>
      <c r="EZ364" s="24"/>
      <c r="FA364">
        <v>2955555</v>
      </c>
      <c r="FB364">
        <v>3200001</v>
      </c>
      <c r="FC364">
        <v>3200001</v>
      </c>
      <c r="FD364">
        <v>1103</v>
      </c>
      <c r="FE364">
        <v>15</v>
      </c>
      <c r="FG364" s="24"/>
      <c r="FH364">
        <v>10350</v>
      </c>
      <c r="FI364">
        <v>11208</v>
      </c>
      <c r="FJ364">
        <v>10750</v>
      </c>
      <c r="FK364">
        <v>2013786</v>
      </c>
      <c r="FL364">
        <v>446</v>
      </c>
      <c r="FN364" s="24"/>
      <c r="FO364">
        <v>21550</v>
      </c>
      <c r="FP364">
        <v>24974</v>
      </c>
      <c r="FQ364">
        <v>21600</v>
      </c>
      <c r="FR364">
        <v>202045</v>
      </c>
      <c r="FS364">
        <v>94</v>
      </c>
      <c r="FU364" s="24"/>
      <c r="FV364">
        <v>12623</v>
      </c>
      <c r="FW364">
        <v>12700</v>
      </c>
      <c r="FX364">
        <v>12626</v>
      </c>
      <c r="FY364">
        <v>477194</v>
      </c>
      <c r="FZ364">
        <v>903</v>
      </c>
      <c r="GB364" s="24"/>
      <c r="GC364">
        <v>94500000</v>
      </c>
      <c r="GD364">
        <v>98934998</v>
      </c>
      <c r="GE364">
        <v>97312304</v>
      </c>
      <c r="GF364">
        <v>67</v>
      </c>
      <c r="GG364">
        <v>61</v>
      </c>
      <c r="GI364" s="24"/>
      <c r="GJ364">
        <v>17100019</v>
      </c>
      <c r="GK364">
        <v>17995017</v>
      </c>
      <c r="GL364">
        <v>17100033</v>
      </c>
      <c r="GM364">
        <v>426</v>
      </c>
      <c r="GN364">
        <v>86</v>
      </c>
      <c r="GP364" s="24"/>
      <c r="GQ364">
        <v>107</v>
      </c>
      <c r="GR364">
        <v>111</v>
      </c>
      <c r="GS364">
        <v>111</v>
      </c>
      <c r="GT364">
        <v>225033292</v>
      </c>
      <c r="GU364">
        <v>165</v>
      </c>
      <c r="GW364" s="24"/>
      <c r="GX364">
        <v>401</v>
      </c>
      <c r="GY364">
        <v>407</v>
      </c>
      <c r="GZ364">
        <v>404</v>
      </c>
      <c r="HA364">
        <v>46553688</v>
      </c>
      <c r="HB364">
        <v>192</v>
      </c>
      <c r="HD364" s="24"/>
      <c r="HE364">
        <v>5172</v>
      </c>
      <c r="HF364">
        <v>5282</v>
      </c>
      <c r="HG364">
        <v>5278</v>
      </c>
      <c r="HH364">
        <v>23521185</v>
      </c>
      <c r="HI364">
        <v>343</v>
      </c>
      <c r="HK364" s="24"/>
      <c r="HL364">
        <v>91500019</v>
      </c>
      <c r="HM364">
        <v>95830997</v>
      </c>
      <c r="HN364">
        <v>94332092</v>
      </c>
      <c r="HO364">
        <v>87</v>
      </c>
      <c r="HP364">
        <v>63</v>
      </c>
      <c r="HR364" s="24"/>
      <c r="HS364">
        <v>11000</v>
      </c>
      <c r="HT364">
        <v>11958</v>
      </c>
      <c r="HU364">
        <v>11005</v>
      </c>
      <c r="HV364">
        <v>707073</v>
      </c>
      <c r="HW364">
        <v>127</v>
      </c>
      <c r="HY364" s="24"/>
      <c r="HZ364">
        <v>9990</v>
      </c>
      <c r="IA364">
        <v>10948</v>
      </c>
      <c r="IB364">
        <v>10113</v>
      </c>
      <c r="IC364">
        <v>2396145</v>
      </c>
      <c r="ID364">
        <v>480</v>
      </c>
      <c r="IF364" s="24"/>
      <c r="IG364">
        <v>4501</v>
      </c>
      <c r="IH364">
        <v>4829</v>
      </c>
      <c r="II364">
        <v>4826</v>
      </c>
      <c r="IJ364">
        <v>1952328</v>
      </c>
      <c r="IK364">
        <v>157</v>
      </c>
      <c r="IM364" s="24"/>
      <c r="IN364">
        <v>94000001</v>
      </c>
      <c r="IO364">
        <v>97895000</v>
      </c>
      <c r="IP364">
        <v>95686837</v>
      </c>
      <c r="IQ364">
        <v>73</v>
      </c>
      <c r="IR364">
        <v>57</v>
      </c>
      <c r="IT364" s="24"/>
      <c r="IU364">
        <v>13949</v>
      </c>
      <c r="IV364">
        <v>13972</v>
      </c>
      <c r="IW364">
        <v>13953</v>
      </c>
      <c r="IX364">
        <v>615673</v>
      </c>
      <c r="IY364">
        <v>108</v>
      </c>
      <c r="JA364" s="24"/>
      <c r="JB364">
        <v>91021010</v>
      </c>
      <c r="JC364">
        <v>93994998</v>
      </c>
      <c r="JD364">
        <v>93984995</v>
      </c>
      <c r="JE364">
        <v>106</v>
      </c>
      <c r="JF364">
        <v>74</v>
      </c>
      <c r="JH364" s="24"/>
      <c r="JI364">
        <v>92504002</v>
      </c>
      <c r="JJ364">
        <v>95003998</v>
      </c>
      <c r="JK364">
        <v>94415880</v>
      </c>
      <c r="JL364">
        <v>60</v>
      </c>
      <c r="JM364">
        <v>49</v>
      </c>
      <c r="JO364" s="24"/>
      <c r="JP364">
        <v>88</v>
      </c>
      <c r="JQ364">
        <v>91</v>
      </c>
      <c r="JR364">
        <v>90</v>
      </c>
      <c r="JS364">
        <v>112570855</v>
      </c>
      <c r="JT364">
        <v>102</v>
      </c>
      <c r="JV364" s="24"/>
      <c r="JW364">
        <v>94</v>
      </c>
      <c r="JX364">
        <v>97</v>
      </c>
      <c r="JY364">
        <v>94</v>
      </c>
      <c r="JZ364">
        <v>169085841</v>
      </c>
      <c r="KA364">
        <v>135</v>
      </c>
      <c r="KC364" s="24"/>
      <c r="KD364">
        <v>162</v>
      </c>
      <c r="KE364">
        <v>173</v>
      </c>
      <c r="KF364">
        <v>172</v>
      </c>
      <c r="KG364">
        <v>53818937</v>
      </c>
      <c r="KH364">
        <v>315</v>
      </c>
      <c r="KJ364" s="24"/>
      <c r="KK364">
        <v>105</v>
      </c>
      <c r="KL364">
        <v>110</v>
      </c>
      <c r="KM364">
        <v>109</v>
      </c>
      <c r="KN364">
        <v>131344881</v>
      </c>
      <c r="KO364">
        <v>133</v>
      </c>
      <c r="KQ364" s="24"/>
      <c r="KR364">
        <v>120503</v>
      </c>
      <c r="KS364">
        <v>121000</v>
      </c>
      <c r="KT364">
        <v>120504</v>
      </c>
      <c r="KU364">
        <v>74512</v>
      </c>
      <c r="KV364">
        <v>492</v>
      </c>
      <c r="KX364" s="24"/>
      <c r="KY364">
        <v>780</v>
      </c>
      <c r="KZ364">
        <v>841</v>
      </c>
      <c r="LA364">
        <v>780</v>
      </c>
      <c r="LB364">
        <v>8826693</v>
      </c>
      <c r="LC364">
        <v>187</v>
      </c>
      <c r="LE364" s="24"/>
      <c r="LF364">
        <v>175612</v>
      </c>
      <c r="LG364">
        <v>177520</v>
      </c>
      <c r="LH364">
        <v>176000</v>
      </c>
      <c r="LI364">
        <v>120725</v>
      </c>
      <c r="LJ364">
        <v>696</v>
      </c>
      <c r="LL364" s="24"/>
      <c r="LM364">
        <v>57132</v>
      </c>
      <c r="LN364">
        <v>58304</v>
      </c>
      <c r="LO364">
        <v>58303</v>
      </c>
      <c r="LP364">
        <v>451894</v>
      </c>
      <c r="LQ364">
        <v>950</v>
      </c>
      <c r="LS364" s="24"/>
      <c r="LT364">
        <v>409</v>
      </c>
      <c r="LU364">
        <v>412</v>
      </c>
      <c r="LV364">
        <v>410</v>
      </c>
      <c r="LW364">
        <v>132387884</v>
      </c>
      <c r="LX364">
        <v>375</v>
      </c>
      <c r="LZ364" s="24"/>
      <c r="MA364">
        <v>100997</v>
      </c>
      <c r="MB364">
        <v>100997</v>
      </c>
      <c r="MC364">
        <v>100997</v>
      </c>
      <c r="MD364">
        <v>640217</v>
      </c>
      <c r="ME364">
        <v>66</v>
      </c>
    </row>
    <row r="365" spans="2:343" x14ac:dyDescent="0.25">
      <c r="B365" s="24"/>
      <c r="C365">
        <v>3</v>
      </c>
      <c r="D365">
        <v>3</v>
      </c>
      <c r="E365">
        <v>3</v>
      </c>
      <c r="F365">
        <v>33823593803</v>
      </c>
      <c r="G365">
        <v>1902</v>
      </c>
      <c r="I365" s="24"/>
      <c r="J365">
        <v>4</v>
      </c>
      <c r="K365">
        <v>4</v>
      </c>
      <c r="L365">
        <v>4</v>
      </c>
      <c r="M365">
        <v>7555547042</v>
      </c>
      <c r="N365">
        <v>1453</v>
      </c>
      <c r="P365" s="24"/>
      <c r="Q365">
        <v>35</v>
      </c>
      <c r="R365">
        <v>53</v>
      </c>
      <c r="S365">
        <v>39</v>
      </c>
      <c r="T365">
        <v>1908499674</v>
      </c>
      <c r="U365">
        <v>1571</v>
      </c>
      <c r="W365" s="24"/>
      <c r="X365">
        <v>61</v>
      </c>
      <c r="Y365">
        <v>61</v>
      </c>
      <c r="Z365">
        <v>61</v>
      </c>
      <c r="AA365">
        <v>354435547</v>
      </c>
      <c r="AB365">
        <v>1103</v>
      </c>
      <c r="AD365" s="24"/>
      <c r="AE365">
        <v>468</v>
      </c>
      <c r="AF365">
        <v>489</v>
      </c>
      <c r="AG365">
        <v>481</v>
      </c>
      <c r="AH365">
        <v>114841298</v>
      </c>
      <c r="AI365">
        <v>1059</v>
      </c>
      <c r="AK365" s="24"/>
      <c r="AL365">
        <v>788</v>
      </c>
      <c r="AM365">
        <v>789</v>
      </c>
      <c r="AN365">
        <v>788</v>
      </c>
      <c r="AO365">
        <v>40619664</v>
      </c>
      <c r="AP365">
        <v>1156</v>
      </c>
      <c r="AR365" s="24"/>
      <c r="AS365">
        <v>2818</v>
      </c>
      <c r="AT365">
        <v>2887</v>
      </c>
      <c r="AU365">
        <v>2819</v>
      </c>
      <c r="AV365">
        <v>17939873</v>
      </c>
      <c r="AW365">
        <v>1192</v>
      </c>
      <c r="AY365" s="24"/>
      <c r="AZ365">
        <v>468174999</v>
      </c>
      <c r="BA365">
        <v>479609495</v>
      </c>
      <c r="BB365">
        <v>470202003</v>
      </c>
      <c r="BC365">
        <v>2031</v>
      </c>
      <c r="BD365">
        <v>1239</v>
      </c>
      <c r="BF365" s="24"/>
      <c r="BG365">
        <v>24565</v>
      </c>
      <c r="BH365">
        <v>24566</v>
      </c>
      <c r="BI365">
        <v>24565</v>
      </c>
      <c r="BJ365">
        <v>1100021</v>
      </c>
      <c r="BK365">
        <v>109</v>
      </c>
      <c r="BM365" s="24"/>
      <c r="BN365">
        <v>6730110</v>
      </c>
      <c r="BO365">
        <v>6730519</v>
      </c>
      <c r="BP365">
        <v>6730509</v>
      </c>
      <c r="BQ365">
        <v>8189</v>
      </c>
      <c r="BR365">
        <v>223</v>
      </c>
      <c r="BT365" s="24"/>
      <c r="BU365">
        <v>2026</v>
      </c>
      <c r="BV365">
        <v>2073</v>
      </c>
      <c r="BW365">
        <v>2034</v>
      </c>
      <c r="BX365">
        <v>12777067</v>
      </c>
      <c r="BY365">
        <v>111</v>
      </c>
      <c r="CA365" s="24"/>
      <c r="CB365">
        <v>1206</v>
      </c>
      <c r="CC365">
        <v>1347</v>
      </c>
      <c r="CD365">
        <v>1308</v>
      </c>
      <c r="CE365">
        <v>34676043</v>
      </c>
      <c r="CF365">
        <v>196</v>
      </c>
      <c r="CH365" s="24"/>
      <c r="CI365">
        <v>28000</v>
      </c>
      <c r="CJ365">
        <v>29000</v>
      </c>
      <c r="CK365">
        <v>28702</v>
      </c>
      <c r="CL365">
        <v>741498</v>
      </c>
      <c r="CM365">
        <v>79</v>
      </c>
      <c r="CO365" s="24"/>
      <c r="CP365">
        <v>12994</v>
      </c>
      <c r="CQ365">
        <v>12997</v>
      </c>
      <c r="CR365">
        <v>12996</v>
      </c>
      <c r="CS365">
        <v>1212278</v>
      </c>
      <c r="CT365">
        <v>262</v>
      </c>
      <c r="CV365" s="24"/>
      <c r="CW365">
        <v>1055036</v>
      </c>
      <c r="CX365">
        <v>1130000</v>
      </c>
      <c r="CY365">
        <v>1055037</v>
      </c>
      <c r="CZ365">
        <v>7440</v>
      </c>
      <c r="DA365">
        <v>12</v>
      </c>
      <c r="DC365" s="24"/>
      <c r="DD365">
        <v>452</v>
      </c>
      <c r="DE365">
        <v>477</v>
      </c>
      <c r="DF365">
        <v>458</v>
      </c>
      <c r="DG365">
        <v>55559376</v>
      </c>
      <c r="DH365">
        <v>151</v>
      </c>
      <c r="DJ365" s="24"/>
      <c r="DK365">
        <v>31900000</v>
      </c>
      <c r="DL365">
        <v>32000000</v>
      </c>
      <c r="DM365">
        <v>31900001</v>
      </c>
      <c r="DN365">
        <v>541</v>
      </c>
      <c r="DO365">
        <v>72</v>
      </c>
      <c r="DQ365" s="24"/>
      <c r="DR365">
        <v>1040006</v>
      </c>
      <c r="DS365">
        <v>1123989</v>
      </c>
      <c r="DT365">
        <v>1040008</v>
      </c>
      <c r="DU365">
        <v>7105</v>
      </c>
      <c r="DV365">
        <v>142</v>
      </c>
      <c r="DX365" s="24"/>
      <c r="DY365">
        <v>21000044</v>
      </c>
      <c r="DZ365">
        <v>22599997</v>
      </c>
      <c r="EA365">
        <v>21000044</v>
      </c>
      <c r="EB365">
        <v>713</v>
      </c>
      <c r="EC365">
        <v>102</v>
      </c>
      <c r="EE365" s="24"/>
      <c r="EF365">
        <v>200</v>
      </c>
      <c r="EG365">
        <v>206</v>
      </c>
      <c r="EH365">
        <v>200</v>
      </c>
      <c r="EI365">
        <v>44744337</v>
      </c>
      <c r="EJ365">
        <v>73</v>
      </c>
      <c r="EL365" s="24"/>
      <c r="EM365">
        <v>50500</v>
      </c>
      <c r="EN365">
        <v>50501</v>
      </c>
      <c r="EO365">
        <v>50500</v>
      </c>
      <c r="EP365">
        <v>92943</v>
      </c>
      <c r="EQ365">
        <v>344</v>
      </c>
      <c r="ES365" s="24"/>
      <c r="ET365">
        <v>380</v>
      </c>
      <c r="EU365">
        <v>407</v>
      </c>
      <c r="EV365">
        <v>404</v>
      </c>
      <c r="EW365">
        <v>34377483</v>
      </c>
      <c r="EX365">
        <v>379</v>
      </c>
      <c r="EZ365" s="24"/>
      <c r="FA365">
        <v>3541999</v>
      </c>
      <c r="FB365">
        <v>3549999</v>
      </c>
      <c r="FC365">
        <v>3549428</v>
      </c>
      <c r="FD365">
        <v>42</v>
      </c>
      <c r="FE365">
        <v>2</v>
      </c>
      <c r="FG365" s="24"/>
      <c r="FH365">
        <v>11142</v>
      </c>
      <c r="FI365">
        <v>11249</v>
      </c>
      <c r="FJ365">
        <v>11167</v>
      </c>
      <c r="FK365">
        <v>2931579</v>
      </c>
      <c r="FL365">
        <v>360</v>
      </c>
      <c r="FN365" s="24"/>
      <c r="FO365">
        <v>22260</v>
      </c>
      <c r="FP365">
        <v>24969</v>
      </c>
      <c r="FQ365">
        <v>24968</v>
      </c>
      <c r="FR365">
        <v>46712</v>
      </c>
      <c r="FS365">
        <v>32</v>
      </c>
      <c r="FU365" s="24"/>
      <c r="FV365">
        <v>12502</v>
      </c>
      <c r="FW365">
        <v>12600</v>
      </c>
      <c r="FX365">
        <v>12503</v>
      </c>
      <c r="FY365">
        <v>312518</v>
      </c>
      <c r="FZ365">
        <v>546</v>
      </c>
      <c r="GB365" s="24"/>
      <c r="GC365">
        <v>89758500</v>
      </c>
      <c r="GD365">
        <v>94000000</v>
      </c>
      <c r="GE365">
        <v>92375059</v>
      </c>
      <c r="GF365">
        <v>52</v>
      </c>
      <c r="GG365">
        <v>43</v>
      </c>
      <c r="GI365" s="24"/>
      <c r="GJ365">
        <v>17500000</v>
      </c>
      <c r="GK365">
        <v>17700000</v>
      </c>
      <c r="GL365">
        <v>17500023</v>
      </c>
      <c r="GM365">
        <v>749</v>
      </c>
      <c r="GN365">
        <v>66</v>
      </c>
      <c r="GP365" s="24"/>
      <c r="GQ365">
        <v>101</v>
      </c>
      <c r="GR365">
        <v>107</v>
      </c>
      <c r="GS365">
        <v>101</v>
      </c>
      <c r="GT365">
        <v>73191956</v>
      </c>
      <c r="GU365">
        <v>59</v>
      </c>
      <c r="GW365" s="24"/>
      <c r="GX365">
        <v>403</v>
      </c>
      <c r="GY365">
        <v>414</v>
      </c>
      <c r="GZ365">
        <v>406</v>
      </c>
      <c r="HA365">
        <v>54243004</v>
      </c>
      <c r="HB365">
        <v>160</v>
      </c>
      <c r="HD365" s="24"/>
      <c r="HE365">
        <v>5173</v>
      </c>
      <c r="HF365">
        <v>5281</v>
      </c>
      <c r="HG365">
        <v>5281</v>
      </c>
      <c r="HH365">
        <v>7838166</v>
      </c>
      <c r="HI365">
        <v>172</v>
      </c>
      <c r="HK365" s="24"/>
      <c r="HL365">
        <v>91504002</v>
      </c>
      <c r="HM365">
        <v>95825000</v>
      </c>
      <c r="HN365">
        <v>91504006</v>
      </c>
      <c r="HO365">
        <v>111</v>
      </c>
      <c r="HP365">
        <v>48</v>
      </c>
      <c r="HR365" s="24"/>
      <c r="HS365">
        <v>10530</v>
      </c>
      <c r="HT365">
        <v>11944</v>
      </c>
      <c r="HU365">
        <v>11692</v>
      </c>
      <c r="HV365">
        <v>440661</v>
      </c>
      <c r="HW365">
        <v>75</v>
      </c>
      <c r="HY365" s="24"/>
      <c r="HZ365">
        <v>10999</v>
      </c>
      <c r="IA365">
        <v>11696</v>
      </c>
      <c r="IB365">
        <v>11000</v>
      </c>
      <c r="IC365">
        <v>2136266</v>
      </c>
      <c r="ID365">
        <v>363</v>
      </c>
      <c r="IF365" s="24"/>
      <c r="IG365">
        <v>4270</v>
      </c>
      <c r="IH365">
        <v>4358</v>
      </c>
      <c r="II365">
        <v>4351</v>
      </c>
      <c r="IJ365">
        <v>1932188</v>
      </c>
      <c r="IK365">
        <v>129</v>
      </c>
      <c r="IM365" s="24"/>
      <c r="IN365">
        <v>90006006</v>
      </c>
      <c r="IO365">
        <v>94003006</v>
      </c>
      <c r="IP365">
        <v>94000000</v>
      </c>
      <c r="IQ365">
        <v>117</v>
      </c>
      <c r="IR365">
        <v>48</v>
      </c>
      <c r="IT365" s="24"/>
      <c r="IU365">
        <v>9701</v>
      </c>
      <c r="IV365">
        <v>12990</v>
      </c>
      <c r="IW365">
        <v>12909</v>
      </c>
      <c r="IX365">
        <v>409470</v>
      </c>
      <c r="IY365">
        <v>49</v>
      </c>
      <c r="JA365" s="24"/>
      <c r="JB365">
        <v>91005002</v>
      </c>
      <c r="JC365">
        <v>92000000</v>
      </c>
      <c r="JD365">
        <v>91191593</v>
      </c>
      <c r="JE365">
        <v>91</v>
      </c>
      <c r="JF365">
        <v>54</v>
      </c>
      <c r="JH365" s="24"/>
      <c r="JI365">
        <v>92516000</v>
      </c>
      <c r="JJ365">
        <v>94987998</v>
      </c>
      <c r="JK365">
        <v>93271758</v>
      </c>
      <c r="JL365">
        <v>84</v>
      </c>
      <c r="JM365">
        <v>39</v>
      </c>
      <c r="JO365" s="24"/>
      <c r="JP365">
        <v>88</v>
      </c>
      <c r="JQ365">
        <v>89</v>
      </c>
      <c r="JR365">
        <v>88</v>
      </c>
      <c r="JS365">
        <v>82018263</v>
      </c>
      <c r="JT365">
        <v>58</v>
      </c>
      <c r="JV365" s="24"/>
      <c r="JW365">
        <v>94</v>
      </c>
      <c r="JX365">
        <v>97</v>
      </c>
      <c r="JY365">
        <v>94</v>
      </c>
      <c r="JZ365">
        <v>56471695</v>
      </c>
      <c r="KA365">
        <v>62</v>
      </c>
      <c r="KC365" s="24"/>
      <c r="KD365">
        <v>206</v>
      </c>
      <c r="KE365">
        <v>250</v>
      </c>
      <c r="KF365">
        <v>210</v>
      </c>
      <c r="KG365">
        <v>139106364</v>
      </c>
      <c r="KH365">
        <v>273</v>
      </c>
      <c r="KJ365" s="24"/>
      <c r="KK365">
        <v>105</v>
      </c>
      <c r="KL365">
        <v>109</v>
      </c>
      <c r="KM365">
        <v>109</v>
      </c>
      <c r="KN365">
        <v>56568680</v>
      </c>
      <c r="KO365">
        <v>61</v>
      </c>
      <c r="KQ365" s="24"/>
      <c r="KR365">
        <v>120500</v>
      </c>
      <c r="KS365">
        <v>120500</v>
      </c>
      <c r="KT365">
        <v>120500</v>
      </c>
      <c r="KU365">
        <v>33630</v>
      </c>
      <c r="KV365">
        <v>267</v>
      </c>
      <c r="KX365" s="24"/>
      <c r="KY365">
        <v>832</v>
      </c>
      <c r="KZ365">
        <v>837</v>
      </c>
      <c r="LA365">
        <v>833</v>
      </c>
      <c r="LB365">
        <v>1758398</v>
      </c>
      <c r="LC365">
        <v>76</v>
      </c>
      <c r="LE365" s="24"/>
      <c r="LF365">
        <v>177505</v>
      </c>
      <c r="LG365">
        <v>178000</v>
      </c>
      <c r="LH365">
        <v>177506</v>
      </c>
      <c r="LI365">
        <v>113704</v>
      </c>
      <c r="LJ365">
        <v>399</v>
      </c>
      <c r="LL365" s="24"/>
      <c r="LM365">
        <v>56004</v>
      </c>
      <c r="LN365">
        <v>56500</v>
      </c>
      <c r="LO365">
        <v>56010</v>
      </c>
      <c r="LP365">
        <v>329026</v>
      </c>
      <c r="LQ365">
        <v>554</v>
      </c>
      <c r="LS365" s="24"/>
      <c r="LT365">
        <v>413</v>
      </c>
      <c r="LU365">
        <v>413</v>
      </c>
      <c r="LV365">
        <v>413</v>
      </c>
      <c r="LW365">
        <v>142455781</v>
      </c>
      <c r="LX365">
        <v>281</v>
      </c>
      <c r="LZ365" s="24"/>
      <c r="MA365">
        <v>99520</v>
      </c>
      <c r="MB365">
        <v>100999</v>
      </c>
      <c r="MC365">
        <v>99521</v>
      </c>
      <c r="MD365">
        <v>628138</v>
      </c>
      <c r="ME365">
        <v>39</v>
      </c>
    </row>
    <row r="366" spans="2:343" x14ac:dyDescent="0.25">
      <c r="B366" s="24"/>
      <c r="C366">
        <v>3</v>
      </c>
      <c r="D366">
        <v>3</v>
      </c>
      <c r="E366">
        <v>3</v>
      </c>
      <c r="F366">
        <v>33994159680</v>
      </c>
      <c r="G366">
        <v>2645</v>
      </c>
      <c r="I366" s="24"/>
      <c r="J366">
        <v>4</v>
      </c>
      <c r="K366">
        <v>4</v>
      </c>
      <c r="L366">
        <v>4</v>
      </c>
      <c r="M366">
        <v>7841002753</v>
      </c>
      <c r="N366">
        <v>2026</v>
      </c>
      <c r="P366" s="24"/>
      <c r="Q366">
        <v>37</v>
      </c>
      <c r="R366">
        <v>39</v>
      </c>
      <c r="S366">
        <v>37</v>
      </c>
      <c r="T366">
        <v>2571090597</v>
      </c>
      <c r="U366">
        <v>2069</v>
      </c>
      <c r="W366" s="24"/>
      <c r="X366">
        <v>60</v>
      </c>
      <c r="Y366">
        <v>62</v>
      </c>
      <c r="Z366">
        <v>61</v>
      </c>
      <c r="AA366">
        <v>412492684</v>
      </c>
      <c r="AB366">
        <v>1559</v>
      </c>
      <c r="AD366" s="24"/>
      <c r="AE366">
        <v>471</v>
      </c>
      <c r="AF366">
        <v>481</v>
      </c>
      <c r="AG366">
        <v>479</v>
      </c>
      <c r="AH366">
        <v>107577587</v>
      </c>
      <c r="AI366">
        <v>1556</v>
      </c>
      <c r="AK366" s="24"/>
      <c r="AL366">
        <v>775</v>
      </c>
      <c r="AM366">
        <v>828</v>
      </c>
      <c r="AN366">
        <v>820</v>
      </c>
      <c r="AO366">
        <v>71212855</v>
      </c>
      <c r="AP366">
        <v>1576</v>
      </c>
      <c r="AR366" s="24"/>
      <c r="AS366">
        <v>2805</v>
      </c>
      <c r="AT366">
        <v>2927</v>
      </c>
      <c r="AU366">
        <v>2892</v>
      </c>
      <c r="AV366">
        <v>17433364</v>
      </c>
      <c r="AW366">
        <v>1552</v>
      </c>
      <c r="AY366" s="24"/>
      <c r="AZ366">
        <v>445000002</v>
      </c>
      <c r="BA366">
        <v>454998998</v>
      </c>
      <c r="BB366">
        <v>447500000</v>
      </c>
      <c r="BC366">
        <v>3495</v>
      </c>
      <c r="BD366">
        <v>2465</v>
      </c>
      <c r="BF366" s="24"/>
      <c r="BG366">
        <v>24577</v>
      </c>
      <c r="BH366">
        <v>24900</v>
      </c>
      <c r="BI366">
        <v>24900</v>
      </c>
      <c r="BJ366">
        <v>4818293</v>
      </c>
      <c r="BK366">
        <v>283</v>
      </c>
      <c r="BM366" s="24"/>
      <c r="BN366">
        <v>6730523</v>
      </c>
      <c r="BO366">
        <v>6731500</v>
      </c>
      <c r="BP366">
        <v>6730525</v>
      </c>
      <c r="BQ366">
        <v>15948</v>
      </c>
      <c r="BR366">
        <v>400</v>
      </c>
      <c r="BT366" s="24"/>
      <c r="BU366">
        <v>2077</v>
      </c>
      <c r="BV366">
        <v>2077</v>
      </c>
      <c r="BW366">
        <v>2077</v>
      </c>
      <c r="BX366">
        <v>27906135</v>
      </c>
      <c r="BY366">
        <v>226</v>
      </c>
      <c r="CA366" s="24"/>
      <c r="CB366">
        <v>1190</v>
      </c>
      <c r="CC366">
        <v>1268</v>
      </c>
      <c r="CD366">
        <v>1259</v>
      </c>
      <c r="CE366">
        <v>49857156</v>
      </c>
      <c r="CF366">
        <v>361</v>
      </c>
      <c r="CH366" s="24"/>
      <c r="CI366">
        <v>27401</v>
      </c>
      <c r="CJ366">
        <v>27602</v>
      </c>
      <c r="CK366">
        <v>27403</v>
      </c>
      <c r="CL366">
        <v>2669804</v>
      </c>
      <c r="CM366">
        <v>213</v>
      </c>
      <c r="CO366" s="24"/>
      <c r="CP366">
        <v>12825</v>
      </c>
      <c r="CQ366">
        <v>15659</v>
      </c>
      <c r="CR366">
        <v>13851</v>
      </c>
      <c r="CS366">
        <v>1882738</v>
      </c>
      <c r="CT366">
        <v>550</v>
      </c>
      <c r="CV366" s="24"/>
      <c r="CW366">
        <v>1055036</v>
      </c>
      <c r="CX366">
        <v>1135999</v>
      </c>
      <c r="CY366">
        <v>1104999</v>
      </c>
      <c r="CZ366">
        <v>8036</v>
      </c>
      <c r="DA366">
        <v>34</v>
      </c>
      <c r="DC366" s="24"/>
      <c r="DD366">
        <v>410</v>
      </c>
      <c r="DE366">
        <v>477</v>
      </c>
      <c r="DF366">
        <v>463</v>
      </c>
      <c r="DG366">
        <v>64763330</v>
      </c>
      <c r="DH366">
        <v>276</v>
      </c>
      <c r="DJ366" s="24"/>
      <c r="DK366">
        <v>31546999</v>
      </c>
      <c r="DL366">
        <v>32346106</v>
      </c>
      <c r="DM366">
        <v>31547001</v>
      </c>
      <c r="DN366">
        <v>1175</v>
      </c>
      <c r="DO366">
        <v>119</v>
      </c>
      <c r="DQ366" s="24"/>
      <c r="DR366">
        <v>1040009</v>
      </c>
      <c r="DS366">
        <v>1122987</v>
      </c>
      <c r="DT366">
        <v>1040011</v>
      </c>
      <c r="DU366">
        <v>8751</v>
      </c>
      <c r="DV366">
        <v>278</v>
      </c>
      <c r="DX366" s="24"/>
      <c r="DY366">
        <v>19508002</v>
      </c>
      <c r="DZ366">
        <v>21499999</v>
      </c>
      <c r="EA366">
        <v>19508007</v>
      </c>
      <c r="EB366">
        <v>708</v>
      </c>
      <c r="EC366">
        <v>121</v>
      </c>
      <c r="EE366" s="24"/>
      <c r="EF366">
        <v>200</v>
      </c>
      <c r="EG366">
        <v>208</v>
      </c>
      <c r="EH366">
        <v>204</v>
      </c>
      <c r="EI366">
        <v>77107853</v>
      </c>
      <c r="EJ366">
        <v>136</v>
      </c>
      <c r="EL366" s="24"/>
      <c r="EM366">
        <v>50500</v>
      </c>
      <c r="EN366">
        <v>50500</v>
      </c>
      <c r="EO366">
        <v>50500</v>
      </c>
      <c r="EP366">
        <v>69523</v>
      </c>
      <c r="EQ366">
        <v>567</v>
      </c>
      <c r="ES366" s="24"/>
      <c r="ET366">
        <v>427</v>
      </c>
      <c r="EU366">
        <v>474</v>
      </c>
      <c r="EV366">
        <v>461</v>
      </c>
      <c r="EW366">
        <v>187183179</v>
      </c>
      <c r="EX366">
        <v>801</v>
      </c>
      <c r="EZ366" s="24"/>
      <c r="FA366">
        <v>3541547</v>
      </c>
      <c r="FB366">
        <v>3541984</v>
      </c>
      <c r="FC366">
        <v>3541983</v>
      </c>
      <c r="FD366">
        <v>710</v>
      </c>
      <c r="FE366">
        <v>11</v>
      </c>
      <c r="FG366" s="24"/>
      <c r="FH366">
        <v>11500</v>
      </c>
      <c r="FI366">
        <v>13599</v>
      </c>
      <c r="FJ366">
        <v>12788</v>
      </c>
      <c r="FK366">
        <v>4253541</v>
      </c>
      <c r="FL366">
        <v>679</v>
      </c>
      <c r="FN366" s="24"/>
      <c r="FO366">
        <v>21670</v>
      </c>
      <c r="FP366">
        <v>21670</v>
      </c>
      <c r="FQ366">
        <v>21670</v>
      </c>
      <c r="FR366">
        <v>190053</v>
      </c>
      <c r="FS366">
        <v>67</v>
      </c>
      <c r="FU366" s="24"/>
      <c r="FV366">
        <v>12452</v>
      </c>
      <c r="FW366">
        <v>12458</v>
      </c>
      <c r="FX366">
        <v>12452</v>
      </c>
      <c r="FY366">
        <v>298606</v>
      </c>
      <c r="FZ366">
        <v>995</v>
      </c>
      <c r="GB366" s="24"/>
      <c r="GC366">
        <v>88557001</v>
      </c>
      <c r="GD366">
        <v>94000000</v>
      </c>
      <c r="GE366">
        <v>93551850</v>
      </c>
      <c r="GF366">
        <v>60</v>
      </c>
      <c r="GG366">
        <v>46</v>
      </c>
      <c r="GI366" s="24"/>
      <c r="GJ366">
        <v>16792006</v>
      </c>
      <c r="GK366">
        <v>17103105</v>
      </c>
      <c r="GL366">
        <v>17100036</v>
      </c>
      <c r="GM366">
        <v>974</v>
      </c>
      <c r="GN366">
        <v>97</v>
      </c>
      <c r="GP366" s="24"/>
      <c r="GQ366">
        <v>106</v>
      </c>
      <c r="GR366">
        <v>125</v>
      </c>
      <c r="GS366">
        <v>106</v>
      </c>
      <c r="GT366">
        <v>268478241</v>
      </c>
      <c r="GU366">
        <v>145</v>
      </c>
      <c r="GW366" s="24"/>
      <c r="GX366">
        <v>410</v>
      </c>
      <c r="GY366">
        <v>416</v>
      </c>
      <c r="GZ366">
        <v>413</v>
      </c>
      <c r="HA366">
        <v>85374607</v>
      </c>
      <c r="HB366">
        <v>341</v>
      </c>
      <c r="HD366" s="24"/>
      <c r="HE366">
        <v>5177</v>
      </c>
      <c r="HF366">
        <v>5280</v>
      </c>
      <c r="HG366">
        <v>5280</v>
      </c>
      <c r="HH366">
        <v>19326948</v>
      </c>
      <c r="HI366">
        <v>403</v>
      </c>
      <c r="HK366" s="24"/>
      <c r="HL366">
        <v>89346001</v>
      </c>
      <c r="HM366">
        <v>97489999</v>
      </c>
      <c r="HN366">
        <v>94603324</v>
      </c>
      <c r="HO366">
        <v>73</v>
      </c>
      <c r="HP366">
        <v>50</v>
      </c>
      <c r="HR366" s="24"/>
      <c r="HS366">
        <v>10019</v>
      </c>
      <c r="HT366">
        <v>11033</v>
      </c>
      <c r="HU366">
        <v>10053</v>
      </c>
      <c r="HV366">
        <v>930732</v>
      </c>
      <c r="HW366">
        <v>143</v>
      </c>
      <c r="HY366" s="24"/>
      <c r="HZ366">
        <v>11940</v>
      </c>
      <c r="IA366">
        <v>13541</v>
      </c>
      <c r="IB366">
        <v>11974</v>
      </c>
      <c r="IC366">
        <v>5098263</v>
      </c>
      <c r="ID366">
        <v>702</v>
      </c>
      <c r="IF366" s="24"/>
      <c r="IG366">
        <v>3964</v>
      </c>
      <c r="IH366">
        <v>4600</v>
      </c>
      <c r="II366">
        <v>4597</v>
      </c>
      <c r="IJ366">
        <v>1352469</v>
      </c>
      <c r="IK366">
        <v>230</v>
      </c>
      <c r="IM366" s="24"/>
      <c r="IN366">
        <v>88109000</v>
      </c>
      <c r="IO366">
        <v>97939800</v>
      </c>
      <c r="IP366">
        <v>94206271</v>
      </c>
      <c r="IQ366">
        <v>54</v>
      </c>
      <c r="IR366">
        <v>44</v>
      </c>
      <c r="IT366" s="24"/>
      <c r="IU366">
        <v>10004</v>
      </c>
      <c r="IV366">
        <v>12882</v>
      </c>
      <c r="IW366">
        <v>12000</v>
      </c>
      <c r="IX366">
        <v>1259531</v>
      </c>
      <c r="IY366">
        <v>138</v>
      </c>
      <c r="JA366" s="24"/>
      <c r="JB366">
        <v>88500003</v>
      </c>
      <c r="JC366">
        <v>93982996</v>
      </c>
      <c r="JD366">
        <v>92197793</v>
      </c>
      <c r="JE366">
        <v>84</v>
      </c>
      <c r="JF366">
        <v>57</v>
      </c>
      <c r="JH366" s="24"/>
      <c r="JI366">
        <v>92000000</v>
      </c>
      <c r="JJ366">
        <v>94986695</v>
      </c>
      <c r="JK366">
        <v>93526419</v>
      </c>
      <c r="JL366">
        <v>67</v>
      </c>
      <c r="JM366">
        <v>51</v>
      </c>
      <c r="JO366" s="24"/>
      <c r="JP366">
        <v>87</v>
      </c>
      <c r="JQ366">
        <v>89</v>
      </c>
      <c r="JR366">
        <v>88</v>
      </c>
      <c r="JS366">
        <v>150940326</v>
      </c>
      <c r="JT366">
        <v>123</v>
      </c>
      <c r="JV366" s="24"/>
      <c r="JW366">
        <v>94</v>
      </c>
      <c r="JX366">
        <v>96</v>
      </c>
      <c r="JY366">
        <v>96</v>
      </c>
      <c r="JZ366">
        <v>127524450</v>
      </c>
      <c r="KA366">
        <v>108</v>
      </c>
      <c r="KC366" s="24"/>
      <c r="KD366">
        <v>158</v>
      </c>
      <c r="KE366">
        <v>202</v>
      </c>
      <c r="KF366">
        <v>181</v>
      </c>
      <c r="KG366">
        <v>150139102</v>
      </c>
      <c r="KH366">
        <v>513</v>
      </c>
      <c r="KJ366" s="24"/>
      <c r="KK366">
        <v>107</v>
      </c>
      <c r="KL366">
        <v>109</v>
      </c>
      <c r="KM366">
        <v>108</v>
      </c>
      <c r="KN366">
        <v>148024778</v>
      </c>
      <c r="KO366">
        <v>122</v>
      </c>
      <c r="KQ366" s="24"/>
      <c r="KR366">
        <v>119001</v>
      </c>
      <c r="KS366">
        <v>120980</v>
      </c>
      <c r="KT366">
        <v>120000</v>
      </c>
      <c r="KU366">
        <v>53177</v>
      </c>
      <c r="KV366">
        <v>543</v>
      </c>
      <c r="KX366" s="24"/>
      <c r="KY366">
        <v>748</v>
      </c>
      <c r="KZ366">
        <v>829</v>
      </c>
      <c r="LA366">
        <v>827</v>
      </c>
      <c r="LB366">
        <v>6101809</v>
      </c>
      <c r="LC366">
        <v>144</v>
      </c>
      <c r="LE366" s="24"/>
      <c r="LF366">
        <v>170010</v>
      </c>
      <c r="LG366">
        <v>174025</v>
      </c>
      <c r="LH366">
        <v>170032</v>
      </c>
      <c r="LI366">
        <v>119127</v>
      </c>
      <c r="LJ366">
        <v>779</v>
      </c>
      <c r="LL366" s="24"/>
      <c r="LM366">
        <v>53100</v>
      </c>
      <c r="LN366">
        <v>56001</v>
      </c>
      <c r="LO366">
        <v>54000</v>
      </c>
      <c r="LP366">
        <v>381268</v>
      </c>
      <c r="LQ366">
        <v>1058</v>
      </c>
      <c r="LS366" s="24"/>
      <c r="LT366">
        <v>410</v>
      </c>
      <c r="LU366">
        <v>438</v>
      </c>
      <c r="LV366">
        <v>437</v>
      </c>
      <c r="LW366">
        <v>113884103</v>
      </c>
      <c r="LX366">
        <v>485</v>
      </c>
      <c r="LZ366" s="24"/>
      <c r="MA366">
        <v>97005</v>
      </c>
      <c r="MB366">
        <v>99521</v>
      </c>
      <c r="MC366">
        <v>98000</v>
      </c>
      <c r="MD366">
        <v>867063</v>
      </c>
      <c r="ME366">
        <v>84</v>
      </c>
    </row>
    <row r="367" spans="2:343" x14ac:dyDescent="0.25">
      <c r="B367" s="24"/>
      <c r="C367">
        <v>3</v>
      </c>
      <c r="D367">
        <v>3</v>
      </c>
      <c r="E367">
        <v>3</v>
      </c>
      <c r="F367">
        <v>49494669803</v>
      </c>
      <c r="G367">
        <v>2568</v>
      </c>
      <c r="I367" s="24"/>
      <c r="J367">
        <v>4</v>
      </c>
      <c r="K367">
        <v>5</v>
      </c>
      <c r="L367">
        <v>5</v>
      </c>
      <c r="M367">
        <v>12774260457</v>
      </c>
      <c r="N367">
        <v>2038</v>
      </c>
      <c r="P367" s="24"/>
      <c r="Q367">
        <v>39</v>
      </c>
      <c r="R367">
        <v>43</v>
      </c>
      <c r="S367">
        <v>40</v>
      </c>
      <c r="T367">
        <v>2858420050</v>
      </c>
      <c r="U367">
        <v>1944</v>
      </c>
      <c r="W367" s="24"/>
      <c r="X367">
        <v>60</v>
      </c>
      <c r="Y367">
        <v>62</v>
      </c>
      <c r="Z367">
        <v>61</v>
      </c>
      <c r="AA367">
        <v>594801193</v>
      </c>
      <c r="AB367">
        <v>1436</v>
      </c>
      <c r="AD367" s="24"/>
      <c r="AE367">
        <v>475</v>
      </c>
      <c r="AF367">
        <v>483</v>
      </c>
      <c r="AG367">
        <v>479</v>
      </c>
      <c r="AH367">
        <v>171789070</v>
      </c>
      <c r="AI367">
        <v>1542</v>
      </c>
      <c r="AK367" s="24"/>
      <c r="AL367">
        <v>798</v>
      </c>
      <c r="AM367">
        <v>812</v>
      </c>
      <c r="AN367">
        <v>810</v>
      </c>
      <c r="AO367">
        <v>49532160</v>
      </c>
      <c r="AP367">
        <v>1380</v>
      </c>
      <c r="AR367" s="24"/>
      <c r="AS367">
        <v>2900</v>
      </c>
      <c r="AT367">
        <v>2995</v>
      </c>
      <c r="AU367">
        <v>2920</v>
      </c>
      <c r="AV367">
        <v>27844325</v>
      </c>
      <c r="AW367">
        <v>1428</v>
      </c>
      <c r="AY367" s="24"/>
      <c r="AZ367">
        <v>431000000</v>
      </c>
      <c r="BA367">
        <v>439000000</v>
      </c>
      <c r="BB367">
        <v>434599999</v>
      </c>
      <c r="BC367">
        <v>3407</v>
      </c>
      <c r="BD367">
        <v>2258</v>
      </c>
      <c r="BF367" s="24"/>
      <c r="BG367">
        <v>25002</v>
      </c>
      <c r="BH367">
        <v>25002</v>
      </c>
      <c r="BI367">
        <v>25002</v>
      </c>
      <c r="BJ367">
        <v>6444199</v>
      </c>
      <c r="BK367">
        <v>258</v>
      </c>
      <c r="BM367" s="24"/>
      <c r="BN367">
        <v>6730527</v>
      </c>
      <c r="BO367">
        <v>6790000</v>
      </c>
      <c r="BP367">
        <v>6730529</v>
      </c>
      <c r="BQ367">
        <v>12218</v>
      </c>
      <c r="BR367">
        <v>339</v>
      </c>
      <c r="BT367" s="24"/>
      <c r="BU367">
        <v>2050</v>
      </c>
      <c r="BV367">
        <v>2075</v>
      </c>
      <c r="BW367">
        <v>2056</v>
      </c>
      <c r="BX367">
        <v>40468468</v>
      </c>
      <c r="BY367">
        <v>245</v>
      </c>
      <c r="CA367" s="24"/>
      <c r="CB367">
        <v>1289</v>
      </c>
      <c r="CC367">
        <v>1312</v>
      </c>
      <c r="CD367">
        <v>1300</v>
      </c>
      <c r="CE367">
        <v>29861765</v>
      </c>
      <c r="CF367">
        <v>270</v>
      </c>
      <c r="CH367" s="24"/>
      <c r="CI367">
        <v>27608</v>
      </c>
      <c r="CJ367">
        <v>28000</v>
      </c>
      <c r="CK367">
        <v>27614</v>
      </c>
      <c r="CL367">
        <v>2803896</v>
      </c>
      <c r="CM367">
        <v>192</v>
      </c>
      <c r="CO367" s="24"/>
      <c r="CP367">
        <v>13996</v>
      </c>
      <c r="CQ367">
        <v>15748</v>
      </c>
      <c r="CR367">
        <v>15490</v>
      </c>
      <c r="CS367">
        <v>1858180</v>
      </c>
      <c r="CT367">
        <v>575</v>
      </c>
      <c r="CV367" s="24"/>
      <c r="CW367">
        <v>1056000</v>
      </c>
      <c r="CX367">
        <v>1079999</v>
      </c>
      <c r="CY367">
        <v>1060000</v>
      </c>
      <c r="CZ367">
        <v>8648</v>
      </c>
      <c r="DA367">
        <v>38</v>
      </c>
      <c r="DC367" s="24"/>
      <c r="DD367">
        <v>471</v>
      </c>
      <c r="DE367">
        <v>474</v>
      </c>
      <c r="DF367">
        <v>474</v>
      </c>
      <c r="DG367">
        <v>36549040</v>
      </c>
      <c r="DH367">
        <v>194</v>
      </c>
      <c r="DJ367" s="24"/>
      <c r="DK367">
        <v>30205000</v>
      </c>
      <c r="DL367">
        <v>31199998</v>
      </c>
      <c r="DM367">
        <v>30205002</v>
      </c>
      <c r="DN367">
        <v>419</v>
      </c>
      <c r="DO367">
        <v>102</v>
      </c>
      <c r="DQ367" s="24"/>
      <c r="DR367">
        <v>1040118</v>
      </c>
      <c r="DS367">
        <v>1122982</v>
      </c>
      <c r="DT367">
        <v>1122979</v>
      </c>
      <c r="DU367">
        <v>10932</v>
      </c>
      <c r="DV367">
        <v>255</v>
      </c>
      <c r="DX367" s="24"/>
      <c r="DY367">
        <v>19508004</v>
      </c>
      <c r="DZ367">
        <v>20000000</v>
      </c>
      <c r="EA367">
        <v>19509000</v>
      </c>
      <c r="EB367">
        <v>714</v>
      </c>
      <c r="EC367">
        <v>128</v>
      </c>
      <c r="EE367" s="24"/>
      <c r="EF367">
        <v>204</v>
      </c>
      <c r="EG367">
        <v>207</v>
      </c>
      <c r="EH367">
        <v>204</v>
      </c>
      <c r="EI367">
        <v>127409965</v>
      </c>
      <c r="EJ367">
        <v>161</v>
      </c>
      <c r="EL367" s="24"/>
      <c r="EM367">
        <v>48605</v>
      </c>
      <c r="EN367">
        <v>49050</v>
      </c>
      <c r="EO367">
        <v>48638</v>
      </c>
      <c r="EP367">
        <v>78399</v>
      </c>
      <c r="EQ367">
        <v>535</v>
      </c>
      <c r="ES367" s="24"/>
      <c r="ET367">
        <v>401</v>
      </c>
      <c r="EU367">
        <v>424</v>
      </c>
      <c r="EV367">
        <v>405</v>
      </c>
      <c r="EW367">
        <v>118258704</v>
      </c>
      <c r="EX367">
        <v>813</v>
      </c>
      <c r="EZ367" s="24"/>
      <c r="FA367">
        <v>3527951</v>
      </c>
      <c r="FB367">
        <v>3527952</v>
      </c>
      <c r="FC367">
        <v>3527951</v>
      </c>
      <c r="FD367">
        <v>1773</v>
      </c>
      <c r="FE367">
        <v>25</v>
      </c>
      <c r="FG367" s="24"/>
      <c r="FH367">
        <v>13565</v>
      </c>
      <c r="FI367">
        <v>13999</v>
      </c>
      <c r="FJ367">
        <v>13944</v>
      </c>
      <c r="FK367">
        <v>2449414</v>
      </c>
      <c r="FL367">
        <v>659</v>
      </c>
      <c r="FN367" s="24"/>
      <c r="FO367">
        <v>21670</v>
      </c>
      <c r="FP367">
        <v>23881</v>
      </c>
      <c r="FQ367">
        <v>23800</v>
      </c>
      <c r="FR367">
        <v>209152</v>
      </c>
      <c r="FS367">
        <v>65</v>
      </c>
      <c r="FU367" s="24"/>
      <c r="FV367">
        <v>12460</v>
      </c>
      <c r="FW367">
        <v>12994</v>
      </c>
      <c r="FX367">
        <v>12898</v>
      </c>
      <c r="FY367">
        <v>654545</v>
      </c>
      <c r="FZ367">
        <v>998</v>
      </c>
      <c r="GB367" s="24"/>
      <c r="GC367">
        <v>94005000</v>
      </c>
      <c r="GD367">
        <v>98932000</v>
      </c>
      <c r="GE367">
        <v>97998362</v>
      </c>
      <c r="GF367">
        <v>63</v>
      </c>
      <c r="GG367">
        <v>58</v>
      </c>
      <c r="GI367" s="24"/>
      <c r="GJ367">
        <v>16793000</v>
      </c>
      <c r="GK367">
        <v>17997999</v>
      </c>
      <c r="GL367">
        <v>16794000</v>
      </c>
      <c r="GM367">
        <v>572</v>
      </c>
      <c r="GN367">
        <v>86</v>
      </c>
      <c r="GP367" s="24"/>
      <c r="GQ367">
        <v>108</v>
      </c>
      <c r="GR367">
        <v>117</v>
      </c>
      <c r="GS367">
        <v>117</v>
      </c>
      <c r="GT367">
        <v>103580907</v>
      </c>
      <c r="GU367">
        <v>126</v>
      </c>
      <c r="GW367" s="24"/>
      <c r="GX367">
        <v>413</v>
      </c>
      <c r="GY367">
        <v>417</v>
      </c>
      <c r="GZ367">
        <v>417</v>
      </c>
      <c r="HA367">
        <v>61537602</v>
      </c>
      <c r="HB367">
        <v>282</v>
      </c>
      <c r="HD367" s="24"/>
      <c r="HE367">
        <v>5178</v>
      </c>
      <c r="HF367">
        <v>5279</v>
      </c>
      <c r="HG367">
        <v>5278</v>
      </c>
      <c r="HH367">
        <v>15655858</v>
      </c>
      <c r="HI367">
        <v>341</v>
      </c>
      <c r="HK367" s="24"/>
      <c r="HL367">
        <v>89348000</v>
      </c>
      <c r="HM367">
        <v>97489999</v>
      </c>
      <c r="HN367">
        <v>97190000</v>
      </c>
      <c r="HO367">
        <v>112</v>
      </c>
      <c r="HP367">
        <v>85</v>
      </c>
      <c r="HR367" s="24"/>
      <c r="HS367">
        <v>10061</v>
      </c>
      <c r="HT367">
        <v>11950</v>
      </c>
      <c r="HU367">
        <v>10753</v>
      </c>
      <c r="HV367">
        <v>1623005</v>
      </c>
      <c r="HW367">
        <v>188</v>
      </c>
      <c r="HY367" s="24"/>
      <c r="HZ367">
        <v>11997</v>
      </c>
      <c r="IA367">
        <v>13650</v>
      </c>
      <c r="IB367">
        <v>12468</v>
      </c>
      <c r="IC367">
        <v>4101807</v>
      </c>
      <c r="ID367">
        <v>798</v>
      </c>
      <c r="IF367" s="24"/>
      <c r="IG367">
        <v>4149</v>
      </c>
      <c r="IH367">
        <v>4229</v>
      </c>
      <c r="II367">
        <v>4197</v>
      </c>
      <c r="IJ367">
        <v>1917912</v>
      </c>
      <c r="IK367">
        <v>229</v>
      </c>
      <c r="IM367" s="24"/>
      <c r="IN367">
        <v>89700000</v>
      </c>
      <c r="IO367">
        <v>97938998</v>
      </c>
      <c r="IP367">
        <v>96415299</v>
      </c>
      <c r="IQ367">
        <v>59</v>
      </c>
      <c r="IR367">
        <v>55</v>
      </c>
      <c r="IT367" s="24"/>
      <c r="IU367">
        <v>10011</v>
      </c>
      <c r="IV367">
        <v>12713</v>
      </c>
      <c r="IW367">
        <v>12675</v>
      </c>
      <c r="IX367">
        <v>1124052</v>
      </c>
      <c r="IY367">
        <v>126</v>
      </c>
      <c r="JA367" s="24"/>
      <c r="JB367">
        <v>91500004</v>
      </c>
      <c r="JC367">
        <v>93983989</v>
      </c>
      <c r="JD367">
        <v>93350850</v>
      </c>
      <c r="JE367">
        <v>91</v>
      </c>
      <c r="JF367">
        <v>77</v>
      </c>
      <c r="JH367" s="24"/>
      <c r="JI367">
        <v>90500000</v>
      </c>
      <c r="JJ367">
        <v>94987998</v>
      </c>
      <c r="JK367">
        <v>94527406</v>
      </c>
      <c r="JL367">
        <v>49</v>
      </c>
      <c r="JM367">
        <v>43</v>
      </c>
      <c r="JO367" s="24"/>
      <c r="JP367">
        <v>88</v>
      </c>
      <c r="JQ367">
        <v>91</v>
      </c>
      <c r="JR367">
        <v>91</v>
      </c>
      <c r="JS367">
        <v>93366032</v>
      </c>
      <c r="JT367">
        <v>111</v>
      </c>
      <c r="JV367" s="24"/>
      <c r="JW367">
        <v>94</v>
      </c>
      <c r="JX367">
        <v>96</v>
      </c>
      <c r="JY367">
        <v>96</v>
      </c>
      <c r="JZ367">
        <v>169073577</v>
      </c>
      <c r="KA367">
        <v>126</v>
      </c>
      <c r="KC367" s="24"/>
      <c r="KD367">
        <v>175</v>
      </c>
      <c r="KE367">
        <v>229</v>
      </c>
      <c r="KF367">
        <v>203</v>
      </c>
      <c r="KG367">
        <v>179047411</v>
      </c>
      <c r="KH367">
        <v>628</v>
      </c>
      <c r="KJ367" s="24"/>
      <c r="KK367">
        <v>105</v>
      </c>
      <c r="KL367">
        <v>108</v>
      </c>
      <c r="KM367">
        <v>108</v>
      </c>
      <c r="KN367">
        <v>172352538</v>
      </c>
      <c r="KO367">
        <v>141</v>
      </c>
      <c r="KQ367" s="24"/>
      <c r="KR367">
        <v>119003</v>
      </c>
      <c r="KS367">
        <v>121796</v>
      </c>
      <c r="KT367">
        <v>119016</v>
      </c>
      <c r="KU367">
        <v>47073</v>
      </c>
      <c r="KV367">
        <v>511</v>
      </c>
      <c r="KX367" s="24"/>
      <c r="KY367">
        <v>823</v>
      </c>
      <c r="KZ367">
        <v>825</v>
      </c>
      <c r="LA367">
        <v>825</v>
      </c>
      <c r="LB367">
        <v>5718475</v>
      </c>
      <c r="LC367">
        <v>173</v>
      </c>
      <c r="LE367" s="24"/>
      <c r="LF367">
        <v>170155</v>
      </c>
      <c r="LG367">
        <v>171043</v>
      </c>
      <c r="LH367">
        <v>170203</v>
      </c>
      <c r="LI367">
        <v>120834</v>
      </c>
      <c r="LJ367">
        <v>761</v>
      </c>
      <c r="LL367" s="24"/>
      <c r="LM367">
        <v>50010</v>
      </c>
      <c r="LN367">
        <v>53410</v>
      </c>
      <c r="LO367">
        <v>53075</v>
      </c>
      <c r="LP367">
        <v>400594</v>
      </c>
      <c r="LQ367">
        <v>1024</v>
      </c>
      <c r="LS367" s="24"/>
      <c r="LT367">
        <v>427</v>
      </c>
      <c r="LU367">
        <v>438</v>
      </c>
      <c r="LV367">
        <v>437</v>
      </c>
      <c r="LW367">
        <v>155496393</v>
      </c>
      <c r="LX367">
        <v>557</v>
      </c>
      <c r="LZ367" s="24"/>
      <c r="MA367">
        <v>96000</v>
      </c>
      <c r="MB367">
        <v>100999</v>
      </c>
      <c r="MC367">
        <v>100998</v>
      </c>
      <c r="MD367">
        <v>526072</v>
      </c>
      <c r="ME367">
        <v>72</v>
      </c>
    </row>
    <row r="368" spans="2:343" x14ac:dyDescent="0.25">
      <c r="B368" s="24"/>
      <c r="C368">
        <v>3</v>
      </c>
      <c r="D368">
        <v>3</v>
      </c>
      <c r="E368">
        <v>3</v>
      </c>
      <c r="F368">
        <v>43662324967</v>
      </c>
      <c r="G368">
        <v>2501</v>
      </c>
      <c r="I368" s="24"/>
      <c r="J368">
        <v>4</v>
      </c>
      <c r="K368">
        <v>4</v>
      </c>
      <c r="L368">
        <v>4</v>
      </c>
      <c r="M368">
        <v>8481512265</v>
      </c>
      <c r="N368">
        <v>1822</v>
      </c>
      <c r="P368" s="24"/>
      <c r="Q368">
        <v>41</v>
      </c>
      <c r="R368">
        <v>44</v>
      </c>
      <c r="S368">
        <v>42</v>
      </c>
      <c r="T368">
        <v>1996631461</v>
      </c>
      <c r="U368">
        <v>1807</v>
      </c>
      <c r="W368" s="24"/>
      <c r="X368">
        <v>59</v>
      </c>
      <c r="Y368">
        <v>61</v>
      </c>
      <c r="Z368">
        <v>61</v>
      </c>
      <c r="AA368">
        <v>683150872</v>
      </c>
      <c r="AB368">
        <v>1340</v>
      </c>
      <c r="AD368" s="24"/>
      <c r="AE368">
        <v>465</v>
      </c>
      <c r="AF368">
        <v>483</v>
      </c>
      <c r="AG368">
        <v>480</v>
      </c>
      <c r="AH368">
        <v>116679639</v>
      </c>
      <c r="AI368">
        <v>1461</v>
      </c>
      <c r="AK368" s="24"/>
      <c r="AL368">
        <v>780</v>
      </c>
      <c r="AM368">
        <v>809</v>
      </c>
      <c r="AN368">
        <v>807</v>
      </c>
      <c r="AO368">
        <v>62842134</v>
      </c>
      <c r="AP368">
        <v>1238</v>
      </c>
      <c r="AR368" s="24"/>
      <c r="AS368">
        <v>2820</v>
      </c>
      <c r="AT368">
        <v>2989</v>
      </c>
      <c r="AU368">
        <v>2902</v>
      </c>
      <c r="AV368">
        <v>20316588</v>
      </c>
      <c r="AW368">
        <v>1219</v>
      </c>
      <c r="AY368" s="24"/>
      <c r="AZ368">
        <v>418900003</v>
      </c>
      <c r="BA368">
        <v>430820000</v>
      </c>
      <c r="BB368">
        <v>423203000</v>
      </c>
      <c r="BC368">
        <v>3257</v>
      </c>
      <c r="BD368">
        <v>2206</v>
      </c>
      <c r="BF368" s="24"/>
      <c r="BG368">
        <v>25100</v>
      </c>
      <c r="BH368">
        <v>26429</v>
      </c>
      <c r="BI368">
        <v>25150</v>
      </c>
      <c r="BJ368">
        <v>4234073</v>
      </c>
      <c r="BK368">
        <v>236</v>
      </c>
      <c r="BM368" s="24"/>
      <c r="BN368">
        <v>6791004</v>
      </c>
      <c r="BO368">
        <v>6975000</v>
      </c>
      <c r="BP368">
        <v>6791011</v>
      </c>
      <c r="BQ368">
        <v>14720</v>
      </c>
      <c r="BR368">
        <v>341</v>
      </c>
      <c r="BT368" s="24"/>
      <c r="BU368">
        <v>2018</v>
      </c>
      <c r="BV368">
        <v>2072</v>
      </c>
      <c r="BW368">
        <v>2072</v>
      </c>
      <c r="BX368">
        <v>24809570</v>
      </c>
      <c r="BY368">
        <v>214</v>
      </c>
      <c r="CA368" s="24"/>
      <c r="CB368">
        <v>1307</v>
      </c>
      <c r="CC368">
        <v>1308</v>
      </c>
      <c r="CD368">
        <v>1308</v>
      </c>
      <c r="CE368">
        <v>29490260</v>
      </c>
      <c r="CF368">
        <v>286</v>
      </c>
      <c r="CH368" s="24"/>
      <c r="CI368">
        <v>27655</v>
      </c>
      <c r="CJ368">
        <v>28048</v>
      </c>
      <c r="CK368">
        <v>27865</v>
      </c>
      <c r="CL368">
        <v>1567978</v>
      </c>
      <c r="CM368">
        <v>170</v>
      </c>
      <c r="CO368" s="24"/>
      <c r="CP368">
        <v>13803</v>
      </c>
      <c r="CQ368">
        <v>14999</v>
      </c>
      <c r="CR368">
        <v>14000</v>
      </c>
      <c r="CS368">
        <v>1948142</v>
      </c>
      <c r="CT368">
        <v>557</v>
      </c>
      <c r="CV368" s="24"/>
      <c r="CW368">
        <v>1012001</v>
      </c>
      <c r="CX368">
        <v>1129000</v>
      </c>
      <c r="CY368">
        <v>1094999</v>
      </c>
      <c r="CZ368">
        <v>8383</v>
      </c>
      <c r="DA368">
        <v>31</v>
      </c>
      <c r="DC368" s="24"/>
      <c r="DD368">
        <v>470</v>
      </c>
      <c r="DE368">
        <v>477</v>
      </c>
      <c r="DF368">
        <v>476</v>
      </c>
      <c r="DG368">
        <v>44886410</v>
      </c>
      <c r="DH368">
        <v>241</v>
      </c>
      <c r="DJ368" s="24"/>
      <c r="DK368">
        <v>30239241</v>
      </c>
      <c r="DL368">
        <v>32343997</v>
      </c>
      <c r="DM368">
        <v>31000000</v>
      </c>
      <c r="DN368">
        <v>597</v>
      </c>
      <c r="DO368">
        <v>109</v>
      </c>
      <c r="DQ368" s="24"/>
      <c r="DR368">
        <v>1090000</v>
      </c>
      <c r="DS368">
        <v>1118993</v>
      </c>
      <c r="DT368">
        <v>1117999</v>
      </c>
      <c r="DU368">
        <v>8168</v>
      </c>
      <c r="DV368">
        <v>217</v>
      </c>
      <c r="DX368" s="24"/>
      <c r="DY368">
        <v>19506000</v>
      </c>
      <c r="DZ368">
        <v>20989991</v>
      </c>
      <c r="EA368">
        <v>19506001</v>
      </c>
      <c r="EB368">
        <v>585</v>
      </c>
      <c r="EC368">
        <v>110</v>
      </c>
      <c r="EE368" s="24"/>
      <c r="EF368">
        <v>199</v>
      </c>
      <c r="EG368">
        <v>207</v>
      </c>
      <c r="EH368">
        <v>200</v>
      </c>
      <c r="EI368">
        <v>120959150</v>
      </c>
      <c r="EJ368">
        <v>161</v>
      </c>
      <c r="EL368" s="24"/>
      <c r="EM368">
        <v>49024</v>
      </c>
      <c r="EN368">
        <v>49501</v>
      </c>
      <c r="EO368">
        <v>49500</v>
      </c>
      <c r="EP368">
        <v>66141</v>
      </c>
      <c r="EQ368">
        <v>582</v>
      </c>
      <c r="ES368" s="24"/>
      <c r="ET368">
        <v>425</v>
      </c>
      <c r="EU368">
        <v>439</v>
      </c>
      <c r="EV368">
        <v>430</v>
      </c>
      <c r="EW368">
        <v>106137772</v>
      </c>
      <c r="EX368">
        <v>847</v>
      </c>
      <c r="EZ368" s="24"/>
      <c r="FA368">
        <v>3521950</v>
      </c>
      <c r="FB368">
        <v>3522110</v>
      </c>
      <c r="FC368">
        <v>3522110</v>
      </c>
      <c r="FD368">
        <v>682</v>
      </c>
      <c r="FE368">
        <v>14</v>
      </c>
      <c r="FG368" s="24"/>
      <c r="FH368">
        <v>12901</v>
      </c>
      <c r="FI368">
        <v>13644</v>
      </c>
      <c r="FJ368">
        <v>13250</v>
      </c>
      <c r="FK368">
        <v>2641224</v>
      </c>
      <c r="FL368">
        <v>651</v>
      </c>
      <c r="FN368" s="24"/>
      <c r="FO368">
        <v>22000</v>
      </c>
      <c r="FP368">
        <v>23794</v>
      </c>
      <c r="FQ368">
        <v>22010</v>
      </c>
      <c r="FR368">
        <v>149181</v>
      </c>
      <c r="FS368">
        <v>79</v>
      </c>
      <c r="FU368" s="24"/>
      <c r="FV368">
        <v>13100</v>
      </c>
      <c r="FW368">
        <v>13104</v>
      </c>
      <c r="FX368">
        <v>13103</v>
      </c>
      <c r="FY368">
        <v>427571</v>
      </c>
      <c r="FZ368">
        <v>1039</v>
      </c>
      <c r="GB368" s="24"/>
      <c r="GC368">
        <v>95602000</v>
      </c>
      <c r="GD368">
        <v>100000000</v>
      </c>
      <c r="GE368">
        <v>99993000</v>
      </c>
      <c r="GF368">
        <v>140</v>
      </c>
      <c r="GG368">
        <v>94</v>
      </c>
      <c r="GI368" s="24"/>
      <c r="GJ368">
        <v>16796017</v>
      </c>
      <c r="GK368">
        <v>17699997</v>
      </c>
      <c r="GL368">
        <v>17000001</v>
      </c>
      <c r="GM368">
        <v>684</v>
      </c>
      <c r="GN368">
        <v>85</v>
      </c>
      <c r="GP368" s="24"/>
      <c r="GQ368">
        <v>110</v>
      </c>
      <c r="GR368">
        <v>115</v>
      </c>
      <c r="GS368">
        <v>110</v>
      </c>
      <c r="GT368">
        <v>130791746</v>
      </c>
      <c r="GU368">
        <v>152</v>
      </c>
      <c r="GW368" s="24"/>
      <c r="GX368">
        <v>402</v>
      </c>
      <c r="GY368">
        <v>427</v>
      </c>
      <c r="GZ368">
        <v>425</v>
      </c>
      <c r="HA368">
        <v>68381797</v>
      </c>
      <c r="HB368">
        <v>318</v>
      </c>
      <c r="HD368" s="24"/>
      <c r="HE368">
        <v>5266</v>
      </c>
      <c r="HF368">
        <v>5273</v>
      </c>
      <c r="HG368">
        <v>5267</v>
      </c>
      <c r="HH368">
        <v>10435690</v>
      </c>
      <c r="HI368">
        <v>274</v>
      </c>
      <c r="HK368" s="24"/>
      <c r="HL368">
        <v>94000000</v>
      </c>
      <c r="HM368">
        <v>97489996</v>
      </c>
      <c r="HN368">
        <v>97480000</v>
      </c>
      <c r="HO368">
        <v>101</v>
      </c>
      <c r="HP368">
        <v>83</v>
      </c>
      <c r="HR368" s="24"/>
      <c r="HS368">
        <v>10848</v>
      </c>
      <c r="HT368">
        <v>11879</v>
      </c>
      <c r="HU368">
        <v>11876</v>
      </c>
      <c r="HV368">
        <v>963698</v>
      </c>
      <c r="HW368">
        <v>135</v>
      </c>
      <c r="HY368" s="24"/>
      <c r="HZ368">
        <v>12007</v>
      </c>
      <c r="IA368">
        <v>13443</v>
      </c>
      <c r="IB368">
        <v>12699</v>
      </c>
      <c r="IC368">
        <v>3194202</v>
      </c>
      <c r="ID368">
        <v>719</v>
      </c>
      <c r="IF368" s="24"/>
      <c r="IG368">
        <v>3704</v>
      </c>
      <c r="IH368">
        <v>4131</v>
      </c>
      <c r="II368">
        <v>4073</v>
      </c>
      <c r="IJ368">
        <v>2828898</v>
      </c>
      <c r="IK368">
        <v>235</v>
      </c>
      <c r="IM368" s="24"/>
      <c r="IN368">
        <v>92507000</v>
      </c>
      <c r="IO368">
        <v>97938998</v>
      </c>
      <c r="IP368">
        <v>95329228</v>
      </c>
      <c r="IQ368">
        <v>94</v>
      </c>
      <c r="IR368">
        <v>84</v>
      </c>
      <c r="IT368" s="24"/>
      <c r="IU368">
        <v>10601</v>
      </c>
      <c r="IV368">
        <v>11967</v>
      </c>
      <c r="IW368">
        <v>10603</v>
      </c>
      <c r="IX368">
        <v>1577872</v>
      </c>
      <c r="IY368">
        <v>166</v>
      </c>
      <c r="JA368" s="24"/>
      <c r="JB368">
        <v>91056010</v>
      </c>
      <c r="JC368">
        <v>97762999</v>
      </c>
      <c r="JD368">
        <v>95192112</v>
      </c>
      <c r="JE368">
        <v>81</v>
      </c>
      <c r="JF368">
        <v>75</v>
      </c>
      <c r="JH368" s="24"/>
      <c r="JI368">
        <v>93000000</v>
      </c>
      <c r="JJ368">
        <v>94989992</v>
      </c>
      <c r="JK368">
        <v>94147087</v>
      </c>
      <c r="JL368">
        <v>52</v>
      </c>
      <c r="JM368">
        <v>49</v>
      </c>
      <c r="JO368" s="24"/>
      <c r="JP368">
        <v>88</v>
      </c>
      <c r="JQ368">
        <v>90</v>
      </c>
      <c r="JR368">
        <v>88</v>
      </c>
      <c r="JS368">
        <v>78125121</v>
      </c>
      <c r="JT368">
        <v>101</v>
      </c>
      <c r="JV368" s="24"/>
      <c r="JW368">
        <v>92</v>
      </c>
      <c r="JX368">
        <v>95</v>
      </c>
      <c r="JY368">
        <v>93</v>
      </c>
      <c r="JZ368">
        <v>101630943</v>
      </c>
      <c r="KA368">
        <v>103</v>
      </c>
      <c r="KC368" s="24"/>
      <c r="KD368">
        <v>196</v>
      </c>
      <c r="KE368">
        <v>209</v>
      </c>
      <c r="KF368">
        <v>198</v>
      </c>
      <c r="KG368">
        <v>125403063</v>
      </c>
      <c r="KH368">
        <v>557</v>
      </c>
      <c r="KJ368" s="24"/>
      <c r="KK368">
        <v>100</v>
      </c>
      <c r="KL368">
        <v>105</v>
      </c>
      <c r="KM368">
        <v>104</v>
      </c>
      <c r="KN368">
        <v>152078552</v>
      </c>
      <c r="KO368">
        <v>170</v>
      </c>
      <c r="KQ368" s="24"/>
      <c r="KR368">
        <v>119600</v>
      </c>
      <c r="KS368">
        <v>124988</v>
      </c>
      <c r="KT368">
        <v>119705</v>
      </c>
      <c r="KU368">
        <v>64442</v>
      </c>
      <c r="KV368">
        <v>551</v>
      </c>
      <c r="KX368" s="24"/>
      <c r="KY368">
        <v>801</v>
      </c>
      <c r="KZ368">
        <v>822</v>
      </c>
      <c r="LA368">
        <v>818</v>
      </c>
      <c r="LB368">
        <v>5027185</v>
      </c>
      <c r="LC368">
        <v>165</v>
      </c>
      <c r="LE368" s="24"/>
      <c r="LF368">
        <v>172002</v>
      </c>
      <c r="LG368">
        <v>181491</v>
      </c>
      <c r="LH368">
        <v>176228</v>
      </c>
      <c r="LI368">
        <v>141178</v>
      </c>
      <c r="LJ368">
        <v>796</v>
      </c>
      <c r="LL368" s="24"/>
      <c r="LM368">
        <v>55503</v>
      </c>
      <c r="LN368">
        <v>55516</v>
      </c>
      <c r="LO368">
        <v>55505</v>
      </c>
      <c r="LP368">
        <v>402901</v>
      </c>
      <c r="LQ368">
        <v>1089</v>
      </c>
      <c r="LS368" s="24"/>
      <c r="LT368">
        <v>431</v>
      </c>
      <c r="LU368">
        <v>439</v>
      </c>
      <c r="LV368">
        <v>438</v>
      </c>
      <c r="LW368">
        <v>124236459</v>
      </c>
      <c r="LX368">
        <v>560</v>
      </c>
      <c r="LZ368" s="24"/>
      <c r="MA368">
        <v>100999</v>
      </c>
      <c r="MB368">
        <v>100999</v>
      </c>
      <c r="MC368">
        <v>100999</v>
      </c>
      <c r="MD368">
        <v>542712</v>
      </c>
      <c r="ME368">
        <v>66</v>
      </c>
    </row>
    <row r="369" spans="2:343" x14ac:dyDescent="0.25">
      <c r="B369" s="24"/>
      <c r="C369">
        <v>3</v>
      </c>
      <c r="D369">
        <v>3</v>
      </c>
      <c r="E369">
        <v>3</v>
      </c>
      <c r="F369">
        <v>34439357338</v>
      </c>
      <c r="G369">
        <v>3029</v>
      </c>
      <c r="I369" s="24"/>
      <c r="J369">
        <v>4</v>
      </c>
      <c r="K369">
        <v>4</v>
      </c>
      <c r="L369">
        <v>4</v>
      </c>
      <c r="M369">
        <v>6595571446</v>
      </c>
      <c r="N369">
        <v>2204</v>
      </c>
      <c r="P369" s="24"/>
      <c r="Q369">
        <v>42</v>
      </c>
      <c r="R369">
        <v>42</v>
      </c>
      <c r="S369">
        <v>42</v>
      </c>
      <c r="T369">
        <v>1628699958</v>
      </c>
      <c r="U369">
        <v>2084</v>
      </c>
      <c r="W369" s="24"/>
      <c r="X369">
        <v>61</v>
      </c>
      <c r="Y369">
        <v>61</v>
      </c>
      <c r="Z369">
        <v>61</v>
      </c>
      <c r="AA369">
        <v>473327830</v>
      </c>
      <c r="AB369">
        <v>1720</v>
      </c>
      <c r="AD369" s="24"/>
      <c r="AE369">
        <v>476</v>
      </c>
      <c r="AF369">
        <v>478</v>
      </c>
      <c r="AG369">
        <v>477</v>
      </c>
      <c r="AH369">
        <v>153440509</v>
      </c>
      <c r="AI369">
        <v>1708</v>
      </c>
      <c r="AK369" s="24"/>
      <c r="AL369">
        <v>793</v>
      </c>
      <c r="AM369">
        <v>808</v>
      </c>
      <c r="AN369">
        <v>803</v>
      </c>
      <c r="AO369">
        <v>46796671</v>
      </c>
      <c r="AP369">
        <v>1448</v>
      </c>
      <c r="AR369" s="24"/>
      <c r="AS369">
        <v>2799</v>
      </c>
      <c r="AT369">
        <v>2934</v>
      </c>
      <c r="AU369">
        <v>2873</v>
      </c>
      <c r="AV369">
        <v>23440408</v>
      </c>
      <c r="AW369">
        <v>1546</v>
      </c>
      <c r="AY369" s="24"/>
      <c r="AZ369">
        <v>405590000</v>
      </c>
      <c r="BA369">
        <v>415500000</v>
      </c>
      <c r="BB369">
        <v>408000000</v>
      </c>
      <c r="BC369">
        <v>4053</v>
      </c>
      <c r="BD369">
        <v>2743</v>
      </c>
      <c r="BF369" s="24"/>
      <c r="BG369">
        <v>25200</v>
      </c>
      <c r="BH369">
        <v>25200</v>
      </c>
      <c r="BI369">
        <v>25200</v>
      </c>
      <c r="BJ369">
        <v>5904061</v>
      </c>
      <c r="BK369">
        <v>238</v>
      </c>
      <c r="BM369" s="24"/>
      <c r="BN369">
        <v>6791013</v>
      </c>
      <c r="BO369">
        <v>6800008</v>
      </c>
      <c r="BP369">
        <v>6792004</v>
      </c>
      <c r="BQ369">
        <v>18361</v>
      </c>
      <c r="BR369">
        <v>399</v>
      </c>
      <c r="BT369" s="24"/>
      <c r="BU369">
        <v>2036</v>
      </c>
      <c r="BV369">
        <v>2073</v>
      </c>
      <c r="BW369">
        <v>2073</v>
      </c>
      <c r="BX369">
        <v>32628725</v>
      </c>
      <c r="BY369">
        <v>310</v>
      </c>
      <c r="CA369" s="24"/>
      <c r="CB369">
        <v>1290</v>
      </c>
      <c r="CC369">
        <v>1365</v>
      </c>
      <c r="CD369">
        <v>1338</v>
      </c>
      <c r="CE369">
        <v>48418206</v>
      </c>
      <c r="CF369">
        <v>379</v>
      </c>
      <c r="CH369" s="24"/>
      <c r="CI369">
        <v>28267</v>
      </c>
      <c r="CJ369">
        <v>28480</v>
      </c>
      <c r="CK369">
        <v>28480</v>
      </c>
      <c r="CL369">
        <v>3584718</v>
      </c>
      <c r="CM369">
        <v>210</v>
      </c>
      <c r="CO369" s="24"/>
      <c r="CP369">
        <v>13803</v>
      </c>
      <c r="CQ369">
        <v>14197</v>
      </c>
      <c r="CR369">
        <v>13994</v>
      </c>
      <c r="CS369">
        <v>1614947</v>
      </c>
      <c r="CT369">
        <v>553</v>
      </c>
      <c r="CV369" s="24"/>
      <c r="CW369">
        <v>1120751</v>
      </c>
      <c r="CX369">
        <v>1127985</v>
      </c>
      <c r="CY369">
        <v>1125988</v>
      </c>
      <c r="CZ369">
        <v>9712</v>
      </c>
      <c r="DA369">
        <v>42</v>
      </c>
      <c r="DC369" s="24"/>
      <c r="DD369">
        <v>462</v>
      </c>
      <c r="DE369">
        <v>477</v>
      </c>
      <c r="DF369">
        <v>476</v>
      </c>
      <c r="DG369">
        <v>75841117</v>
      </c>
      <c r="DH369">
        <v>305</v>
      </c>
      <c r="DJ369" s="24"/>
      <c r="DK369">
        <v>32000005</v>
      </c>
      <c r="DL369">
        <v>32346000</v>
      </c>
      <c r="DM369">
        <v>32343996</v>
      </c>
      <c r="DN369">
        <v>741</v>
      </c>
      <c r="DO369">
        <v>128</v>
      </c>
      <c r="DQ369" s="24"/>
      <c r="DR369">
        <v>1060000</v>
      </c>
      <c r="DS369">
        <v>1118993</v>
      </c>
      <c r="DT369">
        <v>1090010</v>
      </c>
      <c r="DU369">
        <v>14245</v>
      </c>
      <c r="DV369">
        <v>324</v>
      </c>
      <c r="DX369" s="24"/>
      <c r="DY369">
        <v>17499999</v>
      </c>
      <c r="DZ369">
        <v>19506001</v>
      </c>
      <c r="EA369">
        <v>18999993</v>
      </c>
      <c r="EB369">
        <v>1125</v>
      </c>
      <c r="EC369">
        <v>170</v>
      </c>
      <c r="EE369" s="24"/>
      <c r="EF369">
        <v>198</v>
      </c>
      <c r="EG369">
        <v>206</v>
      </c>
      <c r="EH369">
        <v>206</v>
      </c>
      <c r="EI369">
        <v>96397903</v>
      </c>
      <c r="EJ369">
        <v>210</v>
      </c>
      <c r="EL369" s="24"/>
      <c r="EM369">
        <v>49026</v>
      </c>
      <c r="EN369">
        <v>52699</v>
      </c>
      <c r="EO369">
        <v>49105</v>
      </c>
      <c r="EP369">
        <v>66381</v>
      </c>
      <c r="EQ369">
        <v>695</v>
      </c>
      <c r="ES369" s="24"/>
      <c r="ET369">
        <v>379</v>
      </c>
      <c r="EU369">
        <v>402</v>
      </c>
      <c r="EV369">
        <v>400</v>
      </c>
      <c r="EW369">
        <v>88341438</v>
      </c>
      <c r="EX369">
        <v>881</v>
      </c>
      <c r="EZ369" s="24"/>
      <c r="FA369">
        <v>3474999</v>
      </c>
      <c r="FB369">
        <v>3497000</v>
      </c>
      <c r="FC369">
        <v>3493092</v>
      </c>
      <c r="FD369">
        <v>1565</v>
      </c>
      <c r="FE369">
        <v>27</v>
      </c>
      <c r="FG369" s="24"/>
      <c r="FH369">
        <v>11022</v>
      </c>
      <c r="FI369">
        <v>12100</v>
      </c>
      <c r="FJ369">
        <v>11711</v>
      </c>
      <c r="FK369">
        <v>2720957</v>
      </c>
      <c r="FL369">
        <v>648</v>
      </c>
      <c r="FN369" s="24"/>
      <c r="FO369">
        <v>23598</v>
      </c>
      <c r="FP369">
        <v>23690</v>
      </c>
      <c r="FQ369">
        <v>23686</v>
      </c>
      <c r="FR369">
        <v>56816</v>
      </c>
      <c r="FS369">
        <v>82</v>
      </c>
      <c r="FU369" s="24"/>
      <c r="FV369">
        <v>12503</v>
      </c>
      <c r="FW369">
        <v>12526</v>
      </c>
      <c r="FX369">
        <v>12525</v>
      </c>
      <c r="FY369">
        <v>348594</v>
      </c>
      <c r="FZ369">
        <v>1177</v>
      </c>
      <c r="GB369" s="24"/>
      <c r="GC369">
        <v>101000000</v>
      </c>
      <c r="GD369">
        <v>101000000</v>
      </c>
      <c r="GE369">
        <v>101000000</v>
      </c>
      <c r="GF369">
        <v>176</v>
      </c>
      <c r="GG369">
        <v>78</v>
      </c>
      <c r="GI369" s="24"/>
      <c r="GJ369">
        <v>17600000</v>
      </c>
      <c r="GK369">
        <v>17999999</v>
      </c>
      <c r="GL369">
        <v>17760000</v>
      </c>
      <c r="GM369">
        <v>932</v>
      </c>
      <c r="GN369">
        <v>110</v>
      </c>
      <c r="GP369" s="24"/>
      <c r="GQ369">
        <v>109</v>
      </c>
      <c r="GR369">
        <v>112</v>
      </c>
      <c r="GS369">
        <v>109</v>
      </c>
      <c r="GT369">
        <v>190614493</v>
      </c>
      <c r="GU369">
        <v>154</v>
      </c>
      <c r="GW369" s="24"/>
      <c r="GX369">
        <v>403</v>
      </c>
      <c r="GY369">
        <v>426</v>
      </c>
      <c r="GZ369">
        <v>412</v>
      </c>
      <c r="HA369">
        <v>83536105</v>
      </c>
      <c r="HB369">
        <v>343</v>
      </c>
      <c r="HD369" s="24"/>
      <c r="HE369">
        <v>5171</v>
      </c>
      <c r="HF369">
        <v>5263</v>
      </c>
      <c r="HG369">
        <v>5171</v>
      </c>
      <c r="HH369">
        <v>24785307</v>
      </c>
      <c r="HI369">
        <v>381</v>
      </c>
      <c r="HK369" s="24"/>
      <c r="HL369">
        <v>94000000</v>
      </c>
      <c r="HM369">
        <v>94000000</v>
      </c>
      <c r="HN369">
        <v>94000000</v>
      </c>
      <c r="HO369">
        <v>188</v>
      </c>
      <c r="HP369">
        <v>86</v>
      </c>
      <c r="HR369" s="24"/>
      <c r="HS369">
        <v>10400</v>
      </c>
      <c r="HT369">
        <v>11877</v>
      </c>
      <c r="HU369">
        <v>10999</v>
      </c>
      <c r="HV369">
        <v>851818</v>
      </c>
      <c r="HW369">
        <v>150</v>
      </c>
      <c r="HY369" s="24"/>
      <c r="HZ369">
        <v>11250</v>
      </c>
      <c r="IA369">
        <v>12250</v>
      </c>
      <c r="IB369">
        <v>11499</v>
      </c>
      <c r="IC369">
        <v>3331084</v>
      </c>
      <c r="ID369">
        <v>654</v>
      </c>
      <c r="IF369" s="24"/>
      <c r="IG369">
        <v>3702</v>
      </c>
      <c r="IH369">
        <v>4067</v>
      </c>
      <c r="II369">
        <v>4040</v>
      </c>
      <c r="IJ369">
        <v>2486668</v>
      </c>
      <c r="IK369">
        <v>255</v>
      </c>
      <c r="IM369" s="24"/>
      <c r="IN369">
        <v>94000000</v>
      </c>
      <c r="IO369">
        <v>94000000</v>
      </c>
      <c r="IP369">
        <v>94000000</v>
      </c>
      <c r="IQ369">
        <v>174</v>
      </c>
      <c r="IR369">
        <v>88</v>
      </c>
      <c r="IT369" s="24"/>
      <c r="IU369">
        <v>10518</v>
      </c>
      <c r="IV369">
        <v>11187</v>
      </c>
      <c r="IW369">
        <v>11173</v>
      </c>
      <c r="IX369">
        <v>1628197</v>
      </c>
      <c r="IY369">
        <v>181</v>
      </c>
      <c r="JA369" s="24"/>
      <c r="JB369">
        <v>93000000</v>
      </c>
      <c r="JC369">
        <v>97764900</v>
      </c>
      <c r="JD369">
        <v>95000000</v>
      </c>
      <c r="JE369">
        <v>107</v>
      </c>
      <c r="JF369">
        <v>93</v>
      </c>
      <c r="JH369" s="24"/>
      <c r="JI369">
        <v>92999999</v>
      </c>
      <c r="JJ369">
        <v>96998999</v>
      </c>
      <c r="JK369">
        <v>93881215</v>
      </c>
      <c r="JL369">
        <v>68</v>
      </c>
      <c r="JM369">
        <v>60</v>
      </c>
      <c r="JO369" s="24"/>
      <c r="JP369">
        <v>87</v>
      </c>
      <c r="JQ369">
        <v>88</v>
      </c>
      <c r="JR369">
        <v>88</v>
      </c>
      <c r="JS369">
        <v>107046034</v>
      </c>
      <c r="JT369">
        <v>144</v>
      </c>
      <c r="JV369" s="24"/>
      <c r="JW369">
        <v>95</v>
      </c>
      <c r="JX369">
        <v>95</v>
      </c>
      <c r="JY369">
        <v>95</v>
      </c>
      <c r="JZ369">
        <v>124390869</v>
      </c>
      <c r="KA369">
        <v>138</v>
      </c>
      <c r="KC369" s="24"/>
      <c r="KD369">
        <v>149</v>
      </c>
      <c r="KE369">
        <v>164</v>
      </c>
      <c r="KF369">
        <v>150</v>
      </c>
      <c r="KG369">
        <v>83925490</v>
      </c>
      <c r="KH369">
        <v>484</v>
      </c>
      <c r="KJ369" s="24"/>
      <c r="KK369">
        <v>104</v>
      </c>
      <c r="KL369">
        <v>111</v>
      </c>
      <c r="KM369">
        <v>109</v>
      </c>
      <c r="KN369">
        <v>114853478</v>
      </c>
      <c r="KO369">
        <v>149</v>
      </c>
      <c r="KQ369" s="24"/>
      <c r="KR369">
        <v>119705</v>
      </c>
      <c r="KS369">
        <v>119900</v>
      </c>
      <c r="KT369">
        <v>119710</v>
      </c>
      <c r="KU369">
        <v>79527</v>
      </c>
      <c r="KV369">
        <v>640</v>
      </c>
      <c r="KX369" s="24"/>
      <c r="KY369">
        <v>782</v>
      </c>
      <c r="KZ369">
        <v>813</v>
      </c>
      <c r="LA369">
        <v>811</v>
      </c>
      <c r="LB369">
        <v>6711594</v>
      </c>
      <c r="LC369">
        <v>202</v>
      </c>
      <c r="LE369" s="24"/>
      <c r="LF369">
        <v>177540</v>
      </c>
      <c r="LG369">
        <v>177603</v>
      </c>
      <c r="LH369">
        <v>177543</v>
      </c>
      <c r="LI369">
        <v>146694</v>
      </c>
      <c r="LJ369">
        <v>913</v>
      </c>
      <c r="LL369" s="24"/>
      <c r="LM369">
        <v>55505</v>
      </c>
      <c r="LN369">
        <v>56455</v>
      </c>
      <c r="LO369">
        <v>55508</v>
      </c>
      <c r="LP369">
        <v>378668</v>
      </c>
      <c r="LQ369">
        <v>1249</v>
      </c>
      <c r="LS369" s="24"/>
      <c r="LT369">
        <v>428</v>
      </c>
      <c r="LU369">
        <v>439</v>
      </c>
      <c r="LV369">
        <v>438</v>
      </c>
      <c r="LW369">
        <v>131765725</v>
      </c>
      <c r="LX369">
        <v>529</v>
      </c>
      <c r="LZ369" s="24"/>
      <c r="MA369">
        <v>96209</v>
      </c>
      <c r="MB369">
        <v>100996</v>
      </c>
      <c r="MC369">
        <v>99250</v>
      </c>
      <c r="MD369">
        <v>1113281</v>
      </c>
      <c r="ME369">
        <v>83</v>
      </c>
    </row>
    <row r="370" spans="2:343" x14ac:dyDescent="0.25">
      <c r="B370" s="24"/>
      <c r="C370">
        <v>3</v>
      </c>
      <c r="D370">
        <v>3</v>
      </c>
      <c r="E370">
        <v>3</v>
      </c>
      <c r="F370">
        <v>33101268518</v>
      </c>
      <c r="G370">
        <v>3185</v>
      </c>
      <c r="I370" s="24"/>
      <c r="J370">
        <v>4</v>
      </c>
      <c r="K370">
        <v>4</v>
      </c>
      <c r="L370">
        <v>4</v>
      </c>
      <c r="M370">
        <v>8340831707</v>
      </c>
      <c r="N370">
        <v>2245</v>
      </c>
      <c r="P370" s="24"/>
      <c r="Q370">
        <v>40</v>
      </c>
      <c r="R370">
        <v>42</v>
      </c>
      <c r="S370">
        <v>41</v>
      </c>
      <c r="T370">
        <v>2839301903</v>
      </c>
      <c r="U370">
        <v>2302</v>
      </c>
      <c r="W370" s="24"/>
      <c r="X370">
        <v>61</v>
      </c>
      <c r="Y370">
        <v>62</v>
      </c>
      <c r="Z370">
        <v>61</v>
      </c>
      <c r="AA370">
        <v>596171070</v>
      </c>
      <c r="AB370">
        <v>1734</v>
      </c>
      <c r="AD370" s="24"/>
      <c r="AE370">
        <v>464</v>
      </c>
      <c r="AF370">
        <v>476</v>
      </c>
      <c r="AG370">
        <v>474</v>
      </c>
      <c r="AH370">
        <v>159646907</v>
      </c>
      <c r="AI370">
        <v>1797</v>
      </c>
      <c r="AK370" s="24"/>
      <c r="AL370">
        <v>787</v>
      </c>
      <c r="AM370">
        <v>801</v>
      </c>
      <c r="AN370">
        <v>799</v>
      </c>
      <c r="AO370">
        <v>61778316</v>
      </c>
      <c r="AP370">
        <v>1563</v>
      </c>
      <c r="AR370" s="24"/>
      <c r="AS370">
        <v>2860</v>
      </c>
      <c r="AT370">
        <v>2909</v>
      </c>
      <c r="AU370">
        <v>2909</v>
      </c>
      <c r="AV370">
        <v>14237908</v>
      </c>
      <c r="AW370">
        <v>1449</v>
      </c>
      <c r="AY370" s="24"/>
      <c r="AZ370">
        <v>402000004</v>
      </c>
      <c r="BA370">
        <v>412999997</v>
      </c>
      <c r="BB370">
        <v>410000000</v>
      </c>
      <c r="BC370">
        <v>3782</v>
      </c>
      <c r="BD370">
        <v>2581</v>
      </c>
      <c r="BF370" s="24"/>
      <c r="BG370">
        <v>25201</v>
      </c>
      <c r="BH370">
        <v>25301</v>
      </c>
      <c r="BI370">
        <v>25250</v>
      </c>
      <c r="BJ370">
        <v>3028313</v>
      </c>
      <c r="BK370">
        <v>258</v>
      </c>
      <c r="BM370" s="24"/>
      <c r="BN370">
        <v>6721000</v>
      </c>
      <c r="BO370">
        <v>6800000</v>
      </c>
      <c r="BP370">
        <v>6724000</v>
      </c>
      <c r="BQ370">
        <v>14747</v>
      </c>
      <c r="BR370">
        <v>426</v>
      </c>
      <c r="BT370" s="24"/>
      <c r="BU370">
        <v>2102</v>
      </c>
      <c r="BV370">
        <v>2199</v>
      </c>
      <c r="BW370">
        <v>2149</v>
      </c>
      <c r="BX370">
        <v>33984246</v>
      </c>
      <c r="BY370">
        <v>291</v>
      </c>
      <c r="CA370" s="24"/>
      <c r="CB370">
        <v>1325</v>
      </c>
      <c r="CC370">
        <v>1362</v>
      </c>
      <c r="CD370">
        <v>1361</v>
      </c>
      <c r="CE370">
        <v>40517338</v>
      </c>
      <c r="CF370">
        <v>412</v>
      </c>
      <c r="CH370" s="24"/>
      <c r="CI370">
        <v>28521</v>
      </c>
      <c r="CJ370">
        <v>28801</v>
      </c>
      <c r="CK370">
        <v>28801</v>
      </c>
      <c r="CL370">
        <v>2983332</v>
      </c>
      <c r="CM370">
        <v>262</v>
      </c>
      <c r="CO370" s="24"/>
      <c r="CP370">
        <v>13100</v>
      </c>
      <c r="CQ370">
        <v>13898</v>
      </c>
      <c r="CR370">
        <v>13743</v>
      </c>
      <c r="CS370">
        <v>2099282</v>
      </c>
      <c r="CT370">
        <v>640</v>
      </c>
      <c r="CV370" s="24"/>
      <c r="CW370">
        <v>1100000</v>
      </c>
      <c r="CX370">
        <v>1128989</v>
      </c>
      <c r="CY370">
        <v>1125988</v>
      </c>
      <c r="CZ370">
        <v>15330</v>
      </c>
      <c r="DA370">
        <v>51</v>
      </c>
      <c r="DC370" s="24"/>
      <c r="DD370">
        <v>452</v>
      </c>
      <c r="DE370">
        <v>475</v>
      </c>
      <c r="DF370">
        <v>470</v>
      </c>
      <c r="DG370">
        <v>67730450</v>
      </c>
      <c r="DH370">
        <v>285</v>
      </c>
      <c r="DJ370" s="24"/>
      <c r="DK370">
        <v>30616006</v>
      </c>
      <c r="DL370">
        <v>31400000</v>
      </c>
      <c r="DM370">
        <v>30646005</v>
      </c>
      <c r="DN370">
        <v>838</v>
      </c>
      <c r="DO370">
        <v>140</v>
      </c>
      <c r="DQ370" s="24"/>
      <c r="DR370">
        <v>1000005</v>
      </c>
      <c r="DS370">
        <v>1089995</v>
      </c>
      <c r="DT370">
        <v>1087999</v>
      </c>
      <c r="DU370">
        <v>11062</v>
      </c>
      <c r="DV370">
        <v>294</v>
      </c>
      <c r="DX370" s="24"/>
      <c r="DY370">
        <v>18999989</v>
      </c>
      <c r="DZ370">
        <v>20501111</v>
      </c>
      <c r="EA370">
        <v>20500001</v>
      </c>
      <c r="EB370">
        <v>1134</v>
      </c>
      <c r="EC370">
        <v>159</v>
      </c>
      <c r="EE370" s="24"/>
      <c r="EF370">
        <v>190</v>
      </c>
      <c r="EG370">
        <v>206</v>
      </c>
      <c r="EH370">
        <v>205</v>
      </c>
      <c r="EI370">
        <v>131811014</v>
      </c>
      <c r="EJ370">
        <v>205</v>
      </c>
      <c r="EL370" s="24"/>
      <c r="EM370">
        <v>50194</v>
      </c>
      <c r="EN370">
        <v>53596</v>
      </c>
      <c r="EO370">
        <v>50802</v>
      </c>
      <c r="EP370">
        <v>88760</v>
      </c>
      <c r="EQ370">
        <v>732</v>
      </c>
      <c r="ES370" s="24"/>
      <c r="ET370">
        <v>404</v>
      </c>
      <c r="EU370">
        <v>410</v>
      </c>
      <c r="EV370">
        <v>409</v>
      </c>
      <c r="EW370">
        <v>81749227</v>
      </c>
      <c r="EX370">
        <v>933</v>
      </c>
      <c r="EZ370" s="24"/>
      <c r="FA370">
        <v>3211992</v>
      </c>
      <c r="FB370">
        <v>3211993</v>
      </c>
      <c r="FC370">
        <v>3211992</v>
      </c>
      <c r="FD370">
        <v>540</v>
      </c>
      <c r="FE370">
        <v>9</v>
      </c>
      <c r="FG370" s="24"/>
      <c r="FH370">
        <v>11022</v>
      </c>
      <c r="FI370">
        <v>11661</v>
      </c>
      <c r="FJ370">
        <v>11153</v>
      </c>
      <c r="FK370">
        <v>3295283</v>
      </c>
      <c r="FL370">
        <v>715</v>
      </c>
      <c r="FN370" s="24"/>
      <c r="FO370">
        <v>23588</v>
      </c>
      <c r="FP370">
        <v>23598</v>
      </c>
      <c r="FQ370">
        <v>23592</v>
      </c>
      <c r="FR370">
        <v>380843</v>
      </c>
      <c r="FS370">
        <v>110</v>
      </c>
      <c r="FU370" s="24"/>
      <c r="FV370">
        <v>12505</v>
      </c>
      <c r="FW370">
        <v>12998</v>
      </c>
      <c r="FX370">
        <v>12700</v>
      </c>
      <c r="FY370">
        <v>484584</v>
      </c>
      <c r="FZ370">
        <v>1271</v>
      </c>
      <c r="GB370" s="24"/>
      <c r="GC370">
        <v>95512014</v>
      </c>
      <c r="GD370">
        <v>105993598</v>
      </c>
      <c r="GE370">
        <v>98821415</v>
      </c>
      <c r="GF370">
        <v>100</v>
      </c>
      <c r="GG370">
        <v>79</v>
      </c>
      <c r="GI370" s="24"/>
      <c r="GJ370">
        <v>17350002</v>
      </c>
      <c r="GK370">
        <v>18100000</v>
      </c>
      <c r="GL370">
        <v>17700000</v>
      </c>
      <c r="GM370">
        <v>834</v>
      </c>
      <c r="GN370">
        <v>102</v>
      </c>
      <c r="GP370" s="24"/>
      <c r="GQ370">
        <v>105</v>
      </c>
      <c r="GR370">
        <v>112</v>
      </c>
      <c r="GS370">
        <v>111</v>
      </c>
      <c r="GT370">
        <v>194971655</v>
      </c>
      <c r="GU370">
        <v>178</v>
      </c>
      <c r="GW370" s="24"/>
      <c r="GX370">
        <v>401</v>
      </c>
      <c r="GY370">
        <v>425</v>
      </c>
      <c r="GZ370">
        <v>425</v>
      </c>
      <c r="HA370">
        <v>98346340</v>
      </c>
      <c r="HB370">
        <v>375</v>
      </c>
      <c r="HD370" s="24"/>
      <c r="HE370">
        <v>5173</v>
      </c>
      <c r="HF370">
        <v>5240</v>
      </c>
      <c r="HG370">
        <v>5239</v>
      </c>
      <c r="HH370">
        <v>15838451</v>
      </c>
      <c r="HI370">
        <v>347</v>
      </c>
      <c r="HK370" s="24"/>
      <c r="HL370">
        <v>93000000</v>
      </c>
      <c r="HM370">
        <v>97491799</v>
      </c>
      <c r="HN370">
        <v>97000000</v>
      </c>
      <c r="HO370">
        <v>113</v>
      </c>
      <c r="HP370">
        <v>92</v>
      </c>
      <c r="HR370" s="24"/>
      <c r="HS370">
        <v>9999</v>
      </c>
      <c r="HT370">
        <v>10868</v>
      </c>
      <c r="HU370">
        <v>10330</v>
      </c>
      <c r="HV370">
        <v>1300886</v>
      </c>
      <c r="HW370">
        <v>178</v>
      </c>
      <c r="HY370" s="24"/>
      <c r="HZ370">
        <v>11794</v>
      </c>
      <c r="IA370">
        <v>12344</v>
      </c>
      <c r="IB370">
        <v>12047</v>
      </c>
      <c r="IC370">
        <v>3561392</v>
      </c>
      <c r="ID370">
        <v>816</v>
      </c>
      <c r="IF370" s="24"/>
      <c r="IG370">
        <v>3701</v>
      </c>
      <c r="IH370">
        <v>4045</v>
      </c>
      <c r="II370">
        <v>3780</v>
      </c>
      <c r="IJ370">
        <v>3801669</v>
      </c>
      <c r="IK370">
        <v>274</v>
      </c>
      <c r="IM370" s="24"/>
      <c r="IN370">
        <v>92031004</v>
      </c>
      <c r="IO370">
        <v>98500000</v>
      </c>
      <c r="IP370">
        <v>92032000</v>
      </c>
      <c r="IQ370">
        <v>117</v>
      </c>
      <c r="IR370">
        <v>84</v>
      </c>
      <c r="IT370" s="24"/>
      <c r="IU370">
        <v>10748</v>
      </c>
      <c r="IV370">
        <v>11140</v>
      </c>
      <c r="IW370">
        <v>10999</v>
      </c>
      <c r="IX370">
        <v>2809106</v>
      </c>
      <c r="IY370">
        <v>218</v>
      </c>
      <c r="JA370" s="24"/>
      <c r="JB370">
        <v>95000000</v>
      </c>
      <c r="JC370">
        <v>95000000</v>
      </c>
      <c r="JD370">
        <v>95000000</v>
      </c>
      <c r="JE370">
        <v>163</v>
      </c>
      <c r="JF370">
        <v>109</v>
      </c>
      <c r="JH370" s="24"/>
      <c r="JI370">
        <v>93000000</v>
      </c>
      <c r="JJ370">
        <v>99659744</v>
      </c>
      <c r="JK370">
        <v>96901765</v>
      </c>
      <c r="JL370">
        <v>64</v>
      </c>
      <c r="JM370">
        <v>51</v>
      </c>
      <c r="JO370" s="24"/>
      <c r="JP370">
        <v>88</v>
      </c>
      <c r="JQ370">
        <v>90</v>
      </c>
      <c r="JR370">
        <v>88</v>
      </c>
      <c r="JS370">
        <v>213794728</v>
      </c>
      <c r="JT370">
        <v>149</v>
      </c>
      <c r="JV370" s="24"/>
      <c r="JW370">
        <v>92</v>
      </c>
      <c r="JX370">
        <v>95</v>
      </c>
      <c r="JY370">
        <v>95</v>
      </c>
      <c r="JZ370">
        <v>313646988</v>
      </c>
      <c r="KA370">
        <v>185</v>
      </c>
      <c r="KC370" s="24"/>
      <c r="KD370">
        <v>150</v>
      </c>
      <c r="KE370">
        <v>158</v>
      </c>
      <c r="KF370">
        <v>151</v>
      </c>
      <c r="KG370">
        <v>87489007</v>
      </c>
      <c r="KH370">
        <v>580</v>
      </c>
      <c r="KJ370" s="24"/>
      <c r="KK370">
        <v>104</v>
      </c>
      <c r="KL370">
        <v>111</v>
      </c>
      <c r="KM370">
        <v>110</v>
      </c>
      <c r="KN370">
        <v>219887164</v>
      </c>
      <c r="KO370">
        <v>201</v>
      </c>
      <c r="KQ370" s="24"/>
      <c r="KR370">
        <v>119712</v>
      </c>
      <c r="KS370">
        <v>124978</v>
      </c>
      <c r="KT370">
        <v>122002</v>
      </c>
      <c r="KU370">
        <v>70194</v>
      </c>
      <c r="KV370">
        <v>694</v>
      </c>
      <c r="KX370" s="24"/>
      <c r="KY370">
        <v>783</v>
      </c>
      <c r="KZ370">
        <v>810</v>
      </c>
      <c r="LA370">
        <v>790</v>
      </c>
      <c r="LB370">
        <v>12309302</v>
      </c>
      <c r="LC370">
        <v>242</v>
      </c>
      <c r="LE370" s="24"/>
      <c r="LF370">
        <v>180024</v>
      </c>
      <c r="LG370">
        <v>182499</v>
      </c>
      <c r="LH370">
        <v>180500</v>
      </c>
      <c r="LI370">
        <v>156582</v>
      </c>
      <c r="LJ370">
        <v>983</v>
      </c>
      <c r="LL370" s="24"/>
      <c r="LM370">
        <v>56000</v>
      </c>
      <c r="LN370">
        <v>56999</v>
      </c>
      <c r="LO370">
        <v>56003</v>
      </c>
      <c r="LP370">
        <v>443530</v>
      </c>
      <c r="LQ370">
        <v>1384</v>
      </c>
      <c r="LS370" s="24"/>
      <c r="LT370">
        <v>429</v>
      </c>
      <c r="LU370">
        <v>434</v>
      </c>
      <c r="LV370">
        <v>433</v>
      </c>
      <c r="LW370">
        <v>149810042</v>
      </c>
      <c r="LX370">
        <v>617</v>
      </c>
      <c r="LZ370" s="24"/>
      <c r="MA370">
        <v>97500</v>
      </c>
      <c r="MB370">
        <v>100996</v>
      </c>
      <c r="MC370">
        <v>100996</v>
      </c>
      <c r="MD370">
        <v>945046</v>
      </c>
      <c r="ME370">
        <v>97</v>
      </c>
    </row>
    <row r="371" spans="2:343" x14ac:dyDescent="0.25">
      <c r="B371" s="24"/>
      <c r="C371">
        <v>3</v>
      </c>
      <c r="D371">
        <v>3</v>
      </c>
      <c r="E371">
        <v>3</v>
      </c>
      <c r="F371">
        <v>33044604113</v>
      </c>
      <c r="G371">
        <v>2896</v>
      </c>
      <c r="I371" s="24"/>
      <c r="J371">
        <v>4</v>
      </c>
      <c r="K371">
        <v>4</v>
      </c>
      <c r="L371">
        <v>4</v>
      </c>
      <c r="M371">
        <v>5639225425</v>
      </c>
      <c r="N371">
        <v>2049</v>
      </c>
      <c r="P371" s="24"/>
      <c r="Q371">
        <v>40</v>
      </c>
      <c r="R371">
        <v>41</v>
      </c>
      <c r="S371">
        <v>41</v>
      </c>
      <c r="T371">
        <v>1950705284</v>
      </c>
      <c r="U371">
        <v>1922</v>
      </c>
      <c r="W371" s="24"/>
      <c r="X371">
        <v>61</v>
      </c>
      <c r="Y371">
        <v>62</v>
      </c>
      <c r="Z371">
        <v>62</v>
      </c>
      <c r="AA371">
        <v>377052927</v>
      </c>
      <c r="AB371">
        <v>1499</v>
      </c>
      <c r="AD371" s="24"/>
      <c r="AE371">
        <v>467</v>
      </c>
      <c r="AF371">
        <v>469</v>
      </c>
      <c r="AG371">
        <v>469</v>
      </c>
      <c r="AH371">
        <v>112375020</v>
      </c>
      <c r="AI371">
        <v>1575</v>
      </c>
      <c r="AK371" s="24"/>
      <c r="AL371">
        <v>785</v>
      </c>
      <c r="AM371">
        <v>799</v>
      </c>
      <c r="AN371">
        <v>799</v>
      </c>
      <c r="AO371">
        <v>42601853</v>
      </c>
      <c r="AP371">
        <v>1379</v>
      </c>
      <c r="AR371" s="24"/>
      <c r="AS371">
        <v>2890</v>
      </c>
      <c r="AT371">
        <v>2942</v>
      </c>
      <c r="AU371">
        <v>2912</v>
      </c>
      <c r="AV371">
        <v>19012085</v>
      </c>
      <c r="AW371">
        <v>1384</v>
      </c>
      <c r="AY371" s="24"/>
      <c r="AZ371">
        <v>416000008</v>
      </c>
      <c r="BA371">
        <v>424250000</v>
      </c>
      <c r="BB371">
        <v>419848994</v>
      </c>
      <c r="BC371">
        <v>3385</v>
      </c>
      <c r="BD371">
        <v>2205</v>
      </c>
      <c r="BF371" s="24"/>
      <c r="BG371">
        <v>25300</v>
      </c>
      <c r="BH371">
        <v>25600</v>
      </c>
      <c r="BI371">
        <v>25315</v>
      </c>
      <c r="BJ371">
        <v>5174311</v>
      </c>
      <c r="BK371">
        <v>283</v>
      </c>
      <c r="BM371" s="24"/>
      <c r="BN371">
        <v>6650004</v>
      </c>
      <c r="BO371">
        <v>6797999</v>
      </c>
      <c r="BP371">
        <v>6702006</v>
      </c>
      <c r="BQ371">
        <v>13630</v>
      </c>
      <c r="BR371">
        <v>330</v>
      </c>
      <c r="BT371" s="24"/>
      <c r="BU371">
        <v>2230</v>
      </c>
      <c r="BV371">
        <v>2238</v>
      </c>
      <c r="BW371">
        <v>2238</v>
      </c>
      <c r="BX371">
        <v>27219326</v>
      </c>
      <c r="BY371">
        <v>249</v>
      </c>
      <c r="CA371" s="24"/>
      <c r="CB371">
        <v>1306</v>
      </c>
      <c r="CC371">
        <v>1361</v>
      </c>
      <c r="CD371">
        <v>1359</v>
      </c>
      <c r="CE371">
        <v>42506063</v>
      </c>
      <c r="CF371">
        <v>354</v>
      </c>
      <c r="CH371" s="24"/>
      <c r="CI371">
        <v>28900</v>
      </c>
      <c r="CJ371">
        <v>29103</v>
      </c>
      <c r="CK371">
        <v>29102</v>
      </c>
      <c r="CL371">
        <v>1277009</v>
      </c>
      <c r="CM371">
        <v>213</v>
      </c>
      <c r="CO371" s="24"/>
      <c r="CP371">
        <v>13100</v>
      </c>
      <c r="CQ371">
        <v>13729</v>
      </c>
      <c r="CR371">
        <v>13250</v>
      </c>
      <c r="CS371">
        <v>1510594</v>
      </c>
      <c r="CT371">
        <v>458</v>
      </c>
      <c r="CV371" s="24"/>
      <c r="CW371">
        <v>1135999</v>
      </c>
      <c r="CX371">
        <v>1136886</v>
      </c>
      <c r="CY371">
        <v>1136000</v>
      </c>
      <c r="CZ371">
        <v>7342</v>
      </c>
      <c r="DA371">
        <v>35</v>
      </c>
      <c r="DC371" s="24"/>
      <c r="DD371">
        <v>439</v>
      </c>
      <c r="DE371">
        <v>469</v>
      </c>
      <c r="DF371">
        <v>469</v>
      </c>
      <c r="DG371">
        <v>55342382</v>
      </c>
      <c r="DH371">
        <v>249</v>
      </c>
      <c r="DJ371" s="24"/>
      <c r="DK371">
        <v>30616017</v>
      </c>
      <c r="DL371">
        <v>32899998</v>
      </c>
      <c r="DM371">
        <v>32300000</v>
      </c>
      <c r="DN371">
        <v>348</v>
      </c>
      <c r="DO371">
        <v>91</v>
      </c>
      <c r="DQ371" s="24"/>
      <c r="DR371">
        <v>1055041</v>
      </c>
      <c r="DS371">
        <v>1089000</v>
      </c>
      <c r="DT371">
        <v>1087999</v>
      </c>
      <c r="DU371">
        <v>10517</v>
      </c>
      <c r="DV371">
        <v>270</v>
      </c>
      <c r="DX371" s="24"/>
      <c r="DY371">
        <v>20502000</v>
      </c>
      <c r="DZ371">
        <v>20508999</v>
      </c>
      <c r="EA371">
        <v>20502006</v>
      </c>
      <c r="EB371">
        <v>750</v>
      </c>
      <c r="EC371">
        <v>136</v>
      </c>
      <c r="EE371" s="24"/>
      <c r="EF371">
        <v>197</v>
      </c>
      <c r="EG371">
        <v>205</v>
      </c>
      <c r="EH371">
        <v>204</v>
      </c>
      <c r="EI371">
        <v>82517720</v>
      </c>
      <c r="EJ371">
        <v>167</v>
      </c>
      <c r="EL371" s="24"/>
      <c r="EM371">
        <v>50840</v>
      </c>
      <c r="EN371">
        <v>53595</v>
      </c>
      <c r="EO371">
        <v>53000</v>
      </c>
      <c r="EP371">
        <v>128743</v>
      </c>
      <c r="EQ371">
        <v>661</v>
      </c>
      <c r="ES371" s="24"/>
      <c r="ET371">
        <v>321</v>
      </c>
      <c r="EU371">
        <v>403</v>
      </c>
      <c r="EV371">
        <v>375</v>
      </c>
      <c r="EW371">
        <v>125173320</v>
      </c>
      <c r="EX371">
        <v>760</v>
      </c>
      <c r="EZ371" s="24"/>
      <c r="FA371">
        <v>3200100</v>
      </c>
      <c r="FB371">
        <v>3212991</v>
      </c>
      <c r="FC371">
        <v>3212000</v>
      </c>
      <c r="FD371">
        <v>3191</v>
      </c>
      <c r="FE371">
        <v>33</v>
      </c>
      <c r="FG371" s="24"/>
      <c r="FH371">
        <v>10903</v>
      </c>
      <c r="FI371">
        <v>11200</v>
      </c>
      <c r="FJ371">
        <v>11057</v>
      </c>
      <c r="FK371">
        <v>2594814</v>
      </c>
      <c r="FL371">
        <v>535</v>
      </c>
      <c r="FN371" s="24"/>
      <c r="FO371">
        <v>23580</v>
      </c>
      <c r="FP371">
        <v>23585</v>
      </c>
      <c r="FQ371">
        <v>23583</v>
      </c>
      <c r="FR371">
        <v>350497</v>
      </c>
      <c r="FS371">
        <v>71</v>
      </c>
      <c r="FU371" s="24"/>
      <c r="FV371">
        <v>12502</v>
      </c>
      <c r="FW371">
        <v>13195</v>
      </c>
      <c r="FX371">
        <v>12917</v>
      </c>
      <c r="FY371">
        <v>607277</v>
      </c>
      <c r="FZ371">
        <v>1128</v>
      </c>
      <c r="GB371" s="24"/>
      <c r="GC371">
        <v>100000000</v>
      </c>
      <c r="GD371">
        <v>105993585</v>
      </c>
      <c r="GE371">
        <v>104102859</v>
      </c>
      <c r="GF371">
        <v>50</v>
      </c>
      <c r="GG371">
        <v>47</v>
      </c>
      <c r="GI371" s="24"/>
      <c r="GJ371">
        <v>17361009</v>
      </c>
      <c r="GK371">
        <v>18148999</v>
      </c>
      <c r="GL371">
        <v>18099999</v>
      </c>
      <c r="GM371">
        <v>442</v>
      </c>
      <c r="GN371">
        <v>74</v>
      </c>
      <c r="GP371" s="24"/>
      <c r="GQ371">
        <v>111</v>
      </c>
      <c r="GR371">
        <v>113</v>
      </c>
      <c r="GS371">
        <v>112</v>
      </c>
      <c r="GT371">
        <v>177290474</v>
      </c>
      <c r="GU371">
        <v>135</v>
      </c>
      <c r="GW371" s="24"/>
      <c r="GX371">
        <v>410</v>
      </c>
      <c r="GY371">
        <v>426</v>
      </c>
      <c r="GZ371">
        <v>425</v>
      </c>
      <c r="HA371">
        <v>79536771</v>
      </c>
      <c r="HB371">
        <v>308</v>
      </c>
      <c r="HD371" s="24"/>
      <c r="HE371">
        <v>5111</v>
      </c>
      <c r="HF371">
        <v>5239</v>
      </c>
      <c r="HG371">
        <v>5234</v>
      </c>
      <c r="HH371">
        <v>18409800</v>
      </c>
      <c r="HI371">
        <v>291</v>
      </c>
      <c r="HK371" s="24"/>
      <c r="HL371">
        <v>93010026</v>
      </c>
      <c r="HM371">
        <v>97492000</v>
      </c>
      <c r="HN371">
        <v>93027001</v>
      </c>
      <c r="HO371">
        <v>163</v>
      </c>
      <c r="HP371">
        <v>87</v>
      </c>
      <c r="HR371" s="24"/>
      <c r="HS371">
        <v>9997</v>
      </c>
      <c r="HT371">
        <v>9997</v>
      </c>
      <c r="HU371">
        <v>9997</v>
      </c>
      <c r="HV371">
        <v>894251</v>
      </c>
      <c r="HW371">
        <v>138</v>
      </c>
      <c r="HY371" s="24"/>
      <c r="HZ371">
        <v>11232</v>
      </c>
      <c r="IA371">
        <v>12000</v>
      </c>
      <c r="IB371">
        <v>11749</v>
      </c>
      <c r="IC371">
        <v>2377426</v>
      </c>
      <c r="ID371">
        <v>593</v>
      </c>
      <c r="IF371" s="24"/>
      <c r="IG371">
        <v>3771</v>
      </c>
      <c r="IH371">
        <v>4038</v>
      </c>
      <c r="II371">
        <v>3899</v>
      </c>
      <c r="IJ371">
        <v>2297246</v>
      </c>
      <c r="IK371">
        <v>216</v>
      </c>
      <c r="IM371" s="24"/>
      <c r="IN371">
        <v>98499999</v>
      </c>
      <c r="IO371">
        <v>103498995</v>
      </c>
      <c r="IP371">
        <v>99678632</v>
      </c>
      <c r="IQ371">
        <v>51</v>
      </c>
      <c r="IR371">
        <v>51</v>
      </c>
      <c r="IT371" s="24"/>
      <c r="IU371">
        <v>10003</v>
      </c>
      <c r="IV371">
        <v>10519</v>
      </c>
      <c r="IW371">
        <v>10499</v>
      </c>
      <c r="IX371">
        <v>1960925</v>
      </c>
      <c r="IY371">
        <v>166</v>
      </c>
      <c r="JA371" s="24"/>
      <c r="JB371">
        <v>91082567</v>
      </c>
      <c r="JC371">
        <v>101920999</v>
      </c>
      <c r="JD371">
        <v>99473663</v>
      </c>
      <c r="JE371">
        <v>82</v>
      </c>
      <c r="JF371">
        <v>74</v>
      </c>
      <c r="JH371" s="24"/>
      <c r="JI371">
        <v>89946000</v>
      </c>
      <c r="JJ371">
        <v>110781000</v>
      </c>
      <c r="JK371">
        <v>106461380</v>
      </c>
      <c r="JL371">
        <v>29</v>
      </c>
      <c r="JM371">
        <v>29</v>
      </c>
      <c r="JO371" s="24"/>
      <c r="JP371">
        <v>91</v>
      </c>
      <c r="JQ371">
        <v>91</v>
      </c>
      <c r="JR371">
        <v>91</v>
      </c>
      <c r="JS371">
        <v>127642346</v>
      </c>
      <c r="JT371">
        <v>119</v>
      </c>
      <c r="JV371" s="24"/>
      <c r="JW371">
        <v>93</v>
      </c>
      <c r="JX371">
        <v>95</v>
      </c>
      <c r="JY371">
        <v>95</v>
      </c>
      <c r="JZ371">
        <v>98058377</v>
      </c>
      <c r="KA371">
        <v>113</v>
      </c>
      <c r="KC371" s="24"/>
      <c r="KD371">
        <v>146</v>
      </c>
      <c r="KE371">
        <v>152</v>
      </c>
      <c r="KF371">
        <v>150</v>
      </c>
      <c r="KG371">
        <v>66224079</v>
      </c>
      <c r="KH371">
        <v>441</v>
      </c>
      <c r="KJ371" s="24"/>
      <c r="KK371">
        <v>105</v>
      </c>
      <c r="KL371">
        <v>111</v>
      </c>
      <c r="KM371">
        <v>110</v>
      </c>
      <c r="KN371">
        <v>126603584</v>
      </c>
      <c r="KO371">
        <v>132</v>
      </c>
      <c r="KQ371" s="24"/>
      <c r="KR371">
        <v>122010</v>
      </c>
      <c r="KS371">
        <v>126957</v>
      </c>
      <c r="KT371">
        <v>124989</v>
      </c>
      <c r="KU371">
        <v>101654</v>
      </c>
      <c r="KV371">
        <v>669</v>
      </c>
      <c r="KX371" s="24"/>
      <c r="KY371">
        <v>800</v>
      </c>
      <c r="KZ371">
        <v>804</v>
      </c>
      <c r="LA371">
        <v>803</v>
      </c>
      <c r="LB371">
        <v>6710156</v>
      </c>
      <c r="LC371">
        <v>162</v>
      </c>
      <c r="LE371" s="24"/>
      <c r="LF371">
        <v>181029</v>
      </c>
      <c r="LG371">
        <v>184003</v>
      </c>
      <c r="LH371">
        <v>182000</v>
      </c>
      <c r="LI371">
        <v>125469</v>
      </c>
      <c r="LJ371">
        <v>876</v>
      </c>
      <c r="LL371" s="24"/>
      <c r="LM371">
        <v>57006</v>
      </c>
      <c r="LN371">
        <v>60497</v>
      </c>
      <c r="LO371">
        <v>59000</v>
      </c>
      <c r="LP371">
        <v>573598</v>
      </c>
      <c r="LQ371">
        <v>1250</v>
      </c>
      <c r="LS371" s="24"/>
      <c r="LT371">
        <v>425</v>
      </c>
      <c r="LU371">
        <v>429</v>
      </c>
      <c r="LV371">
        <v>428</v>
      </c>
      <c r="LW371">
        <v>101535172</v>
      </c>
      <c r="LX371">
        <v>491</v>
      </c>
      <c r="LZ371" s="24"/>
      <c r="MA371">
        <v>98111</v>
      </c>
      <c r="MB371">
        <v>100998</v>
      </c>
      <c r="MC371">
        <v>98125</v>
      </c>
      <c r="MD371">
        <v>1181594</v>
      </c>
      <c r="ME371">
        <v>61</v>
      </c>
    </row>
    <row r="372" spans="2:343" x14ac:dyDescent="0.25">
      <c r="B372" s="24"/>
      <c r="C372">
        <v>3</v>
      </c>
      <c r="D372">
        <v>3</v>
      </c>
      <c r="E372">
        <v>3</v>
      </c>
      <c r="F372">
        <v>31675386423</v>
      </c>
      <c r="G372">
        <v>2391</v>
      </c>
      <c r="I372" s="24"/>
      <c r="J372">
        <v>4</v>
      </c>
      <c r="K372">
        <v>5</v>
      </c>
      <c r="L372">
        <v>4</v>
      </c>
      <c r="M372">
        <v>8538064262</v>
      </c>
      <c r="N372">
        <v>1771</v>
      </c>
      <c r="P372" s="24"/>
      <c r="Q372">
        <v>40</v>
      </c>
      <c r="R372">
        <v>41</v>
      </c>
      <c r="S372">
        <v>41</v>
      </c>
      <c r="T372">
        <v>1447294359</v>
      </c>
      <c r="U372">
        <v>1637</v>
      </c>
      <c r="W372" s="24"/>
      <c r="X372">
        <v>60</v>
      </c>
      <c r="Y372">
        <v>62</v>
      </c>
      <c r="Z372">
        <v>62</v>
      </c>
      <c r="AA372">
        <v>502256104</v>
      </c>
      <c r="AB372">
        <v>1308</v>
      </c>
      <c r="AD372" s="24"/>
      <c r="AE372">
        <v>467</v>
      </c>
      <c r="AF372">
        <v>475</v>
      </c>
      <c r="AG372">
        <v>474</v>
      </c>
      <c r="AH372">
        <v>108073221</v>
      </c>
      <c r="AI372">
        <v>1350</v>
      </c>
      <c r="AK372" s="24"/>
      <c r="AL372">
        <v>767</v>
      </c>
      <c r="AM372">
        <v>795</v>
      </c>
      <c r="AN372">
        <v>780</v>
      </c>
      <c r="AO372">
        <v>56879559</v>
      </c>
      <c r="AP372">
        <v>1203</v>
      </c>
      <c r="AR372" s="24"/>
      <c r="AS372">
        <v>2850</v>
      </c>
      <c r="AT372">
        <v>2990</v>
      </c>
      <c r="AU372">
        <v>2891</v>
      </c>
      <c r="AV372">
        <v>21233926</v>
      </c>
      <c r="AW372">
        <v>1175</v>
      </c>
      <c r="AY372" s="24"/>
      <c r="AZ372">
        <v>418231102</v>
      </c>
      <c r="BA372">
        <v>427899999</v>
      </c>
      <c r="BB372">
        <v>424999998</v>
      </c>
      <c r="BC372">
        <v>3154</v>
      </c>
      <c r="BD372">
        <v>2109</v>
      </c>
      <c r="BF372" s="24"/>
      <c r="BG372">
        <v>25532</v>
      </c>
      <c r="BH372">
        <v>25604</v>
      </c>
      <c r="BI372">
        <v>25533</v>
      </c>
      <c r="BJ372">
        <v>4736862</v>
      </c>
      <c r="BK372">
        <v>240</v>
      </c>
      <c r="BM372" s="24"/>
      <c r="BN372">
        <v>6702005</v>
      </c>
      <c r="BO372">
        <v>6750000</v>
      </c>
      <c r="BP372">
        <v>6702006</v>
      </c>
      <c r="BQ372">
        <v>17875</v>
      </c>
      <c r="BR372">
        <v>325</v>
      </c>
      <c r="BT372" s="24"/>
      <c r="BU372">
        <v>2181</v>
      </c>
      <c r="BV372">
        <v>2223</v>
      </c>
      <c r="BW372">
        <v>2221</v>
      </c>
      <c r="BX372">
        <v>20977358</v>
      </c>
      <c r="BY372">
        <v>207</v>
      </c>
      <c r="CA372" s="24"/>
      <c r="CB372">
        <v>1307</v>
      </c>
      <c r="CC372">
        <v>1359</v>
      </c>
      <c r="CD372">
        <v>1359</v>
      </c>
      <c r="CE372">
        <v>52572776</v>
      </c>
      <c r="CF372">
        <v>293</v>
      </c>
      <c r="CH372" s="24"/>
      <c r="CI372">
        <v>29503</v>
      </c>
      <c r="CJ372">
        <v>29503</v>
      </c>
      <c r="CK372">
        <v>29503</v>
      </c>
      <c r="CL372">
        <v>1544127</v>
      </c>
      <c r="CM372">
        <v>161</v>
      </c>
      <c r="CO372" s="24"/>
      <c r="CP372">
        <v>12201</v>
      </c>
      <c r="CQ372">
        <v>13645</v>
      </c>
      <c r="CR372">
        <v>13197</v>
      </c>
      <c r="CS372">
        <v>1299923</v>
      </c>
      <c r="CT372">
        <v>454</v>
      </c>
      <c r="CV372" s="24"/>
      <c r="CW372">
        <v>1080001</v>
      </c>
      <c r="CX372">
        <v>1136886</v>
      </c>
      <c r="CY372">
        <v>1090000</v>
      </c>
      <c r="CZ372">
        <v>12056</v>
      </c>
      <c r="DA372">
        <v>35</v>
      </c>
      <c r="DC372" s="24"/>
      <c r="DD372">
        <v>459</v>
      </c>
      <c r="DE372">
        <v>472</v>
      </c>
      <c r="DF372">
        <v>472</v>
      </c>
      <c r="DG372">
        <v>45048897</v>
      </c>
      <c r="DH372">
        <v>206</v>
      </c>
      <c r="DJ372" s="24"/>
      <c r="DK372">
        <v>30300136</v>
      </c>
      <c r="DL372">
        <v>30616023</v>
      </c>
      <c r="DM372">
        <v>30616021</v>
      </c>
      <c r="DN372">
        <v>710</v>
      </c>
      <c r="DO372">
        <v>111</v>
      </c>
      <c r="DQ372" s="24"/>
      <c r="DR372">
        <v>1055187</v>
      </c>
      <c r="DS372">
        <v>1118998</v>
      </c>
      <c r="DT372">
        <v>1090001</v>
      </c>
      <c r="DU372">
        <v>6649</v>
      </c>
      <c r="DV372">
        <v>212</v>
      </c>
      <c r="DX372" s="24"/>
      <c r="DY372">
        <v>20502008</v>
      </c>
      <c r="DZ372">
        <v>20742008</v>
      </c>
      <c r="EA372">
        <v>20502008</v>
      </c>
      <c r="EB372">
        <v>653</v>
      </c>
      <c r="EC372">
        <v>117</v>
      </c>
      <c r="EE372" s="24"/>
      <c r="EF372">
        <v>198</v>
      </c>
      <c r="EG372">
        <v>203</v>
      </c>
      <c r="EH372">
        <v>203</v>
      </c>
      <c r="EI372">
        <v>104966460</v>
      </c>
      <c r="EJ372">
        <v>159</v>
      </c>
      <c r="EL372" s="24"/>
      <c r="EM372">
        <v>53008</v>
      </c>
      <c r="EN372">
        <v>53695</v>
      </c>
      <c r="EO372">
        <v>53500</v>
      </c>
      <c r="EP372">
        <v>108492</v>
      </c>
      <c r="EQ372">
        <v>590</v>
      </c>
      <c r="ES372" s="24"/>
      <c r="ET372">
        <v>368</v>
      </c>
      <c r="EU372">
        <v>375</v>
      </c>
      <c r="EV372">
        <v>372</v>
      </c>
      <c r="EW372">
        <v>71495751</v>
      </c>
      <c r="EX372">
        <v>701</v>
      </c>
      <c r="EZ372" s="24"/>
      <c r="FA372">
        <v>3030000</v>
      </c>
      <c r="FB372">
        <v>3400000</v>
      </c>
      <c r="FC372">
        <v>3390207</v>
      </c>
      <c r="FD372">
        <v>1059</v>
      </c>
      <c r="FE372">
        <v>12</v>
      </c>
      <c r="FG372" s="24"/>
      <c r="FH372">
        <v>10032</v>
      </c>
      <c r="FI372">
        <v>10976</v>
      </c>
      <c r="FJ372">
        <v>10971</v>
      </c>
      <c r="FK372">
        <v>1923578</v>
      </c>
      <c r="FL372">
        <v>510</v>
      </c>
      <c r="FN372" s="24"/>
      <c r="FO372">
        <v>22901</v>
      </c>
      <c r="FP372">
        <v>23485</v>
      </c>
      <c r="FQ372">
        <v>22901</v>
      </c>
      <c r="FR372">
        <v>115220</v>
      </c>
      <c r="FS372">
        <v>60</v>
      </c>
      <c r="FU372" s="24"/>
      <c r="FV372">
        <v>12533</v>
      </c>
      <c r="FW372">
        <v>12800</v>
      </c>
      <c r="FX372">
        <v>12541</v>
      </c>
      <c r="FY372">
        <v>431279</v>
      </c>
      <c r="FZ372">
        <v>1009</v>
      </c>
      <c r="GB372" s="24"/>
      <c r="GC372">
        <v>95200608</v>
      </c>
      <c r="GD372">
        <v>102000000</v>
      </c>
      <c r="GE372">
        <v>99958027</v>
      </c>
      <c r="GF372">
        <v>94</v>
      </c>
      <c r="GG372">
        <v>69</v>
      </c>
      <c r="GI372" s="24"/>
      <c r="GJ372">
        <v>17397300</v>
      </c>
      <c r="GK372">
        <v>18289999</v>
      </c>
      <c r="GL372">
        <v>17397306</v>
      </c>
      <c r="GM372">
        <v>435</v>
      </c>
      <c r="GN372">
        <v>68</v>
      </c>
      <c r="GP372" s="24"/>
      <c r="GQ372">
        <v>110</v>
      </c>
      <c r="GR372">
        <v>117</v>
      </c>
      <c r="GS372">
        <v>115</v>
      </c>
      <c r="GT372">
        <v>116605048</v>
      </c>
      <c r="GU372">
        <v>108</v>
      </c>
      <c r="GW372" s="24"/>
      <c r="GX372">
        <v>407</v>
      </c>
      <c r="GY372">
        <v>426</v>
      </c>
      <c r="GZ372">
        <v>425</v>
      </c>
      <c r="HA372">
        <v>53001598</v>
      </c>
      <c r="HB372">
        <v>257</v>
      </c>
      <c r="HD372" s="24"/>
      <c r="HE372">
        <v>5189</v>
      </c>
      <c r="HF372">
        <v>5227</v>
      </c>
      <c r="HG372">
        <v>5227</v>
      </c>
      <c r="HH372">
        <v>18217551</v>
      </c>
      <c r="HI372">
        <v>279</v>
      </c>
      <c r="HK372" s="24"/>
      <c r="HL372">
        <v>93023010</v>
      </c>
      <c r="HM372">
        <v>101999999</v>
      </c>
      <c r="HN372">
        <v>96993999</v>
      </c>
      <c r="HO372">
        <v>113</v>
      </c>
      <c r="HP372">
        <v>75</v>
      </c>
      <c r="HR372" s="24"/>
      <c r="HS372">
        <v>9463</v>
      </c>
      <c r="HT372">
        <v>9988</v>
      </c>
      <c r="HU372">
        <v>9778</v>
      </c>
      <c r="HV372">
        <v>728855</v>
      </c>
      <c r="HW372">
        <v>144</v>
      </c>
      <c r="HY372" s="24"/>
      <c r="HZ372">
        <v>11252</v>
      </c>
      <c r="IA372">
        <v>11700</v>
      </c>
      <c r="IB372">
        <v>11679</v>
      </c>
      <c r="IC372">
        <v>2536057</v>
      </c>
      <c r="ID372">
        <v>605</v>
      </c>
      <c r="IF372" s="24"/>
      <c r="IG372">
        <v>3310</v>
      </c>
      <c r="IH372">
        <v>3769</v>
      </c>
      <c r="II372">
        <v>3540</v>
      </c>
      <c r="IJ372">
        <v>2644940</v>
      </c>
      <c r="IK372">
        <v>187</v>
      </c>
      <c r="IM372" s="24"/>
      <c r="IN372">
        <v>93104006</v>
      </c>
      <c r="IO372">
        <v>101000000</v>
      </c>
      <c r="IP372">
        <v>100999999</v>
      </c>
      <c r="IQ372">
        <v>111</v>
      </c>
      <c r="IR372">
        <v>72</v>
      </c>
      <c r="IT372" s="24"/>
      <c r="IU372">
        <v>9603</v>
      </c>
      <c r="IV372">
        <v>10195</v>
      </c>
      <c r="IW372">
        <v>9990</v>
      </c>
      <c r="IX372">
        <v>955010</v>
      </c>
      <c r="IY372">
        <v>123</v>
      </c>
      <c r="JA372" s="24"/>
      <c r="JB372">
        <v>92108007</v>
      </c>
      <c r="JC372">
        <v>101999999</v>
      </c>
      <c r="JD372">
        <v>94999999</v>
      </c>
      <c r="JE372">
        <v>124</v>
      </c>
      <c r="JF372">
        <v>93</v>
      </c>
      <c r="JH372" s="24"/>
      <c r="JI372">
        <v>93000000</v>
      </c>
      <c r="JJ372">
        <v>103730000</v>
      </c>
      <c r="JK372">
        <v>98974062</v>
      </c>
      <c r="JL372">
        <v>65</v>
      </c>
      <c r="JM372">
        <v>44</v>
      </c>
      <c r="JO372" s="24"/>
      <c r="JP372">
        <v>90</v>
      </c>
      <c r="JQ372">
        <v>90</v>
      </c>
      <c r="JR372">
        <v>90</v>
      </c>
      <c r="JS372">
        <v>49506825</v>
      </c>
      <c r="JT372">
        <v>74</v>
      </c>
      <c r="JV372" s="24"/>
      <c r="JW372">
        <v>95</v>
      </c>
      <c r="JX372">
        <v>96</v>
      </c>
      <c r="JY372">
        <v>96</v>
      </c>
      <c r="JZ372">
        <v>84495643</v>
      </c>
      <c r="KA372">
        <v>95</v>
      </c>
      <c r="KC372" s="24"/>
      <c r="KD372">
        <v>150</v>
      </c>
      <c r="KE372">
        <v>158</v>
      </c>
      <c r="KF372">
        <v>153</v>
      </c>
      <c r="KG372">
        <v>70884036</v>
      </c>
      <c r="KH372">
        <v>447</v>
      </c>
      <c r="KJ372" s="24"/>
      <c r="KK372">
        <v>109</v>
      </c>
      <c r="KL372">
        <v>112</v>
      </c>
      <c r="KM372">
        <v>111</v>
      </c>
      <c r="KN372">
        <v>107462611</v>
      </c>
      <c r="KO372">
        <v>105</v>
      </c>
      <c r="KQ372" s="24"/>
      <c r="KR372">
        <v>126005</v>
      </c>
      <c r="KS372">
        <v>128799</v>
      </c>
      <c r="KT372">
        <v>126010</v>
      </c>
      <c r="KU372">
        <v>59111</v>
      </c>
      <c r="KV372">
        <v>531</v>
      </c>
      <c r="KX372" s="24"/>
      <c r="KY372">
        <v>760</v>
      </c>
      <c r="KZ372">
        <v>802</v>
      </c>
      <c r="LA372">
        <v>774</v>
      </c>
      <c r="LB372">
        <v>5252762</v>
      </c>
      <c r="LC372">
        <v>186</v>
      </c>
      <c r="LE372" s="24"/>
      <c r="LF372">
        <v>185000</v>
      </c>
      <c r="LG372">
        <v>185500</v>
      </c>
      <c r="LH372">
        <v>185500</v>
      </c>
      <c r="LI372">
        <v>121787</v>
      </c>
      <c r="LJ372">
        <v>784</v>
      </c>
      <c r="LL372" s="24"/>
      <c r="LM372">
        <v>56005</v>
      </c>
      <c r="LN372">
        <v>57799</v>
      </c>
      <c r="LO372">
        <v>56270</v>
      </c>
      <c r="LP372">
        <v>434081</v>
      </c>
      <c r="LQ372">
        <v>1090</v>
      </c>
      <c r="LS372" s="24"/>
      <c r="LT372">
        <v>425</v>
      </c>
      <c r="LU372">
        <v>428</v>
      </c>
      <c r="LV372">
        <v>428</v>
      </c>
      <c r="LW372">
        <v>108550737</v>
      </c>
      <c r="LX372">
        <v>436</v>
      </c>
      <c r="LZ372" s="24"/>
      <c r="MA372">
        <v>100998</v>
      </c>
      <c r="MB372">
        <v>100999</v>
      </c>
      <c r="MC372">
        <v>100998</v>
      </c>
      <c r="MD372">
        <v>972488</v>
      </c>
      <c r="ME372">
        <v>83</v>
      </c>
    </row>
    <row r="373" spans="2:343" x14ac:dyDescent="0.25">
      <c r="B373" s="24"/>
      <c r="C373">
        <v>3</v>
      </c>
      <c r="D373">
        <v>3</v>
      </c>
      <c r="E373">
        <v>3</v>
      </c>
      <c r="F373">
        <v>33963699331</v>
      </c>
      <c r="G373">
        <v>2617</v>
      </c>
      <c r="I373" s="24"/>
      <c r="J373">
        <v>5</v>
      </c>
      <c r="K373">
        <v>5</v>
      </c>
      <c r="L373">
        <v>5</v>
      </c>
      <c r="M373">
        <v>7673041493</v>
      </c>
      <c r="N373">
        <v>1973</v>
      </c>
      <c r="P373" s="24"/>
      <c r="Q373">
        <v>41</v>
      </c>
      <c r="R373">
        <v>41</v>
      </c>
      <c r="S373">
        <v>41</v>
      </c>
      <c r="T373">
        <v>1741359926</v>
      </c>
      <c r="U373">
        <v>1790</v>
      </c>
      <c r="W373" s="24"/>
      <c r="X373">
        <v>60</v>
      </c>
      <c r="Y373">
        <v>62</v>
      </c>
      <c r="Z373">
        <v>61</v>
      </c>
      <c r="AA373">
        <v>383340695</v>
      </c>
      <c r="AB373">
        <v>1451</v>
      </c>
      <c r="AD373" s="24"/>
      <c r="AE373">
        <v>470</v>
      </c>
      <c r="AF373">
        <v>476</v>
      </c>
      <c r="AG373">
        <v>474</v>
      </c>
      <c r="AH373">
        <v>77725660</v>
      </c>
      <c r="AI373">
        <v>1411</v>
      </c>
      <c r="AK373" s="24"/>
      <c r="AL373">
        <v>767</v>
      </c>
      <c r="AM373">
        <v>788</v>
      </c>
      <c r="AN373">
        <v>786</v>
      </c>
      <c r="AO373">
        <v>67423580</v>
      </c>
      <c r="AP373">
        <v>1286</v>
      </c>
      <c r="AR373" s="24"/>
      <c r="AS373">
        <v>2827</v>
      </c>
      <c r="AT373">
        <v>2946</v>
      </c>
      <c r="AU373">
        <v>2830</v>
      </c>
      <c r="AV373">
        <v>14614851</v>
      </c>
      <c r="AW373">
        <v>1174</v>
      </c>
      <c r="AY373" s="24"/>
      <c r="AZ373">
        <v>426999998</v>
      </c>
      <c r="BA373">
        <v>436020998</v>
      </c>
      <c r="BB373">
        <v>431000000</v>
      </c>
      <c r="BC373">
        <v>3332</v>
      </c>
      <c r="BD373">
        <v>2267</v>
      </c>
      <c r="BF373" s="24"/>
      <c r="BG373">
        <v>25318</v>
      </c>
      <c r="BH373">
        <v>25555</v>
      </c>
      <c r="BI373">
        <v>25533</v>
      </c>
      <c r="BJ373">
        <v>6122333</v>
      </c>
      <c r="BK373">
        <v>282</v>
      </c>
      <c r="BM373" s="24"/>
      <c r="BN373">
        <v>6661263</v>
      </c>
      <c r="BO373">
        <v>6799899</v>
      </c>
      <c r="BP373">
        <v>6672000</v>
      </c>
      <c r="BQ373">
        <v>14599</v>
      </c>
      <c r="BR373">
        <v>349</v>
      </c>
      <c r="BT373" s="24"/>
      <c r="BU373">
        <v>2195</v>
      </c>
      <c r="BV373">
        <v>2221</v>
      </c>
      <c r="BW373">
        <v>2219</v>
      </c>
      <c r="BX373">
        <v>27284626</v>
      </c>
      <c r="BY373">
        <v>217</v>
      </c>
      <c r="CA373" s="24"/>
      <c r="CB373">
        <v>1347</v>
      </c>
      <c r="CC373">
        <v>1350</v>
      </c>
      <c r="CD373">
        <v>1348</v>
      </c>
      <c r="CE373">
        <v>36501190</v>
      </c>
      <c r="CF373">
        <v>265</v>
      </c>
      <c r="CH373" s="24"/>
      <c r="CI373">
        <v>29103</v>
      </c>
      <c r="CJ373">
        <v>29503</v>
      </c>
      <c r="CK373">
        <v>29104</v>
      </c>
      <c r="CL373">
        <v>2095057</v>
      </c>
      <c r="CM373">
        <v>196</v>
      </c>
      <c r="CO373" s="24"/>
      <c r="CP373">
        <v>12302</v>
      </c>
      <c r="CQ373">
        <v>12848</v>
      </c>
      <c r="CR373">
        <v>12600</v>
      </c>
      <c r="CS373">
        <v>1656002</v>
      </c>
      <c r="CT373">
        <v>490</v>
      </c>
      <c r="CV373" s="24"/>
      <c r="CW373">
        <v>1136886</v>
      </c>
      <c r="CX373">
        <v>1136886</v>
      </c>
      <c r="CY373">
        <v>1136886</v>
      </c>
      <c r="CZ373">
        <v>7498</v>
      </c>
      <c r="DA373">
        <v>25</v>
      </c>
      <c r="DC373" s="24"/>
      <c r="DD373">
        <v>469</v>
      </c>
      <c r="DE373">
        <v>476</v>
      </c>
      <c r="DF373">
        <v>470</v>
      </c>
      <c r="DG373">
        <v>46311843</v>
      </c>
      <c r="DH373">
        <v>189</v>
      </c>
      <c r="DJ373" s="24"/>
      <c r="DK373">
        <v>30301150</v>
      </c>
      <c r="DL373">
        <v>30303004</v>
      </c>
      <c r="DM373">
        <v>30301151</v>
      </c>
      <c r="DN373">
        <v>423</v>
      </c>
      <c r="DO373">
        <v>98</v>
      </c>
      <c r="DQ373" s="24"/>
      <c r="DR373">
        <v>1118998</v>
      </c>
      <c r="DS373">
        <v>1142999</v>
      </c>
      <c r="DT373">
        <v>1142999</v>
      </c>
      <c r="DU373">
        <v>11425</v>
      </c>
      <c r="DV373">
        <v>250</v>
      </c>
      <c r="DX373" s="24"/>
      <c r="DY373">
        <v>20502052</v>
      </c>
      <c r="DZ373">
        <v>21469999</v>
      </c>
      <c r="EA373">
        <v>20504000</v>
      </c>
      <c r="EB373">
        <v>672</v>
      </c>
      <c r="EC373">
        <v>125</v>
      </c>
      <c r="EE373" s="24"/>
      <c r="EF373">
        <v>197</v>
      </c>
      <c r="EG373">
        <v>203</v>
      </c>
      <c r="EH373">
        <v>202</v>
      </c>
      <c r="EI373">
        <v>95203115</v>
      </c>
      <c r="EJ373">
        <v>139</v>
      </c>
      <c r="EL373" s="24"/>
      <c r="EM373">
        <v>53513</v>
      </c>
      <c r="EN373">
        <v>56254</v>
      </c>
      <c r="EO373">
        <v>54600</v>
      </c>
      <c r="EP373">
        <v>67818</v>
      </c>
      <c r="EQ373">
        <v>615</v>
      </c>
      <c r="ES373" s="24"/>
      <c r="ET373">
        <v>394</v>
      </c>
      <c r="EU373">
        <v>416</v>
      </c>
      <c r="EV373">
        <v>407</v>
      </c>
      <c r="EW373">
        <v>69325724</v>
      </c>
      <c r="EX373">
        <v>690</v>
      </c>
      <c r="EZ373" s="24"/>
      <c r="FA373">
        <v>3312999</v>
      </c>
      <c r="FB373">
        <v>3320950</v>
      </c>
      <c r="FC373">
        <v>3320949</v>
      </c>
      <c r="FD373">
        <v>1416</v>
      </c>
      <c r="FE373">
        <v>16</v>
      </c>
      <c r="FG373" s="24"/>
      <c r="FH373">
        <v>10229</v>
      </c>
      <c r="FI373">
        <v>10695</v>
      </c>
      <c r="FJ373">
        <v>10600</v>
      </c>
      <c r="FK373">
        <v>2190793</v>
      </c>
      <c r="FL373">
        <v>504</v>
      </c>
      <c r="FN373" s="24"/>
      <c r="FO373">
        <v>22600</v>
      </c>
      <c r="FP373">
        <v>22610</v>
      </c>
      <c r="FQ373">
        <v>22601</v>
      </c>
      <c r="FR373">
        <v>429825</v>
      </c>
      <c r="FS373">
        <v>102</v>
      </c>
      <c r="FU373" s="24"/>
      <c r="FV373">
        <v>12705</v>
      </c>
      <c r="FW373">
        <v>13005</v>
      </c>
      <c r="FX373">
        <v>12706</v>
      </c>
      <c r="FY373">
        <v>541778</v>
      </c>
      <c r="FZ373">
        <v>1110</v>
      </c>
      <c r="GB373" s="24"/>
      <c r="GC373">
        <v>93005003</v>
      </c>
      <c r="GD373">
        <v>98000000</v>
      </c>
      <c r="GE373">
        <v>96887390</v>
      </c>
      <c r="GF373">
        <v>95</v>
      </c>
      <c r="GG373">
        <v>57</v>
      </c>
      <c r="GI373" s="24"/>
      <c r="GJ373">
        <v>17397501</v>
      </c>
      <c r="GK373">
        <v>18196999</v>
      </c>
      <c r="GL373">
        <v>17600002</v>
      </c>
      <c r="GM373">
        <v>524</v>
      </c>
      <c r="GN373">
        <v>89</v>
      </c>
      <c r="GP373" s="24"/>
      <c r="GQ373">
        <v>112</v>
      </c>
      <c r="GR373">
        <v>116</v>
      </c>
      <c r="GS373">
        <v>112</v>
      </c>
      <c r="GT373">
        <v>184965232</v>
      </c>
      <c r="GU373">
        <v>114</v>
      </c>
      <c r="GW373" s="24"/>
      <c r="GX373">
        <v>419</v>
      </c>
      <c r="GY373">
        <v>426</v>
      </c>
      <c r="GZ373">
        <v>423</v>
      </c>
      <c r="HA373">
        <v>54012645</v>
      </c>
      <c r="HB373">
        <v>263</v>
      </c>
      <c r="HD373" s="24"/>
      <c r="HE373">
        <v>5100</v>
      </c>
      <c r="HF373">
        <v>5189</v>
      </c>
      <c r="HG373">
        <v>5187</v>
      </c>
      <c r="HH373">
        <v>19624800</v>
      </c>
      <c r="HI373">
        <v>292</v>
      </c>
      <c r="HK373" s="24"/>
      <c r="HL373">
        <v>95000000</v>
      </c>
      <c r="HM373">
        <v>96999999</v>
      </c>
      <c r="HN373">
        <v>95279142</v>
      </c>
      <c r="HO373">
        <v>92</v>
      </c>
      <c r="HP373">
        <v>56</v>
      </c>
      <c r="HR373" s="24"/>
      <c r="HS373">
        <v>9426</v>
      </c>
      <c r="HT373">
        <v>10500</v>
      </c>
      <c r="HU373">
        <v>10399</v>
      </c>
      <c r="HV373">
        <v>1154695</v>
      </c>
      <c r="HW373">
        <v>154</v>
      </c>
      <c r="HY373" s="24"/>
      <c r="HZ373">
        <v>11704</v>
      </c>
      <c r="IA373">
        <v>11797</v>
      </c>
      <c r="IB373">
        <v>11797</v>
      </c>
      <c r="IC373">
        <v>2676303</v>
      </c>
      <c r="ID373">
        <v>585</v>
      </c>
      <c r="IF373" s="24"/>
      <c r="IG373">
        <v>3301</v>
      </c>
      <c r="IH373">
        <v>3598</v>
      </c>
      <c r="II373">
        <v>3303</v>
      </c>
      <c r="IJ373">
        <v>2498841</v>
      </c>
      <c r="IK373">
        <v>169</v>
      </c>
      <c r="IM373" s="24"/>
      <c r="IN373">
        <v>97777787</v>
      </c>
      <c r="IO373">
        <v>100999998</v>
      </c>
      <c r="IP373">
        <v>97779011</v>
      </c>
      <c r="IQ373">
        <v>108</v>
      </c>
      <c r="IR373">
        <v>62</v>
      </c>
      <c r="IT373" s="24"/>
      <c r="IU373">
        <v>9411</v>
      </c>
      <c r="IV373">
        <v>9897</v>
      </c>
      <c r="IW373">
        <v>9798</v>
      </c>
      <c r="IX373">
        <v>1979561</v>
      </c>
      <c r="IY373">
        <v>155</v>
      </c>
      <c r="JA373" s="24"/>
      <c r="JB373">
        <v>95000000</v>
      </c>
      <c r="JC373">
        <v>105999997</v>
      </c>
      <c r="JD373">
        <v>99276109</v>
      </c>
      <c r="JE373">
        <v>57</v>
      </c>
      <c r="JF373">
        <v>50</v>
      </c>
      <c r="JH373" s="24"/>
      <c r="JI373">
        <v>101998999</v>
      </c>
      <c r="JJ373">
        <v>110720000</v>
      </c>
      <c r="JK373">
        <v>104950459</v>
      </c>
      <c r="JL373">
        <v>27</v>
      </c>
      <c r="JM373">
        <v>27</v>
      </c>
      <c r="JO373" s="24"/>
      <c r="JP373">
        <v>89</v>
      </c>
      <c r="JQ373">
        <v>91</v>
      </c>
      <c r="JR373">
        <v>89</v>
      </c>
      <c r="JS373">
        <v>203178395</v>
      </c>
      <c r="JT373">
        <v>131</v>
      </c>
      <c r="JV373" s="24"/>
      <c r="JW373">
        <v>93</v>
      </c>
      <c r="JX373">
        <v>96</v>
      </c>
      <c r="JY373">
        <v>94</v>
      </c>
      <c r="JZ373">
        <v>126642049</v>
      </c>
      <c r="KA373">
        <v>106</v>
      </c>
      <c r="KC373" s="24"/>
      <c r="KD373">
        <v>166</v>
      </c>
      <c r="KE373">
        <v>179</v>
      </c>
      <c r="KF373">
        <v>172</v>
      </c>
      <c r="KG373">
        <v>73382614</v>
      </c>
      <c r="KH373">
        <v>433</v>
      </c>
      <c r="KJ373" s="24"/>
      <c r="KK373">
        <v>106</v>
      </c>
      <c r="KL373">
        <v>112</v>
      </c>
      <c r="KM373">
        <v>107</v>
      </c>
      <c r="KN373">
        <v>118800136</v>
      </c>
      <c r="KO373">
        <v>111</v>
      </c>
      <c r="KQ373" s="24"/>
      <c r="KR373">
        <v>126250</v>
      </c>
      <c r="KS373">
        <v>129000</v>
      </c>
      <c r="KT373">
        <v>126255</v>
      </c>
      <c r="KU373">
        <v>90085</v>
      </c>
      <c r="KV373">
        <v>609</v>
      </c>
      <c r="KX373" s="24"/>
      <c r="KY373">
        <v>760</v>
      </c>
      <c r="KZ373">
        <v>794</v>
      </c>
      <c r="LA373">
        <v>760</v>
      </c>
      <c r="LB373">
        <v>9253323</v>
      </c>
      <c r="LC373">
        <v>170</v>
      </c>
      <c r="LE373" s="24"/>
      <c r="LF373">
        <v>177632</v>
      </c>
      <c r="LG373">
        <v>180974</v>
      </c>
      <c r="LH373">
        <v>177635</v>
      </c>
      <c r="LI373">
        <v>128845</v>
      </c>
      <c r="LJ373">
        <v>820</v>
      </c>
      <c r="LL373" s="24"/>
      <c r="LM373">
        <v>56200</v>
      </c>
      <c r="LN373">
        <v>59003</v>
      </c>
      <c r="LO373">
        <v>58285</v>
      </c>
      <c r="LP373">
        <v>687265</v>
      </c>
      <c r="LQ373">
        <v>1181</v>
      </c>
      <c r="LS373" s="24"/>
      <c r="LT373">
        <v>427</v>
      </c>
      <c r="LU373">
        <v>428</v>
      </c>
      <c r="LV373">
        <v>428</v>
      </c>
      <c r="LW373">
        <v>129509045</v>
      </c>
      <c r="LX373">
        <v>410</v>
      </c>
      <c r="LZ373" s="24"/>
      <c r="MA373">
        <v>100000</v>
      </c>
      <c r="MB373">
        <v>100999</v>
      </c>
      <c r="MC373">
        <v>100999</v>
      </c>
      <c r="MD373">
        <v>607000</v>
      </c>
      <c r="ME373">
        <v>55</v>
      </c>
    </row>
    <row r="374" spans="2:343" x14ac:dyDescent="0.25">
      <c r="B374" s="24"/>
      <c r="C374">
        <v>3</v>
      </c>
      <c r="D374">
        <v>3</v>
      </c>
      <c r="E374">
        <v>3</v>
      </c>
      <c r="F374">
        <v>27153773911</v>
      </c>
      <c r="G374">
        <v>2660</v>
      </c>
      <c r="I374" s="24"/>
      <c r="J374">
        <v>4</v>
      </c>
      <c r="K374">
        <v>5</v>
      </c>
      <c r="L374">
        <v>5</v>
      </c>
      <c r="M374">
        <v>6253615824</v>
      </c>
      <c r="N374">
        <v>1993</v>
      </c>
      <c r="P374" s="24"/>
      <c r="Q374">
        <v>41</v>
      </c>
      <c r="R374">
        <v>41</v>
      </c>
      <c r="S374">
        <v>41</v>
      </c>
      <c r="T374">
        <v>2141206712</v>
      </c>
      <c r="U374">
        <v>1799</v>
      </c>
      <c r="W374" s="24"/>
      <c r="X374">
        <v>61</v>
      </c>
      <c r="Y374">
        <v>61</v>
      </c>
      <c r="Z374">
        <v>61</v>
      </c>
      <c r="AA374">
        <v>385434938</v>
      </c>
      <c r="AB374">
        <v>1447</v>
      </c>
      <c r="AD374" s="24"/>
      <c r="AE374">
        <v>470</v>
      </c>
      <c r="AF374">
        <v>474</v>
      </c>
      <c r="AG374">
        <v>474</v>
      </c>
      <c r="AH374">
        <v>133986360</v>
      </c>
      <c r="AI374">
        <v>1488</v>
      </c>
      <c r="AK374" s="24"/>
      <c r="AL374">
        <v>757</v>
      </c>
      <c r="AM374">
        <v>773</v>
      </c>
      <c r="AN374">
        <v>762</v>
      </c>
      <c r="AO374">
        <v>69221669</v>
      </c>
      <c r="AP374">
        <v>1318</v>
      </c>
      <c r="AR374" s="24"/>
      <c r="AS374">
        <v>2868</v>
      </c>
      <c r="AT374">
        <v>2915</v>
      </c>
      <c r="AU374">
        <v>2914</v>
      </c>
      <c r="AV374">
        <v>14058644</v>
      </c>
      <c r="AW374">
        <v>1282</v>
      </c>
      <c r="AY374" s="24"/>
      <c r="AZ374">
        <v>445734999</v>
      </c>
      <c r="BA374">
        <v>456900000</v>
      </c>
      <c r="BB374">
        <v>451000006</v>
      </c>
      <c r="BC374">
        <v>3126</v>
      </c>
      <c r="BD374">
        <v>2041</v>
      </c>
      <c r="BF374" s="24"/>
      <c r="BG374">
        <v>25319</v>
      </c>
      <c r="BH374">
        <v>25400</v>
      </c>
      <c r="BI374">
        <v>25320</v>
      </c>
      <c r="BJ374">
        <v>2643915</v>
      </c>
      <c r="BK374">
        <v>247</v>
      </c>
      <c r="BM374" s="24"/>
      <c r="BN374">
        <v>6700000</v>
      </c>
      <c r="BO374">
        <v>6840000</v>
      </c>
      <c r="BP374">
        <v>6700108</v>
      </c>
      <c r="BQ374">
        <v>17661</v>
      </c>
      <c r="BR374">
        <v>366</v>
      </c>
      <c r="BT374" s="24"/>
      <c r="BU374">
        <v>2133</v>
      </c>
      <c r="BV374">
        <v>2219</v>
      </c>
      <c r="BW374">
        <v>2180</v>
      </c>
      <c r="BX374">
        <v>26382496</v>
      </c>
      <c r="BY374">
        <v>237</v>
      </c>
      <c r="CA374" s="24"/>
      <c r="CB374">
        <v>1344</v>
      </c>
      <c r="CC374">
        <v>1348</v>
      </c>
      <c r="CD374">
        <v>1347</v>
      </c>
      <c r="CE374">
        <v>38245574</v>
      </c>
      <c r="CF374">
        <v>296</v>
      </c>
      <c r="CH374" s="24"/>
      <c r="CI374">
        <v>29200</v>
      </c>
      <c r="CJ374">
        <v>29204</v>
      </c>
      <c r="CK374">
        <v>29204</v>
      </c>
      <c r="CL374">
        <v>1790763</v>
      </c>
      <c r="CM374">
        <v>252</v>
      </c>
      <c r="CO374" s="24"/>
      <c r="CP374">
        <v>11998</v>
      </c>
      <c r="CQ374">
        <v>12301</v>
      </c>
      <c r="CR374">
        <v>12300</v>
      </c>
      <c r="CS374">
        <v>1062974</v>
      </c>
      <c r="CT374">
        <v>431</v>
      </c>
      <c r="CV374" s="24"/>
      <c r="CW374">
        <v>1135000</v>
      </c>
      <c r="CX374">
        <v>1135999</v>
      </c>
      <c r="CY374">
        <v>1135998</v>
      </c>
      <c r="CZ374">
        <v>12082</v>
      </c>
      <c r="DA374">
        <v>32</v>
      </c>
      <c r="DC374" s="24"/>
      <c r="DD374">
        <v>464</v>
      </c>
      <c r="DE374">
        <v>475</v>
      </c>
      <c r="DF374">
        <v>475</v>
      </c>
      <c r="DG374">
        <v>44658796</v>
      </c>
      <c r="DH374">
        <v>211</v>
      </c>
      <c r="DJ374" s="24"/>
      <c r="DK374">
        <v>30302151</v>
      </c>
      <c r="DL374">
        <v>31799889</v>
      </c>
      <c r="DM374">
        <v>30303033</v>
      </c>
      <c r="DN374">
        <v>810</v>
      </c>
      <c r="DO374">
        <v>124</v>
      </c>
      <c r="DQ374" s="24"/>
      <c r="DR374">
        <v>1143001</v>
      </c>
      <c r="DS374">
        <v>1242994</v>
      </c>
      <c r="DT374">
        <v>1145000</v>
      </c>
      <c r="DU374">
        <v>6560</v>
      </c>
      <c r="DV374">
        <v>280</v>
      </c>
      <c r="DX374" s="24"/>
      <c r="DY374">
        <v>18000046</v>
      </c>
      <c r="DZ374">
        <v>18999999</v>
      </c>
      <c r="EA374">
        <v>18000075</v>
      </c>
      <c r="EB374">
        <v>688</v>
      </c>
      <c r="EC374">
        <v>133</v>
      </c>
      <c r="EE374" s="24"/>
      <c r="EF374">
        <v>197</v>
      </c>
      <c r="EG374">
        <v>203</v>
      </c>
      <c r="EH374">
        <v>202</v>
      </c>
      <c r="EI374">
        <v>80229968</v>
      </c>
      <c r="EJ374">
        <v>163</v>
      </c>
      <c r="EL374" s="24"/>
      <c r="EM374">
        <v>56005</v>
      </c>
      <c r="EN374">
        <v>59999</v>
      </c>
      <c r="EO374">
        <v>56016</v>
      </c>
      <c r="EP374">
        <v>66861</v>
      </c>
      <c r="EQ374">
        <v>607</v>
      </c>
      <c r="ES374" s="24"/>
      <c r="ET374">
        <v>407</v>
      </c>
      <c r="EU374">
        <v>424</v>
      </c>
      <c r="EV374">
        <v>419</v>
      </c>
      <c r="EW374">
        <v>70363327</v>
      </c>
      <c r="EX374">
        <v>794</v>
      </c>
      <c r="EZ374" s="24"/>
      <c r="FA374">
        <v>2681308</v>
      </c>
      <c r="FB374">
        <v>3296997</v>
      </c>
      <c r="FC374">
        <v>2682309</v>
      </c>
      <c r="FD374">
        <v>737</v>
      </c>
      <c r="FE374">
        <v>8</v>
      </c>
      <c r="FG374" s="24"/>
      <c r="FH374">
        <v>10032</v>
      </c>
      <c r="FI374">
        <v>10558</v>
      </c>
      <c r="FJ374">
        <v>10229</v>
      </c>
      <c r="FK374">
        <v>1917585</v>
      </c>
      <c r="FL374">
        <v>510</v>
      </c>
      <c r="FN374" s="24"/>
      <c r="FO374">
        <v>22150</v>
      </c>
      <c r="FP374">
        <v>22384</v>
      </c>
      <c r="FQ374">
        <v>22383</v>
      </c>
      <c r="FR374">
        <v>133085</v>
      </c>
      <c r="FS374">
        <v>65</v>
      </c>
      <c r="FU374" s="24"/>
      <c r="FV374">
        <v>13005</v>
      </c>
      <c r="FW374">
        <v>13189</v>
      </c>
      <c r="FX374">
        <v>13106</v>
      </c>
      <c r="FY374">
        <v>315408</v>
      </c>
      <c r="FZ374">
        <v>1108</v>
      </c>
      <c r="GB374" s="24"/>
      <c r="GC374">
        <v>95013504</v>
      </c>
      <c r="GD374">
        <v>105908885</v>
      </c>
      <c r="GE374">
        <v>102528674</v>
      </c>
      <c r="GF374">
        <v>58</v>
      </c>
      <c r="GG374">
        <v>49</v>
      </c>
      <c r="GI374" s="24"/>
      <c r="GJ374">
        <v>18196049</v>
      </c>
      <c r="GK374">
        <v>18289999</v>
      </c>
      <c r="GL374">
        <v>18197000</v>
      </c>
      <c r="GM374">
        <v>1031</v>
      </c>
      <c r="GN374">
        <v>112</v>
      </c>
      <c r="GP374" s="24"/>
      <c r="GQ374">
        <v>108</v>
      </c>
      <c r="GR374">
        <v>113</v>
      </c>
      <c r="GS374">
        <v>111</v>
      </c>
      <c r="GT374">
        <v>158251018</v>
      </c>
      <c r="GU374">
        <v>115</v>
      </c>
      <c r="GW374" s="24"/>
      <c r="GX374">
        <v>424</v>
      </c>
      <c r="GY374">
        <v>426</v>
      </c>
      <c r="GZ374">
        <v>426</v>
      </c>
      <c r="HA374">
        <v>47971483</v>
      </c>
      <c r="HB374">
        <v>246</v>
      </c>
      <c r="HD374" s="24"/>
      <c r="HE374">
        <v>5102</v>
      </c>
      <c r="HF374">
        <v>5179</v>
      </c>
      <c r="HG374">
        <v>5177</v>
      </c>
      <c r="HH374">
        <v>12856085</v>
      </c>
      <c r="HI374">
        <v>253</v>
      </c>
      <c r="HK374" s="24"/>
      <c r="HL374">
        <v>96999995</v>
      </c>
      <c r="HM374">
        <v>97000001</v>
      </c>
      <c r="HN374">
        <v>96999996</v>
      </c>
      <c r="HO374">
        <v>155</v>
      </c>
      <c r="HP374">
        <v>87</v>
      </c>
      <c r="HR374" s="24"/>
      <c r="HS374">
        <v>9998</v>
      </c>
      <c r="HT374">
        <v>10500</v>
      </c>
      <c r="HU374">
        <v>10250</v>
      </c>
      <c r="HV374">
        <v>545536</v>
      </c>
      <c r="HW374">
        <v>116</v>
      </c>
      <c r="HY374" s="24"/>
      <c r="HZ374">
        <v>12003</v>
      </c>
      <c r="IA374">
        <v>12898</v>
      </c>
      <c r="IB374">
        <v>12150</v>
      </c>
      <c r="IC374">
        <v>2484456</v>
      </c>
      <c r="ID374">
        <v>589</v>
      </c>
      <c r="IF374" s="24"/>
      <c r="IG374">
        <v>2985</v>
      </c>
      <c r="IH374">
        <v>3575</v>
      </c>
      <c r="II374">
        <v>3250</v>
      </c>
      <c r="IJ374">
        <v>2346803</v>
      </c>
      <c r="IK374">
        <v>154</v>
      </c>
      <c r="IM374" s="24"/>
      <c r="IN374">
        <v>95000008</v>
      </c>
      <c r="IO374">
        <v>100999799</v>
      </c>
      <c r="IP374">
        <v>100999700</v>
      </c>
      <c r="IQ374">
        <v>111</v>
      </c>
      <c r="IR374">
        <v>71</v>
      </c>
      <c r="IT374" s="24"/>
      <c r="IU374">
        <v>9412</v>
      </c>
      <c r="IV374">
        <v>9797</v>
      </c>
      <c r="IW374">
        <v>9413</v>
      </c>
      <c r="IX374">
        <v>1730410</v>
      </c>
      <c r="IY374">
        <v>139</v>
      </c>
      <c r="JA374" s="24"/>
      <c r="JB374">
        <v>95100000</v>
      </c>
      <c r="JC374">
        <v>105497799</v>
      </c>
      <c r="JD374">
        <v>101628601</v>
      </c>
      <c r="JE374">
        <v>66</v>
      </c>
      <c r="JF374">
        <v>64</v>
      </c>
      <c r="JH374" s="24"/>
      <c r="JI374">
        <v>96008504</v>
      </c>
      <c r="JJ374">
        <v>108419999</v>
      </c>
      <c r="JK374">
        <v>99689189</v>
      </c>
      <c r="JL374">
        <v>84</v>
      </c>
      <c r="JM374">
        <v>51</v>
      </c>
      <c r="JO374" s="24"/>
      <c r="JP374">
        <v>87</v>
      </c>
      <c r="JQ374">
        <v>90</v>
      </c>
      <c r="JR374">
        <v>88</v>
      </c>
      <c r="JS374">
        <v>55685776</v>
      </c>
      <c r="JT374">
        <v>78</v>
      </c>
      <c r="JV374" s="24"/>
      <c r="JW374">
        <v>94</v>
      </c>
      <c r="JX374">
        <v>96</v>
      </c>
      <c r="JY374">
        <v>96</v>
      </c>
      <c r="JZ374">
        <v>116171854</v>
      </c>
      <c r="KA374">
        <v>96</v>
      </c>
      <c r="KC374" s="24"/>
      <c r="KD374">
        <v>166</v>
      </c>
      <c r="KE374">
        <v>172</v>
      </c>
      <c r="KF374">
        <v>171</v>
      </c>
      <c r="KG374">
        <v>55779359</v>
      </c>
      <c r="KH374">
        <v>421</v>
      </c>
      <c r="KJ374" s="24"/>
      <c r="KK374">
        <v>107</v>
      </c>
      <c r="KL374">
        <v>112</v>
      </c>
      <c r="KM374">
        <v>111</v>
      </c>
      <c r="KN374">
        <v>170101518</v>
      </c>
      <c r="KO374">
        <v>149</v>
      </c>
      <c r="KQ374" s="24"/>
      <c r="KR374">
        <v>126271</v>
      </c>
      <c r="KS374">
        <v>129999</v>
      </c>
      <c r="KT374">
        <v>126310</v>
      </c>
      <c r="KU374">
        <v>61905</v>
      </c>
      <c r="KV374">
        <v>562</v>
      </c>
      <c r="KX374" s="24"/>
      <c r="KY374">
        <v>704</v>
      </c>
      <c r="KZ374">
        <v>791</v>
      </c>
      <c r="LA374">
        <v>735</v>
      </c>
      <c r="LB374">
        <v>6538906</v>
      </c>
      <c r="LC374">
        <v>162</v>
      </c>
      <c r="LE374" s="24"/>
      <c r="LF374">
        <v>183001</v>
      </c>
      <c r="LG374">
        <v>183355</v>
      </c>
      <c r="LH374">
        <v>183004</v>
      </c>
      <c r="LI374">
        <v>125487</v>
      </c>
      <c r="LJ374">
        <v>854</v>
      </c>
      <c r="LL374" s="24"/>
      <c r="LM374">
        <v>56138</v>
      </c>
      <c r="LN374">
        <v>60799</v>
      </c>
      <c r="LO374">
        <v>56149</v>
      </c>
      <c r="LP374">
        <v>354370</v>
      </c>
      <c r="LQ374">
        <v>1182</v>
      </c>
      <c r="LS374" s="24"/>
      <c r="LT374">
        <v>428</v>
      </c>
      <c r="LU374">
        <v>429</v>
      </c>
      <c r="LV374">
        <v>429</v>
      </c>
      <c r="LW374">
        <v>96542966</v>
      </c>
      <c r="LX374">
        <v>461</v>
      </c>
      <c r="LZ374" s="24"/>
      <c r="MA374">
        <v>99500</v>
      </c>
      <c r="MB374">
        <v>100997</v>
      </c>
      <c r="MC374">
        <v>100996</v>
      </c>
      <c r="MD374">
        <v>572998</v>
      </c>
      <c r="ME374">
        <v>58</v>
      </c>
    </row>
    <row r="375" spans="2:343" x14ac:dyDescent="0.25">
      <c r="B375" s="24"/>
      <c r="C375">
        <v>3</v>
      </c>
      <c r="D375">
        <v>3</v>
      </c>
      <c r="E375">
        <v>3</v>
      </c>
      <c r="F375">
        <v>31320653357</v>
      </c>
      <c r="G375">
        <v>2624</v>
      </c>
      <c r="I375" s="24"/>
      <c r="J375">
        <v>4</v>
      </c>
      <c r="K375">
        <v>4</v>
      </c>
      <c r="L375">
        <v>4</v>
      </c>
      <c r="M375">
        <v>6668332349</v>
      </c>
      <c r="N375">
        <v>1843</v>
      </c>
      <c r="P375" s="24"/>
      <c r="Q375">
        <v>41</v>
      </c>
      <c r="R375">
        <v>42</v>
      </c>
      <c r="S375">
        <v>41</v>
      </c>
      <c r="T375">
        <v>1685743521</v>
      </c>
      <c r="U375">
        <v>1780</v>
      </c>
      <c r="W375" s="24"/>
      <c r="X375">
        <v>61</v>
      </c>
      <c r="Y375">
        <v>61</v>
      </c>
      <c r="Z375">
        <v>61</v>
      </c>
      <c r="AA375">
        <v>433843432</v>
      </c>
      <c r="AB375">
        <v>1410</v>
      </c>
      <c r="AD375" s="24"/>
      <c r="AE375">
        <v>474</v>
      </c>
      <c r="AF375">
        <v>480</v>
      </c>
      <c r="AG375">
        <v>475</v>
      </c>
      <c r="AH375">
        <v>90672608</v>
      </c>
      <c r="AI375">
        <v>1436</v>
      </c>
      <c r="AK375" s="24"/>
      <c r="AL375">
        <v>761</v>
      </c>
      <c r="AM375">
        <v>780</v>
      </c>
      <c r="AN375">
        <v>779</v>
      </c>
      <c r="AO375">
        <v>34927073</v>
      </c>
      <c r="AP375">
        <v>1226</v>
      </c>
      <c r="AR375" s="24"/>
      <c r="AS375">
        <v>2880</v>
      </c>
      <c r="AT375">
        <v>2948</v>
      </c>
      <c r="AU375">
        <v>2930</v>
      </c>
      <c r="AV375">
        <v>13618552</v>
      </c>
      <c r="AW375">
        <v>1227</v>
      </c>
      <c r="AY375" s="24"/>
      <c r="AZ375">
        <v>439000000</v>
      </c>
      <c r="BA375">
        <v>446799880</v>
      </c>
      <c r="BB375">
        <v>442000030</v>
      </c>
      <c r="BC375">
        <v>2901</v>
      </c>
      <c r="BD375">
        <v>2061</v>
      </c>
      <c r="BF375" s="24"/>
      <c r="BG375">
        <v>25603</v>
      </c>
      <c r="BH375">
        <v>25603</v>
      </c>
      <c r="BI375">
        <v>25603</v>
      </c>
      <c r="BJ375">
        <v>3305399</v>
      </c>
      <c r="BK375">
        <v>230</v>
      </c>
      <c r="BM375" s="24"/>
      <c r="BN375">
        <v>6710009</v>
      </c>
      <c r="BO375">
        <v>6999009</v>
      </c>
      <c r="BP375">
        <v>6808003</v>
      </c>
      <c r="BQ375">
        <v>17121</v>
      </c>
      <c r="BR375">
        <v>430</v>
      </c>
      <c r="BT375" s="24"/>
      <c r="BU375">
        <v>2155</v>
      </c>
      <c r="BV375">
        <v>2219</v>
      </c>
      <c r="BW375">
        <v>2218</v>
      </c>
      <c r="BX375">
        <v>27259322</v>
      </c>
      <c r="BY375">
        <v>225</v>
      </c>
      <c r="CA375" s="24"/>
      <c r="CB375">
        <v>1301</v>
      </c>
      <c r="CC375">
        <v>1344</v>
      </c>
      <c r="CD375">
        <v>1344</v>
      </c>
      <c r="CE375">
        <v>31473994</v>
      </c>
      <c r="CF375">
        <v>283</v>
      </c>
      <c r="CH375" s="24"/>
      <c r="CI375">
        <v>29204</v>
      </c>
      <c r="CJ375">
        <v>29808</v>
      </c>
      <c r="CK375">
        <v>29505</v>
      </c>
      <c r="CL375">
        <v>688554</v>
      </c>
      <c r="CM375">
        <v>146</v>
      </c>
      <c r="CO375" s="24"/>
      <c r="CP375">
        <v>11606</v>
      </c>
      <c r="CQ375">
        <v>11992</v>
      </c>
      <c r="CR375">
        <v>11898</v>
      </c>
      <c r="CS375">
        <v>1201172</v>
      </c>
      <c r="CT375">
        <v>447</v>
      </c>
      <c r="CV375" s="24"/>
      <c r="CW375">
        <v>1126122</v>
      </c>
      <c r="CX375">
        <v>1135899</v>
      </c>
      <c r="CY375">
        <v>1135899</v>
      </c>
      <c r="CZ375">
        <v>9380</v>
      </c>
      <c r="DA375">
        <v>32</v>
      </c>
      <c r="DC375" s="24"/>
      <c r="DD375">
        <v>460</v>
      </c>
      <c r="DE375">
        <v>474</v>
      </c>
      <c r="DF375">
        <v>461</v>
      </c>
      <c r="DG375">
        <v>77247420</v>
      </c>
      <c r="DH375">
        <v>208</v>
      </c>
      <c r="DJ375" s="24"/>
      <c r="DK375">
        <v>30302183</v>
      </c>
      <c r="DL375">
        <v>30333341</v>
      </c>
      <c r="DM375">
        <v>30302183</v>
      </c>
      <c r="DN375">
        <v>411</v>
      </c>
      <c r="DO375">
        <v>81</v>
      </c>
      <c r="DQ375" s="24"/>
      <c r="DR375">
        <v>1242994</v>
      </c>
      <c r="DS375">
        <v>1242994</v>
      </c>
      <c r="DT375">
        <v>1242994</v>
      </c>
      <c r="DU375">
        <v>13999</v>
      </c>
      <c r="DV375">
        <v>244</v>
      </c>
      <c r="DX375" s="24"/>
      <c r="DY375">
        <v>18505005</v>
      </c>
      <c r="DZ375">
        <v>20350000</v>
      </c>
      <c r="EA375">
        <v>18909009</v>
      </c>
      <c r="EB375">
        <v>889</v>
      </c>
      <c r="EC375">
        <v>155</v>
      </c>
      <c r="EE375" s="24"/>
      <c r="EF375">
        <v>193</v>
      </c>
      <c r="EG375">
        <v>205</v>
      </c>
      <c r="EH375">
        <v>204</v>
      </c>
      <c r="EI375">
        <v>99817381</v>
      </c>
      <c r="EJ375">
        <v>146</v>
      </c>
      <c r="EL375" s="24"/>
      <c r="EM375">
        <v>54608</v>
      </c>
      <c r="EN375">
        <v>56019</v>
      </c>
      <c r="EO375">
        <v>56016</v>
      </c>
      <c r="EP375">
        <v>143266</v>
      </c>
      <c r="EQ375">
        <v>644</v>
      </c>
      <c r="ES375" s="24"/>
      <c r="ET375">
        <v>403</v>
      </c>
      <c r="EU375">
        <v>417</v>
      </c>
      <c r="EV375">
        <v>415</v>
      </c>
      <c r="EW375">
        <v>64566525</v>
      </c>
      <c r="EX375">
        <v>733</v>
      </c>
      <c r="EZ375" s="24"/>
      <c r="FA375">
        <v>2682608</v>
      </c>
      <c r="FB375">
        <v>3197951</v>
      </c>
      <c r="FC375">
        <v>2682608</v>
      </c>
      <c r="FD375">
        <v>1197</v>
      </c>
      <c r="FE375">
        <v>15</v>
      </c>
      <c r="FG375" s="24"/>
      <c r="FH375">
        <v>10000</v>
      </c>
      <c r="FI375">
        <v>10434</v>
      </c>
      <c r="FJ375">
        <v>10431</v>
      </c>
      <c r="FK375">
        <v>1665913</v>
      </c>
      <c r="FL375">
        <v>569</v>
      </c>
      <c r="FN375" s="24"/>
      <c r="FO375">
        <v>21545</v>
      </c>
      <c r="FP375">
        <v>21998</v>
      </c>
      <c r="FQ375">
        <v>21997</v>
      </c>
      <c r="FR375">
        <v>139046</v>
      </c>
      <c r="FS375">
        <v>64</v>
      </c>
      <c r="FU375" s="24"/>
      <c r="FV375">
        <v>13601</v>
      </c>
      <c r="FW375">
        <v>13806</v>
      </c>
      <c r="FX375">
        <v>13805</v>
      </c>
      <c r="FY375">
        <v>387511</v>
      </c>
      <c r="FZ375">
        <v>1127</v>
      </c>
      <c r="GB375" s="24"/>
      <c r="GC375">
        <v>95020006</v>
      </c>
      <c r="GD375">
        <v>105908698</v>
      </c>
      <c r="GE375">
        <v>95030010</v>
      </c>
      <c r="GF375">
        <v>104</v>
      </c>
      <c r="GG375">
        <v>77</v>
      </c>
      <c r="GI375" s="24"/>
      <c r="GJ375">
        <v>18197011</v>
      </c>
      <c r="GK375">
        <v>18198216</v>
      </c>
      <c r="GL375">
        <v>18197012</v>
      </c>
      <c r="GM375">
        <v>367</v>
      </c>
      <c r="GN375">
        <v>79</v>
      </c>
      <c r="GP375" s="24"/>
      <c r="GQ375">
        <v>105</v>
      </c>
      <c r="GR375">
        <v>110</v>
      </c>
      <c r="GS375">
        <v>109</v>
      </c>
      <c r="GT375">
        <v>150675296</v>
      </c>
      <c r="GU375">
        <v>123</v>
      </c>
      <c r="GW375" s="24"/>
      <c r="GX375">
        <v>414</v>
      </c>
      <c r="GY375">
        <v>426</v>
      </c>
      <c r="GZ375">
        <v>426</v>
      </c>
      <c r="HA375">
        <v>52557477</v>
      </c>
      <c r="HB375">
        <v>254</v>
      </c>
      <c r="HD375" s="24"/>
      <c r="HE375">
        <v>5112</v>
      </c>
      <c r="HF375">
        <v>5176</v>
      </c>
      <c r="HG375">
        <v>5175</v>
      </c>
      <c r="HH375">
        <v>17663358</v>
      </c>
      <c r="HI375">
        <v>270</v>
      </c>
      <c r="HK375" s="24"/>
      <c r="HL375">
        <v>93395201</v>
      </c>
      <c r="HM375">
        <v>99999991</v>
      </c>
      <c r="HN375">
        <v>96528452</v>
      </c>
      <c r="HO375">
        <v>98</v>
      </c>
      <c r="HP375">
        <v>68</v>
      </c>
      <c r="HR375" s="24"/>
      <c r="HS375">
        <v>9000</v>
      </c>
      <c r="HT375">
        <v>9499</v>
      </c>
      <c r="HU375">
        <v>9448</v>
      </c>
      <c r="HV375">
        <v>388576</v>
      </c>
      <c r="HW375">
        <v>124</v>
      </c>
      <c r="HY375" s="24"/>
      <c r="HZ375">
        <v>11800</v>
      </c>
      <c r="IA375">
        <v>12147</v>
      </c>
      <c r="IB375">
        <v>12137</v>
      </c>
      <c r="IC375">
        <v>2212666</v>
      </c>
      <c r="ID375">
        <v>603</v>
      </c>
      <c r="IF375" s="24"/>
      <c r="IG375">
        <v>2916</v>
      </c>
      <c r="IH375">
        <v>3532</v>
      </c>
      <c r="II375">
        <v>3489</v>
      </c>
      <c r="IJ375">
        <v>1791737</v>
      </c>
      <c r="IK375">
        <v>131</v>
      </c>
      <c r="IM375" s="24"/>
      <c r="IN375">
        <v>95015007</v>
      </c>
      <c r="IO375">
        <v>99479981</v>
      </c>
      <c r="IP375">
        <v>96110001</v>
      </c>
      <c r="IQ375">
        <v>161</v>
      </c>
      <c r="IR375">
        <v>93</v>
      </c>
      <c r="IT375" s="24"/>
      <c r="IU375">
        <v>9415</v>
      </c>
      <c r="IV375">
        <v>9499</v>
      </c>
      <c r="IW375">
        <v>9499</v>
      </c>
      <c r="IX375">
        <v>1899938</v>
      </c>
      <c r="IY375">
        <v>160</v>
      </c>
      <c r="JA375" s="24"/>
      <c r="JB375">
        <v>95000007</v>
      </c>
      <c r="JC375">
        <v>102999000</v>
      </c>
      <c r="JD375">
        <v>95035000</v>
      </c>
      <c r="JE375">
        <v>134</v>
      </c>
      <c r="JF375">
        <v>82</v>
      </c>
      <c r="JH375" s="24"/>
      <c r="JI375">
        <v>93008700</v>
      </c>
      <c r="JJ375">
        <v>104999960</v>
      </c>
      <c r="JK375">
        <v>100949361</v>
      </c>
      <c r="JL375">
        <v>47</v>
      </c>
      <c r="JM375">
        <v>32</v>
      </c>
      <c r="JO375" s="24"/>
      <c r="JP375">
        <v>88</v>
      </c>
      <c r="JQ375">
        <v>93</v>
      </c>
      <c r="JR375">
        <v>90</v>
      </c>
      <c r="JS375">
        <v>119457550</v>
      </c>
      <c r="JT375">
        <v>111</v>
      </c>
      <c r="JV375" s="24"/>
      <c r="JW375">
        <v>94</v>
      </c>
      <c r="JX375">
        <v>96</v>
      </c>
      <c r="JY375">
        <v>95</v>
      </c>
      <c r="JZ375">
        <v>152661324</v>
      </c>
      <c r="KA375">
        <v>123</v>
      </c>
      <c r="KC375" s="24"/>
      <c r="KD375">
        <v>169</v>
      </c>
      <c r="KE375">
        <v>176</v>
      </c>
      <c r="KF375">
        <v>173</v>
      </c>
      <c r="KG375">
        <v>63373839</v>
      </c>
      <c r="KH375">
        <v>481</v>
      </c>
      <c r="KJ375" s="24"/>
      <c r="KK375">
        <v>106</v>
      </c>
      <c r="KL375">
        <v>114</v>
      </c>
      <c r="KM375">
        <v>106</v>
      </c>
      <c r="KN375">
        <v>199780928</v>
      </c>
      <c r="KO375">
        <v>143</v>
      </c>
      <c r="KQ375" s="24"/>
      <c r="KR375">
        <v>126315</v>
      </c>
      <c r="KS375">
        <v>126322</v>
      </c>
      <c r="KT375">
        <v>126316</v>
      </c>
      <c r="KU375">
        <v>81348</v>
      </c>
      <c r="KV375">
        <v>575</v>
      </c>
      <c r="KX375" s="24"/>
      <c r="KY375">
        <v>702</v>
      </c>
      <c r="KZ375">
        <v>750</v>
      </c>
      <c r="LA375">
        <v>747</v>
      </c>
      <c r="LB375">
        <v>8370790</v>
      </c>
      <c r="LC375">
        <v>190</v>
      </c>
      <c r="LE375" s="24"/>
      <c r="LF375">
        <v>183371</v>
      </c>
      <c r="LG375">
        <v>187500</v>
      </c>
      <c r="LH375">
        <v>185232</v>
      </c>
      <c r="LI375">
        <v>151715</v>
      </c>
      <c r="LJ375">
        <v>889</v>
      </c>
      <c r="LL375" s="24"/>
      <c r="LM375">
        <v>57918</v>
      </c>
      <c r="LN375">
        <v>60003</v>
      </c>
      <c r="LO375">
        <v>59902</v>
      </c>
      <c r="LP375">
        <v>375611</v>
      </c>
      <c r="LQ375">
        <v>1179</v>
      </c>
      <c r="LS375" s="24"/>
      <c r="LT375">
        <v>420</v>
      </c>
      <c r="LU375">
        <v>429</v>
      </c>
      <c r="LV375">
        <v>429</v>
      </c>
      <c r="LW375">
        <v>131108644</v>
      </c>
      <c r="LX375">
        <v>448</v>
      </c>
      <c r="LZ375" s="24"/>
      <c r="MA375">
        <v>97156</v>
      </c>
      <c r="MB375">
        <v>100994</v>
      </c>
      <c r="MC375">
        <v>97500</v>
      </c>
      <c r="MD375">
        <v>1812102</v>
      </c>
      <c r="ME375">
        <v>128</v>
      </c>
    </row>
    <row r="376" spans="2:343" x14ac:dyDescent="0.25">
      <c r="B376" s="24"/>
      <c r="C376">
        <v>3</v>
      </c>
      <c r="D376">
        <v>3</v>
      </c>
      <c r="E376">
        <v>3</v>
      </c>
      <c r="F376">
        <v>20303908634</v>
      </c>
      <c r="G376">
        <v>3025</v>
      </c>
      <c r="I376" s="24"/>
      <c r="J376">
        <v>4</v>
      </c>
      <c r="K376">
        <v>4</v>
      </c>
      <c r="L376">
        <v>4</v>
      </c>
      <c r="M376">
        <v>4090478339</v>
      </c>
      <c r="N376">
        <v>2208</v>
      </c>
      <c r="P376" s="24"/>
      <c r="Q376">
        <v>43</v>
      </c>
      <c r="R376">
        <v>43</v>
      </c>
      <c r="S376">
        <v>43</v>
      </c>
      <c r="T376">
        <v>1118549376</v>
      </c>
      <c r="U376">
        <v>2052</v>
      </c>
      <c r="W376" s="24"/>
      <c r="X376">
        <v>60</v>
      </c>
      <c r="Y376">
        <v>61</v>
      </c>
      <c r="Z376">
        <v>61</v>
      </c>
      <c r="AA376">
        <v>401297956</v>
      </c>
      <c r="AB376">
        <v>1651</v>
      </c>
      <c r="AD376" s="24"/>
      <c r="AE376">
        <v>480</v>
      </c>
      <c r="AF376">
        <v>484</v>
      </c>
      <c r="AG376">
        <v>480</v>
      </c>
      <c r="AH376">
        <v>82993209</v>
      </c>
      <c r="AI376">
        <v>1657</v>
      </c>
      <c r="AK376" s="24"/>
      <c r="AL376">
        <v>780</v>
      </c>
      <c r="AM376">
        <v>795</v>
      </c>
      <c r="AN376">
        <v>790</v>
      </c>
      <c r="AO376">
        <v>45662096</v>
      </c>
      <c r="AP376">
        <v>1382</v>
      </c>
      <c r="AR376" s="24"/>
      <c r="AS376">
        <v>2908</v>
      </c>
      <c r="AT376">
        <v>2955</v>
      </c>
      <c r="AU376">
        <v>2937</v>
      </c>
      <c r="AV376">
        <v>12066772</v>
      </c>
      <c r="AW376">
        <v>1342</v>
      </c>
      <c r="AY376" s="24"/>
      <c r="AZ376">
        <v>429622025</v>
      </c>
      <c r="BA376">
        <v>438001650</v>
      </c>
      <c r="BB376">
        <v>436505798</v>
      </c>
      <c r="BC376">
        <v>2832</v>
      </c>
      <c r="BD376">
        <v>2163</v>
      </c>
      <c r="BF376" s="24"/>
      <c r="BG376">
        <v>25603</v>
      </c>
      <c r="BH376">
        <v>25603</v>
      </c>
      <c r="BI376">
        <v>25603</v>
      </c>
      <c r="BJ376">
        <v>1769747</v>
      </c>
      <c r="BK376">
        <v>245</v>
      </c>
      <c r="BM376" s="24"/>
      <c r="BN376">
        <v>6812000</v>
      </c>
      <c r="BO376">
        <v>7000000</v>
      </c>
      <c r="BP376">
        <v>6820010</v>
      </c>
      <c r="BQ376">
        <v>15735</v>
      </c>
      <c r="BR376">
        <v>441</v>
      </c>
      <c r="BT376" s="24"/>
      <c r="BU376">
        <v>2202</v>
      </c>
      <c r="BV376">
        <v>2203</v>
      </c>
      <c r="BW376">
        <v>2202</v>
      </c>
      <c r="BX376">
        <v>29049005</v>
      </c>
      <c r="BY376">
        <v>287</v>
      </c>
      <c r="CA376" s="24"/>
      <c r="CB376">
        <v>1344</v>
      </c>
      <c r="CC376">
        <v>1358</v>
      </c>
      <c r="CD376">
        <v>1348</v>
      </c>
      <c r="CE376">
        <v>56226869</v>
      </c>
      <c r="CF376">
        <v>368</v>
      </c>
      <c r="CH376" s="24"/>
      <c r="CI376">
        <v>29813</v>
      </c>
      <c r="CJ376">
        <v>29813</v>
      </c>
      <c r="CK376">
        <v>29813</v>
      </c>
      <c r="CL376">
        <v>984906</v>
      </c>
      <c r="CM376">
        <v>182</v>
      </c>
      <c r="CO376" s="24"/>
      <c r="CP376">
        <v>11750</v>
      </c>
      <c r="CQ376">
        <v>11998</v>
      </c>
      <c r="CR376">
        <v>11994</v>
      </c>
      <c r="CS376">
        <v>1789781</v>
      </c>
      <c r="CT376">
        <v>642</v>
      </c>
      <c r="CV376" s="24"/>
      <c r="CW376">
        <v>1135899</v>
      </c>
      <c r="CX376">
        <v>1150000</v>
      </c>
      <c r="CY376">
        <v>1136999</v>
      </c>
      <c r="CZ376">
        <v>15139</v>
      </c>
      <c r="DA376">
        <v>75</v>
      </c>
      <c r="DC376" s="24"/>
      <c r="DD376">
        <v>470</v>
      </c>
      <c r="DE376">
        <v>474</v>
      </c>
      <c r="DF376">
        <v>474</v>
      </c>
      <c r="DG376">
        <v>60053945</v>
      </c>
      <c r="DH376">
        <v>300</v>
      </c>
      <c r="DJ376" s="24"/>
      <c r="DK376">
        <v>30345680</v>
      </c>
      <c r="DL376">
        <v>30345963</v>
      </c>
      <c r="DM376">
        <v>30345961</v>
      </c>
      <c r="DN376">
        <v>510</v>
      </c>
      <c r="DO376">
        <v>106</v>
      </c>
      <c r="DQ376" s="24"/>
      <c r="DR376">
        <v>1244544</v>
      </c>
      <c r="DS376">
        <v>1550000</v>
      </c>
      <c r="DT376">
        <v>1399999</v>
      </c>
      <c r="DU376">
        <v>8485</v>
      </c>
      <c r="DV376">
        <v>258</v>
      </c>
      <c r="DX376" s="24"/>
      <c r="DY376">
        <v>18909921</v>
      </c>
      <c r="DZ376">
        <v>19999999</v>
      </c>
      <c r="EA376">
        <v>18926015</v>
      </c>
      <c r="EB376">
        <v>888</v>
      </c>
      <c r="EC376">
        <v>139</v>
      </c>
      <c r="EE376" s="24"/>
      <c r="EF376">
        <v>194</v>
      </c>
      <c r="EG376">
        <v>205</v>
      </c>
      <c r="EH376">
        <v>205</v>
      </c>
      <c r="EI376">
        <v>95130389</v>
      </c>
      <c r="EJ376">
        <v>204</v>
      </c>
      <c r="EL376" s="24"/>
      <c r="EM376">
        <v>53512</v>
      </c>
      <c r="EN376">
        <v>58799</v>
      </c>
      <c r="EO376">
        <v>55210</v>
      </c>
      <c r="EP376">
        <v>141342</v>
      </c>
      <c r="EQ376">
        <v>733</v>
      </c>
      <c r="ES376" s="24"/>
      <c r="ET376">
        <v>406</v>
      </c>
      <c r="EU376">
        <v>426</v>
      </c>
      <c r="EV376">
        <v>423</v>
      </c>
      <c r="EW376">
        <v>74740357</v>
      </c>
      <c r="EX376">
        <v>978</v>
      </c>
      <c r="EZ376" s="24"/>
      <c r="FA376">
        <v>3193950</v>
      </c>
      <c r="FB376">
        <v>3194989</v>
      </c>
      <c r="FC376">
        <v>3194950</v>
      </c>
      <c r="FD376">
        <v>2886</v>
      </c>
      <c r="FE376">
        <v>25</v>
      </c>
      <c r="FG376" s="24"/>
      <c r="FH376">
        <v>10002</v>
      </c>
      <c r="FI376">
        <v>10449</v>
      </c>
      <c r="FJ376">
        <v>10432</v>
      </c>
      <c r="FK376">
        <v>2462470</v>
      </c>
      <c r="FL376">
        <v>657</v>
      </c>
      <c r="FN376" s="24"/>
      <c r="FO376">
        <v>22379</v>
      </c>
      <c r="FP376">
        <v>22379</v>
      </c>
      <c r="FQ376">
        <v>22379</v>
      </c>
      <c r="FR376">
        <v>677509</v>
      </c>
      <c r="FS376">
        <v>115</v>
      </c>
      <c r="FU376" s="24"/>
      <c r="FV376">
        <v>14001</v>
      </c>
      <c r="FW376">
        <v>15260</v>
      </c>
      <c r="FX376">
        <v>14897</v>
      </c>
      <c r="FY376">
        <v>876605</v>
      </c>
      <c r="FZ376">
        <v>1345</v>
      </c>
      <c r="GB376" s="24"/>
      <c r="GC376">
        <v>95005103</v>
      </c>
      <c r="GD376">
        <v>101498000</v>
      </c>
      <c r="GE376">
        <v>96000006</v>
      </c>
      <c r="GF376">
        <v>176</v>
      </c>
      <c r="GG376">
        <v>89</v>
      </c>
      <c r="GI376" s="24"/>
      <c r="GJ376">
        <v>19187011</v>
      </c>
      <c r="GK376">
        <v>19237013</v>
      </c>
      <c r="GL376">
        <v>19235000</v>
      </c>
      <c r="GM376">
        <v>504</v>
      </c>
      <c r="GN376">
        <v>93</v>
      </c>
      <c r="GP376" s="24"/>
      <c r="GQ376">
        <v>102</v>
      </c>
      <c r="GR376">
        <v>108</v>
      </c>
      <c r="GS376">
        <v>102</v>
      </c>
      <c r="GT376">
        <v>161015096</v>
      </c>
      <c r="GU376">
        <v>184</v>
      </c>
      <c r="GW376" s="24"/>
      <c r="GX376">
        <v>417</v>
      </c>
      <c r="GY376">
        <v>427</v>
      </c>
      <c r="GZ376">
        <v>426</v>
      </c>
      <c r="HA376">
        <v>95318468</v>
      </c>
      <c r="HB376">
        <v>358</v>
      </c>
      <c r="HD376" s="24"/>
      <c r="HE376">
        <v>5111</v>
      </c>
      <c r="HF376">
        <v>5174</v>
      </c>
      <c r="HG376">
        <v>5158</v>
      </c>
      <c r="HH376">
        <v>16061708</v>
      </c>
      <c r="HI376">
        <v>302</v>
      </c>
      <c r="HK376" s="24"/>
      <c r="HL376">
        <v>93045500</v>
      </c>
      <c r="HM376">
        <v>99997700</v>
      </c>
      <c r="HN376">
        <v>99997690</v>
      </c>
      <c r="HO376">
        <v>131</v>
      </c>
      <c r="HP376">
        <v>76</v>
      </c>
      <c r="HR376" s="24"/>
      <c r="HS376">
        <v>9979</v>
      </c>
      <c r="HT376">
        <v>13334</v>
      </c>
      <c r="HU376">
        <v>10448</v>
      </c>
      <c r="HV376">
        <v>1407579</v>
      </c>
      <c r="HW376">
        <v>171</v>
      </c>
      <c r="HY376" s="24"/>
      <c r="HZ376">
        <v>12000</v>
      </c>
      <c r="IA376">
        <v>12786</v>
      </c>
      <c r="IB376">
        <v>12300</v>
      </c>
      <c r="IC376">
        <v>3448681</v>
      </c>
      <c r="ID376">
        <v>786</v>
      </c>
      <c r="IF376" s="24"/>
      <c r="IG376">
        <v>2978</v>
      </c>
      <c r="IH376">
        <v>3199</v>
      </c>
      <c r="II376">
        <v>3186</v>
      </c>
      <c r="IJ376">
        <v>2968942</v>
      </c>
      <c r="IK376">
        <v>204</v>
      </c>
      <c r="IM376" s="24"/>
      <c r="IN376">
        <v>94002008</v>
      </c>
      <c r="IO376">
        <v>99477987</v>
      </c>
      <c r="IP376">
        <v>99077992</v>
      </c>
      <c r="IQ376">
        <v>104</v>
      </c>
      <c r="IR376">
        <v>69</v>
      </c>
      <c r="IT376" s="24"/>
      <c r="IU376">
        <v>9384</v>
      </c>
      <c r="IV376">
        <v>9499</v>
      </c>
      <c r="IW376">
        <v>9498</v>
      </c>
      <c r="IX376">
        <v>1228488</v>
      </c>
      <c r="IY376">
        <v>155</v>
      </c>
      <c r="JA376" s="24"/>
      <c r="JB376">
        <v>95017100</v>
      </c>
      <c r="JC376">
        <v>97005000</v>
      </c>
      <c r="JD376">
        <v>95050000</v>
      </c>
      <c r="JE376">
        <v>217</v>
      </c>
      <c r="JF376">
        <v>114</v>
      </c>
      <c r="JH376" s="24"/>
      <c r="JI376">
        <v>93012916</v>
      </c>
      <c r="JJ376">
        <v>104900000</v>
      </c>
      <c r="JK376">
        <v>101053354</v>
      </c>
      <c r="JL376">
        <v>63</v>
      </c>
      <c r="JM376">
        <v>40</v>
      </c>
      <c r="JO376" s="24"/>
      <c r="JP376">
        <v>89</v>
      </c>
      <c r="JQ376">
        <v>94</v>
      </c>
      <c r="JR376">
        <v>92</v>
      </c>
      <c r="JS376">
        <v>197287025</v>
      </c>
      <c r="JT376">
        <v>125</v>
      </c>
      <c r="JV376" s="24"/>
      <c r="JW376">
        <v>94</v>
      </c>
      <c r="JX376">
        <v>95</v>
      </c>
      <c r="JY376">
        <v>95</v>
      </c>
      <c r="JZ376">
        <v>140754349</v>
      </c>
      <c r="KA376">
        <v>127</v>
      </c>
      <c r="KC376" s="24"/>
      <c r="KD376">
        <v>173</v>
      </c>
      <c r="KE376">
        <v>180</v>
      </c>
      <c r="KF376">
        <v>174</v>
      </c>
      <c r="KG376">
        <v>94258383</v>
      </c>
      <c r="KH376">
        <v>656</v>
      </c>
      <c r="KJ376" s="24"/>
      <c r="KK376">
        <v>106</v>
      </c>
      <c r="KL376">
        <v>111</v>
      </c>
      <c r="KM376">
        <v>110</v>
      </c>
      <c r="KN376">
        <v>156489252</v>
      </c>
      <c r="KO376">
        <v>143</v>
      </c>
      <c r="KQ376" s="24"/>
      <c r="KR376">
        <v>126323</v>
      </c>
      <c r="KS376">
        <v>127631</v>
      </c>
      <c r="KT376">
        <v>127501</v>
      </c>
      <c r="KU376">
        <v>145122</v>
      </c>
      <c r="KV376">
        <v>694</v>
      </c>
      <c r="KX376" s="24"/>
      <c r="KY376">
        <v>739</v>
      </c>
      <c r="KZ376">
        <v>743</v>
      </c>
      <c r="LA376">
        <v>739</v>
      </c>
      <c r="LB376">
        <v>4196263</v>
      </c>
      <c r="LC376">
        <v>203</v>
      </c>
      <c r="LE376" s="24"/>
      <c r="LF376">
        <v>185320</v>
      </c>
      <c r="LG376">
        <v>188598</v>
      </c>
      <c r="LH376">
        <v>185391</v>
      </c>
      <c r="LI376">
        <v>203108</v>
      </c>
      <c r="LJ376">
        <v>998</v>
      </c>
      <c r="LL376" s="24"/>
      <c r="LM376">
        <v>60008</v>
      </c>
      <c r="LN376">
        <v>62020</v>
      </c>
      <c r="LO376">
        <v>60999</v>
      </c>
      <c r="LP376">
        <v>672994</v>
      </c>
      <c r="LQ376">
        <v>1428</v>
      </c>
      <c r="LS376" s="24"/>
      <c r="LT376">
        <v>429</v>
      </c>
      <c r="LU376">
        <v>432</v>
      </c>
      <c r="LV376">
        <v>429</v>
      </c>
      <c r="LW376">
        <v>182744490</v>
      </c>
      <c r="LX376">
        <v>617</v>
      </c>
      <c r="LZ376" s="24"/>
      <c r="MA376">
        <v>96000</v>
      </c>
      <c r="MB376">
        <v>98984</v>
      </c>
      <c r="MC376">
        <v>98984</v>
      </c>
      <c r="MD376">
        <v>803986</v>
      </c>
      <c r="ME376">
        <v>110</v>
      </c>
    </row>
    <row r="377" spans="2:343" x14ac:dyDescent="0.25">
      <c r="B377" s="24"/>
      <c r="C377">
        <v>3</v>
      </c>
      <c r="D377">
        <v>3</v>
      </c>
      <c r="E377">
        <v>3</v>
      </c>
      <c r="F377">
        <v>33958877294</v>
      </c>
      <c r="G377">
        <v>3273</v>
      </c>
      <c r="I377" s="24"/>
      <c r="J377">
        <v>4</v>
      </c>
      <c r="K377">
        <v>4</v>
      </c>
      <c r="L377">
        <v>4</v>
      </c>
      <c r="M377">
        <v>7297322893</v>
      </c>
      <c r="N377">
        <v>2339</v>
      </c>
      <c r="P377" s="24"/>
      <c r="Q377">
        <v>42</v>
      </c>
      <c r="R377">
        <v>43</v>
      </c>
      <c r="S377">
        <v>42</v>
      </c>
      <c r="T377">
        <v>2419776069</v>
      </c>
      <c r="U377">
        <v>2239</v>
      </c>
      <c r="W377" s="24"/>
      <c r="X377">
        <v>60</v>
      </c>
      <c r="Y377">
        <v>61</v>
      </c>
      <c r="Z377">
        <v>61</v>
      </c>
      <c r="AA377">
        <v>505633446</v>
      </c>
      <c r="AB377">
        <v>1882</v>
      </c>
      <c r="AD377" s="24"/>
      <c r="AE377">
        <v>474</v>
      </c>
      <c r="AF377">
        <v>480</v>
      </c>
      <c r="AG377">
        <v>478</v>
      </c>
      <c r="AH377">
        <v>139614547</v>
      </c>
      <c r="AI377">
        <v>1801</v>
      </c>
      <c r="AK377" s="24"/>
      <c r="AL377">
        <v>776</v>
      </c>
      <c r="AM377">
        <v>793</v>
      </c>
      <c r="AN377">
        <v>777</v>
      </c>
      <c r="AO377">
        <v>106431528</v>
      </c>
      <c r="AP377">
        <v>1638</v>
      </c>
      <c r="AR377" s="24"/>
      <c r="AS377">
        <v>2842</v>
      </c>
      <c r="AT377">
        <v>2920</v>
      </c>
      <c r="AU377">
        <v>2861</v>
      </c>
      <c r="AV377">
        <v>18942696</v>
      </c>
      <c r="AW377">
        <v>1537</v>
      </c>
      <c r="AY377" s="24"/>
      <c r="AZ377">
        <v>432210000</v>
      </c>
      <c r="BA377">
        <v>439279493</v>
      </c>
      <c r="BB377">
        <v>437348799</v>
      </c>
      <c r="BC377">
        <v>2405</v>
      </c>
      <c r="BD377">
        <v>1908</v>
      </c>
      <c r="BF377" s="24"/>
      <c r="BG377">
        <v>25406</v>
      </c>
      <c r="BH377">
        <v>25604</v>
      </c>
      <c r="BI377">
        <v>25603</v>
      </c>
      <c r="BJ377">
        <v>4591388</v>
      </c>
      <c r="BK377">
        <v>320</v>
      </c>
      <c r="BM377" s="24"/>
      <c r="BN377">
        <v>6841000</v>
      </c>
      <c r="BO377">
        <v>7094395</v>
      </c>
      <c r="BP377">
        <v>6841208</v>
      </c>
      <c r="BQ377">
        <v>17694</v>
      </c>
      <c r="BR377">
        <v>459</v>
      </c>
      <c r="BT377" s="24"/>
      <c r="BU377">
        <v>2160</v>
      </c>
      <c r="BV377">
        <v>2202</v>
      </c>
      <c r="BW377">
        <v>2200</v>
      </c>
      <c r="BX377">
        <v>42173104</v>
      </c>
      <c r="BY377">
        <v>267</v>
      </c>
      <c r="CA377" s="24"/>
      <c r="CB377">
        <v>1362</v>
      </c>
      <c r="CC377">
        <v>1362</v>
      </c>
      <c r="CD377">
        <v>1362</v>
      </c>
      <c r="CE377">
        <v>55057322</v>
      </c>
      <c r="CF377">
        <v>436</v>
      </c>
      <c r="CH377" s="24"/>
      <c r="CI377">
        <v>29813</v>
      </c>
      <c r="CJ377">
        <v>29813</v>
      </c>
      <c r="CK377">
        <v>29813</v>
      </c>
      <c r="CL377">
        <v>1919017</v>
      </c>
      <c r="CM377">
        <v>248</v>
      </c>
      <c r="CO377" s="24"/>
      <c r="CP377">
        <v>11674</v>
      </c>
      <c r="CQ377">
        <v>12400</v>
      </c>
      <c r="CR377">
        <v>11995</v>
      </c>
      <c r="CS377">
        <v>1795386</v>
      </c>
      <c r="CT377">
        <v>576</v>
      </c>
      <c r="CV377" s="24"/>
      <c r="CW377">
        <v>1130000</v>
      </c>
      <c r="CX377">
        <v>1299996</v>
      </c>
      <c r="CY377">
        <v>1299996</v>
      </c>
      <c r="CZ377">
        <v>13019</v>
      </c>
      <c r="DA377">
        <v>46</v>
      </c>
      <c r="DC377" s="24"/>
      <c r="DD377">
        <v>460</v>
      </c>
      <c r="DE377">
        <v>473</v>
      </c>
      <c r="DF377">
        <v>460</v>
      </c>
      <c r="DG377">
        <v>63879260</v>
      </c>
      <c r="DH377">
        <v>253</v>
      </c>
      <c r="DJ377" s="24"/>
      <c r="DK377">
        <v>30370001</v>
      </c>
      <c r="DL377">
        <v>30370007</v>
      </c>
      <c r="DM377">
        <v>30370006</v>
      </c>
      <c r="DN377">
        <v>733</v>
      </c>
      <c r="DO377">
        <v>119</v>
      </c>
      <c r="DQ377" s="24"/>
      <c r="DR377">
        <v>1300005</v>
      </c>
      <c r="DS377">
        <v>1500009</v>
      </c>
      <c r="DT377">
        <v>1301000</v>
      </c>
      <c r="DU377">
        <v>7448</v>
      </c>
      <c r="DV377">
        <v>250</v>
      </c>
      <c r="DX377" s="24"/>
      <c r="DY377">
        <v>19600000</v>
      </c>
      <c r="DZ377">
        <v>19900001</v>
      </c>
      <c r="EA377">
        <v>19900001</v>
      </c>
      <c r="EB377">
        <v>660</v>
      </c>
      <c r="EC377">
        <v>112</v>
      </c>
      <c r="EE377" s="24"/>
      <c r="EF377">
        <v>200</v>
      </c>
      <c r="EG377">
        <v>205</v>
      </c>
      <c r="EH377">
        <v>205</v>
      </c>
      <c r="EI377">
        <v>97512049</v>
      </c>
      <c r="EJ377">
        <v>177</v>
      </c>
      <c r="EL377" s="24"/>
      <c r="EM377">
        <v>55011</v>
      </c>
      <c r="EN377">
        <v>55028</v>
      </c>
      <c r="EO377">
        <v>55024</v>
      </c>
      <c r="EP377">
        <v>85639</v>
      </c>
      <c r="EQ377">
        <v>806</v>
      </c>
      <c r="ES377" s="24"/>
      <c r="ET377">
        <v>405</v>
      </c>
      <c r="EU377">
        <v>428</v>
      </c>
      <c r="EV377">
        <v>407</v>
      </c>
      <c r="EW377">
        <v>87891479</v>
      </c>
      <c r="EX377">
        <v>894</v>
      </c>
      <c r="EZ377" s="24"/>
      <c r="FA377">
        <v>3150207</v>
      </c>
      <c r="FB377">
        <v>3150208</v>
      </c>
      <c r="FC377">
        <v>3150207</v>
      </c>
      <c r="FD377">
        <v>2243</v>
      </c>
      <c r="FE377">
        <v>30</v>
      </c>
      <c r="FG377" s="24"/>
      <c r="FH377">
        <v>10070</v>
      </c>
      <c r="FI377">
        <v>10449</v>
      </c>
      <c r="FJ377">
        <v>10076</v>
      </c>
      <c r="FK377">
        <v>3252596</v>
      </c>
      <c r="FL377">
        <v>673</v>
      </c>
      <c r="FN377" s="24"/>
      <c r="FO377">
        <v>28999</v>
      </c>
      <c r="FP377">
        <v>29999</v>
      </c>
      <c r="FQ377">
        <v>28999</v>
      </c>
      <c r="FR377">
        <v>133544</v>
      </c>
      <c r="FS377">
        <v>73</v>
      </c>
      <c r="FU377" s="24"/>
      <c r="FV377">
        <v>13016</v>
      </c>
      <c r="FW377">
        <v>13123</v>
      </c>
      <c r="FX377">
        <v>13020</v>
      </c>
      <c r="FY377">
        <v>435318</v>
      </c>
      <c r="FZ377">
        <v>1438</v>
      </c>
      <c r="GB377" s="24"/>
      <c r="GC377">
        <v>98007003</v>
      </c>
      <c r="GD377">
        <v>101497000</v>
      </c>
      <c r="GE377">
        <v>101140570</v>
      </c>
      <c r="GF377">
        <v>74</v>
      </c>
      <c r="GG377">
        <v>66</v>
      </c>
      <c r="GI377" s="24"/>
      <c r="GJ377">
        <v>19247999</v>
      </c>
      <c r="GK377">
        <v>22000000</v>
      </c>
      <c r="GL377">
        <v>20242042</v>
      </c>
      <c r="GM377">
        <v>683</v>
      </c>
      <c r="GN377">
        <v>112</v>
      </c>
      <c r="GP377" s="24"/>
      <c r="GQ377">
        <v>102</v>
      </c>
      <c r="GR377">
        <v>106</v>
      </c>
      <c r="GS377">
        <v>106</v>
      </c>
      <c r="GT377">
        <v>161288218</v>
      </c>
      <c r="GU377">
        <v>150</v>
      </c>
      <c r="GW377" s="24"/>
      <c r="GX377">
        <v>406</v>
      </c>
      <c r="GY377">
        <v>422</v>
      </c>
      <c r="GZ377">
        <v>419</v>
      </c>
      <c r="HA377">
        <v>96803669</v>
      </c>
      <c r="HB377">
        <v>337</v>
      </c>
      <c r="HD377" s="24"/>
      <c r="HE377">
        <v>5130</v>
      </c>
      <c r="HF377">
        <v>5174</v>
      </c>
      <c r="HG377">
        <v>5152</v>
      </c>
      <c r="HH377">
        <v>27902441</v>
      </c>
      <c r="HI377">
        <v>348</v>
      </c>
      <c r="HK377" s="24"/>
      <c r="HL377">
        <v>99000003</v>
      </c>
      <c r="HM377">
        <v>104334800</v>
      </c>
      <c r="HN377">
        <v>102704791</v>
      </c>
      <c r="HO377">
        <v>87</v>
      </c>
      <c r="HP377">
        <v>77</v>
      </c>
      <c r="HR377" s="24"/>
      <c r="HS377">
        <v>9949</v>
      </c>
      <c r="HT377">
        <v>10846</v>
      </c>
      <c r="HU377">
        <v>9999</v>
      </c>
      <c r="HV377">
        <v>876516</v>
      </c>
      <c r="HW377">
        <v>180</v>
      </c>
      <c r="HY377" s="24"/>
      <c r="HZ377">
        <v>11782</v>
      </c>
      <c r="IA377">
        <v>12483</v>
      </c>
      <c r="IB377">
        <v>11945</v>
      </c>
      <c r="IC377">
        <v>2739836</v>
      </c>
      <c r="ID377">
        <v>732</v>
      </c>
      <c r="IF377" s="24"/>
      <c r="IG377">
        <v>3166</v>
      </c>
      <c r="IH377">
        <v>3484</v>
      </c>
      <c r="II377">
        <v>3200</v>
      </c>
      <c r="IJ377">
        <v>3233136</v>
      </c>
      <c r="IK377">
        <v>218</v>
      </c>
      <c r="IM377" s="24"/>
      <c r="IN377">
        <v>99477987</v>
      </c>
      <c r="IO377">
        <v>102249499</v>
      </c>
      <c r="IP377">
        <v>99498792</v>
      </c>
      <c r="IQ377">
        <v>100</v>
      </c>
      <c r="IR377">
        <v>65</v>
      </c>
      <c r="IT377" s="24"/>
      <c r="IU377">
        <v>9496</v>
      </c>
      <c r="IV377">
        <v>9498</v>
      </c>
      <c r="IW377">
        <v>9497</v>
      </c>
      <c r="IX377">
        <v>1097477</v>
      </c>
      <c r="IY377">
        <v>159</v>
      </c>
      <c r="JA377" s="24"/>
      <c r="JB377">
        <v>95007002</v>
      </c>
      <c r="JC377">
        <v>97684996</v>
      </c>
      <c r="JD377">
        <v>97414720</v>
      </c>
      <c r="JE377">
        <v>94</v>
      </c>
      <c r="JF377">
        <v>77</v>
      </c>
      <c r="JH377" s="24"/>
      <c r="JI377">
        <v>97505002</v>
      </c>
      <c r="JJ377">
        <v>108417900</v>
      </c>
      <c r="JK377">
        <v>105473484</v>
      </c>
      <c r="JL377">
        <v>45</v>
      </c>
      <c r="JM377">
        <v>42</v>
      </c>
      <c r="JO377" s="24"/>
      <c r="JP377">
        <v>93</v>
      </c>
      <c r="JQ377">
        <v>96</v>
      </c>
      <c r="JR377">
        <v>96</v>
      </c>
      <c r="JS377">
        <v>138528216</v>
      </c>
      <c r="JT377">
        <v>107</v>
      </c>
      <c r="JV377" s="24"/>
      <c r="JW377">
        <v>93</v>
      </c>
      <c r="JX377">
        <v>95</v>
      </c>
      <c r="JY377">
        <v>93</v>
      </c>
      <c r="JZ377">
        <v>238268033</v>
      </c>
      <c r="KA377">
        <v>151</v>
      </c>
      <c r="KC377" s="24"/>
      <c r="KD377">
        <v>168</v>
      </c>
      <c r="KE377">
        <v>178</v>
      </c>
      <c r="KF377">
        <v>174</v>
      </c>
      <c r="KG377">
        <v>93761870</v>
      </c>
      <c r="KH377">
        <v>548</v>
      </c>
      <c r="KJ377" s="24"/>
      <c r="KK377">
        <v>106</v>
      </c>
      <c r="KL377">
        <v>111</v>
      </c>
      <c r="KM377">
        <v>107</v>
      </c>
      <c r="KN377">
        <v>156046283</v>
      </c>
      <c r="KO377">
        <v>156</v>
      </c>
      <c r="KQ377" s="24"/>
      <c r="KR377">
        <v>122000</v>
      </c>
      <c r="KS377">
        <v>129298</v>
      </c>
      <c r="KT377">
        <v>124000</v>
      </c>
      <c r="KU377">
        <v>84808</v>
      </c>
      <c r="KV377">
        <v>751</v>
      </c>
      <c r="KX377" s="24"/>
      <c r="KY377">
        <v>724</v>
      </c>
      <c r="KZ377">
        <v>738</v>
      </c>
      <c r="LA377">
        <v>734</v>
      </c>
      <c r="LB377">
        <v>13166836</v>
      </c>
      <c r="LC377">
        <v>253</v>
      </c>
      <c r="LE377" s="24"/>
      <c r="LF377">
        <v>185400</v>
      </c>
      <c r="LG377">
        <v>187000</v>
      </c>
      <c r="LH377">
        <v>185402</v>
      </c>
      <c r="LI377">
        <v>155280</v>
      </c>
      <c r="LJ377">
        <v>1055</v>
      </c>
      <c r="LL377" s="24"/>
      <c r="LM377">
        <v>60115</v>
      </c>
      <c r="LN377">
        <v>63897</v>
      </c>
      <c r="LO377">
        <v>60276</v>
      </c>
      <c r="LP377">
        <v>564847</v>
      </c>
      <c r="LQ377">
        <v>1569</v>
      </c>
      <c r="LS377" s="24"/>
      <c r="LT377">
        <v>430</v>
      </c>
      <c r="LU377">
        <v>431</v>
      </c>
      <c r="LV377">
        <v>431</v>
      </c>
      <c r="LW377">
        <v>148020554</v>
      </c>
      <c r="LX377">
        <v>600</v>
      </c>
      <c r="LZ377" s="24"/>
      <c r="MA377">
        <v>98949</v>
      </c>
      <c r="MB377">
        <v>98984</v>
      </c>
      <c r="MC377">
        <v>98950</v>
      </c>
      <c r="MD377">
        <v>509362</v>
      </c>
      <c r="ME377">
        <v>63</v>
      </c>
    </row>
    <row r="378" spans="2:343" x14ac:dyDescent="0.25">
      <c r="B378" s="24"/>
      <c r="C378">
        <v>3</v>
      </c>
      <c r="D378">
        <v>3</v>
      </c>
      <c r="E378">
        <v>3</v>
      </c>
      <c r="F378">
        <v>28257015282</v>
      </c>
      <c r="G378">
        <v>2750</v>
      </c>
      <c r="I378" s="24"/>
      <c r="J378">
        <v>4</v>
      </c>
      <c r="K378">
        <v>4</v>
      </c>
      <c r="L378">
        <v>4</v>
      </c>
      <c r="M378">
        <v>5012672041</v>
      </c>
      <c r="N378">
        <v>1955</v>
      </c>
      <c r="P378" s="24"/>
      <c r="Q378">
        <v>42</v>
      </c>
      <c r="R378">
        <v>42</v>
      </c>
      <c r="S378">
        <v>42</v>
      </c>
      <c r="T378">
        <v>1315259264</v>
      </c>
      <c r="U378">
        <v>1831</v>
      </c>
      <c r="W378" s="24"/>
      <c r="X378">
        <v>61</v>
      </c>
      <c r="Y378">
        <v>61</v>
      </c>
      <c r="Z378">
        <v>61</v>
      </c>
      <c r="AA378">
        <v>326316747</v>
      </c>
      <c r="AB378">
        <v>1460</v>
      </c>
      <c r="AD378" s="24"/>
      <c r="AE378">
        <v>478</v>
      </c>
      <c r="AF378">
        <v>483</v>
      </c>
      <c r="AG378">
        <v>482</v>
      </c>
      <c r="AH378">
        <v>69599197</v>
      </c>
      <c r="AI378">
        <v>1440</v>
      </c>
      <c r="AK378" s="24"/>
      <c r="AL378">
        <v>758</v>
      </c>
      <c r="AM378">
        <v>789</v>
      </c>
      <c r="AN378">
        <v>765</v>
      </c>
      <c r="AO378">
        <v>37804060</v>
      </c>
      <c r="AP378">
        <v>1295</v>
      </c>
      <c r="AR378" s="24"/>
      <c r="AS378">
        <v>2841</v>
      </c>
      <c r="AT378">
        <v>2939</v>
      </c>
      <c r="AU378">
        <v>2900</v>
      </c>
      <c r="AV378">
        <v>20441584</v>
      </c>
      <c r="AW378">
        <v>1305</v>
      </c>
      <c r="AY378" s="24"/>
      <c r="AZ378">
        <v>440000000</v>
      </c>
      <c r="BA378">
        <v>451896999</v>
      </c>
      <c r="BB378">
        <v>446101125</v>
      </c>
      <c r="BC378">
        <v>2518</v>
      </c>
      <c r="BD378">
        <v>1857</v>
      </c>
      <c r="BF378" s="24"/>
      <c r="BG378">
        <v>25800</v>
      </c>
      <c r="BH378">
        <v>25850</v>
      </c>
      <c r="BI378">
        <v>25850</v>
      </c>
      <c r="BJ378">
        <v>2398771</v>
      </c>
      <c r="BK378">
        <v>205</v>
      </c>
      <c r="BM378" s="24"/>
      <c r="BN378">
        <v>6830289</v>
      </c>
      <c r="BO378">
        <v>6900301</v>
      </c>
      <c r="BP378">
        <v>6900000</v>
      </c>
      <c r="BQ378">
        <v>18520</v>
      </c>
      <c r="BR378">
        <v>450</v>
      </c>
      <c r="BT378" s="24"/>
      <c r="BU378">
        <v>2164</v>
      </c>
      <c r="BV378">
        <v>2202</v>
      </c>
      <c r="BW378">
        <v>2202</v>
      </c>
      <c r="BX378">
        <v>29677781</v>
      </c>
      <c r="BY378">
        <v>248</v>
      </c>
      <c r="CA378" s="24"/>
      <c r="CB378">
        <v>1480</v>
      </c>
      <c r="CC378">
        <v>1662</v>
      </c>
      <c r="CD378">
        <v>1642</v>
      </c>
      <c r="CE378">
        <v>32203738</v>
      </c>
      <c r="CF378">
        <v>322</v>
      </c>
      <c r="CH378" s="24"/>
      <c r="CI378">
        <v>30100</v>
      </c>
      <c r="CJ378">
        <v>30333</v>
      </c>
      <c r="CK378">
        <v>30202</v>
      </c>
      <c r="CL378">
        <v>1538063</v>
      </c>
      <c r="CM378">
        <v>199</v>
      </c>
      <c r="CO378" s="24"/>
      <c r="CP378">
        <v>11752</v>
      </c>
      <c r="CQ378">
        <v>12099</v>
      </c>
      <c r="CR378">
        <v>11989</v>
      </c>
      <c r="CS378">
        <v>1399387</v>
      </c>
      <c r="CT378">
        <v>530</v>
      </c>
      <c r="CV378" s="24"/>
      <c r="CW378">
        <v>1200108</v>
      </c>
      <c r="CX378">
        <v>1348900</v>
      </c>
      <c r="CY378">
        <v>1300000</v>
      </c>
      <c r="CZ378">
        <v>8411</v>
      </c>
      <c r="DA378">
        <v>28</v>
      </c>
      <c r="DC378" s="24"/>
      <c r="DD378">
        <v>471</v>
      </c>
      <c r="DE378">
        <v>473</v>
      </c>
      <c r="DF378">
        <v>472</v>
      </c>
      <c r="DG378">
        <v>41351138</v>
      </c>
      <c r="DH378">
        <v>197</v>
      </c>
      <c r="DJ378" s="24"/>
      <c r="DK378">
        <v>30370006</v>
      </c>
      <c r="DL378">
        <v>30999996</v>
      </c>
      <c r="DM378">
        <v>30370031</v>
      </c>
      <c r="DN378">
        <v>801</v>
      </c>
      <c r="DO378">
        <v>138</v>
      </c>
      <c r="DQ378" s="24"/>
      <c r="DR378">
        <v>1281012</v>
      </c>
      <c r="DS378">
        <v>1398499</v>
      </c>
      <c r="DT378">
        <v>1281012</v>
      </c>
      <c r="DU378">
        <v>7997</v>
      </c>
      <c r="DV378">
        <v>243</v>
      </c>
      <c r="DX378" s="24"/>
      <c r="DY378">
        <v>19250000</v>
      </c>
      <c r="DZ378">
        <v>19890000</v>
      </c>
      <c r="EA378">
        <v>19600000</v>
      </c>
      <c r="EB378">
        <v>706</v>
      </c>
      <c r="EC378">
        <v>138</v>
      </c>
      <c r="EE378" s="24"/>
      <c r="EF378">
        <v>200</v>
      </c>
      <c r="EG378">
        <v>205</v>
      </c>
      <c r="EH378">
        <v>205</v>
      </c>
      <c r="EI378">
        <v>112080294</v>
      </c>
      <c r="EJ378">
        <v>179</v>
      </c>
      <c r="EL378" s="24"/>
      <c r="EM378">
        <v>58607</v>
      </c>
      <c r="EN378">
        <v>58607</v>
      </c>
      <c r="EO378">
        <v>58607</v>
      </c>
      <c r="EP378">
        <v>98247</v>
      </c>
      <c r="EQ378">
        <v>704</v>
      </c>
      <c r="ES378" s="24"/>
      <c r="ET378">
        <v>406</v>
      </c>
      <c r="EU378">
        <v>422</v>
      </c>
      <c r="EV378">
        <v>418</v>
      </c>
      <c r="EW378">
        <v>66149836</v>
      </c>
      <c r="EX378">
        <v>726</v>
      </c>
      <c r="EZ378" s="24"/>
      <c r="FA378">
        <v>2999999</v>
      </c>
      <c r="FB378">
        <v>3099998</v>
      </c>
      <c r="FC378">
        <v>2999999</v>
      </c>
      <c r="FD378">
        <v>2872</v>
      </c>
      <c r="FE378">
        <v>31</v>
      </c>
      <c r="FG378" s="24"/>
      <c r="FH378">
        <v>10001</v>
      </c>
      <c r="FI378">
        <v>10299</v>
      </c>
      <c r="FJ378">
        <v>10243</v>
      </c>
      <c r="FK378">
        <v>3154319</v>
      </c>
      <c r="FL378">
        <v>647</v>
      </c>
      <c r="FN378" s="24"/>
      <c r="FO378">
        <v>28989</v>
      </c>
      <c r="FP378">
        <v>28989</v>
      </c>
      <c r="FQ378">
        <v>28989</v>
      </c>
      <c r="FR378">
        <v>792392</v>
      </c>
      <c r="FS378">
        <v>86</v>
      </c>
      <c r="FU378" s="24"/>
      <c r="FV378">
        <v>13153</v>
      </c>
      <c r="FW378">
        <v>13452</v>
      </c>
      <c r="FX378">
        <v>13155</v>
      </c>
      <c r="FY378">
        <v>382275</v>
      </c>
      <c r="FZ378">
        <v>1196</v>
      </c>
      <c r="GB378" s="24"/>
      <c r="GC378">
        <v>98522001</v>
      </c>
      <c r="GD378">
        <v>105901557</v>
      </c>
      <c r="GE378">
        <v>103177237</v>
      </c>
      <c r="GF378">
        <v>87</v>
      </c>
      <c r="GG378">
        <v>79</v>
      </c>
      <c r="GI378" s="24"/>
      <c r="GJ378">
        <v>20242978</v>
      </c>
      <c r="GK378">
        <v>20244001</v>
      </c>
      <c r="GL378">
        <v>20243006</v>
      </c>
      <c r="GM378">
        <v>558</v>
      </c>
      <c r="GN378">
        <v>91</v>
      </c>
      <c r="GP378" s="24"/>
      <c r="GQ378">
        <v>104</v>
      </c>
      <c r="GR378">
        <v>106</v>
      </c>
      <c r="GS378">
        <v>106</v>
      </c>
      <c r="GT378">
        <v>224456843</v>
      </c>
      <c r="GU378">
        <v>148</v>
      </c>
      <c r="GW378" s="24"/>
      <c r="GX378">
        <v>419</v>
      </c>
      <c r="GY378">
        <v>426</v>
      </c>
      <c r="GZ378">
        <v>419</v>
      </c>
      <c r="HA378">
        <v>62059712</v>
      </c>
      <c r="HB378">
        <v>310</v>
      </c>
      <c r="HD378" s="24"/>
      <c r="HE378">
        <v>5206</v>
      </c>
      <c r="HF378">
        <v>5208</v>
      </c>
      <c r="HG378">
        <v>5207</v>
      </c>
      <c r="HH378">
        <v>27661884</v>
      </c>
      <c r="HI378">
        <v>298</v>
      </c>
      <c r="HK378" s="24"/>
      <c r="HL378">
        <v>96520003</v>
      </c>
      <c r="HM378">
        <v>104334798</v>
      </c>
      <c r="HN378">
        <v>96524001</v>
      </c>
      <c r="HO378">
        <v>247</v>
      </c>
      <c r="HP378">
        <v>124</v>
      </c>
      <c r="HR378" s="24"/>
      <c r="HS378">
        <v>9513</v>
      </c>
      <c r="HT378">
        <v>11000</v>
      </c>
      <c r="HU378">
        <v>10699</v>
      </c>
      <c r="HV378">
        <v>827500</v>
      </c>
      <c r="HW378">
        <v>156</v>
      </c>
      <c r="HY378" s="24"/>
      <c r="HZ378">
        <v>11787</v>
      </c>
      <c r="IA378">
        <v>12129</v>
      </c>
      <c r="IB378">
        <v>12000</v>
      </c>
      <c r="IC378">
        <v>2743582</v>
      </c>
      <c r="ID378">
        <v>666</v>
      </c>
      <c r="IF378" s="24"/>
      <c r="IG378">
        <v>3167</v>
      </c>
      <c r="IH378">
        <v>3248</v>
      </c>
      <c r="II378">
        <v>3247</v>
      </c>
      <c r="IJ378">
        <v>4699114</v>
      </c>
      <c r="IK378">
        <v>173</v>
      </c>
      <c r="IM378" s="24"/>
      <c r="IN378">
        <v>97000011</v>
      </c>
      <c r="IO378">
        <v>105599998</v>
      </c>
      <c r="IP378">
        <v>103468495</v>
      </c>
      <c r="IQ378">
        <v>92</v>
      </c>
      <c r="IR378">
        <v>71</v>
      </c>
      <c r="IT378" s="24"/>
      <c r="IU378">
        <v>9496</v>
      </c>
      <c r="IV378">
        <v>9498</v>
      </c>
      <c r="IW378">
        <v>9498</v>
      </c>
      <c r="IX378">
        <v>803212</v>
      </c>
      <c r="IY378">
        <v>113</v>
      </c>
      <c r="JA378" s="24"/>
      <c r="JB378">
        <v>97979738</v>
      </c>
      <c r="JC378">
        <v>97979738</v>
      </c>
      <c r="JD378">
        <v>97979738</v>
      </c>
      <c r="JE378">
        <v>157</v>
      </c>
      <c r="JF378">
        <v>81</v>
      </c>
      <c r="JH378" s="24"/>
      <c r="JI378">
        <v>97500006</v>
      </c>
      <c r="JJ378">
        <v>105863990</v>
      </c>
      <c r="JK378">
        <v>99500001</v>
      </c>
      <c r="JL378">
        <v>116</v>
      </c>
      <c r="JM378">
        <v>69</v>
      </c>
      <c r="JO378" s="24"/>
      <c r="JP378">
        <v>93</v>
      </c>
      <c r="JQ378">
        <v>96</v>
      </c>
      <c r="JR378">
        <v>94</v>
      </c>
      <c r="JS378">
        <v>226444870</v>
      </c>
      <c r="JT378">
        <v>104</v>
      </c>
      <c r="JV378" s="24"/>
      <c r="JW378">
        <v>91</v>
      </c>
      <c r="JX378">
        <v>95</v>
      </c>
      <c r="JY378">
        <v>92</v>
      </c>
      <c r="JZ378">
        <v>159657071</v>
      </c>
      <c r="KA378">
        <v>118</v>
      </c>
      <c r="KC378" s="24"/>
      <c r="KD378">
        <v>166</v>
      </c>
      <c r="KE378">
        <v>170</v>
      </c>
      <c r="KF378">
        <v>166</v>
      </c>
      <c r="KG378">
        <v>62740950</v>
      </c>
      <c r="KH378">
        <v>474</v>
      </c>
      <c r="KJ378" s="24"/>
      <c r="KK378">
        <v>103</v>
      </c>
      <c r="KL378">
        <v>109</v>
      </c>
      <c r="KM378">
        <v>103</v>
      </c>
      <c r="KN378">
        <v>96180232</v>
      </c>
      <c r="KO378">
        <v>106</v>
      </c>
      <c r="KQ378" s="24"/>
      <c r="KR378">
        <v>125005</v>
      </c>
      <c r="KS378">
        <v>125006</v>
      </c>
      <c r="KT378">
        <v>125005</v>
      </c>
      <c r="KU378">
        <v>80425</v>
      </c>
      <c r="KV378">
        <v>631</v>
      </c>
      <c r="KX378" s="24"/>
      <c r="KY378">
        <v>720</v>
      </c>
      <c r="KZ378">
        <v>736</v>
      </c>
      <c r="LA378">
        <v>728</v>
      </c>
      <c r="LB378">
        <v>6115373</v>
      </c>
      <c r="LC378">
        <v>148</v>
      </c>
      <c r="LE378" s="24"/>
      <c r="LF378">
        <v>185403</v>
      </c>
      <c r="LG378">
        <v>188999</v>
      </c>
      <c r="LH378">
        <v>185404</v>
      </c>
      <c r="LI378">
        <v>124318</v>
      </c>
      <c r="LJ378">
        <v>890</v>
      </c>
      <c r="LL378" s="24"/>
      <c r="LM378">
        <v>60536</v>
      </c>
      <c r="LN378">
        <v>60620</v>
      </c>
      <c r="LO378">
        <v>60538</v>
      </c>
      <c r="LP378">
        <v>417536</v>
      </c>
      <c r="LQ378">
        <v>1257</v>
      </c>
      <c r="LS378" s="24"/>
      <c r="LT378">
        <v>432</v>
      </c>
      <c r="LU378">
        <v>433</v>
      </c>
      <c r="LV378">
        <v>432</v>
      </c>
      <c r="LW378">
        <v>108675189</v>
      </c>
      <c r="LX378">
        <v>468</v>
      </c>
      <c r="LZ378" s="24"/>
      <c r="MA378">
        <v>96000</v>
      </c>
      <c r="MB378">
        <v>99940</v>
      </c>
      <c r="MC378">
        <v>99940</v>
      </c>
      <c r="MD378">
        <v>1202509</v>
      </c>
      <c r="ME378">
        <v>97</v>
      </c>
    </row>
    <row r="379" spans="2:343" x14ac:dyDescent="0.25">
      <c r="B379" s="24"/>
      <c r="C379">
        <v>3</v>
      </c>
      <c r="D379">
        <v>3</v>
      </c>
      <c r="E379">
        <v>3</v>
      </c>
      <c r="F379">
        <v>31337150651</v>
      </c>
      <c r="G379">
        <v>2598</v>
      </c>
      <c r="I379" s="24"/>
      <c r="J379">
        <v>4</v>
      </c>
      <c r="K379">
        <v>5</v>
      </c>
      <c r="L379">
        <v>4</v>
      </c>
      <c r="M379">
        <v>4883222218</v>
      </c>
      <c r="N379">
        <v>1816</v>
      </c>
      <c r="P379" s="24"/>
      <c r="Q379">
        <v>42</v>
      </c>
      <c r="R379">
        <v>43</v>
      </c>
      <c r="S379">
        <v>42</v>
      </c>
      <c r="T379">
        <v>1597578227</v>
      </c>
      <c r="U379">
        <v>1787</v>
      </c>
      <c r="W379" s="24"/>
      <c r="X379">
        <v>61</v>
      </c>
      <c r="Y379">
        <v>62</v>
      </c>
      <c r="Z379">
        <v>61</v>
      </c>
      <c r="AA379">
        <v>396572433</v>
      </c>
      <c r="AB379">
        <v>1364</v>
      </c>
      <c r="AD379" s="24"/>
      <c r="AE379">
        <v>473</v>
      </c>
      <c r="AF379">
        <v>478</v>
      </c>
      <c r="AG379">
        <v>476</v>
      </c>
      <c r="AH379">
        <v>96310260</v>
      </c>
      <c r="AI379">
        <v>1381</v>
      </c>
      <c r="AK379" s="24"/>
      <c r="AL379">
        <v>764</v>
      </c>
      <c r="AM379">
        <v>776</v>
      </c>
      <c r="AN379">
        <v>774</v>
      </c>
      <c r="AO379">
        <v>43290138</v>
      </c>
      <c r="AP379">
        <v>1245</v>
      </c>
      <c r="AR379" s="24"/>
      <c r="AS379">
        <v>2780</v>
      </c>
      <c r="AT379">
        <v>2926</v>
      </c>
      <c r="AU379">
        <v>2850</v>
      </c>
      <c r="AV379">
        <v>22669582</v>
      </c>
      <c r="AW379">
        <v>1255</v>
      </c>
      <c r="AY379" s="24"/>
      <c r="AZ379">
        <v>440044497</v>
      </c>
      <c r="BA379">
        <v>449687999</v>
      </c>
      <c r="BB379">
        <v>446999850</v>
      </c>
      <c r="BC379">
        <v>2607</v>
      </c>
      <c r="BD379">
        <v>1923</v>
      </c>
      <c r="BF379" s="24"/>
      <c r="BG379">
        <v>25804</v>
      </c>
      <c r="BH379">
        <v>25818</v>
      </c>
      <c r="BI379">
        <v>25806</v>
      </c>
      <c r="BJ379">
        <v>2255407</v>
      </c>
      <c r="BK379">
        <v>223</v>
      </c>
      <c r="BM379" s="24"/>
      <c r="BN379">
        <v>6845000</v>
      </c>
      <c r="BO379">
        <v>6845005</v>
      </c>
      <c r="BP379">
        <v>6845003</v>
      </c>
      <c r="BQ379">
        <v>14619</v>
      </c>
      <c r="BR379">
        <v>371</v>
      </c>
      <c r="BT379" s="24"/>
      <c r="BU379">
        <v>2175</v>
      </c>
      <c r="BV379">
        <v>2202</v>
      </c>
      <c r="BW379">
        <v>2202</v>
      </c>
      <c r="BX379">
        <v>25448830</v>
      </c>
      <c r="BY379">
        <v>201</v>
      </c>
      <c r="CA379" s="24"/>
      <c r="CB379">
        <v>1528</v>
      </c>
      <c r="CC379">
        <v>1528</v>
      </c>
      <c r="CD379">
        <v>1528</v>
      </c>
      <c r="CE379">
        <v>30860245</v>
      </c>
      <c r="CF379">
        <v>289</v>
      </c>
      <c r="CH379" s="24"/>
      <c r="CI379">
        <v>30201</v>
      </c>
      <c r="CJ379">
        <v>30203</v>
      </c>
      <c r="CK379">
        <v>30203</v>
      </c>
      <c r="CL379">
        <v>874154</v>
      </c>
      <c r="CM379">
        <v>192</v>
      </c>
      <c r="CO379" s="24"/>
      <c r="CP379">
        <v>11674</v>
      </c>
      <c r="CQ379">
        <v>11999</v>
      </c>
      <c r="CR379">
        <v>11998</v>
      </c>
      <c r="CS379">
        <v>1442153</v>
      </c>
      <c r="CT379">
        <v>520</v>
      </c>
      <c r="CV379" s="24"/>
      <c r="CW379">
        <v>1345098</v>
      </c>
      <c r="CX379">
        <v>1346985</v>
      </c>
      <c r="CY379">
        <v>1346898</v>
      </c>
      <c r="CZ379">
        <v>11617</v>
      </c>
      <c r="DA379">
        <v>32</v>
      </c>
      <c r="DC379" s="24"/>
      <c r="DD379">
        <v>472</v>
      </c>
      <c r="DE379">
        <v>472</v>
      </c>
      <c r="DF379">
        <v>472</v>
      </c>
      <c r="DG379">
        <v>40403889</v>
      </c>
      <c r="DH379">
        <v>202</v>
      </c>
      <c r="DJ379" s="24"/>
      <c r="DK379">
        <v>28000003</v>
      </c>
      <c r="DL379">
        <v>31198998</v>
      </c>
      <c r="DM379">
        <v>30000000</v>
      </c>
      <c r="DN379">
        <v>972</v>
      </c>
      <c r="DO379">
        <v>127</v>
      </c>
      <c r="DQ379" s="24"/>
      <c r="DR379">
        <v>1282003</v>
      </c>
      <c r="DS379">
        <v>1398999</v>
      </c>
      <c r="DT379">
        <v>1398499</v>
      </c>
      <c r="DU379">
        <v>8155</v>
      </c>
      <c r="DV379">
        <v>302</v>
      </c>
      <c r="DX379" s="24"/>
      <c r="DY379">
        <v>18980012</v>
      </c>
      <c r="DZ379">
        <v>20599899</v>
      </c>
      <c r="EA379">
        <v>18999950</v>
      </c>
      <c r="EB379">
        <v>1098</v>
      </c>
      <c r="EC379">
        <v>158</v>
      </c>
      <c r="EE379" s="24"/>
      <c r="EF379">
        <v>202</v>
      </c>
      <c r="EG379">
        <v>205</v>
      </c>
      <c r="EH379">
        <v>205</v>
      </c>
      <c r="EI379">
        <v>70846113</v>
      </c>
      <c r="EJ379">
        <v>142</v>
      </c>
      <c r="EL379" s="24"/>
      <c r="EM379">
        <v>55045</v>
      </c>
      <c r="EN379">
        <v>55998</v>
      </c>
      <c r="EO379">
        <v>55988</v>
      </c>
      <c r="EP379">
        <v>82319</v>
      </c>
      <c r="EQ379">
        <v>649</v>
      </c>
      <c r="ES379" s="24"/>
      <c r="ET379">
        <v>412</v>
      </c>
      <c r="EU379">
        <v>422</v>
      </c>
      <c r="EV379">
        <v>415</v>
      </c>
      <c r="EW379">
        <v>49263915</v>
      </c>
      <c r="EX379">
        <v>711</v>
      </c>
      <c r="EZ379" s="24"/>
      <c r="FA379">
        <v>2851000</v>
      </c>
      <c r="FB379">
        <v>3099989</v>
      </c>
      <c r="FC379">
        <v>3000000</v>
      </c>
      <c r="FD379">
        <v>1167</v>
      </c>
      <c r="FE379">
        <v>11</v>
      </c>
      <c r="FG379" s="24"/>
      <c r="FH379">
        <v>9511</v>
      </c>
      <c r="FI379">
        <v>10196</v>
      </c>
      <c r="FJ379">
        <v>10000</v>
      </c>
      <c r="FK379">
        <v>2005128</v>
      </c>
      <c r="FL379">
        <v>513</v>
      </c>
      <c r="FN379" s="24"/>
      <c r="FO379">
        <v>39370</v>
      </c>
      <c r="FP379">
        <v>39370</v>
      </c>
      <c r="FQ379">
        <v>39370</v>
      </c>
      <c r="FR379">
        <v>77081</v>
      </c>
      <c r="FS379">
        <v>44</v>
      </c>
      <c r="FU379" s="24"/>
      <c r="FV379">
        <v>14010</v>
      </c>
      <c r="FW379">
        <v>14158</v>
      </c>
      <c r="FX379">
        <v>14011</v>
      </c>
      <c r="FY379">
        <v>626194</v>
      </c>
      <c r="FZ379">
        <v>1190</v>
      </c>
      <c r="GB379" s="24"/>
      <c r="GC379">
        <v>99000006</v>
      </c>
      <c r="GD379">
        <v>102499999</v>
      </c>
      <c r="GE379">
        <v>99525395</v>
      </c>
      <c r="GF379">
        <v>69</v>
      </c>
      <c r="GG379">
        <v>55</v>
      </c>
      <c r="GI379" s="24"/>
      <c r="GJ379">
        <v>20248070</v>
      </c>
      <c r="GK379">
        <v>22642959</v>
      </c>
      <c r="GL379">
        <v>20249007</v>
      </c>
      <c r="GM379">
        <v>536</v>
      </c>
      <c r="GN379">
        <v>78</v>
      </c>
      <c r="GP379" s="24"/>
      <c r="GQ379">
        <v>103</v>
      </c>
      <c r="GR379">
        <v>106</v>
      </c>
      <c r="GS379">
        <v>103</v>
      </c>
      <c r="GT379">
        <v>127287504</v>
      </c>
      <c r="GU379">
        <v>106</v>
      </c>
      <c r="GW379" s="24"/>
      <c r="GX379">
        <v>407</v>
      </c>
      <c r="GY379">
        <v>427</v>
      </c>
      <c r="GZ379">
        <v>420</v>
      </c>
      <c r="HA379">
        <v>69220907</v>
      </c>
      <c r="HB379">
        <v>264</v>
      </c>
      <c r="HD379" s="24"/>
      <c r="HE379">
        <v>5248</v>
      </c>
      <c r="HF379">
        <v>5280</v>
      </c>
      <c r="HG379">
        <v>5249</v>
      </c>
      <c r="HH379">
        <v>15702636</v>
      </c>
      <c r="HI379">
        <v>264</v>
      </c>
      <c r="HK379" s="24"/>
      <c r="HL379">
        <v>93067005</v>
      </c>
      <c r="HM379">
        <v>100999998</v>
      </c>
      <c r="HN379">
        <v>95070020</v>
      </c>
      <c r="HO379">
        <v>204</v>
      </c>
      <c r="HP379">
        <v>111</v>
      </c>
      <c r="HR379" s="24"/>
      <c r="HS379">
        <v>10749</v>
      </c>
      <c r="HT379">
        <v>11198</v>
      </c>
      <c r="HU379">
        <v>10897</v>
      </c>
      <c r="HV379">
        <v>747071</v>
      </c>
      <c r="HW379">
        <v>156</v>
      </c>
      <c r="HY379" s="24"/>
      <c r="HZ379">
        <v>11998</v>
      </c>
      <c r="IA379">
        <v>12099</v>
      </c>
      <c r="IB379">
        <v>12048</v>
      </c>
      <c r="IC379">
        <v>2209991</v>
      </c>
      <c r="ID379">
        <v>561</v>
      </c>
      <c r="IF379" s="24"/>
      <c r="IG379">
        <v>3211</v>
      </c>
      <c r="IH379">
        <v>3449</v>
      </c>
      <c r="II379">
        <v>3449</v>
      </c>
      <c r="IJ379">
        <v>1984191</v>
      </c>
      <c r="IK379">
        <v>141</v>
      </c>
      <c r="IM379" s="24"/>
      <c r="IN379">
        <v>94005100</v>
      </c>
      <c r="IO379">
        <v>97016009</v>
      </c>
      <c r="IP379">
        <v>97016008</v>
      </c>
      <c r="IQ379">
        <v>263</v>
      </c>
      <c r="IR379">
        <v>97</v>
      </c>
      <c r="IT379" s="24"/>
      <c r="IU379">
        <v>9302</v>
      </c>
      <c r="IV379">
        <v>9496</v>
      </c>
      <c r="IW379">
        <v>9465</v>
      </c>
      <c r="IX379">
        <v>2031447</v>
      </c>
      <c r="IY379">
        <v>150</v>
      </c>
      <c r="JA379" s="24"/>
      <c r="JB379">
        <v>97000008</v>
      </c>
      <c r="JC379">
        <v>99899997</v>
      </c>
      <c r="JD379">
        <v>97000010</v>
      </c>
      <c r="JE379">
        <v>135</v>
      </c>
      <c r="JF379">
        <v>73</v>
      </c>
      <c r="JH379" s="24"/>
      <c r="JI379">
        <v>95000004</v>
      </c>
      <c r="JJ379">
        <v>100999995</v>
      </c>
      <c r="JK379">
        <v>100042808</v>
      </c>
      <c r="JL379">
        <v>75</v>
      </c>
      <c r="JM379">
        <v>50</v>
      </c>
      <c r="JO379" s="24"/>
      <c r="JP379">
        <v>92</v>
      </c>
      <c r="JQ379">
        <v>96</v>
      </c>
      <c r="JR379">
        <v>96</v>
      </c>
      <c r="JS379">
        <v>105207425</v>
      </c>
      <c r="JT379">
        <v>89</v>
      </c>
      <c r="JV379" s="24"/>
      <c r="JW379">
        <v>92</v>
      </c>
      <c r="JX379">
        <v>94</v>
      </c>
      <c r="JY379">
        <v>94</v>
      </c>
      <c r="JZ379">
        <v>82503839</v>
      </c>
      <c r="KA379">
        <v>83</v>
      </c>
      <c r="KC379" s="24"/>
      <c r="KD379">
        <v>159</v>
      </c>
      <c r="KE379">
        <v>163</v>
      </c>
      <c r="KF379">
        <v>161</v>
      </c>
      <c r="KG379">
        <v>66885073</v>
      </c>
      <c r="KH379">
        <v>436</v>
      </c>
      <c r="KJ379" s="24"/>
      <c r="KK379">
        <v>104</v>
      </c>
      <c r="KL379">
        <v>109</v>
      </c>
      <c r="KM379">
        <v>108</v>
      </c>
      <c r="KN379">
        <v>103510290</v>
      </c>
      <c r="KO379">
        <v>103</v>
      </c>
      <c r="KQ379" s="24"/>
      <c r="KR379">
        <v>125008</v>
      </c>
      <c r="KS379">
        <v>125009</v>
      </c>
      <c r="KT379">
        <v>125008</v>
      </c>
      <c r="KU379">
        <v>79430</v>
      </c>
      <c r="KV379">
        <v>586</v>
      </c>
      <c r="KX379" s="24"/>
      <c r="KY379">
        <v>726</v>
      </c>
      <c r="KZ379">
        <v>727</v>
      </c>
      <c r="LA379">
        <v>726</v>
      </c>
      <c r="LB379">
        <v>5990121</v>
      </c>
      <c r="LC379">
        <v>155</v>
      </c>
      <c r="LE379" s="24"/>
      <c r="LF379">
        <v>185414</v>
      </c>
      <c r="LG379">
        <v>185425</v>
      </c>
      <c r="LH379">
        <v>185414</v>
      </c>
      <c r="LI379">
        <v>160390</v>
      </c>
      <c r="LJ379">
        <v>924</v>
      </c>
      <c r="LL379" s="24"/>
      <c r="LM379">
        <v>61030</v>
      </c>
      <c r="LN379">
        <v>61203</v>
      </c>
      <c r="LO379">
        <v>61031</v>
      </c>
      <c r="LP379">
        <v>441288</v>
      </c>
      <c r="LQ379">
        <v>1256</v>
      </c>
      <c r="LS379" s="24"/>
      <c r="LT379">
        <v>434</v>
      </c>
      <c r="LU379">
        <v>435</v>
      </c>
      <c r="LV379">
        <v>435</v>
      </c>
      <c r="LW379">
        <v>86631191</v>
      </c>
      <c r="LX379">
        <v>375</v>
      </c>
      <c r="LZ379" s="24"/>
      <c r="MA379">
        <v>98499</v>
      </c>
      <c r="MB379">
        <v>99947</v>
      </c>
      <c r="MC379">
        <v>98500</v>
      </c>
      <c r="MD379">
        <v>626705</v>
      </c>
      <c r="ME379">
        <v>72</v>
      </c>
    </row>
    <row r="380" spans="2:343" x14ac:dyDescent="0.25">
      <c r="B380" s="24"/>
      <c r="C380">
        <v>3</v>
      </c>
      <c r="D380">
        <v>3</v>
      </c>
      <c r="E380">
        <v>3</v>
      </c>
      <c r="F380">
        <v>32335574658</v>
      </c>
      <c r="G380">
        <v>2375</v>
      </c>
      <c r="I380" s="24"/>
      <c r="J380">
        <v>5</v>
      </c>
      <c r="K380">
        <v>5</v>
      </c>
      <c r="L380">
        <v>5</v>
      </c>
      <c r="M380">
        <v>5540058479</v>
      </c>
      <c r="N380">
        <v>1690</v>
      </c>
      <c r="P380" s="24"/>
      <c r="Q380">
        <v>43</v>
      </c>
      <c r="R380">
        <v>45</v>
      </c>
      <c r="S380">
        <v>43</v>
      </c>
      <c r="T380">
        <v>2051915969</v>
      </c>
      <c r="U380">
        <v>1628</v>
      </c>
      <c r="W380" s="24"/>
      <c r="X380">
        <v>62</v>
      </c>
      <c r="Y380">
        <v>62</v>
      </c>
      <c r="Z380">
        <v>62</v>
      </c>
      <c r="AA380">
        <v>364413572</v>
      </c>
      <c r="AB380">
        <v>1249</v>
      </c>
      <c r="AD380" s="24"/>
      <c r="AE380">
        <v>473</v>
      </c>
      <c r="AF380">
        <v>477</v>
      </c>
      <c r="AG380">
        <v>477</v>
      </c>
      <c r="AH380">
        <v>82173148</v>
      </c>
      <c r="AI380">
        <v>1247</v>
      </c>
      <c r="AK380" s="24"/>
      <c r="AL380">
        <v>751</v>
      </c>
      <c r="AM380">
        <v>783</v>
      </c>
      <c r="AN380">
        <v>776</v>
      </c>
      <c r="AO380">
        <v>45367204</v>
      </c>
      <c r="AP380">
        <v>1160</v>
      </c>
      <c r="AR380" s="24"/>
      <c r="AS380">
        <v>2772</v>
      </c>
      <c r="AT380">
        <v>2911</v>
      </c>
      <c r="AU380">
        <v>2870</v>
      </c>
      <c r="AV380">
        <v>14879871</v>
      </c>
      <c r="AW380">
        <v>1112</v>
      </c>
      <c r="AY380" s="24"/>
      <c r="AZ380">
        <v>441500000</v>
      </c>
      <c r="BA380">
        <v>448899997</v>
      </c>
      <c r="BB380">
        <v>448014000</v>
      </c>
      <c r="BC380">
        <v>2242</v>
      </c>
      <c r="BD380">
        <v>1683</v>
      </c>
      <c r="BF380" s="24"/>
      <c r="BG380">
        <v>26006</v>
      </c>
      <c r="BH380">
        <v>26278</v>
      </c>
      <c r="BI380">
        <v>26199</v>
      </c>
      <c r="BJ380">
        <v>3183516</v>
      </c>
      <c r="BK380">
        <v>201</v>
      </c>
      <c r="BM380" s="24"/>
      <c r="BN380">
        <v>6901000</v>
      </c>
      <c r="BO380">
        <v>7070995</v>
      </c>
      <c r="BP380">
        <v>6950000</v>
      </c>
      <c r="BQ380">
        <v>14659</v>
      </c>
      <c r="BR380">
        <v>340</v>
      </c>
      <c r="BT380" s="24"/>
      <c r="BU380">
        <v>2202</v>
      </c>
      <c r="BV380">
        <v>2219</v>
      </c>
      <c r="BW380">
        <v>2202</v>
      </c>
      <c r="BX380">
        <v>33406696</v>
      </c>
      <c r="BY380">
        <v>214</v>
      </c>
      <c r="CA380" s="24"/>
      <c r="CB380">
        <v>1525</v>
      </c>
      <c r="CC380">
        <v>1623</v>
      </c>
      <c r="CD380">
        <v>1558</v>
      </c>
      <c r="CE380">
        <v>21380513</v>
      </c>
      <c r="CF380">
        <v>184</v>
      </c>
      <c r="CH380" s="24"/>
      <c r="CI380">
        <v>30999</v>
      </c>
      <c r="CJ380">
        <v>31000</v>
      </c>
      <c r="CK380">
        <v>31000</v>
      </c>
      <c r="CL380">
        <v>906739</v>
      </c>
      <c r="CM380">
        <v>180</v>
      </c>
      <c r="CO380" s="24"/>
      <c r="CP380">
        <v>11605</v>
      </c>
      <c r="CQ380">
        <v>12839</v>
      </c>
      <c r="CR380">
        <v>12450</v>
      </c>
      <c r="CS380">
        <v>985772</v>
      </c>
      <c r="CT380">
        <v>427</v>
      </c>
      <c r="CV380" s="24"/>
      <c r="CW380">
        <v>1330127</v>
      </c>
      <c r="CX380">
        <v>1342100</v>
      </c>
      <c r="CY380">
        <v>1330127</v>
      </c>
      <c r="CZ380">
        <v>10696</v>
      </c>
      <c r="DA380">
        <v>39</v>
      </c>
      <c r="DC380" s="24"/>
      <c r="DD380">
        <v>461</v>
      </c>
      <c r="DE380">
        <v>469</v>
      </c>
      <c r="DF380">
        <v>468</v>
      </c>
      <c r="DG380">
        <v>40615593</v>
      </c>
      <c r="DH380">
        <v>176</v>
      </c>
      <c r="DJ380" s="24"/>
      <c r="DK380">
        <v>28001000</v>
      </c>
      <c r="DL380">
        <v>30000000</v>
      </c>
      <c r="DM380">
        <v>28001001</v>
      </c>
      <c r="DN380">
        <v>340</v>
      </c>
      <c r="DO380">
        <v>74</v>
      </c>
      <c r="DQ380" s="24"/>
      <c r="DR380">
        <v>1400004</v>
      </c>
      <c r="DS380">
        <v>1500001</v>
      </c>
      <c r="DT380">
        <v>1500001</v>
      </c>
      <c r="DU380">
        <v>4784</v>
      </c>
      <c r="DV380">
        <v>200</v>
      </c>
      <c r="DX380" s="24"/>
      <c r="DY380">
        <v>17000000</v>
      </c>
      <c r="DZ380">
        <v>19699999</v>
      </c>
      <c r="EA380">
        <v>17126000</v>
      </c>
      <c r="EB380">
        <v>574</v>
      </c>
      <c r="EC380">
        <v>86</v>
      </c>
      <c r="EE380" s="24"/>
      <c r="EF380">
        <v>203</v>
      </c>
      <c r="EG380">
        <v>210</v>
      </c>
      <c r="EH380">
        <v>207</v>
      </c>
      <c r="EI380">
        <v>123414402</v>
      </c>
      <c r="EJ380">
        <v>129</v>
      </c>
      <c r="EL380" s="24"/>
      <c r="EM380">
        <v>56002</v>
      </c>
      <c r="EN380">
        <v>62598</v>
      </c>
      <c r="EO380">
        <v>56250</v>
      </c>
      <c r="EP380">
        <v>114177</v>
      </c>
      <c r="EQ380">
        <v>516</v>
      </c>
      <c r="ES380" s="24"/>
      <c r="ET380">
        <v>414</v>
      </c>
      <c r="EU380">
        <v>431</v>
      </c>
      <c r="EV380">
        <v>415</v>
      </c>
      <c r="EW380">
        <v>48774488</v>
      </c>
      <c r="EX380">
        <v>606</v>
      </c>
      <c r="EZ380" s="24"/>
      <c r="FA380">
        <v>3099989</v>
      </c>
      <c r="FB380">
        <v>3099998</v>
      </c>
      <c r="FC380">
        <v>3099998</v>
      </c>
      <c r="FD380">
        <v>2519</v>
      </c>
      <c r="FE380">
        <v>26</v>
      </c>
      <c r="FG380" s="24"/>
      <c r="FH380">
        <v>9524</v>
      </c>
      <c r="FI380">
        <v>10206</v>
      </c>
      <c r="FJ380">
        <v>10124</v>
      </c>
      <c r="FK380">
        <v>1620985</v>
      </c>
      <c r="FL380">
        <v>503</v>
      </c>
      <c r="FN380" s="24"/>
      <c r="FO380">
        <v>26105</v>
      </c>
      <c r="FP380">
        <v>33500</v>
      </c>
      <c r="FQ380">
        <v>30000</v>
      </c>
      <c r="FR380">
        <v>119745</v>
      </c>
      <c r="FS380">
        <v>53</v>
      </c>
      <c r="FU380" s="24"/>
      <c r="FV380">
        <v>14020</v>
      </c>
      <c r="FW380">
        <v>14022</v>
      </c>
      <c r="FX380">
        <v>14021</v>
      </c>
      <c r="FY380">
        <v>408716</v>
      </c>
      <c r="FZ380">
        <v>967</v>
      </c>
      <c r="GB380" s="24"/>
      <c r="GC380">
        <v>97000000</v>
      </c>
      <c r="GD380">
        <v>97000000</v>
      </c>
      <c r="GE380">
        <v>97000000</v>
      </c>
      <c r="GF380">
        <v>159</v>
      </c>
      <c r="GG380">
        <v>55</v>
      </c>
      <c r="GI380" s="24"/>
      <c r="GJ380">
        <v>20403999</v>
      </c>
      <c r="GK380">
        <v>21977999</v>
      </c>
      <c r="GL380">
        <v>20404001</v>
      </c>
      <c r="GM380">
        <v>500</v>
      </c>
      <c r="GN380">
        <v>102</v>
      </c>
      <c r="GP380" s="24"/>
      <c r="GQ380">
        <v>100</v>
      </c>
      <c r="GR380">
        <v>103</v>
      </c>
      <c r="GS380">
        <v>102</v>
      </c>
      <c r="GT380">
        <v>117288814</v>
      </c>
      <c r="GU380">
        <v>98</v>
      </c>
      <c r="GW380" s="24"/>
      <c r="GX380">
        <v>407</v>
      </c>
      <c r="GY380">
        <v>420</v>
      </c>
      <c r="GZ380">
        <v>407</v>
      </c>
      <c r="HA380">
        <v>99259498</v>
      </c>
      <c r="HB380">
        <v>254</v>
      </c>
      <c r="HD380" s="24"/>
      <c r="HE380">
        <v>5243</v>
      </c>
      <c r="HF380">
        <v>5389</v>
      </c>
      <c r="HG380">
        <v>5368</v>
      </c>
      <c r="HH380">
        <v>11982371</v>
      </c>
      <c r="HI380">
        <v>195</v>
      </c>
      <c r="HK380" s="24"/>
      <c r="HL380">
        <v>95076007</v>
      </c>
      <c r="HM380">
        <v>97989999</v>
      </c>
      <c r="HN380">
        <v>97000000</v>
      </c>
      <c r="HO380">
        <v>137</v>
      </c>
      <c r="HP380">
        <v>79</v>
      </c>
      <c r="HR380" s="24"/>
      <c r="HS380">
        <v>10001</v>
      </c>
      <c r="HT380">
        <v>11399</v>
      </c>
      <c r="HU380">
        <v>11299</v>
      </c>
      <c r="HV380">
        <v>416922</v>
      </c>
      <c r="HW380">
        <v>120</v>
      </c>
      <c r="HY380" s="24"/>
      <c r="HZ380">
        <v>11401</v>
      </c>
      <c r="IA380">
        <v>12194</v>
      </c>
      <c r="IB380">
        <v>12186</v>
      </c>
      <c r="IC380">
        <v>1987658</v>
      </c>
      <c r="ID380">
        <v>508</v>
      </c>
      <c r="IF380" s="24"/>
      <c r="IG380">
        <v>3400</v>
      </c>
      <c r="IH380">
        <v>3439</v>
      </c>
      <c r="II380">
        <v>3400</v>
      </c>
      <c r="IJ380">
        <v>2176391</v>
      </c>
      <c r="IK380">
        <v>129</v>
      </c>
      <c r="IM380" s="24"/>
      <c r="IN380">
        <v>92111000</v>
      </c>
      <c r="IO380">
        <v>98999998</v>
      </c>
      <c r="IP380">
        <v>92111001</v>
      </c>
      <c r="IQ380">
        <v>199</v>
      </c>
      <c r="IR380">
        <v>113</v>
      </c>
      <c r="IT380" s="24"/>
      <c r="IU380">
        <v>9310</v>
      </c>
      <c r="IV380">
        <v>9496</v>
      </c>
      <c r="IW380">
        <v>9496</v>
      </c>
      <c r="IX380">
        <v>1028111</v>
      </c>
      <c r="IY380">
        <v>100</v>
      </c>
      <c r="JA380" s="24"/>
      <c r="JB380">
        <v>93998998</v>
      </c>
      <c r="JC380">
        <v>94998999</v>
      </c>
      <c r="JD380">
        <v>94171844</v>
      </c>
      <c r="JE380">
        <v>58</v>
      </c>
      <c r="JF380">
        <v>48</v>
      </c>
      <c r="JH380" s="24"/>
      <c r="JI380">
        <v>97504000</v>
      </c>
      <c r="JJ380">
        <v>102000000</v>
      </c>
      <c r="JK380">
        <v>99588821</v>
      </c>
      <c r="JL380">
        <v>69</v>
      </c>
      <c r="JM380">
        <v>58</v>
      </c>
      <c r="JO380" s="24"/>
      <c r="JP380">
        <v>95</v>
      </c>
      <c r="JQ380">
        <v>106</v>
      </c>
      <c r="JR380">
        <v>96</v>
      </c>
      <c r="JS380">
        <v>56172202</v>
      </c>
      <c r="JT380">
        <v>57</v>
      </c>
      <c r="JV380" s="24"/>
      <c r="JW380">
        <v>93</v>
      </c>
      <c r="JX380">
        <v>95</v>
      </c>
      <c r="JY380">
        <v>93</v>
      </c>
      <c r="JZ380">
        <v>82884981</v>
      </c>
      <c r="KA380">
        <v>74</v>
      </c>
      <c r="KC380" s="24"/>
      <c r="KD380">
        <v>153</v>
      </c>
      <c r="KE380">
        <v>162</v>
      </c>
      <c r="KF380">
        <v>155</v>
      </c>
      <c r="KG380">
        <v>46502054</v>
      </c>
      <c r="KH380">
        <v>369</v>
      </c>
      <c r="KJ380" s="24"/>
      <c r="KK380">
        <v>106</v>
      </c>
      <c r="KL380">
        <v>107</v>
      </c>
      <c r="KM380">
        <v>107</v>
      </c>
      <c r="KN380">
        <v>114748455</v>
      </c>
      <c r="KO380">
        <v>94</v>
      </c>
      <c r="KQ380" s="24"/>
      <c r="KR380">
        <v>123001</v>
      </c>
      <c r="KS380">
        <v>125003</v>
      </c>
      <c r="KT380">
        <v>125000</v>
      </c>
      <c r="KU380">
        <v>75674</v>
      </c>
      <c r="KV380">
        <v>508</v>
      </c>
      <c r="KX380" s="24"/>
      <c r="KY380">
        <v>680</v>
      </c>
      <c r="KZ380">
        <v>736</v>
      </c>
      <c r="LA380">
        <v>736</v>
      </c>
      <c r="LB380">
        <v>4941494</v>
      </c>
      <c r="LC380">
        <v>129</v>
      </c>
      <c r="LE380" s="24"/>
      <c r="LF380">
        <v>185427</v>
      </c>
      <c r="LG380">
        <v>185429</v>
      </c>
      <c r="LH380">
        <v>185428</v>
      </c>
      <c r="LI380">
        <v>109125</v>
      </c>
      <c r="LJ380">
        <v>700</v>
      </c>
      <c r="LL380" s="24"/>
      <c r="LM380">
        <v>61205</v>
      </c>
      <c r="LN380">
        <v>61212</v>
      </c>
      <c r="LO380">
        <v>61210</v>
      </c>
      <c r="LP380">
        <v>380486</v>
      </c>
      <c r="LQ380">
        <v>981</v>
      </c>
      <c r="LS380" s="24"/>
      <c r="LT380">
        <v>432</v>
      </c>
      <c r="LU380">
        <v>438</v>
      </c>
      <c r="LV380">
        <v>435</v>
      </c>
      <c r="LW380">
        <v>91167785</v>
      </c>
      <c r="LX380">
        <v>382</v>
      </c>
      <c r="LZ380" s="24"/>
      <c r="MA380">
        <v>96500</v>
      </c>
      <c r="MB380">
        <v>99949</v>
      </c>
      <c r="MC380">
        <v>99941</v>
      </c>
      <c r="MD380">
        <v>955677</v>
      </c>
      <c r="ME380">
        <v>69</v>
      </c>
    </row>
    <row r="381" spans="2:343" x14ac:dyDescent="0.25">
      <c r="B381" s="24"/>
      <c r="C381">
        <v>3</v>
      </c>
      <c r="D381">
        <v>3</v>
      </c>
      <c r="E381">
        <v>3</v>
      </c>
      <c r="F381">
        <v>42378217049</v>
      </c>
      <c r="G381">
        <v>2588</v>
      </c>
      <c r="I381" s="24"/>
      <c r="J381">
        <v>5</v>
      </c>
      <c r="K381">
        <v>5</v>
      </c>
      <c r="L381">
        <v>5</v>
      </c>
      <c r="M381">
        <v>4914333053</v>
      </c>
      <c r="N381">
        <v>1790</v>
      </c>
      <c r="P381" s="24"/>
      <c r="Q381">
        <v>44</v>
      </c>
      <c r="R381">
        <v>46</v>
      </c>
      <c r="S381">
        <v>45</v>
      </c>
      <c r="T381">
        <v>1471658436</v>
      </c>
      <c r="U381">
        <v>1714</v>
      </c>
      <c r="W381" s="24"/>
      <c r="X381">
        <v>61</v>
      </c>
      <c r="Y381">
        <v>62</v>
      </c>
      <c r="Z381">
        <v>62</v>
      </c>
      <c r="AA381">
        <v>310955318</v>
      </c>
      <c r="AB381">
        <v>1288</v>
      </c>
      <c r="AD381" s="24"/>
      <c r="AE381">
        <v>462</v>
      </c>
      <c r="AF381">
        <v>476</v>
      </c>
      <c r="AG381">
        <v>471</v>
      </c>
      <c r="AH381">
        <v>141079046</v>
      </c>
      <c r="AI381">
        <v>1357</v>
      </c>
      <c r="AK381" s="24"/>
      <c r="AL381">
        <v>752</v>
      </c>
      <c r="AM381">
        <v>781</v>
      </c>
      <c r="AN381">
        <v>753</v>
      </c>
      <c r="AO381">
        <v>27087682</v>
      </c>
      <c r="AP381">
        <v>1074</v>
      </c>
      <c r="AR381" s="24"/>
      <c r="AS381">
        <v>2810</v>
      </c>
      <c r="AT381">
        <v>2894</v>
      </c>
      <c r="AU381">
        <v>2890</v>
      </c>
      <c r="AV381">
        <v>11580925</v>
      </c>
      <c r="AW381">
        <v>1080</v>
      </c>
      <c r="AY381" s="24"/>
      <c r="AZ381">
        <v>441000000</v>
      </c>
      <c r="BA381">
        <v>450888105</v>
      </c>
      <c r="BB381">
        <v>447859000</v>
      </c>
      <c r="BC381">
        <v>2583</v>
      </c>
      <c r="BD381">
        <v>1868</v>
      </c>
      <c r="BF381" s="24"/>
      <c r="BG381">
        <v>26407</v>
      </c>
      <c r="BH381">
        <v>26608</v>
      </c>
      <c r="BI381">
        <v>26607</v>
      </c>
      <c r="BJ381">
        <v>4260037</v>
      </c>
      <c r="BK381">
        <v>240</v>
      </c>
      <c r="BM381" s="24"/>
      <c r="BN381">
        <v>6901001</v>
      </c>
      <c r="BO381">
        <v>6950001</v>
      </c>
      <c r="BP381">
        <v>6950001</v>
      </c>
      <c r="BQ381">
        <v>11038</v>
      </c>
      <c r="BR381">
        <v>337</v>
      </c>
      <c r="BT381" s="24"/>
      <c r="BU381">
        <v>2186</v>
      </c>
      <c r="BV381">
        <v>2250</v>
      </c>
      <c r="BW381">
        <v>2239</v>
      </c>
      <c r="BX381">
        <v>29998767</v>
      </c>
      <c r="BY381">
        <v>208</v>
      </c>
      <c r="CA381" s="24"/>
      <c r="CB381">
        <v>1498</v>
      </c>
      <c r="CC381">
        <v>1605</v>
      </c>
      <c r="CD381">
        <v>1551</v>
      </c>
      <c r="CE381">
        <v>29320060</v>
      </c>
      <c r="CF381">
        <v>242</v>
      </c>
      <c r="CH381" s="24"/>
      <c r="CI381">
        <v>31200</v>
      </c>
      <c r="CJ381">
        <v>31266</v>
      </c>
      <c r="CK381">
        <v>31200</v>
      </c>
      <c r="CL381">
        <v>894516</v>
      </c>
      <c r="CM381">
        <v>176</v>
      </c>
      <c r="CO381" s="24"/>
      <c r="CP381">
        <v>12839</v>
      </c>
      <c r="CQ381">
        <v>12844</v>
      </c>
      <c r="CR381">
        <v>12844</v>
      </c>
      <c r="CS381">
        <v>1412916</v>
      </c>
      <c r="CT381">
        <v>502</v>
      </c>
      <c r="CV381" s="24"/>
      <c r="CW381">
        <v>1150000</v>
      </c>
      <c r="CX381">
        <v>1333332</v>
      </c>
      <c r="CY381">
        <v>1150001</v>
      </c>
      <c r="CZ381">
        <v>6429</v>
      </c>
      <c r="DA381">
        <v>20</v>
      </c>
      <c r="DC381" s="24"/>
      <c r="DD381">
        <v>468</v>
      </c>
      <c r="DE381">
        <v>475</v>
      </c>
      <c r="DF381">
        <v>470</v>
      </c>
      <c r="DG381">
        <v>41989443</v>
      </c>
      <c r="DH381">
        <v>212</v>
      </c>
      <c r="DJ381" s="24"/>
      <c r="DK381">
        <v>28202001</v>
      </c>
      <c r="DL381">
        <v>28203016</v>
      </c>
      <c r="DM381">
        <v>28203015</v>
      </c>
      <c r="DN381">
        <v>544</v>
      </c>
      <c r="DO381">
        <v>96</v>
      </c>
      <c r="DQ381" s="24"/>
      <c r="DR381">
        <v>1290003</v>
      </c>
      <c r="DS381">
        <v>1556019</v>
      </c>
      <c r="DT381">
        <v>1399999</v>
      </c>
      <c r="DU381">
        <v>4603</v>
      </c>
      <c r="DV381">
        <v>227</v>
      </c>
      <c r="DX381" s="24"/>
      <c r="DY381">
        <v>17501017</v>
      </c>
      <c r="DZ381">
        <v>18999999</v>
      </c>
      <c r="EA381">
        <v>17700001</v>
      </c>
      <c r="EB381">
        <v>673</v>
      </c>
      <c r="EC381">
        <v>105</v>
      </c>
      <c r="EE381" s="24"/>
      <c r="EF381">
        <v>209</v>
      </c>
      <c r="EG381">
        <v>223</v>
      </c>
      <c r="EH381">
        <v>223</v>
      </c>
      <c r="EI381">
        <v>89961509</v>
      </c>
      <c r="EJ381">
        <v>124</v>
      </c>
      <c r="EL381" s="24"/>
      <c r="EM381">
        <v>56307</v>
      </c>
      <c r="EN381">
        <v>59999</v>
      </c>
      <c r="EO381">
        <v>56875</v>
      </c>
      <c r="EP381">
        <v>65752</v>
      </c>
      <c r="EQ381">
        <v>605</v>
      </c>
      <c r="ES381" s="24"/>
      <c r="ET381">
        <v>429</v>
      </c>
      <c r="EU381">
        <v>432</v>
      </c>
      <c r="EV381">
        <v>432</v>
      </c>
      <c r="EW381">
        <v>47045852</v>
      </c>
      <c r="EX381">
        <v>675</v>
      </c>
      <c r="EZ381" s="24"/>
      <c r="FA381">
        <v>2861011</v>
      </c>
      <c r="FB381">
        <v>2901010</v>
      </c>
      <c r="FC381">
        <v>2900000</v>
      </c>
      <c r="FD381">
        <v>903</v>
      </c>
      <c r="FE381">
        <v>12</v>
      </c>
      <c r="FG381" s="24"/>
      <c r="FH381">
        <v>9611</v>
      </c>
      <c r="FI381">
        <v>9999</v>
      </c>
      <c r="FJ381">
        <v>9969</v>
      </c>
      <c r="FK381">
        <v>1733614</v>
      </c>
      <c r="FL381">
        <v>520</v>
      </c>
      <c r="FN381" s="24"/>
      <c r="FO381">
        <v>32997</v>
      </c>
      <c r="FP381">
        <v>32999</v>
      </c>
      <c r="FQ381">
        <v>32999</v>
      </c>
      <c r="FR381">
        <v>105944</v>
      </c>
      <c r="FS381">
        <v>54</v>
      </c>
      <c r="FU381" s="24"/>
      <c r="FV381">
        <v>14022</v>
      </c>
      <c r="FW381">
        <v>14029</v>
      </c>
      <c r="FX381">
        <v>14023</v>
      </c>
      <c r="FY381">
        <v>335444</v>
      </c>
      <c r="FZ381">
        <v>1075</v>
      </c>
      <c r="GB381" s="24"/>
      <c r="GC381">
        <v>92311003</v>
      </c>
      <c r="GD381">
        <v>105899683</v>
      </c>
      <c r="GE381">
        <v>98124733</v>
      </c>
      <c r="GF381">
        <v>91</v>
      </c>
      <c r="GG381">
        <v>61</v>
      </c>
      <c r="GI381" s="24"/>
      <c r="GJ381">
        <v>20702002</v>
      </c>
      <c r="GK381">
        <v>20704007</v>
      </c>
      <c r="GL381">
        <v>20703002</v>
      </c>
      <c r="GM381">
        <v>447</v>
      </c>
      <c r="GN381">
        <v>70</v>
      </c>
      <c r="GP381" s="24"/>
      <c r="GQ381">
        <v>101</v>
      </c>
      <c r="GR381">
        <v>105</v>
      </c>
      <c r="GS381">
        <v>105</v>
      </c>
      <c r="GT381">
        <v>91557535</v>
      </c>
      <c r="GU381">
        <v>115</v>
      </c>
      <c r="GW381" s="24"/>
      <c r="GX381">
        <v>422</v>
      </c>
      <c r="GY381">
        <v>423</v>
      </c>
      <c r="GZ381">
        <v>422</v>
      </c>
      <c r="HA381">
        <v>41785512</v>
      </c>
      <c r="HB381">
        <v>228</v>
      </c>
      <c r="HD381" s="24"/>
      <c r="HE381">
        <v>5253</v>
      </c>
      <c r="HF381">
        <v>5363</v>
      </c>
      <c r="HG381">
        <v>5324</v>
      </c>
      <c r="HH381">
        <v>11749733</v>
      </c>
      <c r="HI381">
        <v>176</v>
      </c>
      <c r="HK381" s="24"/>
      <c r="HL381">
        <v>93072000</v>
      </c>
      <c r="HM381">
        <v>97990000</v>
      </c>
      <c r="HN381">
        <v>94912050</v>
      </c>
      <c r="HO381">
        <v>116</v>
      </c>
      <c r="HP381">
        <v>81</v>
      </c>
      <c r="HR381" s="24"/>
      <c r="HS381">
        <v>10050</v>
      </c>
      <c r="HT381">
        <v>11550</v>
      </c>
      <c r="HU381">
        <v>10989</v>
      </c>
      <c r="HV381">
        <v>918063</v>
      </c>
      <c r="HW381">
        <v>149</v>
      </c>
      <c r="HY381" s="24"/>
      <c r="HZ381">
        <v>11451</v>
      </c>
      <c r="IA381">
        <v>12079</v>
      </c>
      <c r="IB381">
        <v>12000</v>
      </c>
      <c r="IC381">
        <v>2646999</v>
      </c>
      <c r="ID381">
        <v>573</v>
      </c>
      <c r="IF381" s="24"/>
      <c r="IG381">
        <v>3439</v>
      </c>
      <c r="IH381">
        <v>3439</v>
      </c>
      <c r="II381">
        <v>3439</v>
      </c>
      <c r="IJ381">
        <v>1527781</v>
      </c>
      <c r="IK381">
        <v>129</v>
      </c>
      <c r="IM381" s="24"/>
      <c r="IN381">
        <v>91135009</v>
      </c>
      <c r="IO381">
        <v>98970193</v>
      </c>
      <c r="IP381">
        <v>92111102</v>
      </c>
      <c r="IQ381">
        <v>200</v>
      </c>
      <c r="IR381">
        <v>100</v>
      </c>
      <c r="IT381" s="24"/>
      <c r="IU381">
        <v>9499</v>
      </c>
      <c r="IV381">
        <v>9796</v>
      </c>
      <c r="IW381">
        <v>9600</v>
      </c>
      <c r="IX381">
        <v>974746</v>
      </c>
      <c r="IY381">
        <v>124</v>
      </c>
      <c r="JA381" s="24"/>
      <c r="JB381">
        <v>93815001</v>
      </c>
      <c r="JC381">
        <v>94996996</v>
      </c>
      <c r="JD381">
        <v>94000000</v>
      </c>
      <c r="JE381">
        <v>147</v>
      </c>
      <c r="JF381">
        <v>87</v>
      </c>
      <c r="JH381" s="24"/>
      <c r="JI381">
        <v>95000003</v>
      </c>
      <c r="JJ381">
        <v>102000000</v>
      </c>
      <c r="JK381">
        <v>99586318</v>
      </c>
      <c r="JL381">
        <v>89</v>
      </c>
      <c r="JM381">
        <v>67</v>
      </c>
      <c r="JO381" s="24"/>
      <c r="JP381">
        <v>92</v>
      </c>
      <c r="JQ381">
        <v>95</v>
      </c>
      <c r="JR381">
        <v>93</v>
      </c>
      <c r="JS381">
        <v>119757410</v>
      </c>
      <c r="JT381">
        <v>109</v>
      </c>
      <c r="JV381" s="24"/>
      <c r="JW381">
        <v>93</v>
      </c>
      <c r="JX381">
        <v>95</v>
      </c>
      <c r="JY381">
        <v>95</v>
      </c>
      <c r="JZ381">
        <v>124973455</v>
      </c>
      <c r="KA381">
        <v>95</v>
      </c>
      <c r="KC381" s="24"/>
      <c r="KD381">
        <v>153</v>
      </c>
      <c r="KE381">
        <v>162</v>
      </c>
      <c r="KF381">
        <v>161</v>
      </c>
      <c r="KG381">
        <v>81175420</v>
      </c>
      <c r="KH381">
        <v>434</v>
      </c>
      <c r="KJ381" s="24"/>
      <c r="KK381">
        <v>108</v>
      </c>
      <c r="KL381">
        <v>108</v>
      </c>
      <c r="KM381">
        <v>108</v>
      </c>
      <c r="KN381">
        <v>95518558</v>
      </c>
      <c r="KO381">
        <v>119</v>
      </c>
      <c r="KQ381" s="24"/>
      <c r="KR381">
        <v>123000</v>
      </c>
      <c r="KS381">
        <v>127789</v>
      </c>
      <c r="KT381">
        <v>123005</v>
      </c>
      <c r="KU381">
        <v>67493</v>
      </c>
      <c r="KV381">
        <v>596</v>
      </c>
      <c r="KX381" s="24"/>
      <c r="KY381">
        <v>702</v>
      </c>
      <c r="KZ381">
        <v>736</v>
      </c>
      <c r="LA381">
        <v>736</v>
      </c>
      <c r="LB381">
        <v>7013397</v>
      </c>
      <c r="LC381">
        <v>167</v>
      </c>
      <c r="LE381" s="24"/>
      <c r="LF381">
        <v>185430</v>
      </c>
      <c r="LG381">
        <v>185436</v>
      </c>
      <c r="LH381">
        <v>185435</v>
      </c>
      <c r="LI381">
        <v>131901</v>
      </c>
      <c r="LJ381">
        <v>824</v>
      </c>
      <c r="LL381" s="24"/>
      <c r="LM381">
        <v>61211</v>
      </c>
      <c r="LN381">
        <v>61223</v>
      </c>
      <c r="LO381">
        <v>61212</v>
      </c>
      <c r="LP381">
        <v>296042</v>
      </c>
      <c r="LQ381">
        <v>1106</v>
      </c>
      <c r="LS381" s="24"/>
      <c r="LT381">
        <v>439</v>
      </c>
      <c r="LU381">
        <v>440</v>
      </c>
      <c r="LV381">
        <v>440</v>
      </c>
      <c r="LW381">
        <v>117526747</v>
      </c>
      <c r="LX381">
        <v>429</v>
      </c>
      <c r="LZ381" s="24"/>
      <c r="MA381">
        <v>99938</v>
      </c>
      <c r="MB381">
        <v>99944</v>
      </c>
      <c r="MC381">
        <v>99942</v>
      </c>
      <c r="MD381">
        <v>777837</v>
      </c>
      <c r="ME381">
        <v>70</v>
      </c>
    </row>
    <row r="382" spans="2:343" x14ac:dyDescent="0.25">
      <c r="B382" s="24"/>
      <c r="C382">
        <v>3</v>
      </c>
      <c r="D382">
        <v>3</v>
      </c>
      <c r="E382">
        <v>3</v>
      </c>
      <c r="F382">
        <v>32038164069</v>
      </c>
      <c r="G382">
        <v>2518</v>
      </c>
      <c r="I382" s="24"/>
      <c r="J382">
        <v>5</v>
      </c>
      <c r="K382">
        <v>5</v>
      </c>
      <c r="L382">
        <v>5</v>
      </c>
      <c r="M382">
        <v>4337521036</v>
      </c>
      <c r="N382">
        <v>1739</v>
      </c>
      <c r="P382" s="24"/>
      <c r="Q382">
        <v>45</v>
      </c>
      <c r="R382">
        <v>46</v>
      </c>
      <c r="S382">
        <v>45</v>
      </c>
      <c r="T382">
        <v>1455418752</v>
      </c>
      <c r="U382">
        <v>1673</v>
      </c>
      <c r="W382" s="24"/>
      <c r="X382">
        <v>61</v>
      </c>
      <c r="Y382">
        <v>62</v>
      </c>
      <c r="Z382">
        <v>62</v>
      </c>
      <c r="AA382">
        <v>316578477</v>
      </c>
      <c r="AB382">
        <v>1260</v>
      </c>
      <c r="AD382" s="24"/>
      <c r="AE382">
        <v>455</v>
      </c>
      <c r="AF382">
        <v>474</v>
      </c>
      <c r="AG382">
        <v>461</v>
      </c>
      <c r="AH382">
        <v>93365163</v>
      </c>
      <c r="AI382">
        <v>1341</v>
      </c>
      <c r="AK382" s="24"/>
      <c r="AL382">
        <v>752</v>
      </c>
      <c r="AM382">
        <v>767</v>
      </c>
      <c r="AN382">
        <v>755</v>
      </c>
      <c r="AO382">
        <v>37406677</v>
      </c>
      <c r="AP382">
        <v>1152</v>
      </c>
      <c r="AR382" s="24"/>
      <c r="AS382">
        <v>2811</v>
      </c>
      <c r="AT382">
        <v>2855</v>
      </c>
      <c r="AU382">
        <v>2812</v>
      </c>
      <c r="AV382">
        <v>15382722</v>
      </c>
      <c r="AW382">
        <v>1061</v>
      </c>
      <c r="AY382" s="24"/>
      <c r="AZ382">
        <v>442163200</v>
      </c>
      <c r="BA382">
        <v>450993000</v>
      </c>
      <c r="BB382">
        <v>447997971</v>
      </c>
      <c r="BC382">
        <v>2825</v>
      </c>
      <c r="BD382">
        <v>1904</v>
      </c>
      <c r="BF382" s="24"/>
      <c r="BG382">
        <v>26206</v>
      </c>
      <c r="BH382">
        <v>26699</v>
      </c>
      <c r="BI382">
        <v>26612</v>
      </c>
      <c r="BJ382">
        <v>4804790</v>
      </c>
      <c r="BK382">
        <v>448</v>
      </c>
      <c r="BM382" s="24"/>
      <c r="BN382">
        <v>6902003</v>
      </c>
      <c r="BO382">
        <v>7181000</v>
      </c>
      <c r="BP382">
        <v>6905033</v>
      </c>
      <c r="BQ382">
        <v>15143</v>
      </c>
      <c r="BR382">
        <v>382</v>
      </c>
      <c r="BT382" s="24"/>
      <c r="BU382">
        <v>2205</v>
      </c>
      <c r="BV382">
        <v>2289</v>
      </c>
      <c r="BW382">
        <v>2286</v>
      </c>
      <c r="BX382">
        <v>21843159</v>
      </c>
      <c r="BY382">
        <v>241</v>
      </c>
      <c r="CA382" s="24"/>
      <c r="CB382">
        <v>1340</v>
      </c>
      <c r="CC382">
        <v>1479</v>
      </c>
      <c r="CD382">
        <v>1365</v>
      </c>
      <c r="CE382">
        <v>55914083</v>
      </c>
      <c r="CF382">
        <v>286</v>
      </c>
      <c r="CH382" s="24"/>
      <c r="CI382">
        <v>31400</v>
      </c>
      <c r="CJ382">
        <v>31650</v>
      </c>
      <c r="CK382">
        <v>31466</v>
      </c>
      <c r="CL382">
        <v>3560305</v>
      </c>
      <c r="CM382">
        <v>277</v>
      </c>
      <c r="CO382" s="24"/>
      <c r="CP382">
        <v>12580</v>
      </c>
      <c r="CQ382">
        <v>13390</v>
      </c>
      <c r="CR382">
        <v>13300</v>
      </c>
      <c r="CS382">
        <v>1169855</v>
      </c>
      <c r="CT382">
        <v>462</v>
      </c>
      <c r="CV382" s="24"/>
      <c r="CW382">
        <v>1269999</v>
      </c>
      <c r="CX382">
        <v>1332749</v>
      </c>
      <c r="CY382">
        <v>1270002</v>
      </c>
      <c r="CZ382">
        <v>14899</v>
      </c>
      <c r="DA382">
        <v>60</v>
      </c>
      <c r="DC382" s="24"/>
      <c r="DD382">
        <v>476</v>
      </c>
      <c r="DE382">
        <v>477</v>
      </c>
      <c r="DF382">
        <v>476</v>
      </c>
      <c r="DG382">
        <v>39944191</v>
      </c>
      <c r="DH382">
        <v>223</v>
      </c>
      <c r="DJ382" s="24"/>
      <c r="DK382">
        <v>28502004</v>
      </c>
      <c r="DL382">
        <v>28503007</v>
      </c>
      <c r="DM382">
        <v>28502009</v>
      </c>
      <c r="DN382">
        <v>498</v>
      </c>
      <c r="DO382">
        <v>83</v>
      </c>
      <c r="DQ382" s="24"/>
      <c r="DR382">
        <v>1357005</v>
      </c>
      <c r="DS382">
        <v>1578999</v>
      </c>
      <c r="DT382">
        <v>1481006</v>
      </c>
      <c r="DU382">
        <v>5540</v>
      </c>
      <c r="DV382">
        <v>243</v>
      </c>
      <c r="DX382" s="24"/>
      <c r="DY382">
        <v>17800003</v>
      </c>
      <c r="DZ382">
        <v>18599999</v>
      </c>
      <c r="EA382">
        <v>18000010</v>
      </c>
      <c r="EB382">
        <v>547</v>
      </c>
      <c r="EC382">
        <v>119</v>
      </c>
      <c r="EE382" s="24"/>
      <c r="EF382">
        <v>211</v>
      </c>
      <c r="EG382">
        <v>219</v>
      </c>
      <c r="EH382">
        <v>212</v>
      </c>
      <c r="EI382">
        <v>94135465</v>
      </c>
      <c r="EJ382">
        <v>139</v>
      </c>
      <c r="EL382" s="24"/>
      <c r="EM382">
        <v>57061</v>
      </c>
      <c r="EN382">
        <v>66998</v>
      </c>
      <c r="EO382">
        <v>57110</v>
      </c>
      <c r="EP382">
        <v>85316</v>
      </c>
      <c r="EQ382">
        <v>617</v>
      </c>
      <c r="ES382" s="24"/>
      <c r="ET382">
        <v>438</v>
      </c>
      <c r="EU382">
        <v>442</v>
      </c>
      <c r="EV382">
        <v>439</v>
      </c>
      <c r="EW382">
        <v>54834286</v>
      </c>
      <c r="EX382">
        <v>642</v>
      </c>
      <c r="EZ382" s="24"/>
      <c r="FA382">
        <v>2866657</v>
      </c>
      <c r="FB382">
        <v>3114986</v>
      </c>
      <c r="FC382">
        <v>3113984</v>
      </c>
      <c r="FD382">
        <v>1196</v>
      </c>
      <c r="FE382">
        <v>11</v>
      </c>
      <c r="FG382" s="24"/>
      <c r="FH382">
        <v>9872</v>
      </c>
      <c r="FI382">
        <v>10192</v>
      </c>
      <c r="FJ382">
        <v>10097</v>
      </c>
      <c r="FK382">
        <v>1656694</v>
      </c>
      <c r="FL382">
        <v>528</v>
      </c>
      <c r="FN382" s="24"/>
      <c r="FO382">
        <v>32396</v>
      </c>
      <c r="FP382">
        <v>32997</v>
      </c>
      <c r="FQ382">
        <v>32396</v>
      </c>
      <c r="FR382">
        <v>75853</v>
      </c>
      <c r="FS382">
        <v>55</v>
      </c>
      <c r="FU382" s="24"/>
      <c r="FV382">
        <v>14040</v>
      </c>
      <c r="FW382">
        <v>14051</v>
      </c>
      <c r="FX382">
        <v>14045</v>
      </c>
      <c r="FY382">
        <v>376950</v>
      </c>
      <c r="FZ382">
        <v>1102</v>
      </c>
      <c r="GB382" s="24"/>
      <c r="GC382">
        <v>95705106</v>
      </c>
      <c r="GD382">
        <v>105899595</v>
      </c>
      <c r="GE382">
        <v>100632558</v>
      </c>
      <c r="GF382">
        <v>76</v>
      </c>
      <c r="GG382">
        <v>56</v>
      </c>
      <c r="GI382" s="24"/>
      <c r="GJ382">
        <v>21000002</v>
      </c>
      <c r="GK382">
        <v>22640999</v>
      </c>
      <c r="GL382">
        <v>21977999</v>
      </c>
      <c r="GM382">
        <v>752</v>
      </c>
      <c r="GN382">
        <v>98</v>
      </c>
      <c r="GP382" s="24"/>
      <c r="GQ382">
        <v>100</v>
      </c>
      <c r="GR382">
        <v>106</v>
      </c>
      <c r="GS382">
        <v>105</v>
      </c>
      <c r="GT382">
        <v>145135294</v>
      </c>
      <c r="GU382">
        <v>130</v>
      </c>
      <c r="GW382" s="24"/>
      <c r="GX382">
        <v>416</v>
      </c>
      <c r="GY382">
        <v>423</v>
      </c>
      <c r="GZ382">
        <v>421</v>
      </c>
      <c r="HA382">
        <v>71213917</v>
      </c>
      <c r="HB382">
        <v>245</v>
      </c>
      <c r="HD382" s="24"/>
      <c r="HE382">
        <v>5319</v>
      </c>
      <c r="HF382">
        <v>5359</v>
      </c>
      <c r="HG382">
        <v>5324</v>
      </c>
      <c r="HH382">
        <v>16800940</v>
      </c>
      <c r="HI382">
        <v>239</v>
      </c>
      <c r="HK382" s="24"/>
      <c r="HL382">
        <v>93082000</v>
      </c>
      <c r="HM382">
        <v>96999998</v>
      </c>
      <c r="HN382">
        <v>96390642</v>
      </c>
      <c r="HO382">
        <v>90</v>
      </c>
      <c r="HP382">
        <v>69</v>
      </c>
      <c r="HR382" s="24"/>
      <c r="HS382">
        <v>10798</v>
      </c>
      <c r="HT382">
        <v>11100</v>
      </c>
      <c r="HU382">
        <v>11049</v>
      </c>
      <c r="HV382">
        <v>878371</v>
      </c>
      <c r="HW382">
        <v>176</v>
      </c>
      <c r="HY382" s="24"/>
      <c r="HZ382">
        <v>11500</v>
      </c>
      <c r="IA382">
        <v>11848</v>
      </c>
      <c r="IB382">
        <v>11798</v>
      </c>
      <c r="IC382">
        <v>2445214</v>
      </c>
      <c r="ID382">
        <v>528</v>
      </c>
      <c r="IF382" s="24"/>
      <c r="IG382">
        <v>3400</v>
      </c>
      <c r="IH382">
        <v>3439</v>
      </c>
      <c r="II382">
        <v>3439</v>
      </c>
      <c r="IJ382">
        <v>1366544</v>
      </c>
      <c r="IK382">
        <v>140</v>
      </c>
      <c r="IM382" s="24"/>
      <c r="IN382">
        <v>91136104</v>
      </c>
      <c r="IO382">
        <v>98696885</v>
      </c>
      <c r="IP382">
        <v>95983270</v>
      </c>
      <c r="IQ382">
        <v>82</v>
      </c>
      <c r="IR382">
        <v>66</v>
      </c>
      <c r="IT382" s="24"/>
      <c r="IU382">
        <v>9997</v>
      </c>
      <c r="IV382">
        <v>9999</v>
      </c>
      <c r="IW382">
        <v>9999</v>
      </c>
      <c r="IX382">
        <v>620783</v>
      </c>
      <c r="IY382">
        <v>111</v>
      </c>
      <c r="JA382" s="24"/>
      <c r="JB382">
        <v>94997995</v>
      </c>
      <c r="JC382">
        <v>102899999</v>
      </c>
      <c r="JD382">
        <v>97955629</v>
      </c>
      <c r="JE382">
        <v>66</v>
      </c>
      <c r="JF382">
        <v>54</v>
      </c>
      <c r="JH382" s="24"/>
      <c r="JI382">
        <v>98000002</v>
      </c>
      <c r="JJ382">
        <v>107996999</v>
      </c>
      <c r="JK382">
        <v>102803922</v>
      </c>
      <c r="JL382">
        <v>68</v>
      </c>
      <c r="JM382">
        <v>51</v>
      </c>
      <c r="JO382" s="24"/>
      <c r="JP382">
        <v>90</v>
      </c>
      <c r="JQ382">
        <v>95</v>
      </c>
      <c r="JR382">
        <v>95</v>
      </c>
      <c r="JS382">
        <v>93635827</v>
      </c>
      <c r="JT382">
        <v>85</v>
      </c>
      <c r="JV382" s="24"/>
      <c r="JW382">
        <v>93</v>
      </c>
      <c r="JX382">
        <v>95</v>
      </c>
      <c r="JY382">
        <v>95</v>
      </c>
      <c r="JZ382">
        <v>94889095</v>
      </c>
      <c r="KA382">
        <v>121</v>
      </c>
      <c r="KC382" s="24"/>
      <c r="KD382">
        <v>153</v>
      </c>
      <c r="KE382">
        <v>165</v>
      </c>
      <c r="KF382">
        <v>158</v>
      </c>
      <c r="KG382">
        <v>61396638</v>
      </c>
      <c r="KH382">
        <v>381</v>
      </c>
      <c r="KJ382" s="24"/>
      <c r="KK382">
        <v>108</v>
      </c>
      <c r="KL382">
        <v>108</v>
      </c>
      <c r="KM382">
        <v>108</v>
      </c>
      <c r="KN382">
        <v>109293070</v>
      </c>
      <c r="KO382">
        <v>109</v>
      </c>
      <c r="KQ382" s="24"/>
      <c r="KR382">
        <v>123007</v>
      </c>
      <c r="KS382">
        <v>123009</v>
      </c>
      <c r="KT382">
        <v>123008</v>
      </c>
      <c r="KU382">
        <v>47067</v>
      </c>
      <c r="KV382">
        <v>576</v>
      </c>
      <c r="KX382" s="24"/>
      <c r="KY382">
        <v>733</v>
      </c>
      <c r="KZ382">
        <v>736</v>
      </c>
      <c r="LA382">
        <v>735</v>
      </c>
      <c r="LB382">
        <v>6855430</v>
      </c>
      <c r="LC382">
        <v>147</v>
      </c>
      <c r="LE382" s="24"/>
      <c r="LF382">
        <v>185460</v>
      </c>
      <c r="LG382">
        <v>185469</v>
      </c>
      <c r="LH382">
        <v>185460</v>
      </c>
      <c r="LI382">
        <v>96349</v>
      </c>
      <c r="LJ382">
        <v>809</v>
      </c>
      <c r="LL382" s="24"/>
      <c r="LM382">
        <v>61240</v>
      </c>
      <c r="LN382">
        <v>63179</v>
      </c>
      <c r="LO382">
        <v>61241</v>
      </c>
      <c r="LP382">
        <v>423449</v>
      </c>
      <c r="LQ382">
        <v>1163</v>
      </c>
      <c r="LS382" s="24"/>
      <c r="LT382">
        <v>451</v>
      </c>
      <c r="LU382">
        <v>476</v>
      </c>
      <c r="LV382">
        <v>465</v>
      </c>
      <c r="LW382">
        <v>128718895</v>
      </c>
      <c r="LX382">
        <v>382</v>
      </c>
      <c r="LZ382" s="24"/>
      <c r="MA382">
        <v>99949</v>
      </c>
      <c r="MB382">
        <v>100975</v>
      </c>
      <c r="MC382">
        <v>99949</v>
      </c>
      <c r="MD382">
        <v>937481</v>
      </c>
      <c r="ME382">
        <v>64</v>
      </c>
    </row>
    <row r="383" spans="2:343" x14ac:dyDescent="0.25">
      <c r="B383" s="24"/>
      <c r="C383">
        <v>3</v>
      </c>
      <c r="D383">
        <v>3</v>
      </c>
      <c r="E383">
        <v>3</v>
      </c>
      <c r="F383">
        <v>39309973456</v>
      </c>
      <c r="G383">
        <v>2753</v>
      </c>
      <c r="I383" s="24"/>
      <c r="J383">
        <v>5</v>
      </c>
      <c r="K383">
        <v>5</v>
      </c>
      <c r="L383">
        <v>5</v>
      </c>
      <c r="M383">
        <v>7406486180</v>
      </c>
      <c r="N383">
        <v>2000</v>
      </c>
      <c r="P383" s="24"/>
      <c r="Q383">
        <v>46</v>
      </c>
      <c r="R383">
        <v>47</v>
      </c>
      <c r="S383">
        <v>46</v>
      </c>
      <c r="T383">
        <v>2433529347</v>
      </c>
      <c r="U383">
        <v>2121</v>
      </c>
      <c r="W383" s="24"/>
      <c r="X383">
        <v>61</v>
      </c>
      <c r="Y383">
        <v>62</v>
      </c>
      <c r="Z383">
        <v>62</v>
      </c>
      <c r="AA383">
        <v>547363998</v>
      </c>
      <c r="AB383">
        <v>1435</v>
      </c>
      <c r="AD383" s="24"/>
      <c r="AE383">
        <v>460</v>
      </c>
      <c r="AF383">
        <v>472</v>
      </c>
      <c r="AG383">
        <v>469</v>
      </c>
      <c r="AH383">
        <v>111899768</v>
      </c>
      <c r="AI383">
        <v>1580</v>
      </c>
      <c r="AK383" s="24"/>
      <c r="AL383">
        <v>752</v>
      </c>
      <c r="AM383">
        <v>764</v>
      </c>
      <c r="AN383">
        <v>764</v>
      </c>
      <c r="AO383">
        <v>43567557</v>
      </c>
      <c r="AP383">
        <v>1286</v>
      </c>
      <c r="AR383" s="24"/>
      <c r="AS383">
        <v>2813</v>
      </c>
      <c r="AT383">
        <v>2863</v>
      </c>
      <c r="AU383">
        <v>2855</v>
      </c>
      <c r="AV383">
        <v>14722250</v>
      </c>
      <c r="AW383">
        <v>1212</v>
      </c>
      <c r="AY383" s="24"/>
      <c r="AZ383">
        <v>439509998</v>
      </c>
      <c r="BA383">
        <v>447899999</v>
      </c>
      <c r="BB383">
        <v>445349997</v>
      </c>
      <c r="BC383">
        <v>2633</v>
      </c>
      <c r="BD383">
        <v>1956</v>
      </c>
      <c r="BF383" s="24"/>
      <c r="BG383">
        <v>25639</v>
      </c>
      <c r="BH383">
        <v>25800</v>
      </c>
      <c r="BI383">
        <v>25642</v>
      </c>
      <c r="BJ383">
        <v>6090760</v>
      </c>
      <c r="BK383">
        <v>449</v>
      </c>
      <c r="BM383" s="24"/>
      <c r="BN383">
        <v>6920007</v>
      </c>
      <c r="BO383">
        <v>7180002</v>
      </c>
      <c r="BP383">
        <v>6950000</v>
      </c>
      <c r="BQ383">
        <v>10509</v>
      </c>
      <c r="BR383">
        <v>389</v>
      </c>
      <c r="BT383" s="24"/>
      <c r="BU383">
        <v>2285</v>
      </c>
      <c r="BV383">
        <v>2300</v>
      </c>
      <c r="BW383">
        <v>2286</v>
      </c>
      <c r="BX383">
        <v>26498960</v>
      </c>
      <c r="BY383">
        <v>245</v>
      </c>
      <c r="CA383" s="24"/>
      <c r="CB383">
        <v>1355</v>
      </c>
      <c r="CC383">
        <v>1459</v>
      </c>
      <c r="CD383">
        <v>1419</v>
      </c>
      <c r="CE383">
        <v>57092047</v>
      </c>
      <c r="CF383">
        <v>338</v>
      </c>
      <c r="CH383" s="24"/>
      <c r="CI383">
        <v>31009</v>
      </c>
      <c r="CJ383">
        <v>31268</v>
      </c>
      <c r="CK383">
        <v>31009</v>
      </c>
      <c r="CL383">
        <v>1521467</v>
      </c>
      <c r="CM383">
        <v>226</v>
      </c>
      <c r="CO383" s="24"/>
      <c r="CP383">
        <v>12576</v>
      </c>
      <c r="CQ383">
        <v>12997</v>
      </c>
      <c r="CR383">
        <v>12700</v>
      </c>
      <c r="CS383">
        <v>2393640</v>
      </c>
      <c r="CT383">
        <v>487</v>
      </c>
      <c r="CV383" s="24"/>
      <c r="CW383">
        <v>1299999</v>
      </c>
      <c r="CX383">
        <v>1309999</v>
      </c>
      <c r="CY383">
        <v>1300000</v>
      </c>
      <c r="CZ383">
        <v>10040</v>
      </c>
      <c r="DA383">
        <v>47</v>
      </c>
      <c r="DC383" s="24"/>
      <c r="DD383">
        <v>469</v>
      </c>
      <c r="DE383">
        <v>475</v>
      </c>
      <c r="DF383">
        <v>473</v>
      </c>
      <c r="DG383">
        <v>69400956</v>
      </c>
      <c r="DH383">
        <v>248</v>
      </c>
      <c r="DJ383" s="24"/>
      <c r="DK383">
        <v>28504003</v>
      </c>
      <c r="DL383">
        <v>28504500</v>
      </c>
      <c r="DM383">
        <v>28504500</v>
      </c>
      <c r="DN383">
        <v>615</v>
      </c>
      <c r="DO383">
        <v>113</v>
      </c>
      <c r="DQ383" s="24"/>
      <c r="DR383">
        <v>1400015</v>
      </c>
      <c r="DS383">
        <v>1579999</v>
      </c>
      <c r="DT383">
        <v>1400110</v>
      </c>
      <c r="DU383">
        <v>6583</v>
      </c>
      <c r="DV383">
        <v>270</v>
      </c>
      <c r="DX383" s="24"/>
      <c r="DY383">
        <v>18512000</v>
      </c>
      <c r="DZ383">
        <v>18523022</v>
      </c>
      <c r="EA383">
        <v>18513011</v>
      </c>
      <c r="EB383">
        <v>687</v>
      </c>
      <c r="EC383">
        <v>119</v>
      </c>
      <c r="EE383" s="24"/>
      <c r="EF383">
        <v>213</v>
      </c>
      <c r="EG383">
        <v>215</v>
      </c>
      <c r="EH383">
        <v>214</v>
      </c>
      <c r="EI383">
        <v>90400229</v>
      </c>
      <c r="EJ383">
        <v>174</v>
      </c>
      <c r="EL383" s="24"/>
      <c r="EM383">
        <v>57125</v>
      </c>
      <c r="EN383">
        <v>64899</v>
      </c>
      <c r="EO383">
        <v>59136</v>
      </c>
      <c r="EP383">
        <v>86976</v>
      </c>
      <c r="EQ383">
        <v>665</v>
      </c>
      <c r="ES383" s="24"/>
      <c r="ET383">
        <v>448</v>
      </c>
      <c r="EU383">
        <v>449</v>
      </c>
      <c r="EV383">
        <v>448</v>
      </c>
      <c r="EW383">
        <v>65356857</v>
      </c>
      <c r="EX383">
        <v>886</v>
      </c>
      <c r="EZ383" s="24"/>
      <c r="FA383">
        <v>3113980</v>
      </c>
      <c r="FB383">
        <v>3113981</v>
      </c>
      <c r="FC383">
        <v>3113981</v>
      </c>
      <c r="FD383">
        <v>1681</v>
      </c>
      <c r="FE383">
        <v>20</v>
      </c>
      <c r="FG383" s="24"/>
      <c r="FH383">
        <v>9856</v>
      </c>
      <c r="FI383">
        <v>10348</v>
      </c>
      <c r="FJ383">
        <v>10206</v>
      </c>
      <c r="FK383">
        <v>2203031</v>
      </c>
      <c r="FL383">
        <v>572</v>
      </c>
      <c r="FN383" s="24"/>
      <c r="FO383">
        <v>31500</v>
      </c>
      <c r="FP383">
        <v>32394</v>
      </c>
      <c r="FQ383">
        <v>32394</v>
      </c>
      <c r="FR383">
        <v>199472</v>
      </c>
      <c r="FS383">
        <v>96</v>
      </c>
      <c r="FU383" s="24"/>
      <c r="FV383">
        <v>14498</v>
      </c>
      <c r="FW383">
        <v>14526</v>
      </c>
      <c r="FX383">
        <v>14500</v>
      </c>
      <c r="FY383">
        <v>526541</v>
      </c>
      <c r="FZ383">
        <v>1232</v>
      </c>
      <c r="GB383" s="24"/>
      <c r="GC383">
        <v>96000005</v>
      </c>
      <c r="GD383">
        <v>103999998</v>
      </c>
      <c r="GE383">
        <v>99367006</v>
      </c>
      <c r="GF383">
        <v>139</v>
      </c>
      <c r="GG383">
        <v>86</v>
      </c>
      <c r="GI383" s="24"/>
      <c r="GJ383">
        <v>21100005</v>
      </c>
      <c r="GK383">
        <v>22641000</v>
      </c>
      <c r="GL383">
        <v>21715511</v>
      </c>
      <c r="GM383">
        <v>374</v>
      </c>
      <c r="GN383">
        <v>64</v>
      </c>
      <c r="GP383" s="24"/>
      <c r="GQ383">
        <v>101</v>
      </c>
      <c r="GR383">
        <v>105</v>
      </c>
      <c r="GS383">
        <v>101</v>
      </c>
      <c r="GT383">
        <v>103851246</v>
      </c>
      <c r="GU383">
        <v>122</v>
      </c>
      <c r="GW383" s="24"/>
      <c r="GX383">
        <v>424</v>
      </c>
      <c r="GY383">
        <v>427</v>
      </c>
      <c r="GZ383">
        <v>425</v>
      </c>
      <c r="HA383">
        <v>78316627</v>
      </c>
      <c r="HB383">
        <v>318</v>
      </c>
      <c r="HD383" s="24"/>
      <c r="HE383">
        <v>5261</v>
      </c>
      <c r="HF383">
        <v>5299</v>
      </c>
      <c r="HG383">
        <v>5298</v>
      </c>
      <c r="HH383">
        <v>25275435</v>
      </c>
      <c r="HI383">
        <v>332</v>
      </c>
      <c r="HK383" s="24"/>
      <c r="HL383">
        <v>95679999</v>
      </c>
      <c r="HM383">
        <v>100992971</v>
      </c>
      <c r="HN383">
        <v>95679999</v>
      </c>
      <c r="HO383">
        <v>137</v>
      </c>
      <c r="HP383">
        <v>85</v>
      </c>
      <c r="HR383" s="24"/>
      <c r="HS383">
        <v>11001</v>
      </c>
      <c r="HT383">
        <v>11800</v>
      </c>
      <c r="HU383">
        <v>11538</v>
      </c>
      <c r="HV383">
        <v>1032438</v>
      </c>
      <c r="HW383">
        <v>199</v>
      </c>
      <c r="HY383" s="24"/>
      <c r="HZ383">
        <v>11454</v>
      </c>
      <c r="IA383">
        <v>11999</v>
      </c>
      <c r="IB383">
        <v>11842</v>
      </c>
      <c r="IC383">
        <v>2900125</v>
      </c>
      <c r="ID383">
        <v>662</v>
      </c>
      <c r="IF383" s="24"/>
      <c r="IG383">
        <v>3356</v>
      </c>
      <c r="IH383">
        <v>3439</v>
      </c>
      <c r="II383">
        <v>3391</v>
      </c>
      <c r="IJ383">
        <v>1774156</v>
      </c>
      <c r="IK383">
        <v>179</v>
      </c>
      <c r="IM383" s="24"/>
      <c r="IN383">
        <v>91164001</v>
      </c>
      <c r="IO383">
        <v>97988898</v>
      </c>
      <c r="IP383">
        <v>94952657</v>
      </c>
      <c r="IQ383">
        <v>81</v>
      </c>
      <c r="IR383">
        <v>57</v>
      </c>
      <c r="IT383" s="24"/>
      <c r="IU383">
        <v>9810</v>
      </c>
      <c r="IV383">
        <v>9997</v>
      </c>
      <c r="IW383">
        <v>9997</v>
      </c>
      <c r="IX383">
        <v>1604152</v>
      </c>
      <c r="IY383">
        <v>177</v>
      </c>
      <c r="JA383" s="24"/>
      <c r="JB383">
        <v>96351000</v>
      </c>
      <c r="JC383">
        <v>102899997</v>
      </c>
      <c r="JD383">
        <v>102489909</v>
      </c>
      <c r="JE383">
        <v>123</v>
      </c>
      <c r="JF383">
        <v>82</v>
      </c>
      <c r="JH383" s="24"/>
      <c r="JI383">
        <v>95000003</v>
      </c>
      <c r="JJ383">
        <v>107449966</v>
      </c>
      <c r="JK383">
        <v>100921975</v>
      </c>
      <c r="JL383">
        <v>81</v>
      </c>
      <c r="JM383">
        <v>67</v>
      </c>
      <c r="JO383" s="24"/>
      <c r="JP383">
        <v>92</v>
      </c>
      <c r="JQ383">
        <v>95</v>
      </c>
      <c r="JR383">
        <v>93</v>
      </c>
      <c r="JS383">
        <v>85155701</v>
      </c>
      <c r="JT383">
        <v>85</v>
      </c>
      <c r="JV383" s="24"/>
      <c r="JW383">
        <v>93</v>
      </c>
      <c r="JX383">
        <v>95</v>
      </c>
      <c r="JY383">
        <v>93</v>
      </c>
      <c r="JZ383">
        <v>182695377</v>
      </c>
      <c r="KA383">
        <v>145</v>
      </c>
      <c r="KC383" s="24"/>
      <c r="KD383">
        <v>157</v>
      </c>
      <c r="KE383">
        <v>166</v>
      </c>
      <c r="KF383">
        <v>166</v>
      </c>
      <c r="KG383">
        <v>65787890</v>
      </c>
      <c r="KH383">
        <v>441</v>
      </c>
      <c r="KJ383" s="24"/>
      <c r="KK383">
        <v>107</v>
      </c>
      <c r="KL383">
        <v>115</v>
      </c>
      <c r="KM383">
        <v>110</v>
      </c>
      <c r="KN383">
        <v>194489233</v>
      </c>
      <c r="KO383">
        <v>172</v>
      </c>
      <c r="KQ383" s="24"/>
      <c r="KR383">
        <v>123010</v>
      </c>
      <c r="KS383">
        <v>123010</v>
      </c>
      <c r="KT383">
        <v>123010</v>
      </c>
      <c r="KU383">
        <v>53314</v>
      </c>
      <c r="KV383">
        <v>599</v>
      </c>
      <c r="KX383" s="24"/>
      <c r="KY383">
        <v>715</v>
      </c>
      <c r="KZ383">
        <v>732</v>
      </c>
      <c r="LA383">
        <v>731</v>
      </c>
      <c r="LB383">
        <v>6570943</v>
      </c>
      <c r="LC383">
        <v>179</v>
      </c>
      <c r="LE383" s="24"/>
      <c r="LF383">
        <v>185480</v>
      </c>
      <c r="LG383">
        <v>185485</v>
      </c>
      <c r="LH383">
        <v>185485</v>
      </c>
      <c r="LI383">
        <v>94838</v>
      </c>
      <c r="LJ383">
        <v>908</v>
      </c>
      <c r="LL383" s="24"/>
      <c r="LM383">
        <v>61244</v>
      </c>
      <c r="LN383">
        <v>61250</v>
      </c>
      <c r="LO383">
        <v>61246</v>
      </c>
      <c r="LP383">
        <v>338876</v>
      </c>
      <c r="LQ383">
        <v>1243</v>
      </c>
      <c r="LS383" s="24"/>
      <c r="LT383">
        <v>466</v>
      </c>
      <c r="LU383">
        <v>471</v>
      </c>
      <c r="LV383">
        <v>468</v>
      </c>
      <c r="LW383">
        <v>129823880</v>
      </c>
      <c r="LX383">
        <v>487</v>
      </c>
      <c r="LZ383" s="24"/>
      <c r="MA383">
        <v>100975</v>
      </c>
      <c r="MB383">
        <v>100977</v>
      </c>
      <c r="MC383">
        <v>100977</v>
      </c>
      <c r="MD383">
        <v>1206917</v>
      </c>
      <c r="ME383">
        <v>72</v>
      </c>
    </row>
    <row r="384" spans="2:343" x14ac:dyDescent="0.25">
      <c r="B384" s="24"/>
      <c r="C384">
        <v>3</v>
      </c>
      <c r="D384">
        <v>3</v>
      </c>
      <c r="E384">
        <v>3</v>
      </c>
      <c r="F384">
        <v>36551378492</v>
      </c>
      <c r="G384">
        <v>3192</v>
      </c>
      <c r="I384" s="24"/>
      <c r="J384">
        <v>5</v>
      </c>
      <c r="K384">
        <v>5</v>
      </c>
      <c r="L384">
        <v>5</v>
      </c>
      <c r="M384">
        <v>8007562241</v>
      </c>
      <c r="N384">
        <v>2383</v>
      </c>
      <c r="P384" s="24"/>
      <c r="Q384">
        <v>47</v>
      </c>
      <c r="R384">
        <v>50</v>
      </c>
      <c r="S384">
        <v>49</v>
      </c>
      <c r="T384">
        <v>2557947598</v>
      </c>
      <c r="U384">
        <v>2606</v>
      </c>
      <c r="W384" s="24"/>
      <c r="X384">
        <v>62</v>
      </c>
      <c r="Y384">
        <v>62</v>
      </c>
      <c r="Z384">
        <v>62</v>
      </c>
      <c r="AA384">
        <v>550836808</v>
      </c>
      <c r="AB384">
        <v>1671</v>
      </c>
      <c r="AD384" s="24"/>
      <c r="AE384">
        <v>470</v>
      </c>
      <c r="AF384">
        <v>474</v>
      </c>
      <c r="AG384">
        <v>474</v>
      </c>
      <c r="AH384">
        <v>119182883</v>
      </c>
      <c r="AI384">
        <v>1892</v>
      </c>
      <c r="AK384" s="24"/>
      <c r="AL384">
        <v>752</v>
      </c>
      <c r="AM384">
        <v>766</v>
      </c>
      <c r="AN384">
        <v>765</v>
      </c>
      <c r="AO384">
        <v>69796451</v>
      </c>
      <c r="AP384">
        <v>1485</v>
      </c>
      <c r="AR384" s="24"/>
      <c r="AS384">
        <v>2832</v>
      </c>
      <c r="AT384">
        <v>2910</v>
      </c>
      <c r="AU384">
        <v>2869</v>
      </c>
      <c r="AV384">
        <v>22148835</v>
      </c>
      <c r="AW384">
        <v>1496</v>
      </c>
      <c r="AY384" s="24"/>
      <c r="AZ384">
        <v>441585003</v>
      </c>
      <c r="BA384">
        <v>449000000</v>
      </c>
      <c r="BB384">
        <v>446299998</v>
      </c>
      <c r="BC384">
        <v>2924</v>
      </c>
      <c r="BD384">
        <v>2028</v>
      </c>
      <c r="BF384" s="24"/>
      <c r="BG384">
        <v>25643</v>
      </c>
      <c r="BH384">
        <v>25750</v>
      </c>
      <c r="BI384">
        <v>25644</v>
      </c>
      <c r="BJ384">
        <v>3299464</v>
      </c>
      <c r="BK384">
        <v>297</v>
      </c>
      <c r="BM384" s="24"/>
      <c r="BN384">
        <v>6910005</v>
      </c>
      <c r="BO384">
        <v>6951000</v>
      </c>
      <c r="BP384">
        <v>6920001</v>
      </c>
      <c r="BQ384">
        <v>13640</v>
      </c>
      <c r="BR384">
        <v>410</v>
      </c>
      <c r="BT384" s="24"/>
      <c r="BU384">
        <v>2355</v>
      </c>
      <c r="BV384">
        <v>2471</v>
      </c>
      <c r="BW384">
        <v>2363</v>
      </c>
      <c r="BX384">
        <v>30311705</v>
      </c>
      <c r="BY384">
        <v>233</v>
      </c>
      <c r="CA384" s="24"/>
      <c r="CB384">
        <v>1356</v>
      </c>
      <c r="CC384">
        <v>1407</v>
      </c>
      <c r="CD384">
        <v>1398</v>
      </c>
      <c r="CE384">
        <v>47157063</v>
      </c>
      <c r="CF384">
        <v>279</v>
      </c>
      <c r="CH384" s="24"/>
      <c r="CI384">
        <v>31311</v>
      </c>
      <c r="CJ384">
        <v>31910</v>
      </c>
      <c r="CK384">
        <v>31710</v>
      </c>
      <c r="CL384">
        <v>1342072</v>
      </c>
      <c r="CM384">
        <v>230</v>
      </c>
      <c r="CO384" s="24"/>
      <c r="CP384">
        <v>12400</v>
      </c>
      <c r="CQ384">
        <v>12985</v>
      </c>
      <c r="CR384">
        <v>12983</v>
      </c>
      <c r="CS384">
        <v>1692377</v>
      </c>
      <c r="CT384">
        <v>512</v>
      </c>
      <c r="CV384" s="24"/>
      <c r="CW384">
        <v>1309964</v>
      </c>
      <c r="CX384">
        <v>1309964</v>
      </c>
      <c r="CY384">
        <v>1309964</v>
      </c>
      <c r="CZ384">
        <v>15265</v>
      </c>
      <c r="DA384">
        <v>57</v>
      </c>
      <c r="DC384" s="24"/>
      <c r="DD384">
        <v>462</v>
      </c>
      <c r="DE384">
        <v>478</v>
      </c>
      <c r="DF384">
        <v>476</v>
      </c>
      <c r="DG384">
        <v>53164210</v>
      </c>
      <c r="DH384">
        <v>255</v>
      </c>
      <c r="DJ384" s="24"/>
      <c r="DK384">
        <v>28504003</v>
      </c>
      <c r="DL384">
        <v>28504014</v>
      </c>
      <c r="DM384">
        <v>28504004</v>
      </c>
      <c r="DN384">
        <v>822</v>
      </c>
      <c r="DO384">
        <v>133</v>
      </c>
      <c r="DQ384" s="24"/>
      <c r="DR384">
        <v>1409006</v>
      </c>
      <c r="DS384">
        <v>1686999</v>
      </c>
      <c r="DT384">
        <v>1598498</v>
      </c>
      <c r="DU384">
        <v>7622</v>
      </c>
      <c r="DV384">
        <v>318</v>
      </c>
      <c r="DX384" s="24"/>
      <c r="DY384">
        <v>18514002</v>
      </c>
      <c r="DZ384">
        <v>18999990</v>
      </c>
      <c r="EA384">
        <v>18514003</v>
      </c>
      <c r="EB384">
        <v>1149</v>
      </c>
      <c r="EC384">
        <v>182</v>
      </c>
      <c r="EE384" s="24"/>
      <c r="EF384">
        <v>214</v>
      </c>
      <c r="EG384">
        <v>217</v>
      </c>
      <c r="EH384">
        <v>217</v>
      </c>
      <c r="EI384">
        <v>96879178</v>
      </c>
      <c r="EJ384">
        <v>190</v>
      </c>
      <c r="EL384" s="24"/>
      <c r="EM384">
        <v>59523</v>
      </c>
      <c r="EN384">
        <v>64894</v>
      </c>
      <c r="EO384">
        <v>62000</v>
      </c>
      <c r="EP384">
        <v>158346</v>
      </c>
      <c r="EQ384">
        <v>828</v>
      </c>
      <c r="ES384" s="24"/>
      <c r="ET384">
        <v>500</v>
      </c>
      <c r="EU384">
        <v>522</v>
      </c>
      <c r="EV384">
        <v>507</v>
      </c>
      <c r="EW384">
        <v>81524197</v>
      </c>
      <c r="EX384">
        <v>955</v>
      </c>
      <c r="EZ384" s="24"/>
      <c r="FA384">
        <v>3112766</v>
      </c>
      <c r="FB384">
        <v>3112767</v>
      </c>
      <c r="FC384">
        <v>3112767</v>
      </c>
      <c r="FD384">
        <v>889</v>
      </c>
      <c r="FE384">
        <v>18</v>
      </c>
      <c r="FG384" s="24"/>
      <c r="FH384">
        <v>9859</v>
      </c>
      <c r="FI384">
        <v>10299</v>
      </c>
      <c r="FJ384">
        <v>10108</v>
      </c>
      <c r="FK384">
        <v>2130827</v>
      </c>
      <c r="FL384">
        <v>600</v>
      </c>
      <c r="FN384" s="24"/>
      <c r="FO384">
        <v>30700</v>
      </c>
      <c r="FP384">
        <v>32393</v>
      </c>
      <c r="FQ384">
        <v>32393</v>
      </c>
      <c r="FR384">
        <v>366383</v>
      </c>
      <c r="FS384">
        <v>96</v>
      </c>
      <c r="FU384" s="24"/>
      <c r="FV384">
        <v>14541</v>
      </c>
      <c r="FW384">
        <v>14650</v>
      </c>
      <c r="FX384">
        <v>14584</v>
      </c>
      <c r="FY384">
        <v>483676</v>
      </c>
      <c r="FZ384">
        <v>1423</v>
      </c>
      <c r="GB384" s="24"/>
      <c r="GC384">
        <v>96000114</v>
      </c>
      <c r="GD384">
        <v>105439758</v>
      </c>
      <c r="GE384">
        <v>100266156</v>
      </c>
      <c r="GF384">
        <v>87</v>
      </c>
      <c r="GG384">
        <v>75</v>
      </c>
      <c r="GI384" s="24"/>
      <c r="GJ384">
        <v>22701021</v>
      </c>
      <c r="GK384">
        <v>24198999</v>
      </c>
      <c r="GL384">
        <v>23200001</v>
      </c>
      <c r="GM384">
        <v>645</v>
      </c>
      <c r="GN384">
        <v>74</v>
      </c>
      <c r="GP384" s="24"/>
      <c r="GQ384">
        <v>101</v>
      </c>
      <c r="GR384">
        <v>105</v>
      </c>
      <c r="GS384">
        <v>104</v>
      </c>
      <c r="GT384">
        <v>134068857</v>
      </c>
      <c r="GU384">
        <v>154</v>
      </c>
      <c r="GW384" s="24"/>
      <c r="GX384">
        <v>413</v>
      </c>
      <c r="GY384">
        <v>426</v>
      </c>
      <c r="GZ384">
        <v>425</v>
      </c>
      <c r="HA384">
        <v>91662446</v>
      </c>
      <c r="HB384">
        <v>310</v>
      </c>
      <c r="HD384" s="24"/>
      <c r="HE384">
        <v>5357</v>
      </c>
      <c r="HF384">
        <v>5398</v>
      </c>
      <c r="HG384">
        <v>5357</v>
      </c>
      <c r="HH384">
        <v>21363930</v>
      </c>
      <c r="HI384">
        <v>360</v>
      </c>
      <c r="HK384" s="24"/>
      <c r="HL384">
        <v>95677011</v>
      </c>
      <c r="HM384">
        <v>104158687</v>
      </c>
      <c r="HN384">
        <v>101325711</v>
      </c>
      <c r="HO384">
        <v>80</v>
      </c>
      <c r="HP384">
        <v>72</v>
      </c>
      <c r="HR384" s="24"/>
      <c r="HS384">
        <v>11000</v>
      </c>
      <c r="HT384">
        <v>11498</v>
      </c>
      <c r="HU384">
        <v>11002</v>
      </c>
      <c r="HV384">
        <v>1271561</v>
      </c>
      <c r="HW384">
        <v>167</v>
      </c>
      <c r="HY384" s="24"/>
      <c r="HZ384">
        <v>11802</v>
      </c>
      <c r="IA384">
        <v>12195</v>
      </c>
      <c r="IB384">
        <v>12097</v>
      </c>
      <c r="IC384">
        <v>3318446</v>
      </c>
      <c r="ID384">
        <v>683</v>
      </c>
      <c r="IF384" s="24"/>
      <c r="IG384">
        <v>3303</v>
      </c>
      <c r="IH384">
        <v>3348</v>
      </c>
      <c r="II384">
        <v>3348</v>
      </c>
      <c r="IJ384">
        <v>2171227</v>
      </c>
      <c r="IK384">
        <v>177</v>
      </c>
      <c r="IM384" s="24"/>
      <c r="IN384">
        <v>91165002</v>
      </c>
      <c r="IO384">
        <v>97964999</v>
      </c>
      <c r="IP384">
        <v>96465871</v>
      </c>
      <c r="IQ384">
        <v>75</v>
      </c>
      <c r="IR384">
        <v>69</v>
      </c>
      <c r="IT384" s="24"/>
      <c r="IU384">
        <v>9852</v>
      </c>
      <c r="IV384">
        <v>9997</v>
      </c>
      <c r="IW384">
        <v>9997</v>
      </c>
      <c r="IX384">
        <v>1204537</v>
      </c>
      <c r="IY384">
        <v>170</v>
      </c>
      <c r="JA384" s="24"/>
      <c r="JB384">
        <v>96387278</v>
      </c>
      <c r="JC384">
        <v>102469999</v>
      </c>
      <c r="JD384">
        <v>101000000</v>
      </c>
      <c r="JE384">
        <v>109</v>
      </c>
      <c r="JF384">
        <v>84</v>
      </c>
      <c r="JH384" s="24"/>
      <c r="JI384">
        <v>95000002</v>
      </c>
      <c r="JJ384">
        <v>107059729</v>
      </c>
      <c r="JK384">
        <v>99527074</v>
      </c>
      <c r="JL384">
        <v>94</v>
      </c>
      <c r="JM384">
        <v>72</v>
      </c>
      <c r="JO384" s="24"/>
      <c r="JP384">
        <v>91</v>
      </c>
      <c r="JQ384">
        <v>94</v>
      </c>
      <c r="JR384">
        <v>92</v>
      </c>
      <c r="JS384">
        <v>97716009</v>
      </c>
      <c r="JT384">
        <v>86</v>
      </c>
      <c r="JV384" s="24"/>
      <c r="JW384">
        <v>92</v>
      </c>
      <c r="JX384">
        <v>95</v>
      </c>
      <c r="JY384">
        <v>94</v>
      </c>
      <c r="JZ384">
        <v>181014911</v>
      </c>
      <c r="KA384">
        <v>155</v>
      </c>
      <c r="KC384" s="24"/>
      <c r="KD384">
        <v>154</v>
      </c>
      <c r="KE384">
        <v>165</v>
      </c>
      <c r="KF384">
        <v>158</v>
      </c>
      <c r="KG384">
        <v>100037632</v>
      </c>
      <c r="KH384">
        <v>487</v>
      </c>
      <c r="KJ384" s="24"/>
      <c r="KK384">
        <v>113</v>
      </c>
      <c r="KL384">
        <v>122</v>
      </c>
      <c r="KM384">
        <v>121</v>
      </c>
      <c r="KN384">
        <v>104223119</v>
      </c>
      <c r="KO384">
        <v>160</v>
      </c>
      <c r="KQ384" s="24"/>
      <c r="KR384">
        <v>123501</v>
      </c>
      <c r="KS384">
        <v>124000</v>
      </c>
      <c r="KT384">
        <v>123609</v>
      </c>
      <c r="KU384">
        <v>70015</v>
      </c>
      <c r="KV384">
        <v>714</v>
      </c>
      <c r="KX384" s="24"/>
      <c r="KY384">
        <v>726</v>
      </c>
      <c r="KZ384">
        <v>731</v>
      </c>
      <c r="LA384">
        <v>731</v>
      </c>
      <c r="LB384">
        <v>7357440</v>
      </c>
      <c r="LC384">
        <v>197</v>
      </c>
      <c r="LE384" s="24"/>
      <c r="LF384">
        <v>185483</v>
      </c>
      <c r="LG384">
        <v>185491</v>
      </c>
      <c r="LH384">
        <v>185484</v>
      </c>
      <c r="LI384">
        <v>142835</v>
      </c>
      <c r="LJ384">
        <v>1094</v>
      </c>
      <c r="LL384" s="24"/>
      <c r="LM384">
        <v>61267</v>
      </c>
      <c r="LN384">
        <v>61405</v>
      </c>
      <c r="LO384">
        <v>61293</v>
      </c>
      <c r="LP384">
        <v>512049</v>
      </c>
      <c r="LQ384">
        <v>1450</v>
      </c>
      <c r="LS384" s="24"/>
      <c r="LT384">
        <v>478</v>
      </c>
      <c r="LU384">
        <v>479</v>
      </c>
      <c r="LV384">
        <v>479</v>
      </c>
      <c r="LW384">
        <v>120685095</v>
      </c>
      <c r="LX384">
        <v>509</v>
      </c>
      <c r="LZ384" s="24"/>
      <c r="MA384">
        <v>101000</v>
      </c>
      <c r="MB384">
        <v>109000</v>
      </c>
      <c r="MC384">
        <v>104000</v>
      </c>
      <c r="MD384">
        <v>964346</v>
      </c>
      <c r="ME384">
        <v>60</v>
      </c>
    </row>
    <row r="385" spans="2:343" x14ac:dyDescent="0.25">
      <c r="B385" s="24"/>
      <c r="C385">
        <v>3</v>
      </c>
      <c r="D385">
        <v>3</v>
      </c>
      <c r="E385">
        <v>3</v>
      </c>
      <c r="F385">
        <v>24344264085</v>
      </c>
      <c r="G385">
        <v>2390</v>
      </c>
      <c r="I385" s="24"/>
      <c r="J385">
        <v>5</v>
      </c>
      <c r="K385">
        <v>5</v>
      </c>
      <c r="L385">
        <v>5</v>
      </c>
      <c r="M385">
        <v>4895489029</v>
      </c>
      <c r="N385">
        <v>1764</v>
      </c>
      <c r="P385" s="24"/>
      <c r="Q385">
        <v>49</v>
      </c>
      <c r="R385">
        <v>50</v>
      </c>
      <c r="S385">
        <v>49</v>
      </c>
      <c r="T385">
        <v>1620290130</v>
      </c>
      <c r="U385">
        <v>1881</v>
      </c>
      <c r="W385" s="24"/>
      <c r="X385">
        <v>62</v>
      </c>
      <c r="Y385">
        <v>63</v>
      </c>
      <c r="Z385">
        <v>62</v>
      </c>
      <c r="AA385">
        <v>352869982</v>
      </c>
      <c r="AB385">
        <v>1361</v>
      </c>
      <c r="AD385" s="24"/>
      <c r="AE385">
        <v>464</v>
      </c>
      <c r="AF385">
        <v>475</v>
      </c>
      <c r="AG385">
        <v>475</v>
      </c>
      <c r="AH385">
        <v>95995064</v>
      </c>
      <c r="AI385">
        <v>1397</v>
      </c>
      <c r="AK385" s="24"/>
      <c r="AL385">
        <v>720</v>
      </c>
      <c r="AM385">
        <v>750</v>
      </c>
      <c r="AN385">
        <v>732</v>
      </c>
      <c r="AO385">
        <v>52516942</v>
      </c>
      <c r="AP385">
        <v>1270</v>
      </c>
      <c r="AR385" s="24"/>
      <c r="AS385">
        <v>2820</v>
      </c>
      <c r="AT385">
        <v>2899</v>
      </c>
      <c r="AU385">
        <v>2831</v>
      </c>
      <c r="AV385">
        <v>18355898</v>
      </c>
      <c r="AW385">
        <v>1222</v>
      </c>
      <c r="AY385" s="24"/>
      <c r="AZ385">
        <v>446001061</v>
      </c>
      <c r="BA385">
        <v>453800000</v>
      </c>
      <c r="BB385">
        <v>451775000</v>
      </c>
      <c r="BC385">
        <v>2511</v>
      </c>
      <c r="BD385">
        <v>1743</v>
      </c>
      <c r="BF385" s="24"/>
      <c r="BG385">
        <v>25754</v>
      </c>
      <c r="BH385">
        <v>27490</v>
      </c>
      <c r="BI385">
        <v>26270</v>
      </c>
      <c r="BJ385">
        <v>2455279</v>
      </c>
      <c r="BK385">
        <v>229</v>
      </c>
      <c r="BM385" s="24"/>
      <c r="BN385">
        <v>7050002</v>
      </c>
      <c r="BO385">
        <v>7198998</v>
      </c>
      <c r="BP385">
        <v>7100000</v>
      </c>
      <c r="BQ385">
        <v>11077</v>
      </c>
      <c r="BR385">
        <v>345</v>
      </c>
      <c r="BT385" s="24"/>
      <c r="BU385">
        <v>2381</v>
      </c>
      <c r="BV385">
        <v>2471</v>
      </c>
      <c r="BW385">
        <v>2465</v>
      </c>
      <c r="BX385">
        <v>21425791</v>
      </c>
      <c r="BY385">
        <v>240</v>
      </c>
      <c r="CA385" s="24"/>
      <c r="CB385">
        <v>1299</v>
      </c>
      <c r="CC385">
        <v>1384</v>
      </c>
      <c r="CD385">
        <v>1323</v>
      </c>
      <c r="CE385">
        <v>45770720</v>
      </c>
      <c r="CF385">
        <v>437</v>
      </c>
      <c r="CH385" s="24"/>
      <c r="CI385">
        <v>32210</v>
      </c>
      <c r="CJ385">
        <v>32800</v>
      </c>
      <c r="CK385">
        <v>32500</v>
      </c>
      <c r="CL385">
        <v>795064</v>
      </c>
      <c r="CM385">
        <v>171</v>
      </c>
      <c r="CO385" s="24"/>
      <c r="CP385">
        <v>12500</v>
      </c>
      <c r="CQ385">
        <v>12960</v>
      </c>
      <c r="CR385">
        <v>12800</v>
      </c>
      <c r="CS385">
        <v>1146541</v>
      </c>
      <c r="CT385">
        <v>371</v>
      </c>
      <c r="CV385" s="24"/>
      <c r="CW385">
        <v>1210006</v>
      </c>
      <c r="CX385">
        <v>1249998</v>
      </c>
      <c r="CY385">
        <v>1210007</v>
      </c>
      <c r="CZ385">
        <v>5642</v>
      </c>
      <c r="DA385">
        <v>22</v>
      </c>
      <c r="DC385" s="24"/>
      <c r="DD385">
        <v>460</v>
      </c>
      <c r="DE385">
        <v>478</v>
      </c>
      <c r="DF385">
        <v>477</v>
      </c>
      <c r="DG385">
        <v>52811843</v>
      </c>
      <c r="DH385">
        <v>228</v>
      </c>
      <c r="DJ385" s="24"/>
      <c r="DK385">
        <v>26760563</v>
      </c>
      <c r="DL385">
        <v>28504004</v>
      </c>
      <c r="DM385">
        <v>28202014</v>
      </c>
      <c r="DN385">
        <v>511</v>
      </c>
      <c r="DO385">
        <v>90</v>
      </c>
      <c r="DQ385" s="24"/>
      <c r="DR385">
        <v>1600000</v>
      </c>
      <c r="DS385">
        <v>1748999</v>
      </c>
      <c r="DT385">
        <v>1650000</v>
      </c>
      <c r="DU385">
        <v>5711</v>
      </c>
      <c r="DV385">
        <v>245</v>
      </c>
      <c r="DX385" s="24"/>
      <c r="DY385">
        <v>17912000</v>
      </c>
      <c r="DZ385">
        <v>19112000</v>
      </c>
      <c r="EA385">
        <v>18500000</v>
      </c>
      <c r="EB385">
        <v>708</v>
      </c>
      <c r="EC385">
        <v>128</v>
      </c>
      <c r="EE385" s="24"/>
      <c r="EF385">
        <v>211</v>
      </c>
      <c r="EG385">
        <v>217</v>
      </c>
      <c r="EH385">
        <v>212</v>
      </c>
      <c r="EI385">
        <v>77264856</v>
      </c>
      <c r="EJ385">
        <v>142</v>
      </c>
      <c r="EL385" s="24"/>
      <c r="EM385">
        <v>61709</v>
      </c>
      <c r="EN385">
        <v>72998</v>
      </c>
      <c r="EO385">
        <v>72000</v>
      </c>
      <c r="EP385">
        <v>76173</v>
      </c>
      <c r="EQ385">
        <v>589</v>
      </c>
      <c r="ES385" s="24"/>
      <c r="ET385">
        <v>436</v>
      </c>
      <c r="EU385">
        <v>503</v>
      </c>
      <c r="EV385">
        <v>470</v>
      </c>
      <c r="EW385">
        <v>61842236</v>
      </c>
      <c r="EX385">
        <v>831</v>
      </c>
      <c r="EZ385" s="24"/>
      <c r="FA385">
        <v>3112751</v>
      </c>
      <c r="FB385">
        <v>3112754</v>
      </c>
      <c r="FC385">
        <v>3112751</v>
      </c>
      <c r="FD385">
        <v>453</v>
      </c>
      <c r="FE385">
        <v>9</v>
      </c>
      <c r="FG385" s="24"/>
      <c r="FH385">
        <v>9902</v>
      </c>
      <c r="FI385">
        <v>10279</v>
      </c>
      <c r="FJ385">
        <v>9967</v>
      </c>
      <c r="FK385">
        <v>1587873</v>
      </c>
      <c r="FL385">
        <v>445</v>
      </c>
      <c r="FN385" s="24"/>
      <c r="FO385">
        <v>30714</v>
      </c>
      <c r="FP385">
        <v>31499</v>
      </c>
      <c r="FQ385">
        <v>30715</v>
      </c>
      <c r="FR385">
        <v>194136</v>
      </c>
      <c r="FS385">
        <v>65</v>
      </c>
      <c r="FU385" s="24"/>
      <c r="FV385">
        <v>15001</v>
      </c>
      <c r="FW385">
        <v>15749</v>
      </c>
      <c r="FX385">
        <v>15005</v>
      </c>
      <c r="FY385">
        <v>505085</v>
      </c>
      <c r="FZ385">
        <v>1095</v>
      </c>
      <c r="GB385" s="24"/>
      <c r="GC385">
        <v>95000020</v>
      </c>
      <c r="GD385">
        <v>99000116</v>
      </c>
      <c r="GE385">
        <v>96000114</v>
      </c>
      <c r="GF385">
        <v>152</v>
      </c>
      <c r="GG385">
        <v>89</v>
      </c>
      <c r="GI385" s="24"/>
      <c r="GJ385">
        <v>23439998</v>
      </c>
      <c r="GK385">
        <v>24000000</v>
      </c>
      <c r="GL385">
        <v>23500030</v>
      </c>
      <c r="GM385">
        <v>643</v>
      </c>
      <c r="GN385">
        <v>71</v>
      </c>
      <c r="GP385" s="24"/>
      <c r="GQ385">
        <v>100</v>
      </c>
      <c r="GR385">
        <v>104</v>
      </c>
      <c r="GS385">
        <v>100</v>
      </c>
      <c r="GT385">
        <v>121215743</v>
      </c>
      <c r="GU385">
        <v>139</v>
      </c>
      <c r="GW385" s="24"/>
      <c r="GX385">
        <v>425</v>
      </c>
      <c r="GY385">
        <v>442</v>
      </c>
      <c r="GZ385">
        <v>428</v>
      </c>
      <c r="HA385">
        <v>55867819</v>
      </c>
      <c r="HB385">
        <v>258</v>
      </c>
      <c r="HD385" s="24"/>
      <c r="HE385">
        <v>5325</v>
      </c>
      <c r="HF385">
        <v>5499</v>
      </c>
      <c r="HG385">
        <v>5438</v>
      </c>
      <c r="HH385">
        <v>15113107</v>
      </c>
      <c r="HI385">
        <v>180</v>
      </c>
      <c r="HK385" s="24"/>
      <c r="HL385">
        <v>94000000</v>
      </c>
      <c r="HM385">
        <v>97000003</v>
      </c>
      <c r="HN385">
        <v>96539012</v>
      </c>
      <c r="HO385">
        <v>212</v>
      </c>
      <c r="HP385">
        <v>111</v>
      </c>
      <c r="HR385" s="24"/>
      <c r="HS385">
        <v>10600</v>
      </c>
      <c r="HT385">
        <v>11338</v>
      </c>
      <c r="HU385">
        <v>11098</v>
      </c>
      <c r="HV385">
        <v>410304</v>
      </c>
      <c r="HW385">
        <v>74</v>
      </c>
      <c r="HY385" s="24"/>
      <c r="HZ385">
        <v>11802</v>
      </c>
      <c r="IA385">
        <v>12184</v>
      </c>
      <c r="IB385">
        <v>11969</v>
      </c>
      <c r="IC385">
        <v>2223939</v>
      </c>
      <c r="ID385">
        <v>523</v>
      </c>
      <c r="IF385" s="24"/>
      <c r="IG385">
        <v>3348</v>
      </c>
      <c r="IH385">
        <v>3348</v>
      </c>
      <c r="II385">
        <v>3348</v>
      </c>
      <c r="IJ385">
        <v>1408095</v>
      </c>
      <c r="IK385">
        <v>140</v>
      </c>
      <c r="IM385" s="24"/>
      <c r="IN385">
        <v>94850002</v>
      </c>
      <c r="IO385">
        <v>97965000</v>
      </c>
      <c r="IP385">
        <v>95000005</v>
      </c>
      <c r="IQ385">
        <v>134</v>
      </c>
      <c r="IR385">
        <v>88</v>
      </c>
      <c r="IT385" s="24"/>
      <c r="IU385">
        <v>9900</v>
      </c>
      <c r="IV385">
        <v>9999</v>
      </c>
      <c r="IW385">
        <v>9999</v>
      </c>
      <c r="IX385">
        <v>1297427</v>
      </c>
      <c r="IY385">
        <v>122</v>
      </c>
      <c r="JA385" s="24"/>
      <c r="JB385">
        <v>93000003</v>
      </c>
      <c r="JC385">
        <v>102467998</v>
      </c>
      <c r="JD385">
        <v>93005002</v>
      </c>
      <c r="JE385">
        <v>123</v>
      </c>
      <c r="JF385">
        <v>82</v>
      </c>
      <c r="JH385" s="24"/>
      <c r="JI385">
        <v>93052000</v>
      </c>
      <c r="JJ385">
        <v>94006003</v>
      </c>
      <c r="JK385">
        <v>93052003</v>
      </c>
      <c r="JL385">
        <v>128</v>
      </c>
      <c r="JM385">
        <v>69</v>
      </c>
      <c r="JO385" s="24"/>
      <c r="JP385">
        <v>90</v>
      </c>
      <c r="JQ385">
        <v>90</v>
      </c>
      <c r="JR385">
        <v>90</v>
      </c>
      <c r="JS385">
        <v>185166601</v>
      </c>
      <c r="JT385">
        <v>93</v>
      </c>
      <c r="JV385" s="24"/>
      <c r="JW385">
        <v>90</v>
      </c>
      <c r="JX385">
        <v>94</v>
      </c>
      <c r="JY385">
        <v>93</v>
      </c>
      <c r="JZ385">
        <v>60334627</v>
      </c>
      <c r="KA385">
        <v>87</v>
      </c>
      <c r="KC385" s="24"/>
      <c r="KD385">
        <v>155</v>
      </c>
      <c r="KE385">
        <v>161</v>
      </c>
      <c r="KF385">
        <v>159</v>
      </c>
      <c r="KG385">
        <v>48967852</v>
      </c>
      <c r="KH385">
        <v>382</v>
      </c>
      <c r="KJ385" s="24"/>
      <c r="KK385">
        <v>114</v>
      </c>
      <c r="KL385">
        <v>118</v>
      </c>
      <c r="KM385">
        <v>114</v>
      </c>
      <c r="KN385">
        <v>177453841</v>
      </c>
      <c r="KO385">
        <v>126</v>
      </c>
      <c r="KQ385" s="24"/>
      <c r="KR385">
        <v>125000</v>
      </c>
      <c r="KS385">
        <v>125001</v>
      </c>
      <c r="KT385">
        <v>125000</v>
      </c>
      <c r="KU385">
        <v>65834</v>
      </c>
      <c r="KV385">
        <v>531</v>
      </c>
      <c r="KX385" s="24"/>
      <c r="KY385">
        <v>723</v>
      </c>
      <c r="KZ385">
        <v>731</v>
      </c>
      <c r="LA385">
        <v>731</v>
      </c>
      <c r="LB385">
        <v>5460203</v>
      </c>
      <c r="LC385">
        <v>124</v>
      </c>
      <c r="LE385" s="24"/>
      <c r="LF385">
        <v>185512</v>
      </c>
      <c r="LG385">
        <v>189510</v>
      </c>
      <c r="LH385">
        <v>186000</v>
      </c>
      <c r="LI385">
        <v>112660</v>
      </c>
      <c r="LJ385">
        <v>752</v>
      </c>
      <c r="LL385" s="24"/>
      <c r="LM385">
        <v>62005</v>
      </c>
      <c r="LN385">
        <v>63149</v>
      </c>
      <c r="LO385">
        <v>62017</v>
      </c>
      <c r="LP385">
        <v>590280</v>
      </c>
      <c r="LQ385">
        <v>1134</v>
      </c>
      <c r="LS385" s="24"/>
      <c r="LT385">
        <v>478</v>
      </c>
      <c r="LU385">
        <v>494</v>
      </c>
      <c r="LV385">
        <v>479</v>
      </c>
      <c r="LW385">
        <v>95462610</v>
      </c>
      <c r="LX385">
        <v>438</v>
      </c>
      <c r="LZ385" s="24"/>
      <c r="MA385">
        <v>110005</v>
      </c>
      <c r="MB385">
        <v>119998</v>
      </c>
      <c r="MC385">
        <v>110007</v>
      </c>
      <c r="MD385">
        <v>809171</v>
      </c>
      <c r="ME385">
        <v>71</v>
      </c>
    </row>
    <row r="386" spans="2:343" x14ac:dyDescent="0.25">
      <c r="B386" s="24"/>
      <c r="C386">
        <v>3</v>
      </c>
      <c r="D386">
        <v>3</v>
      </c>
      <c r="E386">
        <v>3</v>
      </c>
      <c r="F386">
        <v>31571729982</v>
      </c>
      <c r="G386">
        <v>2630</v>
      </c>
      <c r="I386" s="24"/>
      <c r="J386">
        <v>5</v>
      </c>
      <c r="K386">
        <v>5</v>
      </c>
      <c r="L386">
        <v>5</v>
      </c>
      <c r="M386">
        <v>4987493877</v>
      </c>
      <c r="N386">
        <v>1911</v>
      </c>
      <c r="P386" s="24"/>
      <c r="Q386">
        <v>50</v>
      </c>
      <c r="R386">
        <v>51</v>
      </c>
      <c r="S386">
        <v>50</v>
      </c>
      <c r="T386">
        <v>1521206934</v>
      </c>
      <c r="U386">
        <v>1990</v>
      </c>
      <c r="W386" s="24"/>
      <c r="X386">
        <v>63</v>
      </c>
      <c r="Y386">
        <v>64</v>
      </c>
      <c r="Z386">
        <v>64</v>
      </c>
      <c r="AA386">
        <v>318340089</v>
      </c>
      <c r="AB386">
        <v>1328</v>
      </c>
      <c r="AD386" s="24"/>
      <c r="AE386">
        <v>470</v>
      </c>
      <c r="AF386">
        <v>482</v>
      </c>
      <c r="AG386">
        <v>476</v>
      </c>
      <c r="AH386">
        <v>83343224</v>
      </c>
      <c r="AI386">
        <v>1525</v>
      </c>
      <c r="AK386" s="24"/>
      <c r="AL386">
        <v>749</v>
      </c>
      <c r="AM386">
        <v>759</v>
      </c>
      <c r="AN386">
        <v>752</v>
      </c>
      <c r="AO386">
        <v>41257561</v>
      </c>
      <c r="AP386">
        <v>1261</v>
      </c>
      <c r="AR386" s="24"/>
      <c r="AS386">
        <v>2785</v>
      </c>
      <c r="AT386">
        <v>2868</v>
      </c>
      <c r="AU386">
        <v>2814</v>
      </c>
      <c r="AV386">
        <v>21245248</v>
      </c>
      <c r="AW386">
        <v>1246</v>
      </c>
      <c r="AY386" s="24"/>
      <c r="AZ386">
        <v>451956668</v>
      </c>
      <c r="BA386">
        <v>460999999</v>
      </c>
      <c r="BB386">
        <v>456472000</v>
      </c>
      <c r="BC386">
        <v>2718</v>
      </c>
      <c r="BD386">
        <v>1913</v>
      </c>
      <c r="BF386" s="24"/>
      <c r="BG386">
        <v>26282</v>
      </c>
      <c r="BH386">
        <v>27998</v>
      </c>
      <c r="BI386">
        <v>26286</v>
      </c>
      <c r="BJ386">
        <v>1295886</v>
      </c>
      <c r="BK386">
        <v>336</v>
      </c>
      <c r="BM386" s="24"/>
      <c r="BN386">
        <v>7100020</v>
      </c>
      <c r="BO386">
        <v>7317993</v>
      </c>
      <c r="BP386">
        <v>7100140</v>
      </c>
      <c r="BQ386">
        <v>15925</v>
      </c>
      <c r="BR386">
        <v>367</v>
      </c>
      <c r="BT386" s="24"/>
      <c r="BU386">
        <v>2384</v>
      </c>
      <c r="BV386">
        <v>2548</v>
      </c>
      <c r="BW386">
        <v>2539</v>
      </c>
      <c r="BX386">
        <v>17159002</v>
      </c>
      <c r="BY386">
        <v>223</v>
      </c>
      <c r="CA386" s="24"/>
      <c r="CB386">
        <v>1150</v>
      </c>
      <c r="CC386">
        <v>1202</v>
      </c>
      <c r="CD386">
        <v>1200</v>
      </c>
      <c r="CE386">
        <v>63815603</v>
      </c>
      <c r="CF386">
        <v>371</v>
      </c>
      <c r="CH386" s="24"/>
      <c r="CI386">
        <v>33151</v>
      </c>
      <c r="CJ386">
        <v>33399</v>
      </c>
      <c r="CK386">
        <v>33151</v>
      </c>
      <c r="CL386">
        <v>1058426</v>
      </c>
      <c r="CM386">
        <v>221</v>
      </c>
      <c r="CO386" s="24"/>
      <c r="CP386">
        <v>12450</v>
      </c>
      <c r="CQ386">
        <v>12844</v>
      </c>
      <c r="CR386">
        <v>12507</v>
      </c>
      <c r="CS386">
        <v>1263650</v>
      </c>
      <c r="CT386">
        <v>435</v>
      </c>
      <c r="CV386" s="24"/>
      <c r="CW386">
        <v>1211100</v>
      </c>
      <c r="CX386">
        <v>1390977</v>
      </c>
      <c r="CY386">
        <v>1279999</v>
      </c>
      <c r="CZ386">
        <v>10260</v>
      </c>
      <c r="DA386">
        <v>28</v>
      </c>
      <c r="DC386" s="24"/>
      <c r="DD386">
        <v>472</v>
      </c>
      <c r="DE386">
        <v>478</v>
      </c>
      <c r="DF386">
        <v>478</v>
      </c>
      <c r="DG386">
        <v>45782093</v>
      </c>
      <c r="DH386">
        <v>223</v>
      </c>
      <c r="DJ386" s="24"/>
      <c r="DK386">
        <v>24005014</v>
      </c>
      <c r="DL386">
        <v>25999988</v>
      </c>
      <c r="DM386">
        <v>24006045</v>
      </c>
      <c r="DN386">
        <v>935</v>
      </c>
      <c r="DO386">
        <v>131</v>
      </c>
      <c r="DQ386" s="24"/>
      <c r="DR386">
        <v>1620034</v>
      </c>
      <c r="DS386">
        <v>1797921</v>
      </c>
      <c r="DT386">
        <v>1620046</v>
      </c>
      <c r="DU386">
        <v>6850</v>
      </c>
      <c r="DV386">
        <v>295</v>
      </c>
      <c r="DX386" s="24"/>
      <c r="DY386">
        <v>16600001</v>
      </c>
      <c r="DZ386">
        <v>18574999</v>
      </c>
      <c r="EA386">
        <v>17912001</v>
      </c>
      <c r="EB386">
        <v>910</v>
      </c>
      <c r="EC386">
        <v>124</v>
      </c>
      <c r="EE386" s="24"/>
      <c r="EF386">
        <v>211</v>
      </c>
      <c r="EG386">
        <v>221</v>
      </c>
      <c r="EH386">
        <v>213</v>
      </c>
      <c r="EI386">
        <v>80622423</v>
      </c>
      <c r="EJ386">
        <v>158</v>
      </c>
      <c r="EL386" s="24"/>
      <c r="EM386">
        <v>62000</v>
      </c>
      <c r="EN386">
        <v>72998</v>
      </c>
      <c r="EO386">
        <v>64126</v>
      </c>
      <c r="EP386">
        <v>134635</v>
      </c>
      <c r="EQ386">
        <v>586</v>
      </c>
      <c r="ES386" s="24"/>
      <c r="ET386">
        <v>472</v>
      </c>
      <c r="EU386">
        <v>497</v>
      </c>
      <c r="EV386">
        <v>496</v>
      </c>
      <c r="EW386">
        <v>45142359</v>
      </c>
      <c r="EX386">
        <v>726</v>
      </c>
      <c r="EZ386" s="24"/>
      <c r="FA386">
        <v>3000202</v>
      </c>
      <c r="FB386">
        <v>3000202</v>
      </c>
      <c r="FC386">
        <v>3000202</v>
      </c>
      <c r="FD386">
        <v>2595</v>
      </c>
      <c r="FE386">
        <v>18</v>
      </c>
      <c r="FG386" s="24"/>
      <c r="FH386">
        <v>9878</v>
      </c>
      <c r="FI386">
        <v>10179</v>
      </c>
      <c r="FJ386">
        <v>10174</v>
      </c>
      <c r="FK386">
        <v>1681031</v>
      </c>
      <c r="FL386">
        <v>531</v>
      </c>
      <c r="FN386" s="24"/>
      <c r="FO386">
        <v>31399</v>
      </c>
      <c r="FP386">
        <v>31400</v>
      </c>
      <c r="FQ386">
        <v>31400</v>
      </c>
      <c r="FR386">
        <v>454242</v>
      </c>
      <c r="FS386">
        <v>84</v>
      </c>
      <c r="FU386" s="24"/>
      <c r="FV386">
        <v>15021</v>
      </c>
      <c r="FW386">
        <v>15509</v>
      </c>
      <c r="FX386">
        <v>15035</v>
      </c>
      <c r="FY386">
        <v>484102</v>
      </c>
      <c r="FZ386">
        <v>1084</v>
      </c>
      <c r="GB386" s="24"/>
      <c r="GC386">
        <v>93000002</v>
      </c>
      <c r="GD386">
        <v>101400988</v>
      </c>
      <c r="GE386">
        <v>93327709</v>
      </c>
      <c r="GF386">
        <v>105</v>
      </c>
      <c r="GG386">
        <v>75</v>
      </c>
      <c r="GI386" s="24"/>
      <c r="GJ386">
        <v>22701023</v>
      </c>
      <c r="GK386">
        <v>22711023</v>
      </c>
      <c r="GL386">
        <v>22701023</v>
      </c>
      <c r="GM386">
        <v>515</v>
      </c>
      <c r="GN386">
        <v>86</v>
      </c>
      <c r="GP386" s="24"/>
      <c r="GQ386">
        <v>100</v>
      </c>
      <c r="GR386">
        <v>100</v>
      </c>
      <c r="GS386">
        <v>100</v>
      </c>
      <c r="GT386">
        <v>181882757</v>
      </c>
      <c r="GU386">
        <v>149</v>
      </c>
      <c r="GW386" s="24"/>
      <c r="GX386">
        <v>420</v>
      </c>
      <c r="GY386">
        <v>438</v>
      </c>
      <c r="GZ386">
        <v>437</v>
      </c>
      <c r="HA386">
        <v>64409267</v>
      </c>
      <c r="HB386">
        <v>295</v>
      </c>
      <c r="HD386" s="24"/>
      <c r="HE386">
        <v>5530</v>
      </c>
      <c r="HF386">
        <v>5583</v>
      </c>
      <c r="HG386">
        <v>5538</v>
      </c>
      <c r="HH386">
        <v>19462034</v>
      </c>
      <c r="HI386">
        <v>262</v>
      </c>
      <c r="HK386" s="24"/>
      <c r="HL386">
        <v>93045102</v>
      </c>
      <c r="HM386">
        <v>103987696</v>
      </c>
      <c r="HN386">
        <v>95000000</v>
      </c>
      <c r="HO386">
        <v>106</v>
      </c>
      <c r="HP386">
        <v>71</v>
      </c>
      <c r="HR386" s="24"/>
      <c r="HS386">
        <v>10600</v>
      </c>
      <c r="HT386">
        <v>10966</v>
      </c>
      <c r="HU386">
        <v>10945</v>
      </c>
      <c r="HV386">
        <v>940913</v>
      </c>
      <c r="HW386">
        <v>143</v>
      </c>
      <c r="HY386" s="24"/>
      <c r="HZ386">
        <v>11450</v>
      </c>
      <c r="IA386">
        <v>11899</v>
      </c>
      <c r="IB386">
        <v>11696</v>
      </c>
      <c r="IC386">
        <v>2722640</v>
      </c>
      <c r="ID386">
        <v>586</v>
      </c>
      <c r="IF386" s="24"/>
      <c r="IG386">
        <v>3257</v>
      </c>
      <c r="IH386">
        <v>3439</v>
      </c>
      <c r="II386">
        <v>3348</v>
      </c>
      <c r="IJ386">
        <v>2517701</v>
      </c>
      <c r="IK386">
        <v>154</v>
      </c>
      <c r="IM386" s="24"/>
      <c r="IN386">
        <v>94465000</v>
      </c>
      <c r="IO386">
        <v>94501004</v>
      </c>
      <c r="IP386">
        <v>94500000</v>
      </c>
      <c r="IQ386">
        <v>193</v>
      </c>
      <c r="IR386">
        <v>74</v>
      </c>
      <c r="IT386" s="24"/>
      <c r="IU386">
        <v>9821</v>
      </c>
      <c r="IV386">
        <v>9899</v>
      </c>
      <c r="IW386">
        <v>9821</v>
      </c>
      <c r="IX386">
        <v>1739063</v>
      </c>
      <c r="IY386">
        <v>159</v>
      </c>
      <c r="JA386" s="24"/>
      <c r="JB386">
        <v>93900000</v>
      </c>
      <c r="JC386">
        <v>102453997</v>
      </c>
      <c r="JD386">
        <v>94001001</v>
      </c>
      <c r="JE386">
        <v>109</v>
      </c>
      <c r="JF386">
        <v>71</v>
      </c>
      <c r="JH386" s="24"/>
      <c r="JI386">
        <v>93100000</v>
      </c>
      <c r="JJ386">
        <v>106856050</v>
      </c>
      <c r="JK386">
        <v>99369560</v>
      </c>
      <c r="JL386">
        <v>46</v>
      </c>
      <c r="JM386">
        <v>32</v>
      </c>
      <c r="JO386" s="24"/>
      <c r="JP386">
        <v>86</v>
      </c>
      <c r="JQ386">
        <v>91</v>
      </c>
      <c r="JR386">
        <v>86</v>
      </c>
      <c r="JS386">
        <v>141803153</v>
      </c>
      <c r="JT386">
        <v>98</v>
      </c>
      <c r="JV386" s="24"/>
      <c r="JW386">
        <v>90</v>
      </c>
      <c r="JX386">
        <v>93</v>
      </c>
      <c r="JY386">
        <v>90</v>
      </c>
      <c r="JZ386">
        <v>123169611</v>
      </c>
      <c r="KA386">
        <v>105</v>
      </c>
      <c r="KC386" s="24"/>
      <c r="KD386">
        <v>154</v>
      </c>
      <c r="KE386">
        <v>159</v>
      </c>
      <c r="KF386">
        <v>155</v>
      </c>
      <c r="KG386">
        <v>47109315</v>
      </c>
      <c r="KH386">
        <v>390</v>
      </c>
      <c r="KJ386" s="24"/>
      <c r="KK386">
        <v>112</v>
      </c>
      <c r="KL386">
        <v>121</v>
      </c>
      <c r="KM386">
        <v>115</v>
      </c>
      <c r="KN386">
        <v>116503675</v>
      </c>
      <c r="KO386">
        <v>142</v>
      </c>
      <c r="KQ386" s="24"/>
      <c r="KR386">
        <v>124027</v>
      </c>
      <c r="KS386">
        <v>125000</v>
      </c>
      <c r="KT386">
        <v>125000</v>
      </c>
      <c r="KU386">
        <v>113829</v>
      </c>
      <c r="KV386">
        <v>544</v>
      </c>
      <c r="KX386" s="24"/>
      <c r="KY386">
        <v>718</v>
      </c>
      <c r="KZ386">
        <v>718</v>
      </c>
      <c r="LA386">
        <v>718</v>
      </c>
      <c r="LB386">
        <v>7514956</v>
      </c>
      <c r="LC386">
        <v>164</v>
      </c>
      <c r="LE386" s="24"/>
      <c r="LF386">
        <v>185412</v>
      </c>
      <c r="LG386">
        <v>185513</v>
      </c>
      <c r="LH386">
        <v>185500</v>
      </c>
      <c r="LI386">
        <v>207729</v>
      </c>
      <c r="LJ386">
        <v>800</v>
      </c>
      <c r="LL386" s="24"/>
      <c r="LM386">
        <v>62115</v>
      </c>
      <c r="LN386">
        <v>62999</v>
      </c>
      <c r="LO386">
        <v>62116</v>
      </c>
      <c r="LP386">
        <v>461274</v>
      </c>
      <c r="LQ386">
        <v>1110</v>
      </c>
      <c r="LS386" s="24"/>
      <c r="LT386">
        <v>497</v>
      </c>
      <c r="LU386">
        <v>499</v>
      </c>
      <c r="LV386">
        <v>498</v>
      </c>
      <c r="LW386">
        <v>152677606</v>
      </c>
      <c r="LX386">
        <v>451</v>
      </c>
      <c r="LZ386" s="24"/>
      <c r="MA386">
        <v>103000</v>
      </c>
      <c r="MB386">
        <v>110001</v>
      </c>
      <c r="MC386">
        <v>109999</v>
      </c>
      <c r="MD386">
        <v>1072135</v>
      </c>
      <c r="ME386">
        <v>121</v>
      </c>
    </row>
    <row r="387" spans="2:343" x14ac:dyDescent="0.25">
      <c r="B387" s="24"/>
      <c r="C387">
        <v>3</v>
      </c>
      <c r="D387">
        <v>3</v>
      </c>
      <c r="E387">
        <v>3</v>
      </c>
      <c r="F387">
        <v>25767668782</v>
      </c>
      <c r="G387">
        <v>2673</v>
      </c>
      <c r="I387" s="24"/>
      <c r="J387">
        <v>5</v>
      </c>
      <c r="K387">
        <v>5</v>
      </c>
      <c r="L387">
        <v>5</v>
      </c>
      <c r="M387">
        <v>5770843862</v>
      </c>
      <c r="N387">
        <v>1916</v>
      </c>
      <c r="P387" s="24"/>
      <c r="Q387">
        <v>49</v>
      </c>
      <c r="R387">
        <v>51</v>
      </c>
      <c r="S387">
        <v>50</v>
      </c>
      <c r="T387">
        <v>2168445959</v>
      </c>
      <c r="U387">
        <v>1865</v>
      </c>
      <c r="W387" s="24"/>
      <c r="X387">
        <v>62</v>
      </c>
      <c r="Y387">
        <v>64</v>
      </c>
      <c r="Z387">
        <v>64</v>
      </c>
      <c r="AA387">
        <v>389693512</v>
      </c>
      <c r="AB387">
        <v>1393</v>
      </c>
      <c r="AD387" s="24"/>
      <c r="AE387">
        <v>470</v>
      </c>
      <c r="AF387">
        <v>479</v>
      </c>
      <c r="AG387">
        <v>478</v>
      </c>
      <c r="AH387">
        <v>95718711</v>
      </c>
      <c r="AI387">
        <v>1440</v>
      </c>
      <c r="AK387" s="24"/>
      <c r="AL387">
        <v>733</v>
      </c>
      <c r="AM387">
        <v>745</v>
      </c>
      <c r="AN387">
        <v>740</v>
      </c>
      <c r="AO387">
        <v>41720088</v>
      </c>
      <c r="AP387">
        <v>1191</v>
      </c>
      <c r="AR387" s="24"/>
      <c r="AS387">
        <v>2793</v>
      </c>
      <c r="AT387">
        <v>2858</v>
      </c>
      <c r="AU387">
        <v>2796</v>
      </c>
      <c r="AV387">
        <v>12383250</v>
      </c>
      <c r="AW387">
        <v>1152</v>
      </c>
      <c r="AY387" s="24"/>
      <c r="AZ387">
        <v>453400610</v>
      </c>
      <c r="BA387">
        <v>460499999</v>
      </c>
      <c r="BB387">
        <v>456835003</v>
      </c>
      <c r="BC387">
        <v>2696</v>
      </c>
      <c r="BD387">
        <v>1904</v>
      </c>
      <c r="BF387" s="24"/>
      <c r="BG387">
        <v>26490</v>
      </c>
      <c r="BH387">
        <v>28347</v>
      </c>
      <c r="BI387">
        <v>27507</v>
      </c>
      <c r="BJ387">
        <v>3346736</v>
      </c>
      <c r="BK387">
        <v>279</v>
      </c>
      <c r="BM387" s="24"/>
      <c r="BN387">
        <v>7100001</v>
      </c>
      <c r="BO387">
        <v>7200000</v>
      </c>
      <c r="BP387">
        <v>7100140</v>
      </c>
      <c r="BQ387">
        <v>15932</v>
      </c>
      <c r="BR387">
        <v>326</v>
      </c>
      <c r="BT387" s="24"/>
      <c r="BU387">
        <v>2390</v>
      </c>
      <c r="BV387">
        <v>2522</v>
      </c>
      <c r="BW387">
        <v>2400</v>
      </c>
      <c r="BX387">
        <v>42599818</v>
      </c>
      <c r="BY387">
        <v>307</v>
      </c>
      <c r="CA387" s="24"/>
      <c r="CB387">
        <v>1000</v>
      </c>
      <c r="CC387">
        <v>1168</v>
      </c>
      <c r="CD387">
        <v>1167</v>
      </c>
      <c r="CE387">
        <v>52129124</v>
      </c>
      <c r="CF387">
        <v>321</v>
      </c>
      <c r="CH387" s="24"/>
      <c r="CI387">
        <v>33702</v>
      </c>
      <c r="CJ387">
        <v>33755</v>
      </c>
      <c r="CK387">
        <v>33702</v>
      </c>
      <c r="CL387">
        <v>795483</v>
      </c>
      <c r="CM387">
        <v>172</v>
      </c>
      <c r="CO387" s="24"/>
      <c r="CP387">
        <v>12102</v>
      </c>
      <c r="CQ387">
        <v>12896</v>
      </c>
      <c r="CR387">
        <v>12845</v>
      </c>
      <c r="CS387">
        <v>1298316</v>
      </c>
      <c r="CT387">
        <v>441</v>
      </c>
      <c r="CV387" s="24"/>
      <c r="CW387">
        <v>1344444</v>
      </c>
      <c r="CX387">
        <v>1347022</v>
      </c>
      <c r="CY387">
        <v>1346998</v>
      </c>
      <c r="CZ387">
        <v>8430</v>
      </c>
      <c r="DA387">
        <v>31</v>
      </c>
      <c r="DC387" s="24"/>
      <c r="DD387">
        <v>470</v>
      </c>
      <c r="DE387">
        <v>479</v>
      </c>
      <c r="DF387">
        <v>478</v>
      </c>
      <c r="DG387">
        <v>63564216</v>
      </c>
      <c r="DH387">
        <v>213</v>
      </c>
      <c r="DJ387" s="24"/>
      <c r="DK387">
        <v>24100000</v>
      </c>
      <c r="DL387">
        <v>25502004</v>
      </c>
      <c r="DM387">
        <v>25099989</v>
      </c>
      <c r="DN387">
        <v>822</v>
      </c>
      <c r="DO387">
        <v>118</v>
      </c>
      <c r="DQ387" s="24"/>
      <c r="DR387">
        <v>1652000</v>
      </c>
      <c r="DS387">
        <v>2129899</v>
      </c>
      <c r="DT387">
        <v>1681022</v>
      </c>
      <c r="DU387">
        <v>5376</v>
      </c>
      <c r="DV387">
        <v>229</v>
      </c>
      <c r="DX387" s="24"/>
      <c r="DY387">
        <v>16700011</v>
      </c>
      <c r="DZ387">
        <v>18549999</v>
      </c>
      <c r="EA387">
        <v>18390000</v>
      </c>
      <c r="EB387">
        <v>507</v>
      </c>
      <c r="EC387">
        <v>102</v>
      </c>
      <c r="EE387" s="24"/>
      <c r="EF387">
        <v>212</v>
      </c>
      <c r="EG387">
        <v>217</v>
      </c>
      <c r="EH387">
        <v>215</v>
      </c>
      <c r="EI387">
        <v>78729786</v>
      </c>
      <c r="EJ387">
        <v>148</v>
      </c>
      <c r="EL387" s="24"/>
      <c r="EM387">
        <v>64202</v>
      </c>
      <c r="EN387">
        <v>66100</v>
      </c>
      <c r="EO387">
        <v>64212</v>
      </c>
      <c r="EP387">
        <v>95606</v>
      </c>
      <c r="EQ387">
        <v>597</v>
      </c>
      <c r="ES387" s="24"/>
      <c r="ET387">
        <v>480</v>
      </c>
      <c r="EU387">
        <v>491</v>
      </c>
      <c r="EV387">
        <v>491</v>
      </c>
      <c r="EW387">
        <v>44743388</v>
      </c>
      <c r="EX387">
        <v>778</v>
      </c>
      <c r="EZ387" s="24"/>
      <c r="FA387">
        <v>3000725</v>
      </c>
      <c r="FB387">
        <v>3119725</v>
      </c>
      <c r="FC387">
        <v>3109999</v>
      </c>
      <c r="FD387">
        <v>6657</v>
      </c>
      <c r="FE387">
        <v>55</v>
      </c>
      <c r="FG387" s="24"/>
      <c r="FH387">
        <v>9880</v>
      </c>
      <c r="FI387">
        <v>10291</v>
      </c>
      <c r="FJ387">
        <v>10284</v>
      </c>
      <c r="FK387">
        <v>1847706</v>
      </c>
      <c r="FL387">
        <v>539</v>
      </c>
      <c r="FN387" s="24"/>
      <c r="FO387">
        <v>31399</v>
      </c>
      <c r="FP387">
        <v>31399</v>
      </c>
      <c r="FQ387">
        <v>31399</v>
      </c>
      <c r="FR387">
        <v>167170</v>
      </c>
      <c r="FS387">
        <v>68</v>
      </c>
      <c r="FU387" s="24"/>
      <c r="FV387">
        <v>15043</v>
      </c>
      <c r="FW387">
        <v>15055</v>
      </c>
      <c r="FX387">
        <v>15045</v>
      </c>
      <c r="FY387">
        <v>384548</v>
      </c>
      <c r="FZ387">
        <v>1101</v>
      </c>
      <c r="GB387" s="24"/>
      <c r="GC387">
        <v>93300001</v>
      </c>
      <c r="GD387">
        <v>100296895</v>
      </c>
      <c r="GE387">
        <v>97583553</v>
      </c>
      <c r="GF387">
        <v>73</v>
      </c>
      <c r="GG387">
        <v>56</v>
      </c>
      <c r="GI387" s="24"/>
      <c r="GJ387">
        <v>22701024</v>
      </c>
      <c r="GK387">
        <v>23339993</v>
      </c>
      <c r="GL387">
        <v>23000007</v>
      </c>
      <c r="GM387">
        <v>354</v>
      </c>
      <c r="GN387">
        <v>55</v>
      </c>
      <c r="GP387" s="24"/>
      <c r="GQ387">
        <v>99</v>
      </c>
      <c r="GR387">
        <v>103</v>
      </c>
      <c r="GS387">
        <v>103</v>
      </c>
      <c r="GT387">
        <v>138993630</v>
      </c>
      <c r="GU387">
        <v>148</v>
      </c>
      <c r="GW387" s="24"/>
      <c r="GX387">
        <v>442</v>
      </c>
      <c r="GY387">
        <v>458</v>
      </c>
      <c r="GZ387">
        <v>455</v>
      </c>
      <c r="HA387">
        <v>80298063</v>
      </c>
      <c r="HB387">
        <v>338</v>
      </c>
      <c r="HD387" s="24"/>
      <c r="HE387">
        <v>5588</v>
      </c>
      <c r="HF387">
        <v>5679</v>
      </c>
      <c r="HG387">
        <v>5590</v>
      </c>
      <c r="HH387">
        <v>12632817</v>
      </c>
      <c r="HI387">
        <v>217</v>
      </c>
      <c r="HK387" s="24"/>
      <c r="HL387">
        <v>94031009</v>
      </c>
      <c r="HM387">
        <v>102957993</v>
      </c>
      <c r="HN387">
        <v>98268985</v>
      </c>
      <c r="HO387">
        <v>75</v>
      </c>
      <c r="HP387">
        <v>54</v>
      </c>
      <c r="HR387" s="24"/>
      <c r="HS387">
        <v>10030</v>
      </c>
      <c r="HT387">
        <v>10525</v>
      </c>
      <c r="HU387">
        <v>10030</v>
      </c>
      <c r="HV387">
        <v>647506</v>
      </c>
      <c r="HW387">
        <v>124</v>
      </c>
      <c r="HY387" s="24"/>
      <c r="HZ387">
        <v>11107</v>
      </c>
      <c r="IA387">
        <v>12186</v>
      </c>
      <c r="IB387">
        <v>12180</v>
      </c>
      <c r="IC387">
        <v>2015811</v>
      </c>
      <c r="ID387">
        <v>523</v>
      </c>
      <c r="IF387" s="24"/>
      <c r="IG387">
        <v>3270</v>
      </c>
      <c r="IH387">
        <v>3700</v>
      </c>
      <c r="II387">
        <v>3560</v>
      </c>
      <c r="IJ387">
        <v>3360515</v>
      </c>
      <c r="IK387">
        <v>146</v>
      </c>
      <c r="IM387" s="24"/>
      <c r="IN387">
        <v>94500000</v>
      </c>
      <c r="IO387">
        <v>94501004</v>
      </c>
      <c r="IP387">
        <v>94500000</v>
      </c>
      <c r="IQ387">
        <v>224</v>
      </c>
      <c r="IR387">
        <v>108</v>
      </c>
      <c r="IT387" s="24"/>
      <c r="IU387">
        <v>9098</v>
      </c>
      <c r="IV387">
        <v>9897</v>
      </c>
      <c r="IW387">
        <v>9601</v>
      </c>
      <c r="IX387">
        <v>1585511</v>
      </c>
      <c r="IY387">
        <v>168</v>
      </c>
      <c r="JA387" s="24"/>
      <c r="JB387">
        <v>94000013</v>
      </c>
      <c r="JC387">
        <v>102444980</v>
      </c>
      <c r="JD387">
        <v>97203684</v>
      </c>
      <c r="JE387">
        <v>96</v>
      </c>
      <c r="JF387">
        <v>63</v>
      </c>
      <c r="JH387" s="24"/>
      <c r="JI387">
        <v>93049001</v>
      </c>
      <c r="JJ387">
        <v>104698976</v>
      </c>
      <c r="JK387">
        <v>98504548</v>
      </c>
      <c r="JL387">
        <v>54</v>
      </c>
      <c r="JM387">
        <v>37</v>
      </c>
      <c r="JO387" s="24"/>
      <c r="JP387">
        <v>87</v>
      </c>
      <c r="JQ387">
        <v>91</v>
      </c>
      <c r="JR387">
        <v>89</v>
      </c>
      <c r="JS387">
        <v>89195219</v>
      </c>
      <c r="JT387">
        <v>88</v>
      </c>
      <c r="JV387" s="24"/>
      <c r="JW387">
        <v>91</v>
      </c>
      <c r="JX387">
        <v>93</v>
      </c>
      <c r="JY387">
        <v>92</v>
      </c>
      <c r="JZ387">
        <v>112315442</v>
      </c>
      <c r="KA387">
        <v>120</v>
      </c>
      <c r="KC387" s="24"/>
      <c r="KD387">
        <v>151</v>
      </c>
      <c r="KE387">
        <v>158</v>
      </c>
      <c r="KF387">
        <v>156</v>
      </c>
      <c r="KG387">
        <v>58358195</v>
      </c>
      <c r="KH387">
        <v>402</v>
      </c>
      <c r="KJ387" s="24"/>
      <c r="KK387">
        <v>116</v>
      </c>
      <c r="KL387">
        <v>119</v>
      </c>
      <c r="KM387">
        <v>117</v>
      </c>
      <c r="KN387">
        <v>139551244</v>
      </c>
      <c r="KO387">
        <v>145</v>
      </c>
      <c r="KQ387" s="24"/>
      <c r="KR387">
        <v>120511</v>
      </c>
      <c r="KS387">
        <v>121106</v>
      </c>
      <c r="KT387">
        <v>121105</v>
      </c>
      <c r="KU387">
        <v>46881</v>
      </c>
      <c r="KV387">
        <v>591</v>
      </c>
      <c r="KX387" s="24"/>
      <c r="KY387">
        <v>718</v>
      </c>
      <c r="KZ387">
        <v>724</v>
      </c>
      <c r="LA387">
        <v>722</v>
      </c>
      <c r="LB387">
        <v>6147037</v>
      </c>
      <c r="LC387">
        <v>151</v>
      </c>
      <c r="LE387" s="24"/>
      <c r="LF387">
        <v>177802</v>
      </c>
      <c r="LG387">
        <v>177926</v>
      </c>
      <c r="LH387">
        <v>177910</v>
      </c>
      <c r="LI387">
        <v>108597</v>
      </c>
      <c r="LJ387">
        <v>808</v>
      </c>
      <c r="LL387" s="24"/>
      <c r="LM387">
        <v>63202</v>
      </c>
      <c r="LN387">
        <v>63259</v>
      </c>
      <c r="LO387">
        <v>63205</v>
      </c>
      <c r="LP387">
        <v>389299</v>
      </c>
      <c r="LQ387">
        <v>1190</v>
      </c>
      <c r="LS387" s="24"/>
      <c r="LT387">
        <v>550</v>
      </c>
      <c r="LU387">
        <v>599</v>
      </c>
      <c r="LV387">
        <v>594</v>
      </c>
      <c r="LW387">
        <v>137743728</v>
      </c>
      <c r="LX387">
        <v>490</v>
      </c>
      <c r="LZ387" s="24"/>
      <c r="MA387">
        <v>104997</v>
      </c>
      <c r="MB387">
        <v>106998</v>
      </c>
      <c r="MC387">
        <v>104998</v>
      </c>
      <c r="MD387">
        <v>1243691</v>
      </c>
      <c r="ME387">
        <v>93</v>
      </c>
    </row>
    <row r="388" spans="2:343" x14ac:dyDescent="0.25">
      <c r="B388" s="24"/>
      <c r="C388">
        <v>3</v>
      </c>
      <c r="D388">
        <v>3</v>
      </c>
      <c r="E388">
        <v>3</v>
      </c>
      <c r="F388">
        <v>25220677553</v>
      </c>
      <c r="G388">
        <v>2542</v>
      </c>
      <c r="I388" s="24"/>
      <c r="J388">
        <v>5</v>
      </c>
      <c r="K388">
        <v>5</v>
      </c>
      <c r="L388">
        <v>5</v>
      </c>
      <c r="M388">
        <v>5371340650</v>
      </c>
      <c r="N388">
        <v>1911</v>
      </c>
      <c r="P388" s="24"/>
      <c r="Q388">
        <v>51</v>
      </c>
      <c r="R388">
        <v>53</v>
      </c>
      <c r="S388">
        <v>52</v>
      </c>
      <c r="T388">
        <v>1987426953</v>
      </c>
      <c r="U388">
        <v>1921</v>
      </c>
      <c r="W388" s="24"/>
      <c r="X388">
        <v>62</v>
      </c>
      <c r="Y388">
        <v>63</v>
      </c>
      <c r="Z388">
        <v>63</v>
      </c>
      <c r="AA388">
        <v>324785680</v>
      </c>
      <c r="AB388">
        <v>1395</v>
      </c>
      <c r="AD388" s="24"/>
      <c r="AE388">
        <v>471</v>
      </c>
      <c r="AF388">
        <v>478</v>
      </c>
      <c r="AG388">
        <v>477</v>
      </c>
      <c r="AH388">
        <v>96104050</v>
      </c>
      <c r="AI388">
        <v>1474</v>
      </c>
      <c r="AK388" s="24"/>
      <c r="AL388">
        <v>735</v>
      </c>
      <c r="AM388">
        <v>743</v>
      </c>
      <c r="AN388">
        <v>741</v>
      </c>
      <c r="AO388">
        <v>30464959</v>
      </c>
      <c r="AP388">
        <v>1172</v>
      </c>
      <c r="AR388" s="24"/>
      <c r="AS388">
        <v>2797</v>
      </c>
      <c r="AT388">
        <v>2846</v>
      </c>
      <c r="AU388">
        <v>2829</v>
      </c>
      <c r="AV388">
        <v>19110283</v>
      </c>
      <c r="AW388">
        <v>1142</v>
      </c>
      <c r="AY388" s="24"/>
      <c r="AZ388">
        <v>457000415</v>
      </c>
      <c r="BA388">
        <v>464093000</v>
      </c>
      <c r="BB388">
        <v>460999999</v>
      </c>
      <c r="BC388">
        <v>2569</v>
      </c>
      <c r="BD388">
        <v>1918</v>
      </c>
      <c r="BF388" s="24"/>
      <c r="BG388">
        <v>26712</v>
      </c>
      <c r="BH388">
        <v>27504</v>
      </c>
      <c r="BI388">
        <v>26807</v>
      </c>
      <c r="BJ388">
        <v>5239682</v>
      </c>
      <c r="BK388">
        <v>250</v>
      </c>
      <c r="BM388" s="24"/>
      <c r="BN388">
        <v>7100000</v>
      </c>
      <c r="BO388">
        <v>7400004</v>
      </c>
      <c r="BP388">
        <v>7200000</v>
      </c>
      <c r="BQ388">
        <v>13443</v>
      </c>
      <c r="BR388">
        <v>410</v>
      </c>
      <c r="BT388" s="24"/>
      <c r="BU388">
        <v>2452</v>
      </c>
      <c r="BV388">
        <v>2452</v>
      </c>
      <c r="BW388">
        <v>2452</v>
      </c>
      <c r="BX388">
        <v>16426173</v>
      </c>
      <c r="BY388">
        <v>204</v>
      </c>
      <c r="CA388" s="24"/>
      <c r="CB388">
        <v>1073</v>
      </c>
      <c r="CC388">
        <v>1157</v>
      </c>
      <c r="CD388">
        <v>1154</v>
      </c>
      <c r="CE388">
        <v>32008530</v>
      </c>
      <c r="CF388">
        <v>269</v>
      </c>
      <c r="CH388" s="24"/>
      <c r="CI388">
        <v>33600</v>
      </c>
      <c r="CJ388">
        <v>34999</v>
      </c>
      <c r="CK388">
        <v>33955</v>
      </c>
      <c r="CL388">
        <v>1783592</v>
      </c>
      <c r="CM388">
        <v>214</v>
      </c>
      <c r="CO388" s="24"/>
      <c r="CP388">
        <v>12003</v>
      </c>
      <c r="CQ388">
        <v>12498</v>
      </c>
      <c r="CR388">
        <v>12100</v>
      </c>
      <c r="CS388">
        <v>1150307</v>
      </c>
      <c r="CT388">
        <v>396</v>
      </c>
      <c r="CV388" s="24"/>
      <c r="CW388">
        <v>1328998</v>
      </c>
      <c r="CX388">
        <v>1329996</v>
      </c>
      <c r="CY388">
        <v>1328998</v>
      </c>
      <c r="CZ388">
        <v>16671</v>
      </c>
      <c r="DA388">
        <v>41</v>
      </c>
      <c r="DC388" s="24"/>
      <c r="DD388">
        <v>515</v>
      </c>
      <c r="DE388">
        <v>565</v>
      </c>
      <c r="DF388">
        <v>559</v>
      </c>
      <c r="DG388">
        <v>59753071</v>
      </c>
      <c r="DH388">
        <v>217</v>
      </c>
      <c r="DJ388" s="24"/>
      <c r="DK388">
        <v>24503018</v>
      </c>
      <c r="DL388">
        <v>24924020</v>
      </c>
      <c r="DM388">
        <v>24924015</v>
      </c>
      <c r="DN388">
        <v>519</v>
      </c>
      <c r="DO388">
        <v>109</v>
      </c>
      <c r="DQ388" s="24"/>
      <c r="DR388">
        <v>1709508</v>
      </c>
      <c r="DS388">
        <v>1899993</v>
      </c>
      <c r="DT388">
        <v>1780954</v>
      </c>
      <c r="DU388">
        <v>7484</v>
      </c>
      <c r="DV388">
        <v>246</v>
      </c>
      <c r="DX388" s="24"/>
      <c r="DY388">
        <v>17000690</v>
      </c>
      <c r="DZ388">
        <v>18899998</v>
      </c>
      <c r="EA388">
        <v>18100000</v>
      </c>
      <c r="EB388">
        <v>1132</v>
      </c>
      <c r="EC388">
        <v>144</v>
      </c>
      <c r="EE388" s="24"/>
      <c r="EF388">
        <v>211</v>
      </c>
      <c r="EG388">
        <v>223</v>
      </c>
      <c r="EH388">
        <v>219</v>
      </c>
      <c r="EI388">
        <v>80492391</v>
      </c>
      <c r="EJ388">
        <v>167</v>
      </c>
      <c r="EL388" s="24"/>
      <c r="EM388">
        <v>71998</v>
      </c>
      <c r="EN388">
        <v>71999</v>
      </c>
      <c r="EO388">
        <v>71998</v>
      </c>
      <c r="EP388">
        <v>111192</v>
      </c>
      <c r="EQ388">
        <v>603</v>
      </c>
      <c r="ES388" s="24"/>
      <c r="ET388">
        <v>436</v>
      </c>
      <c r="EU388">
        <v>470</v>
      </c>
      <c r="EV388">
        <v>463</v>
      </c>
      <c r="EW388">
        <v>67947858</v>
      </c>
      <c r="EX388">
        <v>710</v>
      </c>
      <c r="EZ388" s="24"/>
      <c r="FA388">
        <v>3298750</v>
      </c>
      <c r="FB388">
        <v>3374999</v>
      </c>
      <c r="FC388">
        <v>3374999</v>
      </c>
      <c r="FD388">
        <v>498</v>
      </c>
      <c r="FE388">
        <v>11</v>
      </c>
      <c r="FG388" s="24"/>
      <c r="FH388">
        <v>9882</v>
      </c>
      <c r="FI388">
        <v>10157</v>
      </c>
      <c r="FJ388">
        <v>9883</v>
      </c>
      <c r="FK388">
        <v>1505998</v>
      </c>
      <c r="FL388">
        <v>463</v>
      </c>
      <c r="FN388" s="24"/>
      <c r="FO388">
        <v>31151</v>
      </c>
      <c r="FP388">
        <v>31399</v>
      </c>
      <c r="FQ388">
        <v>31399</v>
      </c>
      <c r="FR388">
        <v>137559</v>
      </c>
      <c r="FS388">
        <v>73</v>
      </c>
      <c r="FU388" s="24"/>
      <c r="FV388">
        <v>15502</v>
      </c>
      <c r="FW388">
        <v>16169</v>
      </c>
      <c r="FX388">
        <v>16000</v>
      </c>
      <c r="FY388">
        <v>660516</v>
      </c>
      <c r="FZ388">
        <v>1167</v>
      </c>
      <c r="GB388" s="24"/>
      <c r="GC388">
        <v>92999999</v>
      </c>
      <c r="GD388">
        <v>96996998</v>
      </c>
      <c r="GE388">
        <v>93396000</v>
      </c>
      <c r="GF388">
        <v>103</v>
      </c>
      <c r="GG388">
        <v>69</v>
      </c>
      <c r="GI388" s="24"/>
      <c r="GJ388">
        <v>22701029</v>
      </c>
      <c r="GK388">
        <v>23300000</v>
      </c>
      <c r="GL388">
        <v>23000000</v>
      </c>
      <c r="GM388">
        <v>421</v>
      </c>
      <c r="GN388">
        <v>69</v>
      </c>
      <c r="GP388" s="24"/>
      <c r="GQ388">
        <v>98</v>
      </c>
      <c r="GR388">
        <v>102</v>
      </c>
      <c r="GS388">
        <v>102</v>
      </c>
      <c r="GT388">
        <v>96516498</v>
      </c>
      <c r="GU388">
        <v>120</v>
      </c>
      <c r="GW388" s="24"/>
      <c r="GX388">
        <v>454</v>
      </c>
      <c r="GY388">
        <v>458</v>
      </c>
      <c r="GZ388">
        <v>458</v>
      </c>
      <c r="HA388">
        <v>51215078</v>
      </c>
      <c r="HB388">
        <v>289</v>
      </c>
      <c r="HD388" s="24"/>
      <c r="HE388">
        <v>5589</v>
      </c>
      <c r="HF388">
        <v>5598</v>
      </c>
      <c r="HG388">
        <v>5589</v>
      </c>
      <c r="HH388">
        <v>14243990</v>
      </c>
      <c r="HI388">
        <v>250</v>
      </c>
      <c r="HK388" s="24"/>
      <c r="HL388">
        <v>94547004</v>
      </c>
      <c r="HM388">
        <v>101917945</v>
      </c>
      <c r="HN388">
        <v>99397820</v>
      </c>
      <c r="HO388">
        <v>61</v>
      </c>
      <c r="HP388">
        <v>52</v>
      </c>
      <c r="HR388" s="24"/>
      <c r="HS388">
        <v>10030</v>
      </c>
      <c r="HT388">
        <v>10448</v>
      </c>
      <c r="HU388">
        <v>10030</v>
      </c>
      <c r="HV388">
        <v>778643</v>
      </c>
      <c r="HW388">
        <v>163</v>
      </c>
      <c r="HY388" s="24"/>
      <c r="HZ388">
        <v>11600</v>
      </c>
      <c r="IA388">
        <v>12094</v>
      </c>
      <c r="IB388">
        <v>11900</v>
      </c>
      <c r="IC388">
        <v>1854410</v>
      </c>
      <c r="ID388">
        <v>518</v>
      </c>
      <c r="IF388" s="24"/>
      <c r="IG388">
        <v>3562</v>
      </c>
      <c r="IH388">
        <v>3749</v>
      </c>
      <c r="II388">
        <v>3743</v>
      </c>
      <c r="IJ388">
        <v>1878388</v>
      </c>
      <c r="IK388">
        <v>151</v>
      </c>
      <c r="IM388" s="24"/>
      <c r="IN388">
        <v>92000000</v>
      </c>
      <c r="IO388">
        <v>98683988</v>
      </c>
      <c r="IP388">
        <v>97127670</v>
      </c>
      <c r="IQ388">
        <v>59</v>
      </c>
      <c r="IR388">
        <v>52</v>
      </c>
      <c r="IT388" s="24"/>
      <c r="IU388">
        <v>9895</v>
      </c>
      <c r="IV388">
        <v>9896</v>
      </c>
      <c r="IW388">
        <v>9896</v>
      </c>
      <c r="IX388">
        <v>680834</v>
      </c>
      <c r="IY388">
        <v>112</v>
      </c>
      <c r="JA388" s="24"/>
      <c r="JB388">
        <v>94006014</v>
      </c>
      <c r="JC388">
        <v>100006002</v>
      </c>
      <c r="JD388">
        <v>97550497</v>
      </c>
      <c r="JE388">
        <v>68</v>
      </c>
      <c r="JF388">
        <v>53</v>
      </c>
      <c r="JH388" s="24"/>
      <c r="JI388">
        <v>93055000</v>
      </c>
      <c r="JJ388">
        <v>103999885</v>
      </c>
      <c r="JK388">
        <v>99662119</v>
      </c>
      <c r="JL388">
        <v>38</v>
      </c>
      <c r="JM388">
        <v>31</v>
      </c>
      <c r="JO388" s="24"/>
      <c r="JP388">
        <v>87</v>
      </c>
      <c r="JQ388">
        <v>89</v>
      </c>
      <c r="JR388">
        <v>87</v>
      </c>
      <c r="JS388">
        <v>114181110</v>
      </c>
      <c r="JT388">
        <v>90</v>
      </c>
      <c r="JV388" s="24"/>
      <c r="JW388">
        <v>92</v>
      </c>
      <c r="JX388">
        <v>92</v>
      </c>
      <c r="JY388">
        <v>92</v>
      </c>
      <c r="JZ388">
        <v>69934869</v>
      </c>
      <c r="KA388">
        <v>76</v>
      </c>
      <c r="KC388" s="24"/>
      <c r="KD388">
        <v>135</v>
      </c>
      <c r="KE388">
        <v>143</v>
      </c>
      <c r="KF388">
        <v>136</v>
      </c>
      <c r="KG388">
        <v>73474445</v>
      </c>
      <c r="KH388">
        <v>392</v>
      </c>
      <c r="KJ388" s="24"/>
      <c r="KK388">
        <v>117</v>
      </c>
      <c r="KL388">
        <v>121</v>
      </c>
      <c r="KM388">
        <v>120</v>
      </c>
      <c r="KN388">
        <v>106316109</v>
      </c>
      <c r="KO388">
        <v>134</v>
      </c>
      <c r="KQ388" s="24"/>
      <c r="KR388">
        <v>124000</v>
      </c>
      <c r="KS388">
        <v>128499</v>
      </c>
      <c r="KT388">
        <v>125000</v>
      </c>
      <c r="KU388">
        <v>85456</v>
      </c>
      <c r="KV388">
        <v>585</v>
      </c>
      <c r="KX388" s="24"/>
      <c r="KY388">
        <v>724</v>
      </c>
      <c r="KZ388">
        <v>724</v>
      </c>
      <c r="LA388">
        <v>724</v>
      </c>
      <c r="LB388">
        <v>3426696</v>
      </c>
      <c r="LC388">
        <v>162</v>
      </c>
      <c r="LE388" s="24"/>
      <c r="LF388">
        <v>183001</v>
      </c>
      <c r="LG388">
        <v>188001</v>
      </c>
      <c r="LH388">
        <v>183001</v>
      </c>
      <c r="LI388">
        <v>151672</v>
      </c>
      <c r="LJ388">
        <v>847</v>
      </c>
      <c r="LL388" s="24"/>
      <c r="LM388">
        <v>64009</v>
      </c>
      <c r="LN388">
        <v>68997</v>
      </c>
      <c r="LO388">
        <v>66005</v>
      </c>
      <c r="LP388">
        <v>405403</v>
      </c>
      <c r="LQ388">
        <v>1190</v>
      </c>
      <c r="LS388" s="24"/>
      <c r="LT388">
        <v>557</v>
      </c>
      <c r="LU388">
        <v>588</v>
      </c>
      <c r="LV388">
        <v>584</v>
      </c>
      <c r="LW388">
        <v>154547199</v>
      </c>
      <c r="LX388">
        <v>446</v>
      </c>
      <c r="LZ388" s="24"/>
      <c r="MA388">
        <v>106451</v>
      </c>
      <c r="MB388">
        <v>111999</v>
      </c>
      <c r="MC388">
        <v>107000</v>
      </c>
      <c r="MD388">
        <v>684650</v>
      </c>
      <c r="ME388">
        <v>76</v>
      </c>
    </row>
    <row r="389" spans="2:343" x14ac:dyDescent="0.25">
      <c r="B389" s="24"/>
      <c r="C389">
        <v>3</v>
      </c>
      <c r="D389">
        <v>3</v>
      </c>
      <c r="E389">
        <v>3</v>
      </c>
      <c r="F389">
        <v>17242715417</v>
      </c>
      <c r="G389">
        <v>2634</v>
      </c>
      <c r="I389" s="24"/>
      <c r="J389">
        <v>5</v>
      </c>
      <c r="K389">
        <v>5</v>
      </c>
      <c r="L389">
        <v>5</v>
      </c>
      <c r="M389">
        <v>4623874394</v>
      </c>
      <c r="N389">
        <v>1936</v>
      </c>
      <c r="P389" s="24"/>
      <c r="Q389">
        <v>50</v>
      </c>
      <c r="R389">
        <v>51</v>
      </c>
      <c r="S389">
        <v>51</v>
      </c>
      <c r="T389">
        <v>1366186185</v>
      </c>
      <c r="U389">
        <v>1969</v>
      </c>
      <c r="W389" s="24"/>
      <c r="X389">
        <v>63</v>
      </c>
      <c r="Y389">
        <v>63</v>
      </c>
      <c r="Z389">
        <v>63</v>
      </c>
      <c r="AA389">
        <v>334906843</v>
      </c>
      <c r="AB389">
        <v>1461</v>
      </c>
      <c r="AD389" s="24"/>
      <c r="AE389">
        <v>469</v>
      </c>
      <c r="AF389">
        <v>478</v>
      </c>
      <c r="AG389">
        <v>474</v>
      </c>
      <c r="AH389">
        <v>107642019</v>
      </c>
      <c r="AI389">
        <v>1488</v>
      </c>
      <c r="AK389" s="24"/>
      <c r="AL389">
        <v>717</v>
      </c>
      <c r="AM389">
        <v>740</v>
      </c>
      <c r="AN389">
        <v>722</v>
      </c>
      <c r="AO389">
        <v>44696933</v>
      </c>
      <c r="AP389">
        <v>1224</v>
      </c>
      <c r="AR389" s="24"/>
      <c r="AS389">
        <v>2774</v>
      </c>
      <c r="AT389">
        <v>2839</v>
      </c>
      <c r="AU389">
        <v>2794</v>
      </c>
      <c r="AV389">
        <v>18058104</v>
      </c>
      <c r="AW389">
        <v>1201</v>
      </c>
      <c r="AY389" s="24"/>
      <c r="AZ389">
        <v>457000000</v>
      </c>
      <c r="BA389">
        <v>463865145</v>
      </c>
      <c r="BB389">
        <v>459800000</v>
      </c>
      <c r="BC389">
        <v>2672</v>
      </c>
      <c r="BD389">
        <v>1820</v>
      </c>
      <c r="BF389" s="24"/>
      <c r="BG389">
        <v>26661</v>
      </c>
      <c r="BH389">
        <v>27598</v>
      </c>
      <c r="BI389">
        <v>26662</v>
      </c>
      <c r="BJ389">
        <v>2284721</v>
      </c>
      <c r="BK389">
        <v>216</v>
      </c>
      <c r="BM389" s="24"/>
      <c r="BN389">
        <v>7200007</v>
      </c>
      <c r="BO389">
        <v>7203826</v>
      </c>
      <c r="BP389">
        <v>7202026</v>
      </c>
      <c r="BQ389">
        <v>14141</v>
      </c>
      <c r="BR389">
        <v>347</v>
      </c>
      <c r="BT389" s="24"/>
      <c r="BU389">
        <v>2461</v>
      </c>
      <c r="BV389">
        <v>2522</v>
      </c>
      <c r="BW389">
        <v>2521</v>
      </c>
      <c r="BX389">
        <v>22568720</v>
      </c>
      <c r="BY389">
        <v>227</v>
      </c>
      <c r="CA389" s="24"/>
      <c r="CB389">
        <v>1145</v>
      </c>
      <c r="CC389">
        <v>1157</v>
      </c>
      <c r="CD389">
        <v>1157</v>
      </c>
      <c r="CE389">
        <v>31732606</v>
      </c>
      <c r="CF389">
        <v>264</v>
      </c>
      <c r="CH389" s="24"/>
      <c r="CI389">
        <v>33563</v>
      </c>
      <c r="CJ389">
        <v>33563</v>
      </c>
      <c r="CK389">
        <v>33563</v>
      </c>
      <c r="CL389">
        <v>2065219</v>
      </c>
      <c r="CM389">
        <v>172</v>
      </c>
      <c r="CO389" s="24"/>
      <c r="CP389">
        <v>11894</v>
      </c>
      <c r="CQ389">
        <v>12248</v>
      </c>
      <c r="CR389">
        <v>12130</v>
      </c>
      <c r="CS389">
        <v>1136454</v>
      </c>
      <c r="CT389">
        <v>390</v>
      </c>
      <c r="CV389" s="24"/>
      <c r="CW389">
        <v>1399000</v>
      </c>
      <c r="CX389">
        <v>1399000</v>
      </c>
      <c r="CY389">
        <v>1399000</v>
      </c>
      <c r="CZ389">
        <v>25281</v>
      </c>
      <c r="DA389">
        <v>49</v>
      </c>
      <c r="DC389" s="24"/>
      <c r="DD389">
        <v>517</v>
      </c>
      <c r="DE389">
        <v>545</v>
      </c>
      <c r="DF389">
        <v>524</v>
      </c>
      <c r="DG389">
        <v>49115482</v>
      </c>
      <c r="DH389">
        <v>246</v>
      </c>
      <c r="DJ389" s="24"/>
      <c r="DK389">
        <v>24500007</v>
      </c>
      <c r="DL389">
        <v>25500000</v>
      </c>
      <c r="DM389">
        <v>24525525</v>
      </c>
      <c r="DN389">
        <v>667</v>
      </c>
      <c r="DO389">
        <v>128</v>
      </c>
      <c r="DQ389" s="24"/>
      <c r="DR389">
        <v>1800000</v>
      </c>
      <c r="DS389">
        <v>1870898</v>
      </c>
      <c r="DT389">
        <v>1800008</v>
      </c>
      <c r="DU389">
        <v>4807</v>
      </c>
      <c r="DV389">
        <v>245</v>
      </c>
      <c r="DX389" s="24"/>
      <c r="DY389">
        <v>17000779</v>
      </c>
      <c r="DZ389">
        <v>18999999</v>
      </c>
      <c r="EA389">
        <v>17600000</v>
      </c>
      <c r="EB389">
        <v>662</v>
      </c>
      <c r="EC389">
        <v>105</v>
      </c>
      <c r="EE389" s="24"/>
      <c r="EF389">
        <v>210</v>
      </c>
      <c r="EG389">
        <v>246</v>
      </c>
      <c r="EH389">
        <v>223</v>
      </c>
      <c r="EI389">
        <v>126421288</v>
      </c>
      <c r="EJ389">
        <v>190</v>
      </c>
      <c r="EL389" s="24"/>
      <c r="EM389">
        <v>76100</v>
      </c>
      <c r="EN389">
        <v>76101</v>
      </c>
      <c r="EO389">
        <v>76100</v>
      </c>
      <c r="EP389">
        <v>71178</v>
      </c>
      <c r="EQ389">
        <v>577</v>
      </c>
      <c r="ES389" s="24"/>
      <c r="ET389">
        <v>430</v>
      </c>
      <c r="EU389">
        <v>449</v>
      </c>
      <c r="EV389">
        <v>443</v>
      </c>
      <c r="EW389">
        <v>42311774</v>
      </c>
      <c r="EX389">
        <v>658</v>
      </c>
      <c r="EZ389" s="24"/>
      <c r="FA389">
        <v>3141726</v>
      </c>
      <c r="FB389">
        <v>3374999</v>
      </c>
      <c r="FC389">
        <v>3374998</v>
      </c>
      <c r="FD389">
        <v>1898</v>
      </c>
      <c r="FE389">
        <v>23</v>
      </c>
      <c r="FG389" s="24"/>
      <c r="FH389">
        <v>9611</v>
      </c>
      <c r="FI389">
        <v>9999</v>
      </c>
      <c r="FJ389">
        <v>9900</v>
      </c>
      <c r="FK389">
        <v>1757341</v>
      </c>
      <c r="FL389">
        <v>492</v>
      </c>
      <c r="FN389" s="24"/>
      <c r="FO389">
        <v>31399</v>
      </c>
      <c r="FP389">
        <v>31399</v>
      </c>
      <c r="FQ389">
        <v>31399</v>
      </c>
      <c r="FR389">
        <v>561223</v>
      </c>
      <c r="FS389">
        <v>93</v>
      </c>
      <c r="FU389" s="24"/>
      <c r="FV389">
        <v>15505</v>
      </c>
      <c r="FW389">
        <v>15506</v>
      </c>
      <c r="FX389">
        <v>15505</v>
      </c>
      <c r="FY389">
        <v>301597</v>
      </c>
      <c r="FZ389">
        <v>1094</v>
      </c>
      <c r="GB389" s="24"/>
      <c r="GC389">
        <v>93398004</v>
      </c>
      <c r="GD389">
        <v>96996999</v>
      </c>
      <c r="GE389">
        <v>95336111</v>
      </c>
      <c r="GF389">
        <v>100</v>
      </c>
      <c r="GG389">
        <v>79</v>
      </c>
      <c r="GI389" s="24"/>
      <c r="GJ389">
        <v>22657000</v>
      </c>
      <c r="GK389">
        <v>23999008</v>
      </c>
      <c r="GL389">
        <v>22657000</v>
      </c>
      <c r="GM389">
        <v>429</v>
      </c>
      <c r="GN389">
        <v>76</v>
      </c>
      <c r="GP389" s="24"/>
      <c r="GQ389">
        <v>102</v>
      </c>
      <c r="GR389">
        <v>103</v>
      </c>
      <c r="GS389">
        <v>102</v>
      </c>
      <c r="GT389">
        <v>122740445</v>
      </c>
      <c r="GU389">
        <v>141</v>
      </c>
      <c r="GW389" s="24"/>
      <c r="GX389">
        <v>460</v>
      </c>
      <c r="GY389">
        <v>460</v>
      </c>
      <c r="GZ389">
        <v>460</v>
      </c>
      <c r="HA389">
        <v>48871483</v>
      </c>
      <c r="HB389">
        <v>260</v>
      </c>
      <c r="HD389" s="24"/>
      <c r="HE389">
        <v>5510</v>
      </c>
      <c r="HF389">
        <v>5589</v>
      </c>
      <c r="HG389">
        <v>5587</v>
      </c>
      <c r="HH389">
        <v>17332174</v>
      </c>
      <c r="HI389">
        <v>249</v>
      </c>
      <c r="HK389" s="24"/>
      <c r="HL389">
        <v>94548030</v>
      </c>
      <c r="HM389">
        <v>101802769</v>
      </c>
      <c r="HN389">
        <v>94548034</v>
      </c>
      <c r="HO389">
        <v>130</v>
      </c>
      <c r="HP389">
        <v>90</v>
      </c>
      <c r="HR389" s="24"/>
      <c r="HS389">
        <v>10023</v>
      </c>
      <c r="HT389">
        <v>10439</v>
      </c>
      <c r="HU389">
        <v>10030</v>
      </c>
      <c r="HV389">
        <v>541607</v>
      </c>
      <c r="HW389">
        <v>113</v>
      </c>
      <c r="HY389" s="24"/>
      <c r="HZ389">
        <v>11122</v>
      </c>
      <c r="IA389">
        <v>11700</v>
      </c>
      <c r="IB389">
        <v>11559</v>
      </c>
      <c r="IC389">
        <v>2627690</v>
      </c>
      <c r="ID389">
        <v>475</v>
      </c>
      <c r="IF389" s="24"/>
      <c r="IG389">
        <v>3561</v>
      </c>
      <c r="IH389">
        <v>3740</v>
      </c>
      <c r="II389">
        <v>3562</v>
      </c>
      <c r="IJ389">
        <v>2598599</v>
      </c>
      <c r="IK389">
        <v>141</v>
      </c>
      <c r="IM389" s="24"/>
      <c r="IN389">
        <v>98696994</v>
      </c>
      <c r="IO389">
        <v>102000000</v>
      </c>
      <c r="IP389">
        <v>99998990</v>
      </c>
      <c r="IQ389">
        <v>105</v>
      </c>
      <c r="IR389">
        <v>58</v>
      </c>
      <c r="IT389" s="24"/>
      <c r="IU389">
        <v>9500</v>
      </c>
      <c r="IV389">
        <v>9895</v>
      </c>
      <c r="IW389">
        <v>9895</v>
      </c>
      <c r="IX389">
        <v>1190167</v>
      </c>
      <c r="IY389">
        <v>150</v>
      </c>
      <c r="JA389" s="24"/>
      <c r="JB389">
        <v>92048000</v>
      </c>
      <c r="JC389">
        <v>99978992</v>
      </c>
      <c r="JD389">
        <v>94022000</v>
      </c>
      <c r="JE389">
        <v>156</v>
      </c>
      <c r="JF389">
        <v>112</v>
      </c>
      <c r="JH389" s="24"/>
      <c r="JI389">
        <v>94002001</v>
      </c>
      <c r="JJ389">
        <v>103999878</v>
      </c>
      <c r="JK389">
        <v>102554190</v>
      </c>
      <c r="JL389">
        <v>37</v>
      </c>
      <c r="JM389">
        <v>36</v>
      </c>
      <c r="JO389" s="24"/>
      <c r="JP389">
        <v>84</v>
      </c>
      <c r="JQ389">
        <v>89</v>
      </c>
      <c r="JR389">
        <v>89</v>
      </c>
      <c r="JS389">
        <v>92470397</v>
      </c>
      <c r="JT389">
        <v>91</v>
      </c>
      <c r="JV389" s="24"/>
      <c r="JW389">
        <v>90</v>
      </c>
      <c r="JX389">
        <v>92</v>
      </c>
      <c r="JY389">
        <v>92</v>
      </c>
      <c r="JZ389">
        <v>127374484</v>
      </c>
      <c r="KA389">
        <v>94</v>
      </c>
      <c r="KC389" s="24"/>
      <c r="KD389">
        <v>138</v>
      </c>
      <c r="KE389">
        <v>142</v>
      </c>
      <c r="KF389">
        <v>141</v>
      </c>
      <c r="KG389">
        <v>57345390</v>
      </c>
      <c r="KH389">
        <v>396</v>
      </c>
      <c r="KJ389" s="24"/>
      <c r="KK389">
        <v>117</v>
      </c>
      <c r="KL389">
        <v>120</v>
      </c>
      <c r="KM389">
        <v>117</v>
      </c>
      <c r="KN389">
        <v>124854079</v>
      </c>
      <c r="KO389">
        <v>111</v>
      </c>
      <c r="KQ389" s="24"/>
      <c r="KR389">
        <v>122753</v>
      </c>
      <c r="KS389">
        <v>128499</v>
      </c>
      <c r="KT389">
        <v>123000</v>
      </c>
      <c r="KU389">
        <v>57245</v>
      </c>
      <c r="KV389">
        <v>534</v>
      </c>
      <c r="KX389" s="24"/>
      <c r="KY389">
        <v>716</v>
      </c>
      <c r="KZ389">
        <v>724</v>
      </c>
      <c r="LA389">
        <v>724</v>
      </c>
      <c r="LB389">
        <v>7277366</v>
      </c>
      <c r="LC389">
        <v>158</v>
      </c>
      <c r="LE389" s="24"/>
      <c r="LF389">
        <v>185259</v>
      </c>
      <c r="LG389">
        <v>185583</v>
      </c>
      <c r="LH389">
        <v>185581</v>
      </c>
      <c r="LI389">
        <v>105430</v>
      </c>
      <c r="LJ389">
        <v>798</v>
      </c>
      <c r="LL389" s="24"/>
      <c r="LM389">
        <v>66514</v>
      </c>
      <c r="LN389">
        <v>67000</v>
      </c>
      <c r="LO389">
        <v>66515</v>
      </c>
      <c r="LP389">
        <v>308623</v>
      </c>
      <c r="LQ389">
        <v>1169</v>
      </c>
      <c r="LS389" s="24"/>
      <c r="LT389">
        <v>514</v>
      </c>
      <c r="LU389">
        <v>552</v>
      </c>
      <c r="LV389">
        <v>529</v>
      </c>
      <c r="LW389">
        <v>128064497</v>
      </c>
      <c r="LX389">
        <v>442</v>
      </c>
      <c r="LZ389" s="24"/>
      <c r="MA389">
        <v>108000</v>
      </c>
      <c r="MB389">
        <v>110999</v>
      </c>
      <c r="MC389">
        <v>110968</v>
      </c>
      <c r="MD389">
        <v>1194143</v>
      </c>
      <c r="ME389">
        <v>115</v>
      </c>
    </row>
    <row r="390" spans="2:343" x14ac:dyDescent="0.25">
      <c r="B390" s="24"/>
      <c r="C390">
        <v>3</v>
      </c>
      <c r="D390">
        <v>3</v>
      </c>
      <c r="E390">
        <v>3</v>
      </c>
      <c r="F390">
        <v>31919245173</v>
      </c>
      <c r="G390">
        <v>2532</v>
      </c>
      <c r="I390" s="24"/>
      <c r="J390">
        <v>5</v>
      </c>
      <c r="K390">
        <v>5</v>
      </c>
      <c r="L390">
        <v>5</v>
      </c>
      <c r="M390">
        <v>7836117993</v>
      </c>
      <c r="N390">
        <v>1885</v>
      </c>
      <c r="P390" s="24"/>
      <c r="Q390">
        <v>49</v>
      </c>
      <c r="R390">
        <v>51</v>
      </c>
      <c r="S390">
        <v>50</v>
      </c>
      <c r="T390">
        <v>1411123883</v>
      </c>
      <c r="U390">
        <v>1787</v>
      </c>
      <c r="W390" s="24"/>
      <c r="X390">
        <v>62</v>
      </c>
      <c r="Y390">
        <v>64</v>
      </c>
      <c r="Z390">
        <v>63</v>
      </c>
      <c r="AA390">
        <v>280549533</v>
      </c>
      <c r="AB390">
        <v>1358</v>
      </c>
      <c r="AD390" s="24"/>
      <c r="AE390">
        <v>465</v>
      </c>
      <c r="AF390">
        <v>481</v>
      </c>
      <c r="AG390">
        <v>467</v>
      </c>
      <c r="AH390">
        <v>71494710</v>
      </c>
      <c r="AI390">
        <v>1398</v>
      </c>
      <c r="AK390" s="24"/>
      <c r="AL390">
        <v>728</v>
      </c>
      <c r="AM390">
        <v>742</v>
      </c>
      <c r="AN390">
        <v>737</v>
      </c>
      <c r="AO390">
        <v>29813643</v>
      </c>
      <c r="AP390">
        <v>1132</v>
      </c>
      <c r="AR390" s="24"/>
      <c r="AS390">
        <v>2732</v>
      </c>
      <c r="AT390">
        <v>2838</v>
      </c>
      <c r="AU390">
        <v>2799</v>
      </c>
      <c r="AV390">
        <v>12132568</v>
      </c>
      <c r="AW390">
        <v>1092</v>
      </c>
      <c r="AY390" s="24"/>
      <c r="AZ390">
        <v>448502000</v>
      </c>
      <c r="BA390">
        <v>457822496</v>
      </c>
      <c r="BB390">
        <v>452243000</v>
      </c>
      <c r="BC390">
        <v>2861</v>
      </c>
      <c r="BD390">
        <v>2102</v>
      </c>
      <c r="BF390" s="24"/>
      <c r="BG390">
        <v>26675</v>
      </c>
      <c r="BH390">
        <v>26683</v>
      </c>
      <c r="BI390">
        <v>26677</v>
      </c>
      <c r="BJ390">
        <v>5812963</v>
      </c>
      <c r="BK390">
        <v>302</v>
      </c>
      <c r="BM390" s="24"/>
      <c r="BN390">
        <v>7205728</v>
      </c>
      <c r="BO390">
        <v>7568898</v>
      </c>
      <c r="BP390">
        <v>7212001</v>
      </c>
      <c r="BQ390">
        <v>12671</v>
      </c>
      <c r="BR390">
        <v>390</v>
      </c>
      <c r="BT390" s="24"/>
      <c r="BU390">
        <v>2517</v>
      </c>
      <c r="BV390">
        <v>2517</v>
      </c>
      <c r="BW390">
        <v>2517</v>
      </c>
      <c r="BX390">
        <v>19922281</v>
      </c>
      <c r="BY390">
        <v>191</v>
      </c>
      <c r="CA390" s="24"/>
      <c r="CB390">
        <v>1148</v>
      </c>
      <c r="CC390">
        <v>1156</v>
      </c>
      <c r="CD390">
        <v>1156</v>
      </c>
      <c r="CE390">
        <v>30816102</v>
      </c>
      <c r="CF390">
        <v>290</v>
      </c>
      <c r="CH390" s="24"/>
      <c r="CI390">
        <v>33555</v>
      </c>
      <c r="CJ390">
        <v>33563</v>
      </c>
      <c r="CK390">
        <v>33563</v>
      </c>
      <c r="CL390">
        <v>2450214</v>
      </c>
      <c r="CM390">
        <v>211</v>
      </c>
      <c r="CO390" s="24"/>
      <c r="CP390">
        <v>11700</v>
      </c>
      <c r="CQ390">
        <v>12097</v>
      </c>
      <c r="CR390">
        <v>12000</v>
      </c>
      <c r="CS390">
        <v>925116</v>
      </c>
      <c r="CT390">
        <v>395</v>
      </c>
      <c r="CV390" s="24"/>
      <c r="CW390">
        <v>1389899</v>
      </c>
      <c r="CX390">
        <v>1399000</v>
      </c>
      <c r="CY390">
        <v>1398999</v>
      </c>
      <c r="CZ390">
        <v>4650</v>
      </c>
      <c r="DA390">
        <v>21</v>
      </c>
      <c r="DC390" s="24"/>
      <c r="DD390">
        <v>544</v>
      </c>
      <c r="DE390">
        <v>545</v>
      </c>
      <c r="DF390">
        <v>544</v>
      </c>
      <c r="DG390">
        <v>31110320</v>
      </c>
      <c r="DH390">
        <v>188</v>
      </c>
      <c r="DJ390" s="24"/>
      <c r="DK390">
        <v>24106228</v>
      </c>
      <c r="DL390">
        <v>24500004</v>
      </c>
      <c r="DM390">
        <v>24500002</v>
      </c>
      <c r="DN390">
        <v>385</v>
      </c>
      <c r="DO390">
        <v>90</v>
      </c>
      <c r="DQ390" s="24"/>
      <c r="DR390">
        <v>1709999</v>
      </c>
      <c r="DS390">
        <v>1838999</v>
      </c>
      <c r="DT390">
        <v>1720012</v>
      </c>
      <c r="DU390">
        <v>5165</v>
      </c>
      <c r="DV390">
        <v>236</v>
      </c>
      <c r="DX390" s="24"/>
      <c r="DY390">
        <v>17908000</v>
      </c>
      <c r="DZ390">
        <v>18445245</v>
      </c>
      <c r="EA390">
        <v>17908006</v>
      </c>
      <c r="EB390">
        <v>702</v>
      </c>
      <c r="EC390">
        <v>121</v>
      </c>
      <c r="EE390" s="24"/>
      <c r="EF390">
        <v>211</v>
      </c>
      <c r="EG390">
        <v>240</v>
      </c>
      <c r="EH390">
        <v>238</v>
      </c>
      <c r="EI390">
        <v>69034988</v>
      </c>
      <c r="EJ390">
        <v>155</v>
      </c>
      <c r="EL390" s="24"/>
      <c r="EM390">
        <v>77000</v>
      </c>
      <c r="EN390">
        <v>79000</v>
      </c>
      <c r="EO390">
        <v>77005</v>
      </c>
      <c r="EP390">
        <v>109136</v>
      </c>
      <c r="EQ390">
        <v>628</v>
      </c>
      <c r="ES390" s="24"/>
      <c r="ET390">
        <v>430</v>
      </c>
      <c r="EU390">
        <v>445</v>
      </c>
      <c r="EV390">
        <v>441</v>
      </c>
      <c r="EW390">
        <v>47927357</v>
      </c>
      <c r="EX390">
        <v>656</v>
      </c>
      <c r="EZ390" s="24"/>
      <c r="FA390">
        <v>3375000</v>
      </c>
      <c r="FB390">
        <v>3409999</v>
      </c>
      <c r="FC390">
        <v>3375999</v>
      </c>
      <c r="FD390">
        <v>1010</v>
      </c>
      <c r="FE390">
        <v>22</v>
      </c>
      <c r="FG390" s="24"/>
      <c r="FH390">
        <v>9630</v>
      </c>
      <c r="FI390">
        <v>9999</v>
      </c>
      <c r="FJ390">
        <v>9901</v>
      </c>
      <c r="FK390">
        <v>1340893</v>
      </c>
      <c r="FL390">
        <v>452</v>
      </c>
      <c r="FN390" s="24"/>
      <c r="FO390">
        <v>36849</v>
      </c>
      <c r="FP390">
        <v>36999</v>
      </c>
      <c r="FQ390">
        <v>36948</v>
      </c>
      <c r="FR390">
        <v>86498</v>
      </c>
      <c r="FS390">
        <v>62</v>
      </c>
      <c r="FU390" s="24"/>
      <c r="FV390">
        <v>15509</v>
      </c>
      <c r="FW390">
        <v>15512</v>
      </c>
      <c r="FX390">
        <v>15510</v>
      </c>
      <c r="FY390">
        <v>424590</v>
      </c>
      <c r="FZ390">
        <v>1099</v>
      </c>
      <c r="GB390" s="24"/>
      <c r="GC390">
        <v>93406004</v>
      </c>
      <c r="GD390">
        <v>100191996</v>
      </c>
      <c r="GE390">
        <v>97564409</v>
      </c>
      <c r="GF390">
        <v>87</v>
      </c>
      <c r="GG390">
        <v>61</v>
      </c>
      <c r="GI390" s="24"/>
      <c r="GJ390">
        <v>22800000</v>
      </c>
      <c r="GK390">
        <v>23989998</v>
      </c>
      <c r="GL390">
        <v>22900000</v>
      </c>
      <c r="GM390">
        <v>769</v>
      </c>
      <c r="GN390">
        <v>75</v>
      </c>
      <c r="GP390" s="24"/>
      <c r="GQ390">
        <v>96</v>
      </c>
      <c r="GR390">
        <v>102</v>
      </c>
      <c r="GS390">
        <v>98</v>
      </c>
      <c r="GT390">
        <v>190075268</v>
      </c>
      <c r="GU390">
        <v>169</v>
      </c>
      <c r="GW390" s="24"/>
      <c r="GX390">
        <v>446</v>
      </c>
      <c r="GY390">
        <v>461</v>
      </c>
      <c r="GZ390">
        <v>448</v>
      </c>
      <c r="HA390">
        <v>74230764</v>
      </c>
      <c r="HB390">
        <v>259</v>
      </c>
      <c r="HD390" s="24"/>
      <c r="HE390">
        <v>5630</v>
      </c>
      <c r="HF390">
        <v>5639</v>
      </c>
      <c r="HG390">
        <v>5636</v>
      </c>
      <c r="HH390">
        <v>11647770</v>
      </c>
      <c r="HI390">
        <v>218</v>
      </c>
      <c r="HK390" s="24"/>
      <c r="HL390">
        <v>92947003</v>
      </c>
      <c r="HM390">
        <v>101734992</v>
      </c>
      <c r="HN390">
        <v>99631365</v>
      </c>
      <c r="HO390">
        <v>71</v>
      </c>
      <c r="HP390">
        <v>60</v>
      </c>
      <c r="HR390" s="24"/>
      <c r="HS390">
        <v>10198</v>
      </c>
      <c r="HT390">
        <v>10447</v>
      </c>
      <c r="HU390">
        <v>10250</v>
      </c>
      <c r="HV390">
        <v>853039</v>
      </c>
      <c r="HW390">
        <v>135</v>
      </c>
      <c r="HY390" s="24"/>
      <c r="HZ390">
        <v>11041</v>
      </c>
      <c r="IA390">
        <v>11548</v>
      </c>
      <c r="IB390">
        <v>11525</v>
      </c>
      <c r="IC390">
        <v>1834685</v>
      </c>
      <c r="ID390">
        <v>493</v>
      </c>
      <c r="IF390" s="24"/>
      <c r="IG390">
        <v>3357</v>
      </c>
      <c r="IH390">
        <v>3733</v>
      </c>
      <c r="II390">
        <v>3733</v>
      </c>
      <c r="IJ390">
        <v>1102948</v>
      </c>
      <c r="IK390">
        <v>117</v>
      </c>
      <c r="IM390" s="24"/>
      <c r="IN390">
        <v>101005003</v>
      </c>
      <c r="IO390">
        <v>102991998</v>
      </c>
      <c r="IP390">
        <v>101010000</v>
      </c>
      <c r="IQ390">
        <v>114</v>
      </c>
      <c r="IR390">
        <v>73</v>
      </c>
      <c r="IT390" s="24"/>
      <c r="IU390">
        <v>9553</v>
      </c>
      <c r="IV390">
        <v>9896</v>
      </c>
      <c r="IW390">
        <v>9895</v>
      </c>
      <c r="IX390">
        <v>969300</v>
      </c>
      <c r="IY390">
        <v>118</v>
      </c>
      <c r="JA390" s="24"/>
      <c r="JB390">
        <v>93001005</v>
      </c>
      <c r="JC390">
        <v>99977988</v>
      </c>
      <c r="JD390">
        <v>99969994</v>
      </c>
      <c r="JE390">
        <v>118</v>
      </c>
      <c r="JF390">
        <v>83</v>
      </c>
      <c r="JH390" s="24"/>
      <c r="JI390">
        <v>98550000</v>
      </c>
      <c r="JJ390">
        <v>103999881</v>
      </c>
      <c r="JK390">
        <v>102919492</v>
      </c>
      <c r="JL390">
        <v>116</v>
      </c>
      <c r="JM390">
        <v>68</v>
      </c>
      <c r="JO390" s="24"/>
      <c r="JP390">
        <v>84</v>
      </c>
      <c r="JQ390">
        <v>88</v>
      </c>
      <c r="JR390">
        <v>84</v>
      </c>
      <c r="JS390">
        <v>117452282</v>
      </c>
      <c r="JT390">
        <v>90</v>
      </c>
      <c r="JV390" s="24"/>
      <c r="JW390">
        <v>89</v>
      </c>
      <c r="JX390">
        <v>92</v>
      </c>
      <c r="JY390">
        <v>89</v>
      </c>
      <c r="JZ390">
        <v>202508771</v>
      </c>
      <c r="KA390">
        <v>129</v>
      </c>
      <c r="KC390" s="24"/>
      <c r="KD390">
        <v>136</v>
      </c>
      <c r="KE390">
        <v>141</v>
      </c>
      <c r="KF390">
        <v>140</v>
      </c>
      <c r="KG390">
        <v>46638912</v>
      </c>
      <c r="KH390">
        <v>399</v>
      </c>
      <c r="KJ390" s="24"/>
      <c r="KK390">
        <v>117</v>
      </c>
      <c r="KL390">
        <v>121</v>
      </c>
      <c r="KM390">
        <v>117</v>
      </c>
      <c r="KN390">
        <v>104566521</v>
      </c>
      <c r="KO390">
        <v>130</v>
      </c>
      <c r="KQ390" s="24"/>
      <c r="KR390">
        <v>123500</v>
      </c>
      <c r="KS390">
        <v>124001</v>
      </c>
      <c r="KT390">
        <v>123500</v>
      </c>
      <c r="KU390">
        <v>57705</v>
      </c>
      <c r="KV390">
        <v>595</v>
      </c>
      <c r="KX390" s="24"/>
      <c r="KY390">
        <v>716</v>
      </c>
      <c r="KZ390">
        <v>721</v>
      </c>
      <c r="LA390">
        <v>721</v>
      </c>
      <c r="LB390">
        <v>4541970</v>
      </c>
      <c r="LC390">
        <v>136</v>
      </c>
      <c r="LE390" s="24"/>
      <c r="LF390">
        <v>184250</v>
      </c>
      <c r="LG390">
        <v>185586</v>
      </c>
      <c r="LH390">
        <v>185584</v>
      </c>
      <c r="LI390">
        <v>117385</v>
      </c>
      <c r="LJ390">
        <v>810</v>
      </c>
      <c r="LL390" s="24"/>
      <c r="LM390">
        <v>68004</v>
      </c>
      <c r="LN390">
        <v>69199</v>
      </c>
      <c r="LO390">
        <v>68502</v>
      </c>
      <c r="LP390">
        <v>653962</v>
      </c>
      <c r="LQ390">
        <v>1241</v>
      </c>
      <c r="LS390" s="24"/>
      <c r="LT390">
        <v>526</v>
      </c>
      <c r="LU390">
        <v>526</v>
      </c>
      <c r="LV390">
        <v>526</v>
      </c>
      <c r="LW390">
        <v>104851989</v>
      </c>
      <c r="LX390">
        <v>430</v>
      </c>
      <c r="LZ390" s="24"/>
      <c r="MA390">
        <v>113997</v>
      </c>
      <c r="MB390">
        <v>113997</v>
      </c>
      <c r="MC390">
        <v>113997</v>
      </c>
      <c r="MD390">
        <v>325500</v>
      </c>
      <c r="ME390">
        <v>36</v>
      </c>
    </row>
    <row r="391" spans="2:343" x14ac:dyDescent="0.25">
      <c r="B391" s="24"/>
      <c r="C391">
        <v>3</v>
      </c>
      <c r="D391">
        <v>3</v>
      </c>
      <c r="E391">
        <v>3</v>
      </c>
      <c r="F391">
        <v>20377534078</v>
      </c>
      <c r="G391">
        <v>2365</v>
      </c>
      <c r="I391" s="24"/>
      <c r="J391">
        <v>5</v>
      </c>
      <c r="K391">
        <v>5</v>
      </c>
      <c r="L391">
        <v>5</v>
      </c>
      <c r="M391">
        <v>3889915937</v>
      </c>
      <c r="N391">
        <v>1696</v>
      </c>
      <c r="P391" s="24"/>
      <c r="Q391">
        <v>48</v>
      </c>
      <c r="R391">
        <v>50</v>
      </c>
      <c r="S391">
        <v>49</v>
      </c>
      <c r="T391">
        <v>1257298363</v>
      </c>
      <c r="U391">
        <v>1635</v>
      </c>
      <c r="W391" s="24"/>
      <c r="X391">
        <v>62</v>
      </c>
      <c r="Y391">
        <v>63</v>
      </c>
      <c r="Z391">
        <v>63</v>
      </c>
      <c r="AA391">
        <v>209546139</v>
      </c>
      <c r="AB391">
        <v>1242</v>
      </c>
      <c r="AD391" s="24"/>
      <c r="AE391">
        <v>474</v>
      </c>
      <c r="AF391">
        <v>474</v>
      </c>
      <c r="AG391">
        <v>474</v>
      </c>
      <c r="AH391">
        <v>45560450</v>
      </c>
      <c r="AI391">
        <v>1257</v>
      </c>
      <c r="AK391" s="24"/>
      <c r="AL391">
        <v>722</v>
      </c>
      <c r="AM391">
        <v>736</v>
      </c>
      <c r="AN391">
        <v>735</v>
      </c>
      <c r="AO391">
        <v>23939248</v>
      </c>
      <c r="AP391">
        <v>1070</v>
      </c>
      <c r="AR391" s="24"/>
      <c r="AS391">
        <v>2737</v>
      </c>
      <c r="AT391">
        <v>2800</v>
      </c>
      <c r="AU391">
        <v>2799</v>
      </c>
      <c r="AV391">
        <v>10524017</v>
      </c>
      <c r="AW391">
        <v>1082</v>
      </c>
      <c r="AY391" s="24"/>
      <c r="AZ391">
        <v>447000000</v>
      </c>
      <c r="BA391">
        <v>457044999</v>
      </c>
      <c r="BB391">
        <v>451497000</v>
      </c>
      <c r="BC391">
        <v>2430</v>
      </c>
      <c r="BD391">
        <v>1794</v>
      </c>
      <c r="BF391" s="24"/>
      <c r="BG391">
        <v>27020</v>
      </c>
      <c r="BH391">
        <v>27020</v>
      </c>
      <c r="BI391">
        <v>27020</v>
      </c>
      <c r="BJ391">
        <v>3078332</v>
      </c>
      <c r="BK391">
        <v>218</v>
      </c>
      <c r="BM391" s="24"/>
      <c r="BN391">
        <v>7214008</v>
      </c>
      <c r="BO391">
        <v>7214012</v>
      </c>
      <c r="BP391">
        <v>7214009</v>
      </c>
      <c r="BQ391">
        <v>8265</v>
      </c>
      <c r="BR391">
        <v>271</v>
      </c>
      <c r="BT391" s="24"/>
      <c r="BU391">
        <v>2488</v>
      </c>
      <c r="BV391">
        <v>2553</v>
      </c>
      <c r="BW391">
        <v>2517</v>
      </c>
      <c r="BX391">
        <v>38055803</v>
      </c>
      <c r="BY391">
        <v>265</v>
      </c>
      <c r="CA391" s="24"/>
      <c r="CB391">
        <v>1157</v>
      </c>
      <c r="CC391">
        <v>1157</v>
      </c>
      <c r="CD391">
        <v>1157</v>
      </c>
      <c r="CE391">
        <v>31769323</v>
      </c>
      <c r="CF391">
        <v>224</v>
      </c>
      <c r="CH391" s="24"/>
      <c r="CI391">
        <v>32801</v>
      </c>
      <c r="CJ391">
        <v>33101</v>
      </c>
      <c r="CK391">
        <v>32801</v>
      </c>
      <c r="CL391">
        <v>1323050</v>
      </c>
      <c r="CM391">
        <v>177</v>
      </c>
      <c r="CO391" s="24"/>
      <c r="CP391">
        <v>11646</v>
      </c>
      <c r="CQ391">
        <v>12044</v>
      </c>
      <c r="CR391">
        <v>11998</v>
      </c>
      <c r="CS391">
        <v>1067328</v>
      </c>
      <c r="CT391">
        <v>360</v>
      </c>
      <c r="CV391" s="24"/>
      <c r="CW391">
        <v>1384997</v>
      </c>
      <c r="CX391">
        <v>1389891</v>
      </c>
      <c r="CY391">
        <v>1389890</v>
      </c>
      <c r="CZ391">
        <v>5002</v>
      </c>
      <c r="DA391">
        <v>23</v>
      </c>
      <c r="DC391" s="24"/>
      <c r="DD391">
        <v>539</v>
      </c>
      <c r="DE391">
        <v>544</v>
      </c>
      <c r="DF391">
        <v>543</v>
      </c>
      <c r="DG391">
        <v>38693995</v>
      </c>
      <c r="DH391">
        <v>191</v>
      </c>
      <c r="DJ391" s="24"/>
      <c r="DK391">
        <v>22999998</v>
      </c>
      <c r="DL391">
        <v>24104015</v>
      </c>
      <c r="DM391">
        <v>24104015</v>
      </c>
      <c r="DN391">
        <v>575</v>
      </c>
      <c r="DO391">
        <v>99</v>
      </c>
      <c r="DQ391" s="24"/>
      <c r="DR391">
        <v>1750004</v>
      </c>
      <c r="DS391">
        <v>1829799</v>
      </c>
      <c r="DT391">
        <v>1750009</v>
      </c>
      <c r="DU391">
        <v>4203</v>
      </c>
      <c r="DV391">
        <v>218</v>
      </c>
      <c r="DX391" s="24"/>
      <c r="DY391">
        <v>17908005</v>
      </c>
      <c r="DZ391">
        <v>18399495</v>
      </c>
      <c r="EA391">
        <v>18099999</v>
      </c>
      <c r="EB391">
        <v>749</v>
      </c>
      <c r="EC391">
        <v>116</v>
      </c>
      <c r="EE391" s="24"/>
      <c r="EF391">
        <v>217</v>
      </c>
      <c r="EG391">
        <v>239</v>
      </c>
      <c r="EH391">
        <v>219</v>
      </c>
      <c r="EI391">
        <v>66826889</v>
      </c>
      <c r="EJ391">
        <v>135</v>
      </c>
      <c r="EL391" s="24"/>
      <c r="EM391">
        <v>79250</v>
      </c>
      <c r="EN391">
        <v>80000</v>
      </c>
      <c r="EO391">
        <v>79250</v>
      </c>
      <c r="EP391">
        <v>61854</v>
      </c>
      <c r="EQ391">
        <v>605</v>
      </c>
      <c r="ES391" s="24"/>
      <c r="ET391">
        <v>428</v>
      </c>
      <c r="EU391">
        <v>441</v>
      </c>
      <c r="EV391">
        <v>441</v>
      </c>
      <c r="EW391">
        <v>56541860</v>
      </c>
      <c r="EX391">
        <v>576</v>
      </c>
      <c r="EZ391" s="24"/>
      <c r="FA391">
        <v>3409999</v>
      </c>
      <c r="FB391">
        <v>3409999</v>
      </c>
      <c r="FC391">
        <v>3409999</v>
      </c>
      <c r="FD391">
        <v>365</v>
      </c>
      <c r="FE391">
        <v>8</v>
      </c>
      <c r="FG391" s="24"/>
      <c r="FH391">
        <v>9635</v>
      </c>
      <c r="FI391">
        <v>9949</v>
      </c>
      <c r="FJ391">
        <v>9948</v>
      </c>
      <c r="FK391">
        <v>1313984</v>
      </c>
      <c r="FL391">
        <v>409</v>
      </c>
      <c r="FN391" s="24"/>
      <c r="FO391">
        <v>36849</v>
      </c>
      <c r="FP391">
        <v>36849</v>
      </c>
      <c r="FQ391">
        <v>36849</v>
      </c>
      <c r="FR391">
        <v>199319</v>
      </c>
      <c r="FS391">
        <v>61</v>
      </c>
      <c r="FU391" s="24"/>
      <c r="FV391">
        <v>15514</v>
      </c>
      <c r="FW391">
        <v>16000</v>
      </c>
      <c r="FX391">
        <v>15517</v>
      </c>
      <c r="FY391">
        <v>309611</v>
      </c>
      <c r="FZ391">
        <v>1050</v>
      </c>
      <c r="GB391" s="24"/>
      <c r="GC391">
        <v>93499009</v>
      </c>
      <c r="GD391">
        <v>100191994</v>
      </c>
      <c r="GE391">
        <v>98113192</v>
      </c>
      <c r="GF391">
        <v>67</v>
      </c>
      <c r="GG391">
        <v>64</v>
      </c>
      <c r="GI391" s="24"/>
      <c r="GJ391">
        <v>21300007</v>
      </c>
      <c r="GK391">
        <v>22499999</v>
      </c>
      <c r="GL391">
        <v>21300008</v>
      </c>
      <c r="GM391">
        <v>311</v>
      </c>
      <c r="GN391">
        <v>66</v>
      </c>
      <c r="GP391" s="24"/>
      <c r="GQ391">
        <v>92</v>
      </c>
      <c r="GR391">
        <v>101</v>
      </c>
      <c r="GS391">
        <v>101</v>
      </c>
      <c r="GT391">
        <v>97523057</v>
      </c>
      <c r="GU391">
        <v>116</v>
      </c>
      <c r="GW391" s="24"/>
      <c r="GX391">
        <v>454</v>
      </c>
      <c r="GY391">
        <v>464</v>
      </c>
      <c r="GZ391">
        <v>464</v>
      </c>
      <c r="HA391">
        <v>35721925</v>
      </c>
      <c r="HB391">
        <v>193</v>
      </c>
      <c r="HD391" s="24"/>
      <c r="HE391">
        <v>5533</v>
      </c>
      <c r="HF391">
        <v>5685</v>
      </c>
      <c r="HG391">
        <v>5684</v>
      </c>
      <c r="HH391">
        <v>13757605</v>
      </c>
      <c r="HI391">
        <v>234</v>
      </c>
      <c r="HK391" s="24"/>
      <c r="HL391">
        <v>92953004</v>
      </c>
      <c r="HM391">
        <v>101354999</v>
      </c>
      <c r="HN391">
        <v>98525763</v>
      </c>
      <c r="HO391">
        <v>64</v>
      </c>
      <c r="HP391">
        <v>50</v>
      </c>
      <c r="HR391" s="24"/>
      <c r="HS391">
        <v>9900</v>
      </c>
      <c r="HT391">
        <v>9900</v>
      </c>
      <c r="HU391">
        <v>9900</v>
      </c>
      <c r="HV391">
        <v>537544</v>
      </c>
      <c r="HW391">
        <v>79</v>
      </c>
      <c r="HY391" s="24"/>
      <c r="HZ391">
        <v>11201</v>
      </c>
      <c r="IA391">
        <v>11543</v>
      </c>
      <c r="IB391">
        <v>11528</v>
      </c>
      <c r="IC391">
        <v>1936938</v>
      </c>
      <c r="ID391">
        <v>434</v>
      </c>
      <c r="IF391" s="24"/>
      <c r="IG391">
        <v>3366</v>
      </c>
      <c r="IH391">
        <v>3730</v>
      </c>
      <c r="II391">
        <v>3371</v>
      </c>
      <c r="IJ391">
        <v>2470759</v>
      </c>
      <c r="IK391">
        <v>131</v>
      </c>
      <c r="IM391" s="24"/>
      <c r="IN391">
        <v>95015104</v>
      </c>
      <c r="IO391">
        <v>96997999</v>
      </c>
      <c r="IP391">
        <v>95015107</v>
      </c>
      <c r="IQ391">
        <v>160</v>
      </c>
      <c r="IR391">
        <v>98</v>
      </c>
      <c r="IT391" s="24"/>
      <c r="IU391">
        <v>9896</v>
      </c>
      <c r="IV391">
        <v>9896</v>
      </c>
      <c r="IW391">
        <v>9896</v>
      </c>
      <c r="IX391">
        <v>1033891</v>
      </c>
      <c r="IY391">
        <v>124</v>
      </c>
      <c r="JA391" s="24"/>
      <c r="JB391">
        <v>93013000</v>
      </c>
      <c r="JC391">
        <v>99968900</v>
      </c>
      <c r="JD391">
        <v>97823292</v>
      </c>
      <c r="JE391">
        <v>81</v>
      </c>
      <c r="JF391">
        <v>61</v>
      </c>
      <c r="JH391" s="24"/>
      <c r="JI391">
        <v>94014100</v>
      </c>
      <c r="JJ391">
        <v>103987450</v>
      </c>
      <c r="JK391">
        <v>97476330</v>
      </c>
      <c r="JL391">
        <v>92</v>
      </c>
      <c r="JM391">
        <v>57</v>
      </c>
      <c r="JO391" s="24"/>
      <c r="JP391">
        <v>87</v>
      </c>
      <c r="JQ391">
        <v>89</v>
      </c>
      <c r="JR391">
        <v>88</v>
      </c>
      <c r="JS391">
        <v>58581480</v>
      </c>
      <c r="JT391">
        <v>68</v>
      </c>
      <c r="JV391" s="24"/>
      <c r="JW391">
        <v>88</v>
      </c>
      <c r="JX391">
        <v>92</v>
      </c>
      <c r="JY391">
        <v>91</v>
      </c>
      <c r="JZ391">
        <v>78297059</v>
      </c>
      <c r="KA391">
        <v>112</v>
      </c>
      <c r="KC391" s="24"/>
      <c r="KD391">
        <v>135</v>
      </c>
      <c r="KE391">
        <v>137</v>
      </c>
      <c r="KF391">
        <v>135</v>
      </c>
      <c r="KG391">
        <v>64789751</v>
      </c>
      <c r="KH391">
        <v>337</v>
      </c>
      <c r="KJ391" s="24"/>
      <c r="KK391">
        <v>116</v>
      </c>
      <c r="KL391">
        <v>120</v>
      </c>
      <c r="KM391">
        <v>120</v>
      </c>
      <c r="KN391">
        <v>85086375</v>
      </c>
      <c r="KO391">
        <v>129</v>
      </c>
      <c r="KQ391" s="24"/>
      <c r="KR391">
        <v>125004</v>
      </c>
      <c r="KS391">
        <v>128498</v>
      </c>
      <c r="KT391">
        <v>125006</v>
      </c>
      <c r="KU391">
        <v>72926</v>
      </c>
      <c r="KV391">
        <v>595</v>
      </c>
      <c r="KX391" s="24"/>
      <c r="KY391">
        <v>721</v>
      </c>
      <c r="KZ391">
        <v>721</v>
      </c>
      <c r="LA391">
        <v>721</v>
      </c>
      <c r="LB391">
        <v>3005165</v>
      </c>
      <c r="LC391">
        <v>128</v>
      </c>
      <c r="LE391" s="24"/>
      <c r="LF391">
        <v>181002</v>
      </c>
      <c r="LG391">
        <v>183250</v>
      </c>
      <c r="LH391">
        <v>181003</v>
      </c>
      <c r="LI391">
        <v>104702</v>
      </c>
      <c r="LJ391">
        <v>794</v>
      </c>
      <c r="LL391" s="24"/>
      <c r="LM391">
        <v>69005</v>
      </c>
      <c r="LN391">
        <v>69500</v>
      </c>
      <c r="LO391">
        <v>69008</v>
      </c>
      <c r="LP391">
        <v>353911</v>
      </c>
      <c r="LQ391">
        <v>1141</v>
      </c>
      <c r="LS391" s="24"/>
      <c r="LT391">
        <v>576</v>
      </c>
      <c r="LU391">
        <v>579</v>
      </c>
      <c r="LV391">
        <v>577</v>
      </c>
      <c r="LW391">
        <v>71509555</v>
      </c>
      <c r="LX391">
        <v>353</v>
      </c>
      <c r="LZ391" s="24"/>
      <c r="MA391">
        <v>111000</v>
      </c>
      <c r="MB391">
        <v>111003</v>
      </c>
      <c r="MC391">
        <v>111003</v>
      </c>
      <c r="MD391">
        <v>1271765</v>
      </c>
      <c r="ME391">
        <v>97</v>
      </c>
    </row>
    <row r="392" spans="2:343" x14ac:dyDescent="0.25">
      <c r="B392" s="24"/>
      <c r="C392">
        <v>3</v>
      </c>
      <c r="D392">
        <v>3</v>
      </c>
      <c r="E392">
        <v>3</v>
      </c>
      <c r="F392">
        <v>38880418011</v>
      </c>
      <c r="G392">
        <v>2808</v>
      </c>
      <c r="I392" s="24"/>
      <c r="J392">
        <v>5</v>
      </c>
      <c r="K392">
        <v>5</v>
      </c>
      <c r="L392">
        <v>5</v>
      </c>
      <c r="M392">
        <v>8940866788</v>
      </c>
      <c r="N392">
        <v>1985</v>
      </c>
      <c r="P392" s="24"/>
      <c r="Q392">
        <v>47</v>
      </c>
      <c r="R392">
        <v>48</v>
      </c>
      <c r="S392">
        <v>48</v>
      </c>
      <c r="T392">
        <v>1783484775</v>
      </c>
      <c r="U392">
        <v>1879</v>
      </c>
      <c r="W392" s="24"/>
      <c r="X392">
        <v>61</v>
      </c>
      <c r="Y392">
        <v>63</v>
      </c>
      <c r="Z392">
        <v>63</v>
      </c>
      <c r="AA392">
        <v>353323659</v>
      </c>
      <c r="AB392">
        <v>1459</v>
      </c>
      <c r="AD392" s="24"/>
      <c r="AE392">
        <v>464</v>
      </c>
      <c r="AF392">
        <v>469</v>
      </c>
      <c r="AG392">
        <v>468</v>
      </c>
      <c r="AH392">
        <v>75032524</v>
      </c>
      <c r="AI392">
        <v>1477</v>
      </c>
      <c r="AK392" s="24"/>
      <c r="AL392">
        <v>712</v>
      </c>
      <c r="AM392">
        <v>730</v>
      </c>
      <c r="AN392">
        <v>725</v>
      </c>
      <c r="AO392">
        <v>44615551</v>
      </c>
      <c r="AP392">
        <v>1240</v>
      </c>
      <c r="AR392" s="24"/>
      <c r="AS392">
        <v>2737</v>
      </c>
      <c r="AT392">
        <v>2838</v>
      </c>
      <c r="AU392">
        <v>2800</v>
      </c>
      <c r="AV392">
        <v>11594655</v>
      </c>
      <c r="AW392">
        <v>1159</v>
      </c>
      <c r="AY392" s="24"/>
      <c r="AZ392">
        <v>444000000</v>
      </c>
      <c r="BA392">
        <v>452999998</v>
      </c>
      <c r="BB392">
        <v>449400000</v>
      </c>
      <c r="BC392">
        <v>2606</v>
      </c>
      <c r="BD392">
        <v>1979</v>
      </c>
      <c r="BF392" s="24"/>
      <c r="BG392">
        <v>26684</v>
      </c>
      <c r="BH392">
        <v>27028</v>
      </c>
      <c r="BI392">
        <v>26884</v>
      </c>
      <c r="BJ392">
        <v>3378818</v>
      </c>
      <c r="BK392">
        <v>224</v>
      </c>
      <c r="BM392" s="24"/>
      <c r="BN392">
        <v>7101612</v>
      </c>
      <c r="BO392">
        <v>7214028</v>
      </c>
      <c r="BP392">
        <v>7214018</v>
      </c>
      <c r="BQ392">
        <v>12731</v>
      </c>
      <c r="BR392">
        <v>378</v>
      </c>
      <c r="BT392" s="24"/>
      <c r="BU392">
        <v>2535</v>
      </c>
      <c r="BV392">
        <v>2552</v>
      </c>
      <c r="BW392">
        <v>2539</v>
      </c>
      <c r="BX392">
        <v>16460878</v>
      </c>
      <c r="BY392">
        <v>232</v>
      </c>
      <c r="CA392" s="24"/>
      <c r="CB392">
        <v>1155</v>
      </c>
      <c r="CC392">
        <v>1157</v>
      </c>
      <c r="CD392">
        <v>1156</v>
      </c>
      <c r="CE392">
        <v>21110193</v>
      </c>
      <c r="CF392">
        <v>207</v>
      </c>
      <c r="CH392" s="24"/>
      <c r="CI392">
        <v>32103</v>
      </c>
      <c r="CJ392">
        <v>32504</v>
      </c>
      <c r="CK392">
        <v>32104</v>
      </c>
      <c r="CL392">
        <v>1308007</v>
      </c>
      <c r="CM392">
        <v>159</v>
      </c>
      <c r="CO392" s="24"/>
      <c r="CP392">
        <v>11670</v>
      </c>
      <c r="CQ392">
        <v>12147</v>
      </c>
      <c r="CR392">
        <v>11979</v>
      </c>
      <c r="CS392">
        <v>1029710</v>
      </c>
      <c r="CT392">
        <v>372</v>
      </c>
      <c r="CV392" s="24"/>
      <c r="CW392">
        <v>1349999</v>
      </c>
      <c r="CX392">
        <v>1389898</v>
      </c>
      <c r="CY392">
        <v>1389898</v>
      </c>
      <c r="CZ392">
        <v>12162</v>
      </c>
      <c r="DA392">
        <v>51</v>
      </c>
      <c r="DC392" s="24"/>
      <c r="DD392">
        <v>523</v>
      </c>
      <c r="DE392">
        <v>543</v>
      </c>
      <c r="DF392">
        <v>537</v>
      </c>
      <c r="DG392">
        <v>42976010</v>
      </c>
      <c r="DH392">
        <v>257</v>
      </c>
      <c r="DJ392" s="24"/>
      <c r="DK392">
        <v>20999988</v>
      </c>
      <c r="DL392">
        <v>21988500</v>
      </c>
      <c r="DM392">
        <v>21000000</v>
      </c>
      <c r="DN392">
        <v>439</v>
      </c>
      <c r="DO392">
        <v>107</v>
      </c>
      <c r="DQ392" s="24"/>
      <c r="DR392">
        <v>1750015</v>
      </c>
      <c r="DS392">
        <v>1849999</v>
      </c>
      <c r="DT392">
        <v>1751003</v>
      </c>
      <c r="DU392">
        <v>5623</v>
      </c>
      <c r="DV392">
        <v>292</v>
      </c>
      <c r="DX392" s="24"/>
      <c r="DY392">
        <v>17240010</v>
      </c>
      <c r="DZ392">
        <v>18600000</v>
      </c>
      <c r="EA392">
        <v>18000000</v>
      </c>
      <c r="EB392">
        <v>797</v>
      </c>
      <c r="EC392">
        <v>138</v>
      </c>
      <c r="EE392" s="24"/>
      <c r="EF392">
        <v>222</v>
      </c>
      <c r="EG392">
        <v>233</v>
      </c>
      <c r="EH392">
        <v>229</v>
      </c>
      <c r="EI392">
        <v>90054650</v>
      </c>
      <c r="EJ392">
        <v>172</v>
      </c>
      <c r="EL392" s="24"/>
      <c r="EM392">
        <v>79750</v>
      </c>
      <c r="EN392">
        <v>80001</v>
      </c>
      <c r="EO392">
        <v>80000</v>
      </c>
      <c r="EP392">
        <v>92333</v>
      </c>
      <c r="EQ392">
        <v>579</v>
      </c>
      <c r="ES392" s="24"/>
      <c r="ET392">
        <v>427</v>
      </c>
      <c r="EU392">
        <v>440</v>
      </c>
      <c r="EV392">
        <v>439</v>
      </c>
      <c r="EW392">
        <v>44528446</v>
      </c>
      <c r="EX392">
        <v>566</v>
      </c>
      <c r="EZ392" s="24"/>
      <c r="FA392">
        <v>3408995</v>
      </c>
      <c r="FB392">
        <v>3416998</v>
      </c>
      <c r="FC392">
        <v>3416997</v>
      </c>
      <c r="FD392">
        <v>1500</v>
      </c>
      <c r="FE392">
        <v>24</v>
      </c>
      <c r="FG392" s="24"/>
      <c r="FH392">
        <v>9611</v>
      </c>
      <c r="FI392">
        <v>9899</v>
      </c>
      <c r="FJ392">
        <v>9897</v>
      </c>
      <c r="FK392">
        <v>1413325</v>
      </c>
      <c r="FL392">
        <v>401</v>
      </c>
      <c r="FN392" s="24"/>
      <c r="FO392">
        <v>32607</v>
      </c>
      <c r="FP392">
        <v>36748</v>
      </c>
      <c r="FQ392">
        <v>32610</v>
      </c>
      <c r="FR392">
        <v>239307</v>
      </c>
      <c r="FS392">
        <v>100</v>
      </c>
      <c r="FU392" s="24"/>
      <c r="FV392">
        <v>16489</v>
      </c>
      <c r="FW392">
        <v>16785</v>
      </c>
      <c r="FX392">
        <v>16780</v>
      </c>
      <c r="FY392">
        <v>714804</v>
      </c>
      <c r="FZ392">
        <v>1099</v>
      </c>
      <c r="GB392" s="24"/>
      <c r="GC392">
        <v>94500001</v>
      </c>
      <c r="GD392">
        <v>99999999</v>
      </c>
      <c r="GE392">
        <v>97346582</v>
      </c>
      <c r="GF392">
        <v>54</v>
      </c>
      <c r="GG392">
        <v>48</v>
      </c>
      <c r="GI392" s="24"/>
      <c r="GJ392">
        <v>21500000</v>
      </c>
      <c r="GK392">
        <v>22499999</v>
      </c>
      <c r="GL392">
        <v>21501000</v>
      </c>
      <c r="GM392">
        <v>444</v>
      </c>
      <c r="GN392">
        <v>74</v>
      </c>
      <c r="GP392" s="24"/>
      <c r="GQ392">
        <v>93</v>
      </c>
      <c r="GR392">
        <v>102</v>
      </c>
      <c r="GS392">
        <v>101</v>
      </c>
      <c r="GT392">
        <v>147965759</v>
      </c>
      <c r="GU392">
        <v>141</v>
      </c>
      <c r="GW392" s="24"/>
      <c r="GX392">
        <v>445</v>
      </c>
      <c r="GY392">
        <v>462</v>
      </c>
      <c r="GZ392">
        <v>461</v>
      </c>
      <c r="HA392">
        <v>56815414</v>
      </c>
      <c r="HB392">
        <v>264</v>
      </c>
      <c r="HD392" s="24"/>
      <c r="HE392">
        <v>5682</v>
      </c>
      <c r="HF392">
        <v>5684</v>
      </c>
      <c r="HG392">
        <v>5683</v>
      </c>
      <c r="HH392">
        <v>12061548</v>
      </c>
      <c r="HI392">
        <v>245</v>
      </c>
      <c r="HK392" s="24"/>
      <c r="HL392">
        <v>94100012</v>
      </c>
      <c r="HM392">
        <v>98999898</v>
      </c>
      <c r="HN392">
        <v>97277519</v>
      </c>
      <c r="HO392">
        <v>65</v>
      </c>
      <c r="HP392">
        <v>53</v>
      </c>
      <c r="HR392" s="24"/>
      <c r="HS392">
        <v>10400</v>
      </c>
      <c r="HT392">
        <v>10479</v>
      </c>
      <c r="HU392">
        <v>10479</v>
      </c>
      <c r="HV392">
        <v>649190</v>
      </c>
      <c r="HW392">
        <v>119</v>
      </c>
      <c r="HY392" s="24"/>
      <c r="HZ392">
        <v>11070</v>
      </c>
      <c r="IA392">
        <v>11499</v>
      </c>
      <c r="IB392">
        <v>11474</v>
      </c>
      <c r="IC392">
        <v>1921789</v>
      </c>
      <c r="ID392">
        <v>501</v>
      </c>
      <c r="IF392" s="24"/>
      <c r="IG392">
        <v>3368</v>
      </c>
      <c r="IH392">
        <v>3714</v>
      </c>
      <c r="II392">
        <v>3369</v>
      </c>
      <c r="IJ392">
        <v>3125205</v>
      </c>
      <c r="IK392">
        <v>185</v>
      </c>
      <c r="IM392" s="24"/>
      <c r="IN392">
        <v>94500000</v>
      </c>
      <c r="IO392">
        <v>97999998</v>
      </c>
      <c r="IP392">
        <v>94500000</v>
      </c>
      <c r="IQ392">
        <v>134</v>
      </c>
      <c r="IR392">
        <v>69</v>
      </c>
      <c r="IT392" s="24"/>
      <c r="IU392">
        <v>10184</v>
      </c>
      <c r="IV392">
        <v>10184</v>
      </c>
      <c r="IW392">
        <v>10184</v>
      </c>
      <c r="IX392">
        <v>772714</v>
      </c>
      <c r="IY392">
        <v>126</v>
      </c>
      <c r="JA392" s="24"/>
      <c r="JB392">
        <v>94112004</v>
      </c>
      <c r="JC392">
        <v>97999996</v>
      </c>
      <c r="JD392">
        <v>96727719</v>
      </c>
      <c r="JE392">
        <v>58</v>
      </c>
      <c r="JF392">
        <v>51</v>
      </c>
      <c r="JH392" s="24"/>
      <c r="JI392">
        <v>93059000</v>
      </c>
      <c r="JJ392">
        <v>99799899</v>
      </c>
      <c r="JK392">
        <v>95587691</v>
      </c>
      <c r="JL392">
        <v>93</v>
      </c>
      <c r="JM392">
        <v>63</v>
      </c>
      <c r="JO392" s="24"/>
      <c r="JP392">
        <v>89</v>
      </c>
      <c r="JQ392">
        <v>89</v>
      </c>
      <c r="JR392">
        <v>89</v>
      </c>
      <c r="JS392">
        <v>100130081</v>
      </c>
      <c r="JT392">
        <v>114</v>
      </c>
      <c r="JV392" s="24"/>
      <c r="JW392">
        <v>89</v>
      </c>
      <c r="JX392">
        <v>94</v>
      </c>
      <c r="JY392">
        <v>93</v>
      </c>
      <c r="JZ392">
        <v>178278956</v>
      </c>
      <c r="KA392">
        <v>118</v>
      </c>
      <c r="KC392" s="24"/>
      <c r="KD392">
        <v>130</v>
      </c>
      <c r="KE392">
        <v>130</v>
      </c>
      <c r="KF392">
        <v>130</v>
      </c>
      <c r="KG392">
        <v>42752006</v>
      </c>
      <c r="KH392">
        <v>336</v>
      </c>
      <c r="KJ392" s="24"/>
      <c r="KK392">
        <v>111</v>
      </c>
      <c r="KL392">
        <v>116</v>
      </c>
      <c r="KM392">
        <v>111</v>
      </c>
      <c r="KN392">
        <v>97352901</v>
      </c>
      <c r="KO392">
        <v>129</v>
      </c>
      <c r="KQ392" s="24"/>
      <c r="KR392">
        <v>125016</v>
      </c>
      <c r="KS392">
        <v>127999</v>
      </c>
      <c r="KT392">
        <v>125016</v>
      </c>
      <c r="KU392">
        <v>65590</v>
      </c>
      <c r="KV392">
        <v>575</v>
      </c>
      <c r="KX392" s="24"/>
      <c r="KY392">
        <v>701</v>
      </c>
      <c r="KZ392">
        <v>721</v>
      </c>
      <c r="LA392">
        <v>721</v>
      </c>
      <c r="LB392">
        <v>8723633</v>
      </c>
      <c r="LC392">
        <v>178</v>
      </c>
      <c r="LE392" s="24"/>
      <c r="LF392">
        <v>182525</v>
      </c>
      <c r="LG392">
        <v>182600</v>
      </c>
      <c r="LH392">
        <v>182526</v>
      </c>
      <c r="LI392">
        <v>90284</v>
      </c>
      <c r="LJ392">
        <v>776</v>
      </c>
      <c r="LL392" s="24"/>
      <c r="LM392">
        <v>69525</v>
      </c>
      <c r="LN392">
        <v>70000</v>
      </c>
      <c r="LO392">
        <v>69527</v>
      </c>
      <c r="LP392">
        <v>339512</v>
      </c>
      <c r="LQ392">
        <v>1070</v>
      </c>
      <c r="LS392" s="24"/>
      <c r="LT392">
        <v>558</v>
      </c>
      <c r="LU392">
        <v>573</v>
      </c>
      <c r="LV392">
        <v>573</v>
      </c>
      <c r="LW392">
        <v>90806137</v>
      </c>
      <c r="LX392">
        <v>397</v>
      </c>
      <c r="LZ392" s="24"/>
      <c r="MA392">
        <v>103011</v>
      </c>
      <c r="MB392">
        <v>113499</v>
      </c>
      <c r="MC392">
        <v>103012</v>
      </c>
      <c r="MD392">
        <v>518083</v>
      </c>
      <c r="ME392">
        <v>62</v>
      </c>
    </row>
    <row r="393" spans="2:343" x14ac:dyDescent="0.25">
      <c r="B393" s="24"/>
      <c r="C393">
        <v>3</v>
      </c>
      <c r="D393">
        <v>3</v>
      </c>
      <c r="E393">
        <v>3</v>
      </c>
      <c r="F393">
        <v>31556645719</v>
      </c>
      <c r="G393">
        <v>2641</v>
      </c>
      <c r="I393" s="24"/>
      <c r="J393">
        <v>5</v>
      </c>
      <c r="K393">
        <v>5</v>
      </c>
      <c r="L393">
        <v>5</v>
      </c>
      <c r="M393">
        <v>6319623257</v>
      </c>
      <c r="N393">
        <v>2028</v>
      </c>
      <c r="P393" s="24"/>
      <c r="Q393">
        <v>46</v>
      </c>
      <c r="R393">
        <v>48</v>
      </c>
      <c r="S393">
        <v>48</v>
      </c>
      <c r="T393">
        <v>2114831719</v>
      </c>
      <c r="U393">
        <v>1940</v>
      </c>
      <c r="W393" s="24"/>
      <c r="X393">
        <v>63</v>
      </c>
      <c r="Y393">
        <v>64</v>
      </c>
      <c r="Z393">
        <v>64</v>
      </c>
      <c r="AA393">
        <v>356618077</v>
      </c>
      <c r="AB393">
        <v>1366</v>
      </c>
      <c r="AD393" s="24"/>
      <c r="AE393">
        <v>455</v>
      </c>
      <c r="AF393">
        <v>469</v>
      </c>
      <c r="AG393">
        <v>465</v>
      </c>
      <c r="AH393">
        <v>96712363</v>
      </c>
      <c r="AI393">
        <v>1480</v>
      </c>
      <c r="AK393" s="24"/>
      <c r="AL393">
        <v>716</v>
      </c>
      <c r="AM393">
        <v>730</v>
      </c>
      <c r="AN393">
        <v>722</v>
      </c>
      <c r="AO393">
        <v>34895163</v>
      </c>
      <c r="AP393">
        <v>1184</v>
      </c>
      <c r="AR393" s="24"/>
      <c r="AS393">
        <v>2739</v>
      </c>
      <c r="AT393">
        <v>2846</v>
      </c>
      <c r="AU393">
        <v>2824</v>
      </c>
      <c r="AV393">
        <v>15005508</v>
      </c>
      <c r="AW393">
        <v>1240</v>
      </c>
      <c r="AY393" s="24"/>
      <c r="AZ393">
        <v>445621025</v>
      </c>
      <c r="BA393">
        <v>453824000</v>
      </c>
      <c r="BB393">
        <v>450000000</v>
      </c>
      <c r="BC393">
        <v>2513</v>
      </c>
      <c r="BD393">
        <v>1838</v>
      </c>
      <c r="BF393" s="24"/>
      <c r="BG393">
        <v>26523</v>
      </c>
      <c r="BH393">
        <v>28398</v>
      </c>
      <c r="BI393">
        <v>27121</v>
      </c>
      <c r="BJ393">
        <v>1113209</v>
      </c>
      <c r="BK393">
        <v>217</v>
      </c>
      <c r="BM393" s="24"/>
      <c r="BN393">
        <v>7061100</v>
      </c>
      <c r="BO393">
        <v>7065011</v>
      </c>
      <c r="BP393">
        <v>7064006</v>
      </c>
      <c r="BQ393">
        <v>12864</v>
      </c>
      <c r="BR393">
        <v>338</v>
      </c>
      <c r="BT393" s="24"/>
      <c r="BU393">
        <v>2400</v>
      </c>
      <c r="BV393">
        <v>2553</v>
      </c>
      <c r="BW393">
        <v>2534</v>
      </c>
      <c r="BX393">
        <v>31178069</v>
      </c>
      <c r="BY393">
        <v>278</v>
      </c>
      <c r="CA393" s="24"/>
      <c r="CB393">
        <v>1086</v>
      </c>
      <c r="CC393">
        <v>1143</v>
      </c>
      <c r="CD393">
        <v>1143</v>
      </c>
      <c r="CE393">
        <v>40944970</v>
      </c>
      <c r="CF393">
        <v>294</v>
      </c>
      <c r="CH393" s="24"/>
      <c r="CI393">
        <v>31016</v>
      </c>
      <c r="CJ393">
        <v>32018</v>
      </c>
      <c r="CK393">
        <v>31313</v>
      </c>
      <c r="CL393">
        <v>997231</v>
      </c>
      <c r="CM393">
        <v>192</v>
      </c>
      <c r="CO393" s="24"/>
      <c r="CP393">
        <v>11520</v>
      </c>
      <c r="CQ393">
        <v>11977</v>
      </c>
      <c r="CR393">
        <v>11701</v>
      </c>
      <c r="CS393">
        <v>1258823</v>
      </c>
      <c r="CT393">
        <v>383</v>
      </c>
      <c r="CV393" s="24"/>
      <c r="CW393">
        <v>1301131</v>
      </c>
      <c r="CX393">
        <v>1387998</v>
      </c>
      <c r="CY393">
        <v>1329044</v>
      </c>
      <c r="CZ393">
        <v>11450</v>
      </c>
      <c r="DA393">
        <v>29</v>
      </c>
      <c r="DC393" s="24"/>
      <c r="DD393">
        <v>514</v>
      </c>
      <c r="DE393">
        <v>520</v>
      </c>
      <c r="DF393">
        <v>514</v>
      </c>
      <c r="DG393">
        <v>28502932</v>
      </c>
      <c r="DH393">
        <v>214</v>
      </c>
      <c r="DJ393" s="24"/>
      <c r="DK393">
        <v>22011021</v>
      </c>
      <c r="DL393">
        <v>24949998</v>
      </c>
      <c r="DM393">
        <v>24399999</v>
      </c>
      <c r="DN393">
        <v>639</v>
      </c>
      <c r="DO393">
        <v>145</v>
      </c>
      <c r="DQ393" s="24"/>
      <c r="DR393">
        <v>1997999</v>
      </c>
      <c r="DS393">
        <v>2088999</v>
      </c>
      <c r="DT393">
        <v>2002001</v>
      </c>
      <c r="DU393">
        <v>7018</v>
      </c>
      <c r="DV393">
        <v>305</v>
      </c>
      <c r="DX393" s="24"/>
      <c r="DY393">
        <v>18000041</v>
      </c>
      <c r="DZ393">
        <v>20999690</v>
      </c>
      <c r="EA393">
        <v>19500025</v>
      </c>
      <c r="EB393">
        <v>738</v>
      </c>
      <c r="EC393">
        <v>120</v>
      </c>
      <c r="EE393" s="24"/>
      <c r="EF393">
        <v>228</v>
      </c>
      <c r="EG393">
        <v>237</v>
      </c>
      <c r="EH393">
        <v>237</v>
      </c>
      <c r="EI393">
        <v>72583521</v>
      </c>
      <c r="EJ393">
        <v>181</v>
      </c>
      <c r="EL393" s="24"/>
      <c r="EM393">
        <v>65521</v>
      </c>
      <c r="EN393">
        <v>77007</v>
      </c>
      <c r="EO393">
        <v>74188</v>
      </c>
      <c r="EP393">
        <v>132212</v>
      </c>
      <c r="EQ393">
        <v>606</v>
      </c>
      <c r="ES393" s="24"/>
      <c r="ET393">
        <v>423</v>
      </c>
      <c r="EU393">
        <v>434</v>
      </c>
      <c r="EV393">
        <v>429</v>
      </c>
      <c r="EW393">
        <v>47903566</v>
      </c>
      <c r="EX393">
        <v>704</v>
      </c>
      <c r="EZ393" s="24"/>
      <c r="FA393">
        <v>3599999</v>
      </c>
      <c r="FB393">
        <v>3599999</v>
      </c>
      <c r="FC393">
        <v>3599999</v>
      </c>
      <c r="FD393">
        <v>1032</v>
      </c>
      <c r="FE393">
        <v>12</v>
      </c>
      <c r="FG393" s="24"/>
      <c r="FH393">
        <v>9351</v>
      </c>
      <c r="FI393">
        <v>9900</v>
      </c>
      <c r="FJ393">
        <v>9849</v>
      </c>
      <c r="FK393">
        <v>1790832</v>
      </c>
      <c r="FL393">
        <v>486</v>
      </c>
      <c r="FN393" s="24"/>
      <c r="FO393">
        <v>31661</v>
      </c>
      <c r="FP393">
        <v>36747</v>
      </c>
      <c r="FQ393">
        <v>35997</v>
      </c>
      <c r="FR393">
        <v>173968</v>
      </c>
      <c r="FS393">
        <v>87</v>
      </c>
      <c r="FU393" s="24"/>
      <c r="FV393">
        <v>16580</v>
      </c>
      <c r="FW393">
        <v>16781</v>
      </c>
      <c r="FX393">
        <v>16580</v>
      </c>
      <c r="FY393">
        <v>606306</v>
      </c>
      <c r="FZ393">
        <v>1075</v>
      </c>
      <c r="GB393" s="24"/>
      <c r="GC393">
        <v>97000005</v>
      </c>
      <c r="GD393">
        <v>100090498</v>
      </c>
      <c r="GE393">
        <v>97000005</v>
      </c>
      <c r="GF393">
        <v>104</v>
      </c>
      <c r="GG393">
        <v>59</v>
      </c>
      <c r="GI393" s="24"/>
      <c r="GJ393">
        <v>21600000</v>
      </c>
      <c r="GK393">
        <v>22500012</v>
      </c>
      <c r="GL393">
        <v>22000000</v>
      </c>
      <c r="GM393">
        <v>956</v>
      </c>
      <c r="GN393">
        <v>99</v>
      </c>
      <c r="GP393" s="24"/>
      <c r="GQ393">
        <v>99</v>
      </c>
      <c r="GR393">
        <v>102</v>
      </c>
      <c r="GS393">
        <v>102</v>
      </c>
      <c r="GT393">
        <v>108642185</v>
      </c>
      <c r="GU393">
        <v>161</v>
      </c>
      <c r="GW393" s="24"/>
      <c r="GX393">
        <v>445</v>
      </c>
      <c r="GY393">
        <v>457</v>
      </c>
      <c r="GZ393">
        <v>457</v>
      </c>
      <c r="HA393">
        <v>62206432</v>
      </c>
      <c r="HB393">
        <v>278</v>
      </c>
      <c r="HD393" s="24"/>
      <c r="HE393">
        <v>5609</v>
      </c>
      <c r="HF393">
        <v>5681</v>
      </c>
      <c r="HG393">
        <v>5610</v>
      </c>
      <c r="HH393">
        <v>14275109</v>
      </c>
      <c r="HI393">
        <v>252</v>
      </c>
      <c r="HK393" s="24"/>
      <c r="HL393">
        <v>95100005</v>
      </c>
      <c r="HM393">
        <v>98792949</v>
      </c>
      <c r="HN393">
        <v>95100009</v>
      </c>
      <c r="HO393">
        <v>103</v>
      </c>
      <c r="HP393">
        <v>66</v>
      </c>
      <c r="HR393" s="24"/>
      <c r="HS393">
        <v>9705</v>
      </c>
      <c r="HT393">
        <v>10225</v>
      </c>
      <c r="HU393">
        <v>9705</v>
      </c>
      <c r="HV393">
        <v>738811</v>
      </c>
      <c r="HW393">
        <v>159</v>
      </c>
      <c r="HY393" s="24"/>
      <c r="HZ393">
        <v>11080</v>
      </c>
      <c r="IA393">
        <v>11447</v>
      </c>
      <c r="IB393">
        <v>11439</v>
      </c>
      <c r="IC393">
        <v>2281755</v>
      </c>
      <c r="ID393">
        <v>536</v>
      </c>
      <c r="IF393" s="24"/>
      <c r="IG393">
        <v>3367</v>
      </c>
      <c r="IH393">
        <v>3712</v>
      </c>
      <c r="II393">
        <v>3710</v>
      </c>
      <c r="IJ393">
        <v>2219694</v>
      </c>
      <c r="IK393">
        <v>166</v>
      </c>
      <c r="IM393" s="24"/>
      <c r="IN393">
        <v>94511000</v>
      </c>
      <c r="IO393">
        <v>97899998</v>
      </c>
      <c r="IP393">
        <v>96909150</v>
      </c>
      <c r="IQ393">
        <v>60</v>
      </c>
      <c r="IR393">
        <v>52</v>
      </c>
      <c r="IT393" s="24"/>
      <c r="IU393">
        <v>9900</v>
      </c>
      <c r="IV393">
        <v>10184</v>
      </c>
      <c r="IW393">
        <v>10180</v>
      </c>
      <c r="IX393">
        <v>1575536</v>
      </c>
      <c r="IY393">
        <v>144</v>
      </c>
      <c r="JA393" s="24"/>
      <c r="JB393">
        <v>93138200</v>
      </c>
      <c r="JC393">
        <v>96499999</v>
      </c>
      <c r="JD393">
        <v>95100000</v>
      </c>
      <c r="JE393">
        <v>120</v>
      </c>
      <c r="JF393">
        <v>72</v>
      </c>
      <c r="JH393" s="24"/>
      <c r="JI393">
        <v>93057001</v>
      </c>
      <c r="JJ393">
        <v>97778993</v>
      </c>
      <c r="JK393">
        <v>95468043</v>
      </c>
      <c r="JL393">
        <v>83</v>
      </c>
      <c r="JM393">
        <v>57</v>
      </c>
      <c r="JO393" s="24"/>
      <c r="JP393">
        <v>89</v>
      </c>
      <c r="JQ393">
        <v>91</v>
      </c>
      <c r="JR393">
        <v>91</v>
      </c>
      <c r="JS393">
        <v>109684910</v>
      </c>
      <c r="JT393">
        <v>94</v>
      </c>
      <c r="JV393" s="24"/>
      <c r="JW393">
        <v>89</v>
      </c>
      <c r="JX393">
        <v>94</v>
      </c>
      <c r="JY393">
        <v>94</v>
      </c>
      <c r="JZ393">
        <v>113666957</v>
      </c>
      <c r="KA393">
        <v>117</v>
      </c>
      <c r="KC393" s="24"/>
      <c r="KD393">
        <v>118</v>
      </c>
      <c r="KE393">
        <v>123</v>
      </c>
      <c r="KF393">
        <v>122</v>
      </c>
      <c r="KG393">
        <v>68400783</v>
      </c>
      <c r="KH393">
        <v>419</v>
      </c>
      <c r="KJ393" s="24"/>
      <c r="KK393">
        <v>110</v>
      </c>
      <c r="KL393">
        <v>115</v>
      </c>
      <c r="KM393">
        <v>110</v>
      </c>
      <c r="KN393">
        <v>99373624</v>
      </c>
      <c r="KO393">
        <v>145</v>
      </c>
      <c r="KQ393" s="24"/>
      <c r="KR393">
        <v>128598</v>
      </c>
      <c r="KS393">
        <v>128599</v>
      </c>
      <c r="KT393">
        <v>128599</v>
      </c>
      <c r="KU393">
        <v>102440</v>
      </c>
      <c r="KV393">
        <v>576</v>
      </c>
      <c r="KX393" s="24"/>
      <c r="KY393">
        <v>701</v>
      </c>
      <c r="KZ393">
        <v>719</v>
      </c>
      <c r="LA393">
        <v>719</v>
      </c>
      <c r="LB393">
        <v>4793946</v>
      </c>
      <c r="LC393">
        <v>189</v>
      </c>
      <c r="LE393" s="24"/>
      <c r="LF393">
        <v>182600</v>
      </c>
      <c r="LG393">
        <v>182652</v>
      </c>
      <c r="LH393">
        <v>182601</v>
      </c>
      <c r="LI393">
        <v>143425</v>
      </c>
      <c r="LJ393">
        <v>735</v>
      </c>
      <c r="LL393" s="24"/>
      <c r="LM393">
        <v>67501</v>
      </c>
      <c r="LN393">
        <v>70011</v>
      </c>
      <c r="LO393">
        <v>69005</v>
      </c>
      <c r="LP393">
        <v>542402</v>
      </c>
      <c r="LQ393">
        <v>1158</v>
      </c>
      <c r="LS393" s="24"/>
      <c r="LT393">
        <v>569</v>
      </c>
      <c r="LU393">
        <v>572</v>
      </c>
      <c r="LV393">
        <v>570</v>
      </c>
      <c r="LW393">
        <v>96892736</v>
      </c>
      <c r="LX393">
        <v>438</v>
      </c>
      <c r="LZ393" s="24"/>
      <c r="MA393">
        <v>112000</v>
      </c>
      <c r="MB393">
        <v>113438</v>
      </c>
      <c r="MC393">
        <v>113438</v>
      </c>
      <c r="MD393">
        <v>387551</v>
      </c>
      <c r="ME393">
        <v>41</v>
      </c>
    </row>
    <row r="394" spans="2:343" x14ac:dyDescent="0.25">
      <c r="B394" s="24"/>
      <c r="C394">
        <v>3</v>
      </c>
      <c r="D394">
        <v>3</v>
      </c>
      <c r="E394">
        <v>3</v>
      </c>
      <c r="F394">
        <v>26320667833</v>
      </c>
      <c r="G394">
        <v>2511</v>
      </c>
      <c r="I394" s="24"/>
      <c r="J394">
        <v>5</v>
      </c>
      <c r="K394">
        <v>5</v>
      </c>
      <c r="L394">
        <v>5</v>
      </c>
      <c r="M394">
        <v>5133748867</v>
      </c>
      <c r="N394">
        <v>1794</v>
      </c>
      <c r="P394" s="24"/>
      <c r="Q394">
        <v>49</v>
      </c>
      <c r="R394">
        <v>49</v>
      </c>
      <c r="S394">
        <v>49</v>
      </c>
      <c r="T394">
        <v>1768771952</v>
      </c>
      <c r="U394">
        <v>1662</v>
      </c>
      <c r="W394" s="24"/>
      <c r="X394">
        <v>62</v>
      </c>
      <c r="Y394">
        <v>64</v>
      </c>
      <c r="Z394">
        <v>64</v>
      </c>
      <c r="AA394">
        <v>352423619</v>
      </c>
      <c r="AB394">
        <v>1296</v>
      </c>
      <c r="AD394" s="24"/>
      <c r="AE394">
        <v>454</v>
      </c>
      <c r="AF394">
        <v>465</v>
      </c>
      <c r="AG394">
        <v>459</v>
      </c>
      <c r="AH394">
        <v>93024176</v>
      </c>
      <c r="AI394">
        <v>1320</v>
      </c>
      <c r="AK394" s="24"/>
      <c r="AL394">
        <v>718</v>
      </c>
      <c r="AM394">
        <v>731</v>
      </c>
      <c r="AN394">
        <v>729</v>
      </c>
      <c r="AO394">
        <v>42717460</v>
      </c>
      <c r="AP394">
        <v>1145</v>
      </c>
      <c r="AR394" s="24"/>
      <c r="AS394">
        <v>2770</v>
      </c>
      <c r="AT394">
        <v>2878</v>
      </c>
      <c r="AU394">
        <v>2813</v>
      </c>
      <c r="AV394">
        <v>13857535</v>
      </c>
      <c r="AW394">
        <v>1136</v>
      </c>
      <c r="AY394" s="24"/>
      <c r="AZ394">
        <v>448001126</v>
      </c>
      <c r="BA394">
        <v>454699999</v>
      </c>
      <c r="BB394">
        <v>452809000</v>
      </c>
      <c r="BC394">
        <v>2531</v>
      </c>
      <c r="BD394">
        <v>1658</v>
      </c>
      <c r="BF394" s="24"/>
      <c r="BG394">
        <v>26845</v>
      </c>
      <c r="BH394">
        <v>28293</v>
      </c>
      <c r="BI394">
        <v>26850</v>
      </c>
      <c r="BJ394">
        <v>1501709</v>
      </c>
      <c r="BK394">
        <v>180</v>
      </c>
      <c r="BM394" s="24"/>
      <c r="BN394">
        <v>7104004</v>
      </c>
      <c r="BO394">
        <v>7150012</v>
      </c>
      <c r="BP394">
        <v>7105000</v>
      </c>
      <c r="BQ394">
        <v>16007</v>
      </c>
      <c r="BR394">
        <v>350</v>
      </c>
      <c r="BT394" s="24"/>
      <c r="BU394">
        <v>2451</v>
      </c>
      <c r="BV394">
        <v>2552</v>
      </c>
      <c r="BW394">
        <v>2551</v>
      </c>
      <c r="BX394">
        <v>45202121</v>
      </c>
      <c r="BY394">
        <v>293</v>
      </c>
      <c r="CA394" s="24"/>
      <c r="CB394">
        <v>1089</v>
      </c>
      <c r="CC394">
        <v>1141</v>
      </c>
      <c r="CD394">
        <v>1140</v>
      </c>
      <c r="CE394">
        <v>40365866</v>
      </c>
      <c r="CF394">
        <v>316</v>
      </c>
      <c r="CH394" s="24"/>
      <c r="CI394">
        <v>32020</v>
      </c>
      <c r="CJ394">
        <v>32400</v>
      </c>
      <c r="CK394">
        <v>32400</v>
      </c>
      <c r="CL394">
        <v>784831</v>
      </c>
      <c r="CM394">
        <v>161</v>
      </c>
      <c r="CO394" s="24"/>
      <c r="CP394">
        <v>10891</v>
      </c>
      <c r="CQ394">
        <v>11699</v>
      </c>
      <c r="CR394">
        <v>11643</v>
      </c>
      <c r="CS394">
        <v>1214259</v>
      </c>
      <c r="CT394">
        <v>354</v>
      </c>
      <c r="CV394" s="24"/>
      <c r="CW394">
        <v>1225034</v>
      </c>
      <c r="CX394">
        <v>1383000</v>
      </c>
      <c r="CY394">
        <v>1377998</v>
      </c>
      <c r="CZ394">
        <v>11898</v>
      </c>
      <c r="DA394">
        <v>38</v>
      </c>
      <c r="DC394" s="24"/>
      <c r="DD394">
        <v>514</v>
      </c>
      <c r="DE394">
        <v>535</v>
      </c>
      <c r="DF394">
        <v>535</v>
      </c>
      <c r="DG394">
        <v>37274843</v>
      </c>
      <c r="DH394">
        <v>208</v>
      </c>
      <c r="DJ394" s="24"/>
      <c r="DK394">
        <v>22064018</v>
      </c>
      <c r="DL394">
        <v>25000000</v>
      </c>
      <c r="DM394">
        <v>24822231</v>
      </c>
      <c r="DN394">
        <v>671</v>
      </c>
      <c r="DO394">
        <v>119</v>
      </c>
      <c r="DQ394" s="24"/>
      <c r="DR394">
        <v>2002157</v>
      </c>
      <c r="DS394">
        <v>2143900</v>
      </c>
      <c r="DT394">
        <v>2124997</v>
      </c>
      <c r="DU394">
        <v>9324</v>
      </c>
      <c r="DV394">
        <v>269</v>
      </c>
      <c r="DX394" s="24"/>
      <c r="DY394">
        <v>18000183</v>
      </c>
      <c r="DZ394">
        <v>19130114</v>
      </c>
      <c r="EA394">
        <v>19100001</v>
      </c>
      <c r="EB394">
        <v>503</v>
      </c>
      <c r="EC394">
        <v>85</v>
      </c>
      <c r="EE394" s="24"/>
      <c r="EF394">
        <v>238</v>
      </c>
      <c r="EG394">
        <v>246</v>
      </c>
      <c r="EH394">
        <v>238</v>
      </c>
      <c r="EI394">
        <v>96134390</v>
      </c>
      <c r="EJ394">
        <v>155</v>
      </c>
      <c r="EL394" s="24"/>
      <c r="EM394">
        <v>72006</v>
      </c>
      <c r="EN394">
        <v>73000</v>
      </c>
      <c r="EO394">
        <v>73000</v>
      </c>
      <c r="EP394">
        <v>120660</v>
      </c>
      <c r="EQ394">
        <v>594</v>
      </c>
      <c r="ES394" s="24"/>
      <c r="ET394">
        <v>400</v>
      </c>
      <c r="EU394">
        <v>431</v>
      </c>
      <c r="EV394">
        <v>430</v>
      </c>
      <c r="EW394">
        <v>66796411</v>
      </c>
      <c r="EX394">
        <v>714</v>
      </c>
      <c r="EZ394" s="24"/>
      <c r="FA394">
        <v>3398998</v>
      </c>
      <c r="FB394">
        <v>3399799</v>
      </c>
      <c r="FC394">
        <v>3399799</v>
      </c>
      <c r="FD394">
        <v>503</v>
      </c>
      <c r="FE394">
        <v>11</v>
      </c>
      <c r="FG394" s="24"/>
      <c r="FH394">
        <v>9295</v>
      </c>
      <c r="FI394">
        <v>9742</v>
      </c>
      <c r="FJ394">
        <v>9351</v>
      </c>
      <c r="FK394">
        <v>1764573</v>
      </c>
      <c r="FL394">
        <v>409</v>
      </c>
      <c r="FN394" s="24"/>
      <c r="FO394">
        <v>32257</v>
      </c>
      <c r="FP394">
        <v>35989</v>
      </c>
      <c r="FQ394">
        <v>32300</v>
      </c>
      <c r="FR394">
        <v>274738</v>
      </c>
      <c r="FS394">
        <v>98</v>
      </c>
      <c r="FU394" s="24"/>
      <c r="FV394">
        <v>15525</v>
      </c>
      <c r="FW394">
        <v>15551</v>
      </c>
      <c r="FX394">
        <v>15550</v>
      </c>
      <c r="FY394">
        <v>444335</v>
      </c>
      <c r="FZ394">
        <v>1051</v>
      </c>
      <c r="GB394" s="24"/>
      <c r="GC394">
        <v>94522000</v>
      </c>
      <c r="GD394">
        <v>100190986</v>
      </c>
      <c r="GE394">
        <v>97915805</v>
      </c>
      <c r="GF394">
        <v>69</v>
      </c>
      <c r="GG394">
        <v>59</v>
      </c>
      <c r="GI394" s="24"/>
      <c r="GJ394">
        <v>21300021</v>
      </c>
      <c r="GK394">
        <v>22300021</v>
      </c>
      <c r="GL394">
        <v>21300024</v>
      </c>
      <c r="GM394">
        <v>645</v>
      </c>
      <c r="GN394">
        <v>83</v>
      </c>
      <c r="GP394" s="24"/>
      <c r="GQ394">
        <v>96</v>
      </c>
      <c r="GR394">
        <v>101</v>
      </c>
      <c r="GS394">
        <v>101</v>
      </c>
      <c r="GT394">
        <v>108606781</v>
      </c>
      <c r="GU394">
        <v>160</v>
      </c>
      <c r="GW394" s="24"/>
      <c r="GX394">
        <v>461</v>
      </c>
      <c r="GY394">
        <v>462</v>
      </c>
      <c r="GZ394">
        <v>462</v>
      </c>
      <c r="HA394">
        <v>56176955</v>
      </c>
      <c r="HB394">
        <v>230</v>
      </c>
      <c r="HD394" s="24"/>
      <c r="HE394">
        <v>5652</v>
      </c>
      <c r="HF394">
        <v>5681</v>
      </c>
      <c r="HG394">
        <v>5681</v>
      </c>
      <c r="HH394">
        <v>16839553</v>
      </c>
      <c r="HI394">
        <v>250</v>
      </c>
      <c r="HK394" s="24"/>
      <c r="HL394">
        <v>95106001</v>
      </c>
      <c r="HM394">
        <v>98792898</v>
      </c>
      <c r="HN394">
        <v>97571408</v>
      </c>
      <c r="HO394">
        <v>65</v>
      </c>
      <c r="HP394">
        <v>55</v>
      </c>
      <c r="HR394" s="24"/>
      <c r="HS394">
        <v>9700</v>
      </c>
      <c r="HT394">
        <v>10249</v>
      </c>
      <c r="HU394">
        <v>9700</v>
      </c>
      <c r="HV394">
        <v>791240</v>
      </c>
      <c r="HW394">
        <v>108</v>
      </c>
      <c r="HY394" s="24"/>
      <c r="HZ394">
        <v>10510</v>
      </c>
      <c r="IA394">
        <v>11070</v>
      </c>
      <c r="IB394">
        <v>10899</v>
      </c>
      <c r="IC394">
        <v>2498877</v>
      </c>
      <c r="ID394">
        <v>547</v>
      </c>
      <c r="IF394" s="24"/>
      <c r="IG394">
        <v>3566</v>
      </c>
      <c r="IH394">
        <v>3711</v>
      </c>
      <c r="II394">
        <v>3710</v>
      </c>
      <c r="IJ394">
        <v>2469607</v>
      </c>
      <c r="IK394">
        <v>154</v>
      </c>
      <c r="IM394" s="24"/>
      <c r="IN394">
        <v>97999998</v>
      </c>
      <c r="IO394">
        <v>102915104</v>
      </c>
      <c r="IP394">
        <v>99179461</v>
      </c>
      <c r="IQ394">
        <v>72</v>
      </c>
      <c r="IR394">
        <v>53</v>
      </c>
      <c r="IT394" s="24"/>
      <c r="IU394">
        <v>10000</v>
      </c>
      <c r="IV394">
        <v>10179</v>
      </c>
      <c r="IW394">
        <v>10177</v>
      </c>
      <c r="IX394">
        <v>1073755</v>
      </c>
      <c r="IY394">
        <v>122</v>
      </c>
      <c r="JA394" s="24"/>
      <c r="JB394">
        <v>93142004</v>
      </c>
      <c r="JC394">
        <v>96499994</v>
      </c>
      <c r="JD394">
        <v>95880126</v>
      </c>
      <c r="JE394">
        <v>55</v>
      </c>
      <c r="JF394">
        <v>49</v>
      </c>
      <c r="JH394" s="24"/>
      <c r="JI394">
        <v>93075001</v>
      </c>
      <c r="JJ394">
        <v>97743598</v>
      </c>
      <c r="JK394">
        <v>96945098</v>
      </c>
      <c r="JL394">
        <v>38</v>
      </c>
      <c r="JM394">
        <v>36</v>
      </c>
      <c r="JO394" s="24"/>
      <c r="JP394">
        <v>91</v>
      </c>
      <c r="JQ394">
        <v>92</v>
      </c>
      <c r="JR394">
        <v>92</v>
      </c>
      <c r="JS394">
        <v>81404249</v>
      </c>
      <c r="JT394">
        <v>97</v>
      </c>
      <c r="JV394" s="24"/>
      <c r="JW394">
        <v>92</v>
      </c>
      <c r="JX394">
        <v>95</v>
      </c>
      <c r="JY394">
        <v>92</v>
      </c>
      <c r="JZ394">
        <v>120806539</v>
      </c>
      <c r="KA394">
        <v>122</v>
      </c>
      <c r="KC394" s="24"/>
      <c r="KD394">
        <v>115</v>
      </c>
      <c r="KE394">
        <v>122</v>
      </c>
      <c r="KF394">
        <v>120</v>
      </c>
      <c r="KG394">
        <v>53400308</v>
      </c>
      <c r="KH394">
        <v>371</v>
      </c>
      <c r="KJ394" s="24"/>
      <c r="KK394">
        <v>108</v>
      </c>
      <c r="KL394">
        <v>115</v>
      </c>
      <c r="KM394">
        <v>111</v>
      </c>
      <c r="KN394">
        <v>165571530</v>
      </c>
      <c r="KO394">
        <v>149</v>
      </c>
      <c r="KQ394" s="24"/>
      <c r="KR394">
        <v>124000</v>
      </c>
      <c r="KS394">
        <v>124002</v>
      </c>
      <c r="KT394">
        <v>124001</v>
      </c>
      <c r="KU394">
        <v>44665</v>
      </c>
      <c r="KV394">
        <v>505</v>
      </c>
      <c r="KX394" s="24"/>
      <c r="KY394">
        <v>706</v>
      </c>
      <c r="KZ394">
        <v>719</v>
      </c>
      <c r="LA394">
        <v>719</v>
      </c>
      <c r="LB394">
        <v>5506003</v>
      </c>
      <c r="LC394">
        <v>175</v>
      </c>
      <c r="LE394" s="24"/>
      <c r="LF394">
        <v>183000</v>
      </c>
      <c r="LG394">
        <v>184000</v>
      </c>
      <c r="LH394">
        <v>183100</v>
      </c>
      <c r="LI394">
        <v>170421</v>
      </c>
      <c r="LJ394">
        <v>804</v>
      </c>
      <c r="LL394" s="24"/>
      <c r="LM394">
        <v>65000</v>
      </c>
      <c r="LN394">
        <v>67798</v>
      </c>
      <c r="LO394">
        <v>67000</v>
      </c>
      <c r="LP394">
        <v>434356</v>
      </c>
      <c r="LQ394">
        <v>1076</v>
      </c>
      <c r="LS394" s="24"/>
      <c r="LT394">
        <v>538</v>
      </c>
      <c r="LU394">
        <v>558</v>
      </c>
      <c r="LV394">
        <v>550</v>
      </c>
      <c r="LW394">
        <v>102674163</v>
      </c>
      <c r="LX394">
        <v>412</v>
      </c>
      <c r="LZ394" s="24"/>
      <c r="MA394">
        <v>106008</v>
      </c>
      <c r="MB394">
        <v>108030</v>
      </c>
      <c r="MC394">
        <v>106022</v>
      </c>
      <c r="MD394">
        <v>1374297</v>
      </c>
      <c r="ME394">
        <v>117</v>
      </c>
    </row>
    <row r="395" spans="2:343" x14ac:dyDescent="0.25">
      <c r="B395" s="24"/>
      <c r="C395">
        <v>3</v>
      </c>
      <c r="D395">
        <v>3</v>
      </c>
      <c r="E395">
        <v>3</v>
      </c>
      <c r="F395">
        <v>27277179329</v>
      </c>
      <c r="G395">
        <v>2624</v>
      </c>
      <c r="I395" s="24"/>
      <c r="J395">
        <v>5</v>
      </c>
      <c r="K395">
        <v>5</v>
      </c>
      <c r="L395">
        <v>5</v>
      </c>
      <c r="M395">
        <v>5947708400</v>
      </c>
      <c r="N395">
        <v>1839</v>
      </c>
      <c r="P395" s="24"/>
      <c r="Q395">
        <v>49</v>
      </c>
      <c r="R395">
        <v>49</v>
      </c>
      <c r="S395">
        <v>49</v>
      </c>
      <c r="T395">
        <v>1862528904</v>
      </c>
      <c r="U395">
        <v>1774</v>
      </c>
      <c r="W395" s="24"/>
      <c r="X395">
        <v>64</v>
      </c>
      <c r="Y395">
        <v>65</v>
      </c>
      <c r="Z395">
        <v>65</v>
      </c>
      <c r="AA395">
        <v>477170753</v>
      </c>
      <c r="AB395">
        <v>1352</v>
      </c>
      <c r="AD395" s="24"/>
      <c r="AE395">
        <v>462</v>
      </c>
      <c r="AF395">
        <v>468</v>
      </c>
      <c r="AG395">
        <v>468</v>
      </c>
      <c r="AH395">
        <v>102357982</v>
      </c>
      <c r="AI395">
        <v>1393</v>
      </c>
      <c r="AK395" s="24"/>
      <c r="AL395">
        <v>731</v>
      </c>
      <c r="AM395">
        <v>731</v>
      </c>
      <c r="AN395">
        <v>731</v>
      </c>
      <c r="AO395">
        <v>55415675</v>
      </c>
      <c r="AP395">
        <v>1239</v>
      </c>
      <c r="AR395" s="24"/>
      <c r="AS395">
        <v>2801</v>
      </c>
      <c r="AT395">
        <v>2884</v>
      </c>
      <c r="AU395">
        <v>2815</v>
      </c>
      <c r="AV395">
        <v>13176329</v>
      </c>
      <c r="AW395">
        <v>1183</v>
      </c>
      <c r="AY395" s="24"/>
      <c r="AZ395">
        <v>450000000</v>
      </c>
      <c r="BA395">
        <v>457000412</v>
      </c>
      <c r="BB395">
        <v>455854997</v>
      </c>
      <c r="BC395">
        <v>3023</v>
      </c>
      <c r="BD395">
        <v>1959</v>
      </c>
      <c r="BF395" s="24"/>
      <c r="BG395">
        <v>27001</v>
      </c>
      <c r="BH395">
        <v>28727</v>
      </c>
      <c r="BI395">
        <v>27501</v>
      </c>
      <c r="BJ395">
        <v>1444888</v>
      </c>
      <c r="BK395">
        <v>267</v>
      </c>
      <c r="BM395" s="24"/>
      <c r="BN395">
        <v>7117502</v>
      </c>
      <c r="BO395">
        <v>7150145</v>
      </c>
      <c r="BP395">
        <v>7150000</v>
      </c>
      <c r="BQ395">
        <v>12602</v>
      </c>
      <c r="BR395">
        <v>342</v>
      </c>
      <c r="BT395" s="24"/>
      <c r="BU395">
        <v>2551</v>
      </c>
      <c r="BV395">
        <v>2552</v>
      </c>
      <c r="BW395">
        <v>2552</v>
      </c>
      <c r="BX395">
        <v>26126748</v>
      </c>
      <c r="BY395">
        <v>253</v>
      </c>
      <c r="CA395" s="24"/>
      <c r="CB395">
        <v>1086</v>
      </c>
      <c r="CC395">
        <v>1129</v>
      </c>
      <c r="CD395">
        <v>1119</v>
      </c>
      <c r="CE395">
        <v>48619783</v>
      </c>
      <c r="CF395">
        <v>325</v>
      </c>
      <c r="CH395" s="24"/>
      <c r="CI395">
        <v>32400</v>
      </c>
      <c r="CJ395">
        <v>33199</v>
      </c>
      <c r="CK395">
        <v>32400</v>
      </c>
      <c r="CL395">
        <v>647722</v>
      </c>
      <c r="CM395">
        <v>180</v>
      </c>
      <c r="CO395" s="24"/>
      <c r="CP395">
        <v>10899</v>
      </c>
      <c r="CQ395">
        <v>11499</v>
      </c>
      <c r="CR395">
        <v>11399</v>
      </c>
      <c r="CS395">
        <v>1232017</v>
      </c>
      <c r="CT395">
        <v>428</v>
      </c>
      <c r="CV395" s="24"/>
      <c r="CW395">
        <v>1225034</v>
      </c>
      <c r="CX395">
        <v>1369999</v>
      </c>
      <c r="CY395">
        <v>1225034</v>
      </c>
      <c r="CZ395">
        <v>16272</v>
      </c>
      <c r="DA395">
        <v>44</v>
      </c>
      <c r="DC395" s="24"/>
      <c r="DD395">
        <v>535</v>
      </c>
      <c r="DE395">
        <v>540</v>
      </c>
      <c r="DF395">
        <v>540</v>
      </c>
      <c r="DG395">
        <v>33641742</v>
      </c>
      <c r="DH395">
        <v>198</v>
      </c>
      <c r="DJ395" s="24"/>
      <c r="DK395">
        <v>24992241</v>
      </c>
      <c r="DL395">
        <v>25999998</v>
      </c>
      <c r="DM395">
        <v>25005009</v>
      </c>
      <c r="DN395">
        <v>606</v>
      </c>
      <c r="DO395">
        <v>131</v>
      </c>
      <c r="DQ395" s="24"/>
      <c r="DR395">
        <v>2002281</v>
      </c>
      <c r="DS395">
        <v>2144000</v>
      </c>
      <c r="DT395">
        <v>2143995</v>
      </c>
      <c r="DU395">
        <v>6001</v>
      </c>
      <c r="DV395">
        <v>260</v>
      </c>
      <c r="DX395" s="24"/>
      <c r="DY395">
        <v>18108115</v>
      </c>
      <c r="DZ395">
        <v>18108133</v>
      </c>
      <c r="EA395">
        <v>18108119</v>
      </c>
      <c r="EB395">
        <v>673</v>
      </c>
      <c r="EC395">
        <v>123</v>
      </c>
      <c r="EE395" s="24"/>
      <c r="EF395">
        <v>257</v>
      </c>
      <c r="EG395">
        <v>369</v>
      </c>
      <c r="EH395">
        <v>349</v>
      </c>
      <c r="EI395">
        <v>94820773</v>
      </c>
      <c r="EJ395">
        <v>185</v>
      </c>
      <c r="EL395" s="24"/>
      <c r="EM395">
        <v>72009</v>
      </c>
      <c r="EN395">
        <v>78999</v>
      </c>
      <c r="EO395">
        <v>73009</v>
      </c>
      <c r="EP395">
        <v>108246</v>
      </c>
      <c r="EQ395">
        <v>639</v>
      </c>
      <c r="ES395" s="24"/>
      <c r="ET395">
        <v>400</v>
      </c>
      <c r="EU395">
        <v>431</v>
      </c>
      <c r="EV395">
        <v>428</v>
      </c>
      <c r="EW395">
        <v>63740594</v>
      </c>
      <c r="EX395">
        <v>760</v>
      </c>
      <c r="EZ395" s="24"/>
      <c r="FA395">
        <v>3397998</v>
      </c>
      <c r="FB395">
        <v>3398990</v>
      </c>
      <c r="FC395">
        <v>3398988</v>
      </c>
      <c r="FD395">
        <v>2397</v>
      </c>
      <c r="FE395">
        <v>26</v>
      </c>
      <c r="FG395" s="24"/>
      <c r="FH395">
        <v>8694</v>
      </c>
      <c r="FI395">
        <v>9199</v>
      </c>
      <c r="FJ395">
        <v>9190</v>
      </c>
      <c r="FK395">
        <v>1615908</v>
      </c>
      <c r="FL395">
        <v>464</v>
      </c>
      <c r="FN395" s="24"/>
      <c r="FO395">
        <v>32530</v>
      </c>
      <c r="FP395">
        <v>35972</v>
      </c>
      <c r="FQ395">
        <v>35797</v>
      </c>
      <c r="FR395">
        <v>281754</v>
      </c>
      <c r="FS395">
        <v>119</v>
      </c>
      <c r="FU395" s="24"/>
      <c r="FV395">
        <v>15520</v>
      </c>
      <c r="FW395">
        <v>15898</v>
      </c>
      <c r="FX395">
        <v>15520</v>
      </c>
      <c r="FY395">
        <v>531380</v>
      </c>
      <c r="FZ395">
        <v>1059</v>
      </c>
      <c r="GB395" s="24"/>
      <c r="GC395">
        <v>95002002</v>
      </c>
      <c r="GD395">
        <v>98899998</v>
      </c>
      <c r="GE395">
        <v>95100507</v>
      </c>
      <c r="GF395">
        <v>103</v>
      </c>
      <c r="GG395">
        <v>79</v>
      </c>
      <c r="GI395" s="24"/>
      <c r="GJ395">
        <v>22400023</v>
      </c>
      <c r="GK395">
        <v>23200000</v>
      </c>
      <c r="GL395">
        <v>22400037</v>
      </c>
      <c r="GM395">
        <v>396</v>
      </c>
      <c r="GN395">
        <v>73</v>
      </c>
      <c r="GP395" s="24"/>
      <c r="GQ395">
        <v>98</v>
      </c>
      <c r="GR395">
        <v>104</v>
      </c>
      <c r="GS395">
        <v>101</v>
      </c>
      <c r="GT395">
        <v>162156827</v>
      </c>
      <c r="GU395">
        <v>156</v>
      </c>
      <c r="GW395" s="24"/>
      <c r="GX395">
        <v>442</v>
      </c>
      <c r="GY395">
        <v>464</v>
      </c>
      <c r="GZ395">
        <v>458</v>
      </c>
      <c r="HA395">
        <v>57369330</v>
      </c>
      <c r="HB395">
        <v>276</v>
      </c>
      <c r="HD395" s="24"/>
      <c r="HE395">
        <v>5591</v>
      </c>
      <c r="HF395">
        <v>5685</v>
      </c>
      <c r="HG395">
        <v>5680</v>
      </c>
      <c r="HH395">
        <v>23954693</v>
      </c>
      <c r="HI395">
        <v>301</v>
      </c>
      <c r="HK395" s="24"/>
      <c r="HL395">
        <v>95112003</v>
      </c>
      <c r="HM395">
        <v>99000000</v>
      </c>
      <c r="HN395">
        <v>95600001</v>
      </c>
      <c r="HO395">
        <v>123</v>
      </c>
      <c r="HP395">
        <v>77</v>
      </c>
      <c r="HR395" s="24"/>
      <c r="HS395">
        <v>9800</v>
      </c>
      <c r="HT395">
        <v>10897</v>
      </c>
      <c r="HU395">
        <v>9998</v>
      </c>
      <c r="HV395">
        <v>1087475</v>
      </c>
      <c r="HW395">
        <v>169</v>
      </c>
      <c r="HY395" s="24"/>
      <c r="HZ395">
        <v>10210</v>
      </c>
      <c r="IA395">
        <v>10595</v>
      </c>
      <c r="IB395">
        <v>10498</v>
      </c>
      <c r="IC395">
        <v>1968677</v>
      </c>
      <c r="ID395">
        <v>527</v>
      </c>
      <c r="IF395" s="24"/>
      <c r="IG395">
        <v>3702</v>
      </c>
      <c r="IH395">
        <v>3708</v>
      </c>
      <c r="II395">
        <v>3704</v>
      </c>
      <c r="IJ395">
        <v>1773967</v>
      </c>
      <c r="IK395">
        <v>153</v>
      </c>
      <c r="IM395" s="24"/>
      <c r="IN395">
        <v>94540004</v>
      </c>
      <c r="IO395">
        <v>102904995</v>
      </c>
      <c r="IP395">
        <v>94540013</v>
      </c>
      <c r="IQ395">
        <v>108</v>
      </c>
      <c r="IR395">
        <v>79</v>
      </c>
      <c r="IT395" s="24"/>
      <c r="IU395">
        <v>9943</v>
      </c>
      <c r="IV395">
        <v>10144</v>
      </c>
      <c r="IW395">
        <v>10144</v>
      </c>
      <c r="IX395">
        <v>1862554</v>
      </c>
      <c r="IY395">
        <v>174</v>
      </c>
      <c r="JA395" s="24"/>
      <c r="JB395">
        <v>94578500</v>
      </c>
      <c r="JC395">
        <v>97999999</v>
      </c>
      <c r="JD395">
        <v>96927168</v>
      </c>
      <c r="JE395">
        <v>77</v>
      </c>
      <c r="JF395">
        <v>63</v>
      </c>
      <c r="JH395" s="24"/>
      <c r="JI395">
        <v>93075013</v>
      </c>
      <c r="JJ395">
        <v>97743596</v>
      </c>
      <c r="JK395">
        <v>95703506</v>
      </c>
      <c r="JL395">
        <v>51</v>
      </c>
      <c r="JM395">
        <v>45</v>
      </c>
      <c r="JO395" s="24"/>
      <c r="JP395">
        <v>90</v>
      </c>
      <c r="JQ395">
        <v>92</v>
      </c>
      <c r="JR395">
        <v>92</v>
      </c>
      <c r="JS395">
        <v>78937933</v>
      </c>
      <c r="JT395">
        <v>98</v>
      </c>
      <c r="JV395" s="24"/>
      <c r="JW395">
        <v>90</v>
      </c>
      <c r="JX395">
        <v>94</v>
      </c>
      <c r="JY395">
        <v>91</v>
      </c>
      <c r="JZ395">
        <v>146844325</v>
      </c>
      <c r="KA395">
        <v>138</v>
      </c>
      <c r="KC395" s="24"/>
      <c r="KD395">
        <v>115</v>
      </c>
      <c r="KE395">
        <v>122</v>
      </c>
      <c r="KF395">
        <v>119</v>
      </c>
      <c r="KG395">
        <v>73454851</v>
      </c>
      <c r="KH395">
        <v>427</v>
      </c>
      <c r="KJ395" s="24"/>
      <c r="KK395">
        <v>105</v>
      </c>
      <c r="KL395">
        <v>113</v>
      </c>
      <c r="KM395">
        <v>113</v>
      </c>
      <c r="KN395">
        <v>134584491</v>
      </c>
      <c r="KO395">
        <v>159</v>
      </c>
      <c r="KQ395" s="24"/>
      <c r="KR395">
        <v>124003</v>
      </c>
      <c r="KS395">
        <v>125000</v>
      </c>
      <c r="KT395">
        <v>125000</v>
      </c>
      <c r="KU395">
        <v>66470</v>
      </c>
      <c r="KV395">
        <v>613</v>
      </c>
      <c r="KX395" s="24"/>
      <c r="KY395">
        <v>717</v>
      </c>
      <c r="KZ395">
        <v>718</v>
      </c>
      <c r="LA395">
        <v>717</v>
      </c>
      <c r="LB395">
        <v>5314578</v>
      </c>
      <c r="LC395">
        <v>189</v>
      </c>
      <c r="LE395" s="24"/>
      <c r="LF395">
        <v>181011</v>
      </c>
      <c r="LG395">
        <v>181300</v>
      </c>
      <c r="LH395">
        <v>181112</v>
      </c>
      <c r="LI395">
        <v>116797</v>
      </c>
      <c r="LJ395">
        <v>840</v>
      </c>
      <c r="LL395" s="24"/>
      <c r="LM395">
        <v>64333</v>
      </c>
      <c r="LN395">
        <v>68300</v>
      </c>
      <c r="LO395">
        <v>64437</v>
      </c>
      <c r="LP395">
        <v>402200</v>
      </c>
      <c r="LQ395">
        <v>1154</v>
      </c>
      <c r="LS395" s="24"/>
      <c r="LT395">
        <v>519</v>
      </c>
      <c r="LU395">
        <v>546</v>
      </c>
      <c r="LV395">
        <v>529</v>
      </c>
      <c r="LW395">
        <v>109938889</v>
      </c>
      <c r="LX395">
        <v>480</v>
      </c>
      <c r="LZ395" s="24"/>
      <c r="MA395">
        <v>102012</v>
      </c>
      <c r="MB395">
        <v>111407</v>
      </c>
      <c r="MC395">
        <v>102013</v>
      </c>
      <c r="MD395">
        <v>773162</v>
      </c>
      <c r="ME395">
        <v>60</v>
      </c>
    </row>
    <row r="396" spans="2:343" x14ac:dyDescent="0.25">
      <c r="B396" s="24"/>
      <c r="C396">
        <v>3</v>
      </c>
      <c r="D396">
        <v>3</v>
      </c>
      <c r="E396">
        <v>3</v>
      </c>
      <c r="F396">
        <v>26554671985</v>
      </c>
      <c r="G396">
        <v>2572</v>
      </c>
      <c r="I396" s="24"/>
      <c r="J396">
        <v>5</v>
      </c>
      <c r="K396">
        <v>5</v>
      </c>
      <c r="L396">
        <v>5</v>
      </c>
      <c r="M396">
        <v>4891474373</v>
      </c>
      <c r="N396">
        <v>1821</v>
      </c>
      <c r="P396" s="24"/>
      <c r="Q396">
        <v>48</v>
      </c>
      <c r="R396">
        <v>48</v>
      </c>
      <c r="S396">
        <v>48</v>
      </c>
      <c r="T396">
        <v>1416456209</v>
      </c>
      <c r="U396">
        <v>1639</v>
      </c>
      <c r="W396" s="24"/>
      <c r="X396">
        <v>63</v>
      </c>
      <c r="Y396">
        <v>65</v>
      </c>
      <c r="Z396">
        <v>64</v>
      </c>
      <c r="AA396">
        <v>550170499</v>
      </c>
      <c r="AB396">
        <v>1395</v>
      </c>
      <c r="AD396" s="24"/>
      <c r="AE396">
        <v>462</v>
      </c>
      <c r="AF396">
        <v>469</v>
      </c>
      <c r="AG396">
        <v>462</v>
      </c>
      <c r="AH396">
        <v>127489939</v>
      </c>
      <c r="AI396">
        <v>1438</v>
      </c>
      <c r="AK396" s="24"/>
      <c r="AL396">
        <v>725</v>
      </c>
      <c r="AM396">
        <v>742</v>
      </c>
      <c r="AN396">
        <v>742</v>
      </c>
      <c r="AO396">
        <v>37103190</v>
      </c>
      <c r="AP396">
        <v>1242</v>
      </c>
      <c r="AR396" s="24"/>
      <c r="AS396">
        <v>2780</v>
      </c>
      <c r="AT396">
        <v>2868</v>
      </c>
      <c r="AU396">
        <v>2790</v>
      </c>
      <c r="AV396">
        <v>21697304</v>
      </c>
      <c r="AW396">
        <v>1195</v>
      </c>
      <c r="AY396" s="24"/>
      <c r="AZ396">
        <v>445800207</v>
      </c>
      <c r="BA396">
        <v>452950123</v>
      </c>
      <c r="BB396">
        <v>447080120</v>
      </c>
      <c r="BC396">
        <v>2826</v>
      </c>
      <c r="BD396">
        <v>1725</v>
      </c>
      <c r="BF396" s="24"/>
      <c r="BG396">
        <v>27805</v>
      </c>
      <c r="BH396">
        <v>28007</v>
      </c>
      <c r="BI396">
        <v>28005</v>
      </c>
      <c r="BJ396">
        <v>3619310</v>
      </c>
      <c r="BK396">
        <v>296</v>
      </c>
      <c r="BM396" s="24"/>
      <c r="BN396">
        <v>7110111</v>
      </c>
      <c r="BO396">
        <v>7407498</v>
      </c>
      <c r="BP396">
        <v>7110210</v>
      </c>
      <c r="BQ396">
        <v>16009</v>
      </c>
      <c r="BR396">
        <v>398</v>
      </c>
      <c r="BT396" s="24"/>
      <c r="BU396">
        <v>2630</v>
      </c>
      <c r="BV396">
        <v>2899</v>
      </c>
      <c r="BW396">
        <v>2895</v>
      </c>
      <c r="BX396">
        <v>24881011</v>
      </c>
      <c r="BY396">
        <v>272</v>
      </c>
      <c r="CA396" s="24"/>
      <c r="CB396">
        <v>1038</v>
      </c>
      <c r="CC396">
        <v>1124</v>
      </c>
      <c r="CD396">
        <v>1118</v>
      </c>
      <c r="CE396">
        <v>33452260</v>
      </c>
      <c r="CF396">
        <v>270</v>
      </c>
      <c r="CH396" s="24"/>
      <c r="CI396">
        <v>32400</v>
      </c>
      <c r="CJ396">
        <v>32620</v>
      </c>
      <c r="CK396">
        <v>32620</v>
      </c>
      <c r="CL396">
        <v>1247742</v>
      </c>
      <c r="CM396">
        <v>211</v>
      </c>
      <c r="CO396" s="24"/>
      <c r="CP396">
        <v>10921</v>
      </c>
      <c r="CQ396">
        <v>11739</v>
      </c>
      <c r="CR396">
        <v>11644</v>
      </c>
      <c r="CS396">
        <v>1142397</v>
      </c>
      <c r="CT396">
        <v>409</v>
      </c>
      <c r="CV396" s="24"/>
      <c r="CW396">
        <v>1364984</v>
      </c>
      <c r="CX396">
        <v>1369926</v>
      </c>
      <c r="CY396">
        <v>1369926</v>
      </c>
      <c r="CZ396">
        <v>7006</v>
      </c>
      <c r="DA396">
        <v>29</v>
      </c>
      <c r="DC396" s="24"/>
      <c r="DD396">
        <v>517</v>
      </c>
      <c r="DE396">
        <v>540</v>
      </c>
      <c r="DF396">
        <v>539</v>
      </c>
      <c r="DG396">
        <v>29298583</v>
      </c>
      <c r="DH396">
        <v>184</v>
      </c>
      <c r="DJ396" s="24"/>
      <c r="DK396">
        <v>26466774</v>
      </c>
      <c r="DL396">
        <v>27000001</v>
      </c>
      <c r="DM396">
        <v>26900002</v>
      </c>
      <c r="DN396">
        <v>671</v>
      </c>
      <c r="DO396">
        <v>130</v>
      </c>
      <c r="DQ396" s="24"/>
      <c r="DR396">
        <v>2002395</v>
      </c>
      <c r="DS396">
        <v>2150000</v>
      </c>
      <c r="DT396">
        <v>2003094</v>
      </c>
      <c r="DU396">
        <v>5207</v>
      </c>
      <c r="DV396">
        <v>219</v>
      </c>
      <c r="DX396" s="24"/>
      <c r="DY396">
        <v>18108123</v>
      </c>
      <c r="DZ396">
        <v>18799993</v>
      </c>
      <c r="EA396">
        <v>18108153</v>
      </c>
      <c r="EB396">
        <v>355</v>
      </c>
      <c r="EC396">
        <v>93</v>
      </c>
      <c r="EE396" s="24"/>
      <c r="EF396">
        <v>257</v>
      </c>
      <c r="EG396">
        <v>273</v>
      </c>
      <c r="EH396">
        <v>258</v>
      </c>
      <c r="EI396">
        <v>113021739</v>
      </c>
      <c r="EJ396">
        <v>214</v>
      </c>
      <c r="EL396" s="24"/>
      <c r="EM396">
        <v>74044</v>
      </c>
      <c r="EN396">
        <v>77010</v>
      </c>
      <c r="EO396">
        <v>74056</v>
      </c>
      <c r="EP396">
        <v>106437</v>
      </c>
      <c r="EQ396">
        <v>624</v>
      </c>
      <c r="ES396" s="24"/>
      <c r="ET396">
        <v>409</v>
      </c>
      <c r="EU396">
        <v>429</v>
      </c>
      <c r="EV396">
        <v>425</v>
      </c>
      <c r="EW396">
        <v>73012037</v>
      </c>
      <c r="EX396">
        <v>739</v>
      </c>
      <c r="EZ396" s="24"/>
      <c r="FA396">
        <v>3398988</v>
      </c>
      <c r="FB396">
        <v>3498996</v>
      </c>
      <c r="FC396">
        <v>3398989</v>
      </c>
      <c r="FD396">
        <v>718</v>
      </c>
      <c r="FE396">
        <v>16</v>
      </c>
      <c r="FG396" s="24"/>
      <c r="FH396">
        <v>9070</v>
      </c>
      <c r="FI396">
        <v>9699</v>
      </c>
      <c r="FJ396">
        <v>9489</v>
      </c>
      <c r="FK396">
        <v>1479655</v>
      </c>
      <c r="FL396">
        <v>470</v>
      </c>
      <c r="FN396" s="24"/>
      <c r="FO396">
        <v>31660</v>
      </c>
      <c r="FP396">
        <v>32536</v>
      </c>
      <c r="FQ396">
        <v>31660</v>
      </c>
      <c r="FR396">
        <v>436918</v>
      </c>
      <c r="FS396">
        <v>114</v>
      </c>
      <c r="FU396" s="24"/>
      <c r="FV396">
        <v>15531</v>
      </c>
      <c r="FW396">
        <v>15534</v>
      </c>
      <c r="FX396">
        <v>15534</v>
      </c>
      <c r="FY396">
        <v>528237</v>
      </c>
      <c r="FZ396">
        <v>1131</v>
      </c>
      <c r="GB396" s="24"/>
      <c r="GC396">
        <v>93532001</v>
      </c>
      <c r="GD396">
        <v>98175997</v>
      </c>
      <c r="GE396">
        <v>94577002</v>
      </c>
      <c r="GF396">
        <v>144</v>
      </c>
      <c r="GG396">
        <v>87</v>
      </c>
      <c r="GI396" s="24"/>
      <c r="GJ396">
        <v>22412059</v>
      </c>
      <c r="GK396">
        <v>23289998</v>
      </c>
      <c r="GL396">
        <v>22413000</v>
      </c>
      <c r="GM396">
        <v>641</v>
      </c>
      <c r="GN396">
        <v>100</v>
      </c>
      <c r="GP396" s="24"/>
      <c r="GQ396">
        <v>100</v>
      </c>
      <c r="GR396">
        <v>104</v>
      </c>
      <c r="GS396">
        <v>104</v>
      </c>
      <c r="GT396">
        <v>70636284</v>
      </c>
      <c r="GU396">
        <v>133</v>
      </c>
      <c r="GW396" s="24"/>
      <c r="GX396">
        <v>460</v>
      </c>
      <c r="GY396">
        <v>464</v>
      </c>
      <c r="GZ396">
        <v>462</v>
      </c>
      <c r="HA396">
        <v>59123672</v>
      </c>
      <c r="HB396">
        <v>295</v>
      </c>
      <c r="HD396" s="24"/>
      <c r="HE396">
        <v>5727</v>
      </c>
      <c r="HF396">
        <v>5731</v>
      </c>
      <c r="HG396">
        <v>5728</v>
      </c>
      <c r="HH396">
        <v>10469845</v>
      </c>
      <c r="HI396">
        <v>223</v>
      </c>
      <c r="HK396" s="24"/>
      <c r="HL396">
        <v>93104002</v>
      </c>
      <c r="HM396">
        <v>99999000</v>
      </c>
      <c r="HN396">
        <v>95112004</v>
      </c>
      <c r="HO396">
        <v>142</v>
      </c>
      <c r="HP396">
        <v>82</v>
      </c>
      <c r="HR396" s="24"/>
      <c r="HS396">
        <v>10000</v>
      </c>
      <c r="HT396">
        <v>10400</v>
      </c>
      <c r="HU396">
        <v>10398</v>
      </c>
      <c r="HV396">
        <v>355921</v>
      </c>
      <c r="HW396">
        <v>120</v>
      </c>
      <c r="HY396" s="24"/>
      <c r="HZ396">
        <v>10574</v>
      </c>
      <c r="IA396">
        <v>10998</v>
      </c>
      <c r="IB396">
        <v>10597</v>
      </c>
      <c r="IC396">
        <v>2185845</v>
      </c>
      <c r="ID396">
        <v>578</v>
      </c>
      <c r="IF396" s="24"/>
      <c r="IG396">
        <v>3505</v>
      </c>
      <c r="IH396">
        <v>3698</v>
      </c>
      <c r="II396">
        <v>3698</v>
      </c>
      <c r="IJ396">
        <v>3817025</v>
      </c>
      <c r="IK396">
        <v>172</v>
      </c>
      <c r="IM396" s="24"/>
      <c r="IN396">
        <v>94549000</v>
      </c>
      <c r="IO396">
        <v>99899998</v>
      </c>
      <c r="IP396">
        <v>97307383</v>
      </c>
      <c r="IQ396">
        <v>97</v>
      </c>
      <c r="IR396">
        <v>66</v>
      </c>
      <c r="IT396" s="24"/>
      <c r="IU396">
        <v>10138</v>
      </c>
      <c r="IV396">
        <v>10139</v>
      </c>
      <c r="IW396">
        <v>10139</v>
      </c>
      <c r="IX396">
        <v>1325760</v>
      </c>
      <c r="IY396">
        <v>151</v>
      </c>
      <c r="JA396" s="24"/>
      <c r="JB396">
        <v>95109001</v>
      </c>
      <c r="JC396">
        <v>97999999</v>
      </c>
      <c r="JD396">
        <v>96681570</v>
      </c>
      <c r="JE396">
        <v>100</v>
      </c>
      <c r="JF396">
        <v>68</v>
      </c>
      <c r="JH396" s="24"/>
      <c r="JI396">
        <v>93080520</v>
      </c>
      <c r="JJ396">
        <v>97075008</v>
      </c>
      <c r="JK396">
        <v>96665318</v>
      </c>
      <c r="JL396">
        <v>39</v>
      </c>
      <c r="JM396">
        <v>38</v>
      </c>
      <c r="JO396" s="24"/>
      <c r="JP396">
        <v>89</v>
      </c>
      <c r="JQ396">
        <v>90</v>
      </c>
      <c r="JR396">
        <v>89</v>
      </c>
      <c r="JS396">
        <v>147523704</v>
      </c>
      <c r="JT396">
        <v>107</v>
      </c>
      <c r="JV396" s="24"/>
      <c r="JW396">
        <v>90</v>
      </c>
      <c r="JX396">
        <v>92</v>
      </c>
      <c r="JY396">
        <v>91</v>
      </c>
      <c r="JZ396">
        <v>172912304</v>
      </c>
      <c r="KA396">
        <v>142</v>
      </c>
      <c r="KC396" s="24"/>
      <c r="KD396">
        <v>117</v>
      </c>
      <c r="KE396">
        <v>122</v>
      </c>
      <c r="KF396">
        <v>119</v>
      </c>
      <c r="KG396">
        <v>78772546</v>
      </c>
      <c r="KH396">
        <v>457</v>
      </c>
      <c r="KJ396" s="24"/>
      <c r="KK396">
        <v>100</v>
      </c>
      <c r="KL396">
        <v>105</v>
      </c>
      <c r="KM396">
        <v>100</v>
      </c>
      <c r="KN396">
        <v>106580823</v>
      </c>
      <c r="KO396">
        <v>125</v>
      </c>
      <c r="KQ396" s="24"/>
      <c r="KR396">
        <v>123500</v>
      </c>
      <c r="KS396">
        <v>124903</v>
      </c>
      <c r="KT396">
        <v>124902</v>
      </c>
      <c r="KU396">
        <v>82355</v>
      </c>
      <c r="KV396">
        <v>585</v>
      </c>
      <c r="KX396" s="24"/>
      <c r="KY396">
        <v>686</v>
      </c>
      <c r="KZ396">
        <v>719</v>
      </c>
      <c r="LA396">
        <v>719</v>
      </c>
      <c r="LB396">
        <v>4825522</v>
      </c>
      <c r="LC396">
        <v>167</v>
      </c>
      <c r="LE396" s="24"/>
      <c r="LF396">
        <v>181257</v>
      </c>
      <c r="LG396">
        <v>181334</v>
      </c>
      <c r="LH396">
        <v>181333</v>
      </c>
      <c r="LI396">
        <v>136312</v>
      </c>
      <c r="LJ396">
        <v>847</v>
      </c>
      <c r="LL396" s="24"/>
      <c r="LM396">
        <v>64637</v>
      </c>
      <c r="LN396">
        <v>66015</v>
      </c>
      <c r="LO396">
        <v>64638</v>
      </c>
      <c r="LP396">
        <v>507298</v>
      </c>
      <c r="LQ396">
        <v>1207</v>
      </c>
      <c r="LS396" s="24"/>
      <c r="LT396">
        <v>544</v>
      </c>
      <c r="LU396">
        <v>546</v>
      </c>
      <c r="LV396">
        <v>546</v>
      </c>
      <c r="LW396">
        <v>101375260</v>
      </c>
      <c r="LX396">
        <v>459</v>
      </c>
      <c r="LZ396" s="24"/>
      <c r="MA396">
        <v>74000</v>
      </c>
      <c r="MB396">
        <v>102504</v>
      </c>
      <c r="MC396">
        <v>92000</v>
      </c>
      <c r="MD396">
        <v>2429235</v>
      </c>
      <c r="ME396">
        <v>179</v>
      </c>
    </row>
    <row r="397" spans="2:343" x14ac:dyDescent="0.25">
      <c r="B397" s="24"/>
      <c r="C397">
        <v>3</v>
      </c>
      <c r="D397">
        <v>3</v>
      </c>
      <c r="E397">
        <v>3</v>
      </c>
      <c r="F397">
        <v>20645410775</v>
      </c>
      <c r="G397">
        <v>2431</v>
      </c>
      <c r="I397" s="24"/>
      <c r="J397">
        <v>5</v>
      </c>
      <c r="K397">
        <v>5</v>
      </c>
      <c r="L397">
        <v>5</v>
      </c>
      <c r="M397">
        <v>4629965407</v>
      </c>
      <c r="N397">
        <v>1723</v>
      </c>
      <c r="P397" s="24"/>
      <c r="Q397">
        <v>47</v>
      </c>
      <c r="R397">
        <v>48</v>
      </c>
      <c r="S397">
        <v>48</v>
      </c>
      <c r="T397">
        <v>1197962139</v>
      </c>
      <c r="U397">
        <v>1611</v>
      </c>
      <c r="W397" s="24"/>
      <c r="X397">
        <v>63</v>
      </c>
      <c r="Y397">
        <v>65</v>
      </c>
      <c r="Z397">
        <v>65</v>
      </c>
      <c r="AA397">
        <v>306590365</v>
      </c>
      <c r="AB397">
        <v>1272</v>
      </c>
      <c r="AD397" s="24"/>
      <c r="AE397">
        <v>463</v>
      </c>
      <c r="AF397">
        <v>481</v>
      </c>
      <c r="AG397">
        <v>480</v>
      </c>
      <c r="AH397">
        <v>91200747</v>
      </c>
      <c r="AI397">
        <v>1392</v>
      </c>
      <c r="AK397" s="24"/>
      <c r="AL397">
        <v>730</v>
      </c>
      <c r="AM397">
        <v>748</v>
      </c>
      <c r="AN397">
        <v>733</v>
      </c>
      <c r="AO397">
        <v>36884309</v>
      </c>
      <c r="AP397">
        <v>1109</v>
      </c>
      <c r="AR397" s="24"/>
      <c r="AS397">
        <v>2757</v>
      </c>
      <c r="AT397">
        <v>2860</v>
      </c>
      <c r="AU397">
        <v>2808</v>
      </c>
      <c r="AV397">
        <v>16222306</v>
      </c>
      <c r="AW397">
        <v>1083</v>
      </c>
      <c r="AY397" s="24"/>
      <c r="AZ397">
        <v>440005000</v>
      </c>
      <c r="BA397">
        <v>449500000</v>
      </c>
      <c r="BB397">
        <v>444001004</v>
      </c>
      <c r="BC397">
        <v>2951</v>
      </c>
      <c r="BD397">
        <v>1673</v>
      </c>
      <c r="BF397" s="24"/>
      <c r="BG397">
        <v>27807</v>
      </c>
      <c r="BH397">
        <v>27807</v>
      </c>
      <c r="BI397">
        <v>27807</v>
      </c>
      <c r="BJ397">
        <v>1879424</v>
      </c>
      <c r="BK397">
        <v>204</v>
      </c>
      <c r="BM397" s="24"/>
      <c r="BN397">
        <v>7150218</v>
      </c>
      <c r="BO397">
        <v>7286998</v>
      </c>
      <c r="BP397">
        <v>7150304</v>
      </c>
      <c r="BQ397">
        <v>9165</v>
      </c>
      <c r="BR397">
        <v>263</v>
      </c>
      <c r="BT397" s="24"/>
      <c r="BU397">
        <v>2849</v>
      </c>
      <c r="BV397">
        <v>2885</v>
      </c>
      <c r="BW397">
        <v>2858</v>
      </c>
      <c r="BX397">
        <v>14890765</v>
      </c>
      <c r="BY397">
        <v>229</v>
      </c>
      <c r="CA397" s="24"/>
      <c r="CB397">
        <v>1040</v>
      </c>
      <c r="CC397">
        <v>1117</v>
      </c>
      <c r="CD397">
        <v>1116</v>
      </c>
      <c r="CE397">
        <v>32838481</v>
      </c>
      <c r="CF397">
        <v>218</v>
      </c>
      <c r="CH397" s="24"/>
      <c r="CI397">
        <v>32620</v>
      </c>
      <c r="CJ397">
        <v>32620</v>
      </c>
      <c r="CK397">
        <v>32620</v>
      </c>
      <c r="CL397">
        <v>1175058</v>
      </c>
      <c r="CM397">
        <v>161</v>
      </c>
      <c r="CO397" s="24"/>
      <c r="CP397">
        <v>10922</v>
      </c>
      <c r="CQ397">
        <v>11719</v>
      </c>
      <c r="CR397">
        <v>11389</v>
      </c>
      <c r="CS397">
        <v>1007323</v>
      </c>
      <c r="CT397">
        <v>371</v>
      </c>
      <c r="CV397" s="24"/>
      <c r="CW397">
        <v>1352936</v>
      </c>
      <c r="CX397">
        <v>1353989</v>
      </c>
      <c r="CY397">
        <v>1352938</v>
      </c>
      <c r="CZ397">
        <v>10622</v>
      </c>
      <c r="DA397">
        <v>17</v>
      </c>
      <c r="DC397" s="24"/>
      <c r="DD397">
        <v>561</v>
      </c>
      <c r="DE397">
        <v>665</v>
      </c>
      <c r="DF397">
        <v>600</v>
      </c>
      <c r="DG397">
        <v>51372810</v>
      </c>
      <c r="DH397">
        <v>205</v>
      </c>
      <c r="DJ397" s="24"/>
      <c r="DK397">
        <v>25600003</v>
      </c>
      <c r="DL397">
        <v>25603002</v>
      </c>
      <c r="DM397">
        <v>25600003</v>
      </c>
      <c r="DN397">
        <v>274</v>
      </c>
      <c r="DO397">
        <v>76</v>
      </c>
      <c r="DQ397" s="24"/>
      <c r="DR397">
        <v>2383019</v>
      </c>
      <c r="DS397">
        <v>2499999</v>
      </c>
      <c r="DT397">
        <v>2389997</v>
      </c>
      <c r="DU397">
        <v>3970</v>
      </c>
      <c r="DV397">
        <v>231</v>
      </c>
      <c r="DX397" s="24"/>
      <c r="DY397">
        <v>18109000</v>
      </c>
      <c r="DZ397">
        <v>18599999</v>
      </c>
      <c r="EA397">
        <v>18109103</v>
      </c>
      <c r="EB397">
        <v>428</v>
      </c>
      <c r="EC397">
        <v>81</v>
      </c>
      <c r="EE397" s="24"/>
      <c r="EF397">
        <v>217</v>
      </c>
      <c r="EG397">
        <v>222</v>
      </c>
      <c r="EH397">
        <v>219</v>
      </c>
      <c r="EI397">
        <v>110128414</v>
      </c>
      <c r="EJ397">
        <v>244</v>
      </c>
      <c r="EL397" s="24"/>
      <c r="EM397">
        <v>80815</v>
      </c>
      <c r="EN397">
        <v>88799</v>
      </c>
      <c r="EO397">
        <v>80826</v>
      </c>
      <c r="EP397">
        <v>119211</v>
      </c>
      <c r="EQ397">
        <v>656</v>
      </c>
      <c r="ES397" s="24"/>
      <c r="ET397">
        <v>402</v>
      </c>
      <c r="EU397">
        <v>419</v>
      </c>
      <c r="EV397">
        <v>419</v>
      </c>
      <c r="EW397">
        <v>63720142</v>
      </c>
      <c r="EX397">
        <v>687</v>
      </c>
      <c r="EZ397" s="24"/>
      <c r="FA397">
        <v>3200002</v>
      </c>
      <c r="FB397">
        <v>3497998</v>
      </c>
      <c r="FC397">
        <v>3497996</v>
      </c>
      <c r="FD397">
        <v>523</v>
      </c>
      <c r="FE397">
        <v>7</v>
      </c>
      <c r="FG397" s="24"/>
      <c r="FH397">
        <v>9080</v>
      </c>
      <c r="FI397">
        <v>9427</v>
      </c>
      <c r="FJ397">
        <v>9082</v>
      </c>
      <c r="FK397">
        <v>1426536</v>
      </c>
      <c r="FL397">
        <v>426</v>
      </c>
      <c r="FN397" s="24"/>
      <c r="FO397">
        <v>26900</v>
      </c>
      <c r="FP397">
        <v>32599</v>
      </c>
      <c r="FQ397">
        <v>28700</v>
      </c>
      <c r="FR397">
        <v>248627</v>
      </c>
      <c r="FS397">
        <v>105</v>
      </c>
      <c r="FU397" s="24"/>
      <c r="FV397">
        <v>14750</v>
      </c>
      <c r="FW397">
        <v>16153</v>
      </c>
      <c r="FX397">
        <v>14759</v>
      </c>
      <c r="FY397">
        <v>672335</v>
      </c>
      <c r="FZ397">
        <v>1020</v>
      </c>
      <c r="GB397" s="24"/>
      <c r="GC397">
        <v>96500000</v>
      </c>
      <c r="GD397">
        <v>98175998</v>
      </c>
      <c r="GE397">
        <v>98160997</v>
      </c>
      <c r="GF397">
        <v>109</v>
      </c>
      <c r="GG397">
        <v>77</v>
      </c>
      <c r="GI397" s="24"/>
      <c r="GJ397">
        <v>21650511</v>
      </c>
      <c r="GK397">
        <v>22002000</v>
      </c>
      <c r="GL397">
        <v>22001001</v>
      </c>
      <c r="GM397">
        <v>646</v>
      </c>
      <c r="GN397">
        <v>93</v>
      </c>
      <c r="GP397" s="24"/>
      <c r="GQ397">
        <v>99</v>
      </c>
      <c r="GR397">
        <v>101</v>
      </c>
      <c r="GS397">
        <v>100</v>
      </c>
      <c r="GT397">
        <v>149276962</v>
      </c>
      <c r="GU397">
        <v>161</v>
      </c>
      <c r="GW397" s="24"/>
      <c r="GX397">
        <v>466</v>
      </c>
      <c r="GY397">
        <v>466</v>
      </c>
      <c r="GZ397">
        <v>466</v>
      </c>
      <c r="HA397">
        <v>79543357</v>
      </c>
      <c r="HB397">
        <v>243</v>
      </c>
      <c r="HD397" s="24"/>
      <c r="HE397">
        <v>5714</v>
      </c>
      <c r="HF397">
        <v>5718</v>
      </c>
      <c r="HG397">
        <v>5715</v>
      </c>
      <c r="HH397">
        <v>13386361</v>
      </c>
      <c r="HI397">
        <v>335</v>
      </c>
      <c r="HK397" s="24"/>
      <c r="HL397">
        <v>93129001</v>
      </c>
      <c r="HM397">
        <v>99999992</v>
      </c>
      <c r="HN397">
        <v>99999990</v>
      </c>
      <c r="HO397">
        <v>103</v>
      </c>
      <c r="HP397">
        <v>70</v>
      </c>
      <c r="HR397" s="24"/>
      <c r="HS397">
        <v>10189</v>
      </c>
      <c r="HT397">
        <v>10189</v>
      </c>
      <c r="HU397">
        <v>10189</v>
      </c>
      <c r="HV397">
        <v>797313</v>
      </c>
      <c r="HW397">
        <v>136</v>
      </c>
      <c r="HY397" s="24"/>
      <c r="HZ397">
        <v>10315</v>
      </c>
      <c r="IA397">
        <v>11311</v>
      </c>
      <c r="IB397">
        <v>11298</v>
      </c>
      <c r="IC397">
        <v>1711265</v>
      </c>
      <c r="ID397">
        <v>484</v>
      </c>
      <c r="IF397" s="24"/>
      <c r="IG397">
        <v>3367</v>
      </c>
      <c r="IH397">
        <v>3687</v>
      </c>
      <c r="II397">
        <v>3368</v>
      </c>
      <c r="IJ397">
        <v>1339190</v>
      </c>
      <c r="IK397">
        <v>156</v>
      </c>
      <c r="IM397" s="24"/>
      <c r="IN397">
        <v>95002000</v>
      </c>
      <c r="IO397">
        <v>99899999</v>
      </c>
      <c r="IP397">
        <v>99891997</v>
      </c>
      <c r="IQ397">
        <v>115</v>
      </c>
      <c r="IR397">
        <v>91</v>
      </c>
      <c r="IT397" s="24"/>
      <c r="IU397">
        <v>9850</v>
      </c>
      <c r="IV397">
        <v>10124</v>
      </c>
      <c r="IW397">
        <v>10124</v>
      </c>
      <c r="IX397">
        <v>881299</v>
      </c>
      <c r="IY397">
        <v>175</v>
      </c>
      <c r="JA397" s="24"/>
      <c r="JB397">
        <v>98000000</v>
      </c>
      <c r="JC397">
        <v>101999999</v>
      </c>
      <c r="JD397">
        <v>99544997</v>
      </c>
      <c r="JE397">
        <v>77</v>
      </c>
      <c r="JF397">
        <v>65</v>
      </c>
      <c r="JH397" s="24"/>
      <c r="JI397">
        <v>97075013</v>
      </c>
      <c r="JJ397">
        <v>99788000</v>
      </c>
      <c r="JK397">
        <v>97846267</v>
      </c>
      <c r="JL397">
        <v>59</v>
      </c>
      <c r="JM397">
        <v>46</v>
      </c>
      <c r="JO397" s="24"/>
      <c r="JP397">
        <v>88</v>
      </c>
      <c r="JQ397">
        <v>92</v>
      </c>
      <c r="JR397">
        <v>92</v>
      </c>
      <c r="JS397">
        <v>103936538</v>
      </c>
      <c r="JT397">
        <v>91</v>
      </c>
      <c r="JV397" s="24"/>
      <c r="JW397">
        <v>85</v>
      </c>
      <c r="JX397">
        <v>92</v>
      </c>
      <c r="JY397">
        <v>85</v>
      </c>
      <c r="JZ397">
        <v>130079830</v>
      </c>
      <c r="KA397">
        <v>142</v>
      </c>
      <c r="KC397" s="24"/>
      <c r="KD397">
        <v>120</v>
      </c>
      <c r="KE397">
        <v>133</v>
      </c>
      <c r="KF397">
        <v>125</v>
      </c>
      <c r="KG397">
        <v>99510905</v>
      </c>
      <c r="KH397">
        <v>441</v>
      </c>
      <c r="KJ397" s="24"/>
      <c r="KK397">
        <v>99</v>
      </c>
      <c r="KL397">
        <v>102</v>
      </c>
      <c r="KM397">
        <v>99</v>
      </c>
      <c r="KN397">
        <v>149729973</v>
      </c>
      <c r="KO397">
        <v>152</v>
      </c>
      <c r="KQ397" s="24"/>
      <c r="KR397">
        <v>122900</v>
      </c>
      <c r="KS397">
        <v>122901</v>
      </c>
      <c r="KT397">
        <v>122900</v>
      </c>
      <c r="KU397">
        <v>48671</v>
      </c>
      <c r="KV397">
        <v>509</v>
      </c>
      <c r="KX397" s="24"/>
      <c r="KY397">
        <v>717</v>
      </c>
      <c r="KZ397">
        <v>718</v>
      </c>
      <c r="LA397">
        <v>718</v>
      </c>
      <c r="LB397">
        <v>4215361</v>
      </c>
      <c r="LC397">
        <v>174</v>
      </c>
      <c r="LE397" s="24"/>
      <c r="LF397">
        <v>181257</v>
      </c>
      <c r="LG397">
        <v>181601</v>
      </c>
      <c r="LH397">
        <v>181600</v>
      </c>
      <c r="LI397">
        <v>127841</v>
      </c>
      <c r="LJ397">
        <v>739</v>
      </c>
      <c r="LL397" s="24"/>
      <c r="LM397">
        <v>64646</v>
      </c>
      <c r="LN397">
        <v>66025</v>
      </c>
      <c r="LO397">
        <v>66020</v>
      </c>
      <c r="LP397">
        <v>379053</v>
      </c>
      <c r="LQ397">
        <v>1052</v>
      </c>
      <c r="LS397" s="24"/>
      <c r="LT397">
        <v>541</v>
      </c>
      <c r="LU397">
        <v>556</v>
      </c>
      <c r="LV397">
        <v>554</v>
      </c>
      <c r="LW397">
        <v>124361103</v>
      </c>
      <c r="LX397">
        <v>463</v>
      </c>
      <c r="LZ397" s="24"/>
      <c r="MA397">
        <v>95000</v>
      </c>
      <c r="MB397">
        <v>95000</v>
      </c>
      <c r="MC397">
        <v>95000</v>
      </c>
      <c r="MD397">
        <v>1588726</v>
      </c>
      <c r="ME397">
        <v>89</v>
      </c>
    </row>
    <row r="398" spans="2:343" x14ac:dyDescent="0.25">
      <c r="B398" s="24"/>
      <c r="C398">
        <v>3</v>
      </c>
      <c r="D398">
        <v>3</v>
      </c>
      <c r="E398">
        <v>3</v>
      </c>
      <c r="F398">
        <v>17616017417</v>
      </c>
      <c r="G398">
        <v>2578</v>
      </c>
      <c r="I398" s="24"/>
      <c r="J398">
        <v>5</v>
      </c>
      <c r="K398">
        <v>5</v>
      </c>
      <c r="L398">
        <v>5</v>
      </c>
      <c r="M398">
        <v>5150561570</v>
      </c>
      <c r="N398">
        <v>1745</v>
      </c>
      <c r="P398" s="24"/>
      <c r="Q398">
        <v>47</v>
      </c>
      <c r="R398">
        <v>48</v>
      </c>
      <c r="S398">
        <v>48</v>
      </c>
      <c r="T398">
        <v>1098763452</v>
      </c>
      <c r="U398">
        <v>1599</v>
      </c>
      <c r="W398" s="24"/>
      <c r="X398">
        <v>63</v>
      </c>
      <c r="Y398">
        <v>64</v>
      </c>
      <c r="Z398">
        <v>64</v>
      </c>
      <c r="AA398">
        <v>357972686</v>
      </c>
      <c r="AB398">
        <v>1228</v>
      </c>
      <c r="AD398" s="24"/>
      <c r="AE398">
        <v>464</v>
      </c>
      <c r="AF398">
        <v>484</v>
      </c>
      <c r="AG398">
        <v>466</v>
      </c>
      <c r="AH398">
        <v>55149634</v>
      </c>
      <c r="AI398">
        <v>1316</v>
      </c>
      <c r="AK398" s="24"/>
      <c r="AL398">
        <v>740</v>
      </c>
      <c r="AM398">
        <v>748</v>
      </c>
      <c r="AN398">
        <v>748</v>
      </c>
      <c r="AO398">
        <v>29517228</v>
      </c>
      <c r="AP398">
        <v>1047</v>
      </c>
      <c r="AR398" s="24"/>
      <c r="AS398">
        <v>2756</v>
      </c>
      <c r="AT398">
        <v>2846</v>
      </c>
      <c r="AU398">
        <v>2840</v>
      </c>
      <c r="AV398">
        <v>7909930</v>
      </c>
      <c r="AW398">
        <v>988</v>
      </c>
      <c r="AY398" s="24"/>
      <c r="AZ398">
        <v>438921000</v>
      </c>
      <c r="BA398">
        <v>448598000</v>
      </c>
      <c r="BB398">
        <v>447699999</v>
      </c>
      <c r="BC398">
        <v>2399</v>
      </c>
      <c r="BD398">
        <v>1633</v>
      </c>
      <c r="BF398" s="24"/>
      <c r="BG398">
        <v>27808</v>
      </c>
      <c r="BH398">
        <v>28350</v>
      </c>
      <c r="BI398">
        <v>28008</v>
      </c>
      <c r="BJ398">
        <v>2997974</v>
      </c>
      <c r="BK398">
        <v>230</v>
      </c>
      <c r="BM398" s="24"/>
      <c r="BN398">
        <v>7150304</v>
      </c>
      <c r="BO398">
        <v>7300000</v>
      </c>
      <c r="BP398">
        <v>7150305</v>
      </c>
      <c r="BQ398">
        <v>13614</v>
      </c>
      <c r="BR398">
        <v>341</v>
      </c>
      <c r="BT398" s="24"/>
      <c r="BU398">
        <v>2600</v>
      </c>
      <c r="BV398">
        <v>2784</v>
      </c>
      <c r="BW398">
        <v>2666</v>
      </c>
      <c r="BX398">
        <v>28667314</v>
      </c>
      <c r="BY398">
        <v>302</v>
      </c>
      <c r="CA398" s="24"/>
      <c r="CB398">
        <v>1041</v>
      </c>
      <c r="CC398">
        <v>1115</v>
      </c>
      <c r="CD398">
        <v>1051</v>
      </c>
      <c r="CE398">
        <v>39787445</v>
      </c>
      <c r="CF398">
        <v>304</v>
      </c>
      <c r="CH398" s="24"/>
      <c r="CI398">
        <v>32626</v>
      </c>
      <c r="CJ398">
        <v>33500</v>
      </c>
      <c r="CK398">
        <v>32714</v>
      </c>
      <c r="CL398">
        <v>1825554</v>
      </c>
      <c r="CM398">
        <v>189</v>
      </c>
      <c r="CO398" s="24"/>
      <c r="CP398">
        <v>10935</v>
      </c>
      <c r="CQ398">
        <v>11349</v>
      </c>
      <c r="CR398">
        <v>11346</v>
      </c>
      <c r="CS398">
        <v>1140709</v>
      </c>
      <c r="CT398">
        <v>397</v>
      </c>
      <c r="CV398" s="24"/>
      <c r="CW398">
        <v>1299999</v>
      </c>
      <c r="CX398">
        <v>1353984</v>
      </c>
      <c r="CY398">
        <v>1353982</v>
      </c>
      <c r="CZ398">
        <v>11517</v>
      </c>
      <c r="DA398">
        <v>32</v>
      </c>
      <c r="DC398" s="24"/>
      <c r="DD398">
        <v>545</v>
      </c>
      <c r="DE398">
        <v>594</v>
      </c>
      <c r="DF398">
        <v>584</v>
      </c>
      <c r="DG398">
        <v>47005358</v>
      </c>
      <c r="DH398">
        <v>196</v>
      </c>
      <c r="DJ398" s="24"/>
      <c r="DK398">
        <v>25625104</v>
      </c>
      <c r="DL398">
        <v>27849999</v>
      </c>
      <c r="DM398">
        <v>25625104</v>
      </c>
      <c r="DN398">
        <v>628</v>
      </c>
      <c r="DO398">
        <v>113</v>
      </c>
      <c r="DQ398" s="24"/>
      <c r="DR398">
        <v>2500006</v>
      </c>
      <c r="DS398">
        <v>2868999</v>
      </c>
      <c r="DT398">
        <v>2699999</v>
      </c>
      <c r="DU398">
        <v>4200</v>
      </c>
      <c r="DV398">
        <v>180</v>
      </c>
      <c r="DX398" s="24"/>
      <c r="DY398">
        <v>18000188</v>
      </c>
      <c r="DZ398">
        <v>18610000</v>
      </c>
      <c r="EA398">
        <v>18499999</v>
      </c>
      <c r="EB398">
        <v>738</v>
      </c>
      <c r="EC398">
        <v>116</v>
      </c>
      <c r="EE398" s="24"/>
      <c r="EF398">
        <v>210</v>
      </c>
      <c r="EG398">
        <v>216</v>
      </c>
      <c r="EH398">
        <v>214</v>
      </c>
      <c r="EI398">
        <v>111577247</v>
      </c>
      <c r="EJ398">
        <v>187</v>
      </c>
      <c r="EL398" s="24"/>
      <c r="EM398">
        <v>74061</v>
      </c>
      <c r="EN398">
        <v>80811</v>
      </c>
      <c r="EO398">
        <v>74085</v>
      </c>
      <c r="EP398">
        <v>121691</v>
      </c>
      <c r="EQ398">
        <v>617</v>
      </c>
      <c r="ES398" s="24"/>
      <c r="ET398">
        <v>403</v>
      </c>
      <c r="EU398">
        <v>419</v>
      </c>
      <c r="EV398">
        <v>417</v>
      </c>
      <c r="EW398">
        <v>33116229</v>
      </c>
      <c r="EX398">
        <v>643</v>
      </c>
      <c r="EZ398" s="24"/>
      <c r="FA398">
        <v>3280003</v>
      </c>
      <c r="FB398">
        <v>3599899</v>
      </c>
      <c r="FC398">
        <v>3497997</v>
      </c>
      <c r="FD398">
        <v>2487</v>
      </c>
      <c r="FE398">
        <v>28</v>
      </c>
      <c r="FG398" s="24"/>
      <c r="FH398">
        <v>9089</v>
      </c>
      <c r="FI398">
        <v>9400</v>
      </c>
      <c r="FJ398">
        <v>9150</v>
      </c>
      <c r="FK398">
        <v>1851680</v>
      </c>
      <c r="FL398">
        <v>458</v>
      </c>
      <c r="FN398" s="24"/>
      <c r="FO398">
        <v>26102</v>
      </c>
      <c r="FP398">
        <v>29999</v>
      </c>
      <c r="FQ398">
        <v>26610</v>
      </c>
      <c r="FR398">
        <v>265000</v>
      </c>
      <c r="FS398">
        <v>102</v>
      </c>
      <c r="FU398" s="24"/>
      <c r="FV398">
        <v>14580</v>
      </c>
      <c r="FW398">
        <v>14750</v>
      </c>
      <c r="FX398">
        <v>14599</v>
      </c>
      <c r="FY398">
        <v>412350</v>
      </c>
      <c r="FZ398">
        <v>1073</v>
      </c>
      <c r="GB398" s="24"/>
      <c r="GC398">
        <v>94105003</v>
      </c>
      <c r="GD398">
        <v>100189998</v>
      </c>
      <c r="GE398">
        <v>97877284</v>
      </c>
      <c r="GF398">
        <v>73</v>
      </c>
      <c r="GG398">
        <v>62</v>
      </c>
      <c r="GI398" s="24"/>
      <c r="GJ398">
        <v>21500001</v>
      </c>
      <c r="GK398">
        <v>22400000</v>
      </c>
      <c r="GL398">
        <v>21600000</v>
      </c>
      <c r="GM398">
        <v>527</v>
      </c>
      <c r="GN398">
        <v>67</v>
      </c>
      <c r="GP398" s="24"/>
      <c r="GQ398">
        <v>99</v>
      </c>
      <c r="GR398">
        <v>103</v>
      </c>
      <c r="GS398">
        <v>100</v>
      </c>
      <c r="GT398">
        <v>145995202</v>
      </c>
      <c r="GU398">
        <v>159</v>
      </c>
      <c r="GW398" s="24"/>
      <c r="GX398">
        <v>453</v>
      </c>
      <c r="GY398">
        <v>465</v>
      </c>
      <c r="GZ398">
        <v>464</v>
      </c>
      <c r="HA398">
        <v>49017353</v>
      </c>
      <c r="HB398">
        <v>240</v>
      </c>
      <c r="HD398" s="24"/>
      <c r="HE398">
        <v>5711</v>
      </c>
      <c r="HF398">
        <v>5716</v>
      </c>
      <c r="HG398">
        <v>5715</v>
      </c>
      <c r="HH398">
        <v>16303973</v>
      </c>
      <c r="HI398">
        <v>238</v>
      </c>
      <c r="HK398" s="24"/>
      <c r="HL398">
        <v>93550003</v>
      </c>
      <c r="HM398">
        <v>101299500</v>
      </c>
      <c r="HN398">
        <v>99042355</v>
      </c>
      <c r="HO398">
        <v>75</v>
      </c>
      <c r="HP398">
        <v>59</v>
      </c>
      <c r="HR398" s="24"/>
      <c r="HS398">
        <v>9850</v>
      </c>
      <c r="HT398">
        <v>10189</v>
      </c>
      <c r="HU398">
        <v>10187</v>
      </c>
      <c r="HV398">
        <v>769033</v>
      </c>
      <c r="HW398">
        <v>147</v>
      </c>
      <c r="HY398" s="24"/>
      <c r="HZ398">
        <v>10328</v>
      </c>
      <c r="IA398">
        <v>11295</v>
      </c>
      <c r="IB398">
        <v>10993</v>
      </c>
      <c r="IC398">
        <v>1919449</v>
      </c>
      <c r="ID398">
        <v>483</v>
      </c>
      <c r="IF398" s="24"/>
      <c r="IG398">
        <v>3619</v>
      </c>
      <c r="IH398">
        <v>3619</v>
      </c>
      <c r="II398">
        <v>3619</v>
      </c>
      <c r="IJ398">
        <v>1074239</v>
      </c>
      <c r="IK398">
        <v>136</v>
      </c>
      <c r="IM398" s="24"/>
      <c r="IN398">
        <v>95003001</v>
      </c>
      <c r="IO398">
        <v>98998998</v>
      </c>
      <c r="IP398">
        <v>95005005</v>
      </c>
      <c r="IQ398">
        <v>132</v>
      </c>
      <c r="IR398">
        <v>86</v>
      </c>
      <c r="IT398" s="24"/>
      <c r="IU398">
        <v>9900</v>
      </c>
      <c r="IV398">
        <v>10122</v>
      </c>
      <c r="IW398">
        <v>10121</v>
      </c>
      <c r="IX398">
        <v>990184</v>
      </c>
      <c r="IY398">
        <v>152</v>
      </c>
      <c r="JA398" s="24"/>
      <c r="JB398">
        <v>95000005</v>
      </c>
      <c r="JC398">
        <v>99999997</v>
      </c>
      <c r="JD398">
        <v>95500001</v>
      </c>
      <c r="JE398">
        <v>119</v>
      </c>
      <c r="JF398">
        <v>84</v>
      </c>
      <c r="JH398" s="24"/>
      <c r="JI398">
        <v>93110006</v>
      </c>
      <c r="JJ398">
        <v>99800000</v>
      </c>
      <c r="JK398">
        <v>97983164</v>
      </c>
      <c r="JL398">
        <v>47</v>
      </c>
      <c r="JM398">
        <v>39</v>
      </c>
      <c r="JO398" s="24"/>
      <c r="JP398">
        <v>90</v>
      </c>
      <c r="JQ398">
        <v>92</v>
      </c>
      <c r="JR398">
        <v>92</v>
      </c>
      <c r="JS398">
        <v>35555732</v>
      </c>
      <c r="JT398">
        <v>64</v>
      </c>
      <c r="JV398" s="24"/>
      <c r="JW398">
        <v>93</v>
      </c>
      <c r="JX398">
        <v>94</v>
      </c>
      <c r="JY398">
        <v>94</v>
      </c>
      <c r="JZ398">
        <v>48014512</v>
      </c>
      <c r="KA398">
        <v>109</v>
      </c>
      <c r="KC398" s="24"/>
      <c r="KD398">
        <v>117</v>
      </c>
      <c r="KE398">
        <v>128</v>
      </c>
      <c r="KF398">
        <v>119</v>
      </c>
      <c r="KG398">
        <v>49707301</v>
      </c>
      <c r="KH398">
        <v>356</v>
      </c>
      <c r="KJ398" s="24"/>
      <c r="KK398">
        <v>97</v>
      </c>
      <c r="KL398">
        <v>100</v>
      </c>
      <c r="KM398">
        <v>97</v>
      </c>
      <c r="KN398">
        <v>138749017</v>
      </c>
      <c r="KO398">
        <v>157</v>
      </c>
      <c r="KQ398" s="24"/>
      <c r="KR398">
        <v>123000</v>
      </c>
      <c r="KS398">
        <v>123003</v>
      </c>
      <c r="KT398">
        <v>123002</v>
      </c>
      <c r="KU398">
        <v>54125</v>
      </c>
      <c r="KV398">
        <v>537</v>
      </c>
      <c r="KX398" s="24"/>
      <c r="KY398">
        <v>717</v>
      </c>
      <c r="KZ398">
        <v>717</v>
      </c>
      <c r="LA398">
        <v>717</v>
      </c>
      <c r="LB398">
        <v>4198218</v>
      </c>
      <c r="LC398">
        <v>144</v>
      </c>
      <c r="LE398" s="24"/>
      <c r="LF398">
        <v>181503</v>
      </c>
      <c r="LG398">
        <v>182001</v>
      </c>
      <c r="LH398">
        <v>181755</v>
      </c>
      <c r="LI398">
        <v>140387</v>
      </c>
      <c r="LJ398">
        <v>807</v>
      </c>
      <c r="LL398" s="24"/>
      <c r="LM398">
        <v>66006</v>
      </c>
      <c r="LN398">
        <v>68000</v>
      </c>
      <c r="LO398">
        <v>66012</v>
      </c>
      <c r="LP398">
        <v>428935</v>
      </c>
      <c r="LQ398">
        <v>1112</v>
      </c>
      <c r="LS398" s="24"/>
      <c r="LT398">
        <v>539</v>
      </c>
      <c r="LU398">
        <v>544</v>
      </c>
      <c r="LV398">
        <v>543</v>
      </c>
      <c r="LW398">
        <v>78769313</v>
      </c>
      <c r="LX398">
        <v>397</v>
      </c>
      <c r="LZ398" s="24"/>
      <c r="MA398">
        <v>95000</v>
      </c>
      <c r="MB398">
        <v>103400</v>
      </c>
      <c r="MC398">
        <v>98000</v>
      </c>
      <c r="MD398">
        <v>589529</v>
      </c>
      <c r="ME398">
        <v>34</v>
      </c>
    </row>
    <row r="399" spans="2:343" x14ac:dyDescent="0.25">
      <c r="B399" s="24"/>
      <c r="C399">
        <v>3</v>
      </c>
      <c r="D399">
        <v>3</v>
      </c>
      <c r="E399">
        <v>3</v>
      </c>
      <c r="F399">
        <v>23166708718</v>
      </c>
      <c r="G399">
        <v>3190</v>
      </c>
      <c r="I399" s="24"/>
      <c r="J399">
        <v>5</v>
      </c>
      <c r="K399">
        <v>5</v>
      </c>
      <c r="L399">
        <v>5</v>
      </c>
      <c r="M399">
        <v>5763818133</v>
      </c>
      <c r="N399">
        <v>2215</v>
      </c>
      <c r="P399" s="24"/>
      <c r="Q399">
        <v>48</v>
      </c>
      <c r="R399">
        <v>48</v>
      </c>
      <c r="S399">
        <v>48</v>
      </c>
      <c r="T399">
        <v>1252897416</v>
      </c>
      <c r="U399">
        <v>2029</v>
      </c>
      <c r="W399" s="24"/>
      <c r="X399">
        <v>64</v>
      </c>
      <c r="Y399">
        <v>64</v>
      </c>
      <c r="Z399">
        <v>64</v>
      </c>
      <c r="AA399">
        <v>318045357</v>
      </c>
      <c r="AB399">
        <v>1669</v>
      </c>
      <c r="AD399" s="24"/>
      <c r="AE399">
        <v>471</v>
      </c>
      <c r="AF399">
        <v>479</v>
      </c>
      <c r="AG399">
        <v>477</v>
      </c>
      <c r="AH399">
        <v>71208576</v>
      </c>
      <c r="AI399">
        <v>1725</v>
      </c>
      <c r="AK399" s="24"/>
      <c r="AL399">
        <v>733</v>
      </c>
      <c r="AM399">
        <v>748</v>
      </c>
      <c r="AN399">
        <v>739</v>
      </c>
      <c r="AO399">
        <v>39939851</v>
      </c>
      <c r="AP399">
        <v>1340</v>
      </c>
      <c r="AR399" s="24"/>
      <c r="AS399">
        <v>2768</v>
      </c>
      <c r="AT399">
        <v>2848</v>
      </c>
      <c r="AU399">
        <v>2845</v>
      </c>
      <c r="AV399">
        <v>16417195</v>
      </c>
      <c r="AW399">
        <v>1335</v>
      </c>
      <c r="AY399" s="24"/>
      <c r="AZ399">
        <v>444444797</v>
      </c>
      <c r="BA399">
        <v>452999992</v>
      </c>
      <c r="BB399">
        <v>449999997</v>
      </c>
      <c r="BC399">
        <v>3392</v>
      </c>
      <c r="BD399">
        <v>2112</v>
      </c>
      <c r="BF399" s="24"/>
      <c r="BG399">
        <v>27509</v>
      </c>
      <c r="BH399">
        <v>28000</v>
      </c>
      <c r="BI399">
        <v>27809</v>
      </c>
      <c r="BJ399">
        <v>4595427</v>
      </c>
      <c r="BK399">
        <v>323</v>
      </c>
      <c r="BM399" s="24"/>
      <c r="BN399">
        <v>7150306</v>
      </c>
      <c r="BO399">
        <v>7340312</v>
      </c>
      <c r="BP399">
        <v>7200000</v>
      </c>
      <c r="BQ399">
        <v>17753</v>
      </c>
      <c r="BR399">
        <v>439</v>
      </c>
      <c r="BT399" s="24"/>
      <c r="BU399">
        <v>2598</v>
      </c>
      <c r="BV399">
        <v>2648</v>
      </c>
      <c r="BW399">
        <v>2646</v>
      </c>
      <c r="BX399">
        <v>30282893</v>
      </c>
      <c r="BY399">
        <v>288</v>
      </c>
      <c r="CA399" s="24"/>
      <c r="CB399">
        <v>950</v>
      </c>
      <c r="CC399">
        <v>1049</v>
      </c>
      <c r="CD399">
        <v>1009</v>
      </c>
      <c r="CE399">
        <v>55910186</v>
      </c>
      <c r="CF399">
        <v>380</v>
      </c>
      <c r="CH399" s="24"/>
      <c r="CI399">
        <v>32620</v>
      </c>
      <c r="CJ399">
        <v>32626</v>
      </c>
      <c r="CK399">
        <v>32625</v>
      </c>
      <c r="CL399">
        <v>3176887</v>
      </c>
      <c r="CM399">
        <v>250</v>
      </c>
      <c r="CO399" s="24"/>
      <c r="CP399">
        <v>10936</v>
      </c>
      <c r="CQ399">
        <v>11338</v>
      </c>
      <c r="CR399">
        <v>11099</v>
      </c>
      <c r="CS399">
        <v>1569837</v>
      </c>
      <c r="CT399">
        <v>483</v>
      </c>
      <c r="CV399" s="24"/>
      <c r="CW399">
        <v>1237555</v>
      </c>
      <c r="CX399">
        <v>1353986</v>
      </c>
      <c r="CY399">
        <v>1353983</v>
      </c>
      <c r="CZ399">
        <v>8224</v>
      </c>
      <c r="DA399">
        <v>32</v>
      </c>
      <c r="DC399" s="24"/>
      <c r="DD399">
        <v>580</v>
      </c>
      <c r="DE399">
        <v>583</v>
      </c>
      <c r="DF399">
        <v>583</v>
      </c>
      <c r="DG399">
        <v>37432774</v>
      </c>
      <c r="DH399">
        <v>241</v>
      </c>
      <c r="DJ399" s="24"/>
      <c r="DK399">
        <v>24992241</v>
      </c>
      <c r="DL399">
        <v>25600015</v>
      </c>
      <c r="DM399">
        <v>25000002</v>
      </c>
      <c r="DN399">
        <v>597</v>
      </c>
      <c r="DO399">
        <v>112</v>
      </c>
      <c r="DQ399" s="24"/>
      <c r="DR399">
        <v>2615022</v>
      </c>
      <c r="DS399">
        <v>2736999</v>
      </c>
      <c r="DT399">
        <v>2677142</v>
      </c>
      <c r="DU399">
        <v>7799</v>
      </c>
      <c r="DV399">
        <v>256</v>
      </c>
      <c r="DX399" s="24"/>
      <c r="DY399">
        <v>18234596</v>
      </c>
      <c r="DZ399">
        <v>18234611</v>
      </c>
      <c r="EA399">
        <v>18234600</v>
      </c>
      <c r="EB399">
        <v>466</v>
      </c>
      <c r="EC399">
        <v>110</v>
      </c>
      <c r="EE399" s="24"/>
      <c r="EF399">
        <v>212</v>
      </c>
      <c r="EG399">
        <v>238</v>
      </c>
      <c r="EH399">
        <v>234</v>
      </c>
      <c r="EI399">
        <v>104290549</v>
      </c>
      <c r="EJ399">
        <v>190</v>
      </c>
      <c r="EL399" s="24"/>
      <c r="EM399">
        <v>75026</v>
      </c>
      <c r="EN399">
        <v>80000</v>
      </c>
      <c r="EO399">
        <v>75232</v>
      </c>
      <c r="EP399">
        <v>110513</v>
      </c>
      <c r="EQ399">
        <v>756</v>
      </c>
      <c r="ES399" s="24"/>
      <c r="ET399">
        <v>394</v>
      </c>
      <c r="EU399">
        <v>415</v>
      </c>
      <c r="EV399">
        <v>401</v>
      </c>
      <c r="EW399">
        <v>64246152</v>
      </c>
      <c r="EX399">
        <v>818</v>
      </c>
      <c r="EZ399" s="24"/>
      <c r="FA399">
        <v>3200727</v>
      </c>
      <c r="FB399">
        <v>3598882</v>
      </c>
      <c r="FC399">
        <v>3200727</v>
      </c>
      <c r="FD399">
        <v>1510</v>
      </c>
      <c r="FE399">
        <v>20</v>
      </c>
      <c r="FG399" s="24"/>
      <c r="FH399">
        <v>9089</v>
      </c>
      <c r="FI399">
        <v>9370</v>
      </c>
      <c r="FJ399">
        <v>9278</v>
      </c>
      <c r="FK399">
        <v>1942244</v>
      </c>
      <c r="FL399">
        <v>535</v>
      </c>
      <c r="FN399" s="24"/>
      <c r="FO399">
        <v>22001</v>
      </c>
      <c r="FP399">
        <v>31819</v>
      </c>
      <c r="FQ399">
        <v>25001</v>
      </c>
      <c r="FR399">
        <v>355997</v>
      </c>
      <c r="FS399">
        <v>108</v>
      </c>
      <c r="FU399" s="24"/>
      <c r="FV399">
        <v>14750</v>
      </c>
      <c r="FW399">
        <v>14801</v>
      </c>
      <c r="FX399">
        <v>14751</v>
      </c>
      <c r="FY399">
        <v>489789</v>
      </c>
      <c r="FZ399">
        <v>1338</v>
      </c>
      <c r="GB399" s="24"/>
      <c r="GC399">
        <v>94505003</v>
      </c>
      <c r="GD399">
        <v>100286999</v>
      </c>
      <c r="GE399">
        <v>94533000</v>
      </c>
      <c r="GF399">
        <v>173</v>
      </c>
      <c r="GG399">
        <v>97</v>
      </c>
      <c r="GI399" s="24"/>
      <c r="GJ399">
        <v>22200000</v>
      </c>
      <c r="GK399">
        <v>22989999</v>
      </c>
      <c r="GL399">
        <v>22200009</v>
      </c>
      <c r="GM399">
        <v>623</v>
      </c>
      <c r="GN399">
        <v>86</v>
      </c>
      <c r="GP399" s="24"/>
      <c r="GQ399">
        <v>103</v>
      </c>
      <c r="GR399">
        <v>104</v>
      </c>
      <c r="GS399">
        <v>104</v>
      </c>
      <c r="GT399">
        <v>134332459</v>
      </c>
      <c r="GU399">
        <v>171</v>
      </c>
      <c r="GW399" s="24"/>
      <c r="GX399">
        <v>479</v>
      </c>
      <c r="GY399">
        <v>485</v>
      </c>
      <c r="GZ399">
        <v>483</v>
      </c>
      <c r="HA399">
        <v>52341712</v>
      </c>
      <c r="HB399">
        <v>303</v>
      </c>
      <c r="HD399" s="24"/>
      <c r="HE399">
        <v>5661</v>
      </c>
      <c r="HF399">
        <v>5706</v>
      </c>
      <c r="HG399">
        <v>5699</v>
      </c>
      <c r="HH399">
        <v>20365209</v>
      </c>
      <c r="HI399">
        <v>269</v>
      </c>
      <c r="HK399" s="24"/>
      <c r="HL399">
        <v>94157002</v>
      </c>
      <c r="HM399">
        <v>101293998</v>
      </c>
      <c r="HN399">
        <v>95002000</v>
      </c>
      <c r="HO399">
        <v>199</v>
      </c>
      <c r="HP399">
        <v>118</v>
      </c>
      <c r="HR399" s="24"/>
      <c r="HS399">
        <v>9804</v>
      </c>
      <c r="HT399">
        <v>10105</v>
      </c>
      <c r="HU399">
        <v>9951</v>
      </c>
      <c r="HV399">
        <v>761705</v>
      </c>
      <c r="HW399">
        <v>154</v>
      </c>
      <c r="HY399" s="24"/>
      <c r="HZ399">
        <v>10316</v>
      </c>
      <c r="IA399">
        <v>10824</v>
      </c>
      <c r="IB399">
        <v>10748</v>
      </c>
      <c r="IC399">
        <v>2493354</v>
      </c>
      <c r="ID399">
        <v>654</v>
      </c>
      <c r="IF399" s="24"/>
      <c r="IG399">
        <v>3599</v>
      </c>
      <c r="IH399">
        <v>3619</v>
      </c>
      <c r="II399">
        <v>3618</v>
      </c>
      <c r="IJ399">
        <v>2253109</v>
      </c>
      <c r="IK399">
        <v>176</v>
      </c>
      <c r="IM399" s="24"/>
      <c r="IN399">
        <v>94525002</v>
      </c>
      <c r="IO399">
        <v>98984998</v>
      </c>
      <c r="IP399">
        <v>98983999</v>
      </c>
      <c r="IQ399">
        <v>148</v>
      </c>
      <c r="IR399">
        <v>90</v>
      </c>
      <c r="IT399" s="24"/>
      <c r="IU399">
        <v>10120</v>
      </c>
      <c r="IV399">
        <v>10139</v>
      </c>
      <c r="IW399">
        <v>10122</v>
      </c>
      <c r="IX399">
        <v>2818166</v>
      </c>
      <c r="IY399">
        <v>197</v>
      </c>
      <c r="JA399" s="24"/>
      <c r="JB399">
        <v>93806518</v>
      </c>
      <c r="JC399">
        <v>99999899</v>
      </c>
      <c r="JD399">
        <v>96562000</v>
      </c>
      <c r="JE399">
        <v>151</v>
      </c>
      <c r="JF399">
        <v>92</v>
      </c>
      <c r="JH399" s="24"/>
      <c r="JI399">
        <v>93422001</v>
      </c>
      <c r="JJ399">
        <v>102874735</v>
      </c>
      <c r="JK399">
        <v>97800000</v>
      </c>
      <c r="JL399">
        <v>105</v>
      </c>
      <c r="JM399">
        <v>70</v>
      </c>
      <c r="JO399" s="24"/>
      <c r="JP399">
        <v>89</v>
      </c>
      <c r="JQ399">
        <v>92</v>
      </c>
      <c r="JR399">
        <v>92</v>
      </c>
      <c r="JS399">
        <v>149881910</v>
      </c>
      <c r="JT399">
        <v>98</v>
      </c>
      <c r="JV399" s="24"/>
      <c r="JW399">
        <v>92</v>
      </c>
      <c r="JX399">
        <v>95</v>
      </c>
      <c r="JY399">
        <v>94</v>
      </c>
      <c r="JZ399">
        <v>141074368</v>
      </c>
      <c r="KA399">
        <v>140</v>
      </c>
      <c r="KC399" s="24"/>
      <c r="KD399">
        <v>111</v>
      </c>
      <c r="KE399">
        <v>117</v>
      </c>
      <c r="KF399">
        <v>117</v>
      </c>
      <c r="KG399">
        <v>72753489</v>
      </c>
      <c r="KH399">
        <v>417</v>
      </c>
      <c r="KJ399" s="24"/>
      <c r="KK399">
        <v>102</v>
      </c>
      <c r="KL399">
        <v>107</v>
      </c>
      <c r="KM399">
        <v>103</v>
      </c>
      <c r="KN399">
        <v>173523428</v>
      </c>
      <c r="KO399">
        <v>159</v>
      </c>
      <c r="KQ399" s="24"/>
      <c r="KR399">
        <v>123017</v>
      </c>
      <c r="KS399">
        <v>123021</v>
      </c>
      <c r="KT399">
        <v>123017</v>
      </c>
      <c r="KU399">
        <v>44442</v>
      </c>
      <c r="KV399">
        <v>694</v>
      </c>
      <c r="KX399" s="24"/>
      <c r="KY399">
        <v>717</v>
      </c>
      <c r="KZ399">
        <v>719</v>
      </c>
      <c r="LA399">
        <v>717</v>
      </c>
      <c r="LB399">
        <v>8805333</v>
      </c>
      <c r="LC399">
        <v>186</v>
      </c>
      <c r="LE399" s="24"/>
      <c r="LF399">
        <v>181800</v>
      </c>
      <c r="LG399">
        <v>181803</v>
      </c>
      <c r="LH399">
        <v>181801</v>
      </c>
      <c r="LI399">
        <v>120382</v>
      </c>
      <c r="LJ399">
        <v>995</v>
      </c>
      <c r="LL399" s="24"/>
      <c r="LM399">
        <v>66060</v>
      </c>
      <c r="LN399">
        <v>66078</v>
      </c>
      <c r="LO399">
        <v>66066</v>
      </c>
      <c r="LP399">
        <v>375902</v>
      </c>
      <c r="LQ399">
        <v>1406</v>
      </c>
      <c r="LS399" s="24"/>
      <c r="LT399">
        <v>550</v>
      </c>
      <c r="LU399">
        <v>552</v>
      </c>
      <c r="LV399">
        <v>552</v>
      </c>
      <c r="LW399">
        <v>99370424</v>
      </c>
      <c r="LX399">
        <v>513</v>
      </c>
      <c r="LZ399" s="24"/>
      <c r="MA399">
        <v>95008</v>
      </c>
      <c r="MB399">
        <v>96007</v>
      </c>
      <c r="MC399">
        <v>95301</v>
      </c>
      <c r="MD399">
        <v>1153572</v>
      </c>
      <c r="ME399">
        <v>94</v>
      </c>
    </row>
    <row r="400" spans="2:343" x14ac:dyDescent="0.25">
      <c r="B400" s="24"/>
      <c r="C400">
        <v>3</v>
      </c>
      <c r="D400">
        <v>3</v>
      </c>
      <c r="E400">
        <v>3</v>
      </c>
      <c r="F400">
        <v>34579159274</v>
      </c>
      <c r="G400">
        <v>2877</v>
      </c>
      <c r="I400" s="24"/>
      <c r="J400">
        <v>5</v>
      </c>
      <c r="K400">
        <v>5</v>
      </c>
      <c r="L400">
        <v>5</v>
      </c>
      <c r="M400">
        <v>8167168780</v>
      </c>
      <c r="N400">
        <v>2086</v>
      </c>
      <c r="P400" s="24"/>
      <c r="Q400">
        <v>48</v>
      </c>
      <c r="R400">
        <v>48</v>
      </c>
      <c r="S400">
        <v>48</v>
      </c>
      <c r="T400">
        <v>1712595742</v>
      </c>
      <c r="U400">
        <v>1841</v>
      </c>
      <c r="W400" s="24"/>
      <c r="X400">
        <v>63</v>
      </c>
      <c r="Y400">
        <v>64</v>
      </c>
      <c r="Z400">
        <v>64</v>
      </c>
      <c r="AA400">
        <v>432313092</v>
      </c>
      <c r="AB400">
        <v>1486</v>
      </c>
      <c r="AD400" s="24"/>
      <c r="AE400">
        <v>472</v>
      </c>
      <c r="AF400">
        <v>478</v>
      </c>
      <c r="AG400">
        <v>475</v>
      </c>
      <c r="AH400">
        <v>111843393</v>
      </c>
      <c r="AI400">
        <v>1505</v>
      </c>
      <c r="AK400" s="24"/>
      <c r="AL400">
        <v>732</v>
      </c>
      <c r="AM400">
        <v>741</v>
      </c>
      <c r="AN400">
        <v>734</v>
      </c>
      <c r="AO400">
        <v>40630915</v>
      </c>
      <c r="AP400">
        <v>1217</v>
      </c>
      <c r="AR400" s="24"/>
      <c r="AS400">
        <v>2765</v>
      </c>
      <c r="AT400">
        <v>2844</v>
      </c>
      <c r="AU400">
        <v>2770</v>
      </c>
      <c r="AV400">
        <v>16009342</v>
      </c>
      <c r="AW400">
        <v>1175</v>
      </c>
      <c r="AY400" s="24"/>
      <c r="AZ400">
        <v>446004007</v>
      </c>
      <c r="BA400">
        <v>454699997</v>
      </c>
      <c r="BB400">
        <v>451999999</v>
      </c>
      <c r="BC400">
        <v>3017</v>
      </c>
      <c r="BD400">
        <v>2046</v>
      </c>
      <c r="BF400" s="24"/>
      <c r="BG400">
        <v>27510</v>
      </c>
      <c r="BH400">
        <v>27511</v>
      </c>
      <c r="BI400">
        <v>27511</v>
      </c>
      <c r="BJ400">
        <v>5587802</v>
      </c>
      <c r="BK400">
        <v>288</v>
      </c>
      <c r="BM400" s="24"/>
      <c r="BN400">
        <v>7100000</v>
      </c>
      <c r="BO400">
        <v>7270202</v>
      </c>
      <c r="BP400">
        <v>7150000</v>
      </c>
      <c r="BQ400">
        <v>13314</v>
      </c>
      <c r="BR400">
        <v>400</v>
      </c>
      <c r="BT400" s="24"/>
      <c r="BU400">
        <v>2510</v>
      </c>
      <c r="BV400">
        <v>2645</v>
      </c>
      <c r="BW400">
        <v>2575</v>
      </c>
      <c r="BX400">
        <v>24095681</v>
      </c>
      <c r="BY400">
        <v>255</v>
      </c>
      <c r="CA400" s="24"/>
      <c r="CB400">
        <v>922</v>
      </c>
      <c r="CC400">
        <v>977</v>
      </c>
      <c r="CD400">
        <v>968</v>
      </c>
      <c r="CE400">
        <v>49983245</v>
      </c>
      <c r="CF400">
        <v>385</v>
      </c>
      <c r="CH400" s="24"/>
      <c r="CI400">
        <v>32029</v>
      </c>
      <c r="CJ400">
        <v>32029</v>
      </c>
      <c r="CK400">
        <v>32029</v>
      </c>
      <c r="CL400">
        <v>1966270</v>
      </c>
      <c r="CM400">
        <v>182</v>
      </c>
      <c r="CO400" s="24"/>
      <c r="CP400">
        <v>10936</v>
      </c>
      <c r="CQ400">
        <v>11295</v>
      </c>
      <c r="CR400">
        <v>11149</v>
      </c>
      <c r="CS400">
        <v>1162026</v>
      </c>
      <c r="CT400">
        <v>400</v>
      </c>
      <c r="CV400" s="24"/>
      <c r="CW400">
        <v>1254100</v>
      </c>
      <c r="CX400">
        <v>1280555</v>
      </c>
      <c r="CY400">
        <v>1254555</v>
      </c>
      <c r="CZ400">
        <v>13300</v>
      </c>
      <c r="DA400">
        <v>34</v>
      </c>
      <c r="DC400" s="24"/>
      <c r="DD400">
        <v>582</v>
      </c>
      <c r="DE400">
        <v>628</v>
      </c>
      <c r="DF400">
        <v>590</v>
      </c>
      <c r="DG400">
        <v>62159533</v>
      </c>
      <c r="DH400">
        <v>237</v>
      </c>
      <c r="DJ400" s="24"/>
      <c r="DK400">
        <v>22424279</v>
      </c>
      <c r="DL400">
        <v>24223230</v>
      </c>
      <c r="DM400">
        <v>22500003</v>
      </c>
      <c r="DN400">
        <v>324</v>
      </c>
      <c r="DO400">
        <v>85</v>
      </c>
      <c r="DQ400" s="24"/>
      <c r="DR400">
        <v>2619023</v>
      </c>
      <c r="DS400">
        <v>2867141</v>
      </c>
      <c r="DT400">
        <v>2619045</v>
      </c>
      <c r="DU400">
        <v>5036</v>
      </c>
      <c r="DV400">
        <v>275</v>
      </c>
      <c r="DX400" s="24"/>
      <c r="DY400">
        <v>18235001</v>
      </c>
      <c r="DZ400">
        <v>18906000</v>
      </c>
      <c r="EA400">
        <v>18236009</v>
      </c>
      <c r="EB400">
        <v>766</v>
      </c>
      <c r="EC400">
        <v>133</v>
      </c>
      <c r="EE400" s="24"/>
      <c r="EF400">
        <v>223</v>
      </c>
      <c r="EG400">
        <v>237</v>
      </c>
      <c r="EH400">
        <v>236</v>
      </c>
      <c r="EI400">
        <v>84670989</v>
      </c>
      <c r="EJ400">
        <v>157</v>
      </c>
      <c r="EL400" s="24"/>
      <c r="EM400">
        <v>75381</v>
      </c>
      <c r="EN400">
        <v>76899</v>
      </c>
      <c r="EO400">
        <v>75501</v>
      </c>
      <c r="EP400">
        <v>91804</v>
      </c>
      <c r="EQ400">
        <v>675</v>
      </c>
      <c r="ES400" s="24"/>
      <c r="ET400">
        <v>310</v>
      </c>
      <c r="EU400">
        <v>390</v>
      </c>
      <c r="EV400">
        <v>380</v>
      </c>
      <c r="EW400">
        <v>86740938</v>
      </c>
      <c r="EX400">
        <v>828</v>
      </c>
      <c r="EZ400" s="24"/>
      <c r="FA400">
        <v>3200103</v>
      </c>
      <c r="FB400">
        <v>3593283</v>
      </c>
      <c r="FC400">
        <v>3589999</v>
      </c>
      <c r="FD400">
        <v>947</v>
      </c>
      <c r="FE400">
        <v>14</v>
      </c>
      <c r="FG400" s="24"/>
      <c r="FH400">
        <v>9100</v>
      </c>
      <c r="FI400">
        <v>9348</v>
      </c>
      <c r="FJ400">
        <v>9348</v>
      </c>
      <c r="FK400">
        <v>1388024</v>
      </c>
      <c r="FL400">
        <v>467</v>
      </c>
      <c r="FN400" s="24"/>
      <c r="FO400">
        <v>22002</v>
      </c>
      <c r="FP400">
        <v>24225</v>
      </c>
      <c r="FQ400">
        <v>23500</v>
      </c>
      <c r="FR400">
        <v>240058</v>
      </c>
      <c r="FS400">
        <v>93</v>
      </c>
      <c r="FU400" s="24"/>
      <c r="FV400">
        <v>14816</v>
      </c>
      <c r="FW400">
        <v>15700</v>
      </c>
      <c r="FX400">
        <v>14850</v>
      </c>
      <c r="FY400">
        <v>475502</v>
      </c>
      <c r="FZ400">
        <v>1254</v>
      </c>
      <c r="GB400" s="24"/>
      <c r="GC400">
        <v>93391003</v>
      </c>
      <c r="GD400">
        <v>99899997</v>
      </c>
      <c r="GE400">
        <v>93412000</v>
      </c>
      <c r="GF400">
        <v>129</v>
      </c>
      <c r="GG400">
        <v>89</v>
      </c>
      <c r="GI400" s="24"/>
      <c r="GJ400">
        <v>21650037</v>
      </c>
      <c r="GK400">
        <v>22999998</v>
      </c>
      <c r="GL400">
        <v>21650046</v>
      </c>
      <c r="GM400">
        <v>782</v>
      </c>
      <c r="GN400">
        <v>113</v>
      </c>
      <c r="GP400" s="24"/>
      <c r="GQ400">
        <v>103</v>
      </c>
      <c r="GR400">
        <v>109</v>
      </c>
      <c r="GS400">
        <v>107</v>
      </c>
      <c r="GT400">
        <v>104650802</v>
      </c>
      <c r="GU400">
        <v>124</v>
      </c>
      <c r="GW400" s="24"/>
      <c r="GX400">
        <v>467</v>
      </c>
      <c r="GY400">
        <v>475</v>
      </c>
      <c r="GZ400">
        <v>468</v>
      </c>
      <c r="HA400">
        <v>82639999</v>
      </c>
      <c r="HB400">
        <v>284</v>
      </c>
      <c r="HD400" s="24"/>
      <c r="HE400">
        <v>5600</v>
      </c>
      <c r="HF400">
        <v>5699</v>
      </c>
      <c r="HG400">
        <v>5694</v>
      </c>
      <c r="HH400">
        <v>16433526</v>
      </c>
      <c r="HI400">
        <v>233</v>
      </c>
      <c r="HK400" s="24"/>
      <c r="HL400">
        <v>94155009</v>
      </c>
      <c r="HM400">
        <v>100999098</v>
      </c>
      <c r="HN400">
        <v>94155011</v>
      </c>
      <c r="HO400">
        <v>159</v>
      </c>
      <c r="HP400">
        <v>112</v>
      </c>
      <c r="HR400" s="24"/>
      <c r="HS400">
        <v>9801</v>
      </c>
      <c r="HT400">
        <v>10110</v>
      </c>
      <c r="HU400">
        <v>9999</v>
      </c>
      <c r="HV400">
        <v>668228</v>
      </c>
      <c r="HW400">
        <v>102</v>
      </c>
      <c r="HY400" s="24"/>
      <c r="HZ400">
        <v>9900</v>
      </c>
      <c r="IA400">
        <v>10300</v>
      </c>
      <c r="IB400">
        <v>10198</v>
      </c>
      <c r="IC400">
        <v>1994116</v>
      </c>
      <c r="ID400">
        <v>517</v>
      </c>
      <c r="IF400" s="24"/>
      <c r="IG400">
        <v>3400</v>
      </c>
      <c r="IH400">
        <v>3614</v>
      </c>
      <c r="II400">
        <v>3402</v>
      </c>
      <c r="IJ400">
        <v>2229349</v>
      </c>
      <c r="IK400">
        <v>153</v>
      </c>
      <c r="IM400" s="24"/>
      <c r="IN400">
        <v>94024001</v>
      </c>
      <c r="IO400">
        <v>104689998</v>
      </c>
      <c r="IP400">
        <v>98025614</v>
      </c>
      <c r="IQ400">
        <v>148</v>
      </c>
      <c r="IR400">
        <v>108</v>
      </c>
      <c r="IT400" s="24"/>
      <c r="IU400">
        <v>9800</v>
      </c>
      <c r="IV400">
        <v>12455</v>
      </c>
      <c r="IW400">
        <v>10750</v>
      </c>
      <c r="IX400">
        <v>1129354</v>
      </c>
      <c r="IY400">
        <v>126</v>
      </c>
      <c r="JA400" s="24"/>
      <c r="JB400">
        <v>93715001</v>
      </c>
      <c r="JC400">
        <v>99999890</v>
      </c>
      <c r="JD400">
        <v>94562000</v>
      </c>
      <c r="JE400">
        <v>162</v>
      </c>
      <c r="JF400">
        <v>114</v>
      </c>
      <c r="JH400" s="24"/>
      <c r="JI400">
        <v>94563001</v>
      </c>
      <c r="JJ400">
        <v>101397997</v>
      </c>
      <c r="JK400">
        <v>94563004</v>
      </c>
      <c r="JL400">
        <v>120</v>
      </c>
      <c r="JM400">
        <v>83</v>
      </c>
      <c r="JO400" s="24"/>
      <c r="JP400">
        <v>89</v>
      </c>
      <c r="JQ400">
        <v>92</v>
      </c>
      <c r="JR400">
        <v>92</v>
      </c>
      <c r="JS400">
        <v>69758005</v>
      </c>
      <c r="JT400">
        <v>89</v>
      </c>
      <c r="JV400" s="24"/>
      <c r="JW400">
        <v>94</v>
      </c>
      <c r="JX400">
        <v>95</v>
      </c>
      <c r="JY400">
        <v>95</v>
      </c>
      <c r="JZ400">
        <v>93428848</v>
      </c>
      <c r="KA400">
        <v>96</v>
      </c>
      <c r="KC400" s="24"/>
      <c r="KD400">
        <v>90</v>
      </c>
      <c r="KE400">
        <v>110</v>
      </c>
      <c r="KF400">
        <v>97</v>
      </c>
      <c r="KG400">
        <v>100969793</v>
      </c>
      <c r="KH400">
        <v>434</v>
      </c>
      <c r="KJ400" s="24"/>
      <c r="KK400">
        <v>104</v>
      </c>
      <c r="KL400">
        <v>108</v>
      </c>
      <c r="KM400">
        <v>107</v>
      </c>
      <c r="KN400">
        <v>154351242</v>
      </c>
      <c r="KO400">
        <v>150</v>
      </c>
      <c r="KQ400" s="24"/>
      <c r="KR400">
        <v>123027</v>
      </c>
      <c r="KS400">
        <v>128499</v>
      </c>
      <c r="KT400">
        <v>125000</v>
      </c>
      <c r="KU400">
        <v>136987</v>
      </c>
      <c r="KV400">
        <v>717</v>
      </c>
      <c r="KX400" s="24"/>
      <c r="KY400">
        <v>718</v>
      </c>
      <c r="KZ400">
        <v>718</v>
      </c>
      <c r="LA400">
        <v>718</v>
      </c>
      <c r="LB400">
        <v>5467537</v>
      </c>
      <c r="LC400">
        <v>153</v>
      </c>
      <c r="LE400" s="24"/>
      <c r="LF400">
        <v>181828</v>
      </c>
      <c r="LG400">
        <v>181830</v>
      </c>
      <c r="LH400">
        <v>181828</v>
      </c>
      <c r="LI400">
        <v>140832</v>
      </c>
      <c r="LJ400">
        <v>992</v>
      </c>
      <c r="LL400" s="24"/>
      <c r="LM400">
        <v>66110</v>
      </c>
      <c r="LN400">
        <v>66119</v>
      </c>
      <c r="LO400">
        <v>66119</v>
      </c>
      <c r="LP400">
        <v>432212</v>
      </c>
      <c r="LQ400">
        <v>1332</v>
      </c>
      <c r="LS400" s="24"/>
      <c r="LT400">
        <v>540</v>
      </c>
      <c r="LU400">
        <v>550</v>
      </c>
      <c r="LV400">
        <v>545</v>
      </c>
      <c r="LW400">
        <v>112445274</v>
      </c>
      <c r="LX400">
        <v>487</v>
      </c>
      <c r="LZ400" s="24"/>
      <c r="MA400">
        <v>99494</v>
      </c>
      <c r="MB400">
        <v>99499</v>
      </c>
      <c r="MC400">
        <v>99498</v>
      </c>
      <c r="MD400">
        <v>1156878</v>
      </c>
      <c r="ME400">
        <v>129</v>
      </c>
    </row>
    <row r="401" spans="2:343" x14ac:dyDescent="0.25">
      <c r="B401" s="24"/>
      <c r="C401">
        <v>3</v>
      </c>
      <c r="D401">
        <v>3</v>
      </c>
      <c r="E401">
        <v>3</v>
      </c>
      <c r="F401">
        <v>25704288906</v>
      </c>
      <c r="G401">
        <v>2600</v>
      </c>
      <c r="I401" s="24"/>
      <c r="J401">
        <v>5</v>
      </c>
      <c r="K401">
        <v>5</v>
      </c>
      <c r="L401">
        <v>5</v>
      </c>
      <c r="M401">
        <v>7002335580</v>
      </c>
      <c r="N401">
        <v>1940</v>
      </c>
      <c r="P401" s="24"/>
      <c r="Q401">
        <v>48</v>
      </c>
      <c r="R401">
        <v>48</v>
      </c>
      <c r="S401">
        <v>48</v>
      </c>
      <c r="T401">
        <v>2477788616</v>
      </c>
      <c r="U401">
        <v>1783</v>
      </c>
      <c r="W401" s="24"/>
      <c r="X401">
        <v>63</v>
      </c>
      <c r="Y401">
        <v>63</v>
      </c>
      <c r="Z401">
        <v>63</v>
      </c>
      <c r="AA401">
        <v>1117054677</v>
      </c>
      <c r="AB401">
        <v>1385</v>
      </c>
      <c r="AD401" s="24"/>
      <c r="AE401">
        <v>471</v>
      </c>
      <c r="AF401">
        <v>474</v>
      </c>
      <c r="AG401">
        <v>471</v>
      </c>
      <c r="AH401">
        <v>120616154</v>
      </c>
      <c r="AI401">
        <v>1470</v>
      </c>
      <c r="AK401" s="24"/>
      <c r="AL401">
        <v>718</v>
      </c>
      <c r="AM401">
        <v>727</v>
      </c>
      <c r="AN401">
        <v>725</v>
      </c>
      <c r="AO401">
        <v>53187993</v>
      </c>
      <c r="AP401">
        <v>1260</v>
      </c>
      <c r="AR401" s="24"/>
      <c r="AS401">
        <v>2700</v>
      </c>
      <c r="AT401">
        <v>2799</v>
      </c>
      <c r="AU401">
        <v>2717</v>
      </c>
      <c r="AV401">
        <v>18737913</v>
      </c>
      <c r="AW401">
        <v>1223</v>
      </c>
      <c r="AY401" s="24"/>
      <c r="AZ401">
        <v>454250175</v>
      </c>
      <c r="BA401">
        <v>463999845</v>
      </c>
      <c r="BB401">
        <v>457500200</v>
      </c>
      <c r="BC401">
        <v>2834</v>
      </c>
      <c r="BD401">
        <v>1924</v>
      </c>
      <c r="BF401" s="24"/>
      <c r="BG401">
        <v>26800</v>
      </c>
      <c r="BH401">
        <v>26800</v>
      </c>
      <c r="BI401">
        <v>26800</v>
      </c>
      <c r="BJ401">
        <v>4590910</v>
      </c>
      <c r="BK401">
        <v>208</v>
      </c>
      <c r="BM401" s="24"/>
      <c r="BN401">
        <v>7150002</v>
      </c>
      <c r="BO401">
        <v>7349999</v>
      </c>
      <c r="BP401">
        <v>7150017</v>
      </c>
      <c r="BQ401">
        <v>12955</v>
      </c>
      <c r="BR401">
        <v>366</v>
      </c>
      <c r="BT401" s="24"/>
      <c r="BU401">
        <v>2639</v>
      </c>
      <c r="BV401">
        <v>2645</v>
      </c>
      <c r="BW401">
        <v>2645</v>
      </c>
      <c r="BX401">
        <v>13605911</v>
      </c>
      <c r="BY401">
        <v>224</v>
      </c>
      <c r="CA401" s="24"/>
      <c r="CB401">
        <v>910</v>
      </c>
      <c r="CC401">
        <v>959</v>
      </c>
      <c r="CD401">
        <v>959</v>
      </c>
      <c r="CE401">
        <v>55206703</v>
      </c>
      <c r="CF401">
        <v>349</v>
      </c>
      <c r="CH401" s="24"/>
      <c r="CI401">
        <v>32030</v>
      </c>
      <c r="CJ401">
        <v>32420</v>
      </c>
      <c r="CK401">
        <v>32231</v>
      </c>
      <c r="CL401">
        <v>1107520</v>
      </c>
      <c r="CM401">
        <v>176</v>
      </c>
      <c r="CO401" s="24"/>
      <c r="CP401">
        <v>10102</v>
      </c>
      <c r="CQ401">
        <v>10922</v>
      </c>
      <c r="CR401">
        <v>10606</v>
      </c>
      <c r="CS401">
        <v>1878973</v>
      </c>
      <c r="CT401">
        <v>399</v>
      </c>
      <c r="CV401" s="24"/>
      <c r="CW401">
        <v>1200202</v>
      </c>
      <c r="CX401">
        <v>1279996</v>
      </c>
      <c r="CY401">
        <v>1278998</v>
      </c>
      <c r="CZ401">
        <v>9530</v>
      </c>
      <c r="DA401">
        <v>38</v>
      </c>
      <c r="DC401" s="24"/>
      <c r="DD401">
        <v>582</v>
      </c>
      <c r="DE401">
        <v>600</v>
      </c>
      <c r="DF401">
        <v>597</v>
      </c>
      <c r="DG401">
        <v>42992286</v>
      </c>
      <c r="DH401">
        <v>217</v>
      </c>
      <c r="DJ401" s="24"/>
      <c r="DK401">
        <v>22501675</v>
      </c>
      <c r="DL401">
        <v>23199998</v>
      </c>
      <c r="DM401">
        <v>22501726</v>
      </c>
      <c r="DN401">
        <v>351</v>
      </c>
      <c r="DO401">
        <v>108</v>
      </c>
      <c r="DQ401" s="24"/>
      <c r="DR401">
        <v>2619125</v>
      </c>
      <c r="DS401">
        <v>2999985</v>
      </c>
      <c r="DT401">
        <v>2819129</v>
      </c>
      <c r="DU401">
        <v>5141</v>
      </c>
      <c r="DV401">
        <v>248</v>
      </c>
      <c r="DX401" s="24"/>
      <c r="DY401">
        <v>17235011</v>
      </c>
      <c r="DZ401">
        <v>17799999</v>
      </c>
      <c r="EA401">
        <v>17235011</v>
      </c>
      <c r="EB401">
        <v>699</v>
      </c>
      <c r="EC401">
        <v>128</v>
      </c>
      <c r="EE401" s="24"/>
      <c r="EF401">
        <v>224</v>
      </c>
      <c r="EG401">
        <v>236</v>
      </c>
      <c r="EH401">
        <v>234</v>
      </c>
      <c r="EI401">
        <v>82111978</v>
      </c>
      <c r="EJ401">
        <v>160</v>
      </c>
      <c r="EL401" s="24"/>
      <c r="EM401">
        <v>76003</v>
      </c>
      <c r="EN401">
        <v>76010</v>
      </c>
      <c r="EO401">
        <v>76005</v>
      </c>
      <c r="EP401">
        <v>141324</v>
      </c>
      <c r="EQ401">
        <v>727</v>
      </c>
      <c r="ES401" s="24"/>
      <c r="ET401">
        <v>355</v>
      </c>
      <c r="EU401">
        <v>377</v>
      </c>
      <c r="EV401">
        <v>376</v>
      </c>
      <c r="EW401">
        <v>46516372</v>
      </c>
      <c r="EX401">
        <v>708</v>
      </c>
      <c r="EZ401" s="24"/>
      <c r="FA401">
        <v>3200104</v>
      </c>
      <c r="FB401">
        <v>3535219</v>
      </c>
      <c r="FC401">
        <v>3200105</v>
      </c>
      <c r="FD401">
        <v>1229</v>
      </c>
      <c r="FE401">
        <v>17</v>
      </c>
      <c r="FG401" s="24"/>
      <c r="FH401">
        <v>8702</v>
      </c>
      <c r="FI401">
        <v>9296</v>
      </c>
      <c r="FJ401">
        <v>9078</v>
      </c>
      <c r="FK401">
        <v>1424200</v>
      </c>
      <c r="FL401">
        <v>476</v>
      </c>
      <c r="FN401" s="24"/>
      <c r="FO401">
        <v>20000</v>
      </c>
      <c r="FP401">
        <v>21999</v>
      </c>
      <c r="FQ401">
        <v>21000</v>
      </c>
      <c r="FR401">
        <v>251059</v>
      </c>
      <c r="FS401">
        <v>103</v>
      </c>
      <c r="FU401" s="24"/>
      <c r="FV401">
        <v>14857</v>
      </c>
      <c r="FW401">
        <v>15010</v>
      </c>
      <c r="FX401">
        <v>14966</v>
      </c>
      <c r="FY401">
        <v>500942</v>
      </c>
      <c r="FZ401">
        <v>1202</v>
      </c>
      <c r="GB401" s="24"/>
      <c r="GC401">
        <v>97000002</v>
      </c>
      <c r="GD401">
        <v>99899993</v>
      </c>
      <c r="GE401">
        <v>99896999</v>
      </c>
      <c r="GF401">
        <v>119</v>
      </c>
      <c r="GG401">
        <v>83</v>
      </c>
      <c r="GI401" s="24"/>
      <c r="GJ401">
        <v>21650064</v>
      </c>
      <c r="GK401">
        <v>23238999</v>
      </c>
      <c r="GL401">
        <v>22788887</v>
      </c>
      <c r="GM401">
        <v>427</v>
      </c>
      <c r="GN401">
        <v>99</v>
      </c>
      <c r="GP401" s="24"/>
      <c r="GQ401">
        <v>102</v>
      </c>
      <c r="GR401">
        <v>109</v>
      </c>
      <c r="GS401">
        <v>109</v>
      </c>
      <c r="GT401">
        <v>157760400</v>
      </c>
      <c r="GU401">
        <v>139</v>
      </c>
      <c r="GW401" s="24"/>
      <c r="GX401">
        <v>466</v>
      </c>
      <c r="GY401">
        <v>477</v>
      </c>
      <c r="GZ401">
        <v>467</v>
      </c>
      <c r="HA401">
        <v>164762510</v>
      </c>
      <c r="HB401">
        <v>278</v>
      </c>
      <c r="HD401" s="24"/>
      <c r="HE401">
        <v>5602</v>
      </c>
      <c r="HF401">
        <v>5688</v>
      </c>
      <c r="HG401">
        <v>5675</v>
      </c>
      <c r="HH401">
        <v>12570433</v>
      </c>
      <c r="HI401">
        <v>212</v>
      </c>
      <c r="HK401" s="24"/>
      <c r="HL401">
        <v>93015033</v>
      </c>
      <c r="HM401">
        <v>99807095</v>
      </c>
      <c r="HN401">
        <v>99807092</v>
      </c>
      <c r="HO401">
        <v>124</v>
      </c>
      <c r="HP401">
        <v>87</v>
      </c>
      <c r="HR401" s="24"/>
      <c r="HS401">
        <v>9803</v>
      </c>
      <c r="HT401">
        <v>10399</v>
      </c>
      <c r="HU401">
        <v>10110</v>
      </c>
      <c r="HV401">
        <v>680344</v>
      </c>
      <c r="HW401">
        <v>137</v>
      </c>
      <c r="HY401" s="24"/>
      <c r="HZ401">
        <v>9557</v>
      </c>
      <c r="IA401">
        <v>9999</v>
      </c>
      <c r="IB401">
        <v>9976</v>
      </c>
      <c r="IC401">
        <v>1986932</v>
      </c>
      <c r="ID401">
        <v>499</v>
      </c>
      <c r="IF401" s="24"/>
      <c r="IG401">
        <v>3401</v>
      </c>
      <c r="IH401">
        <v>3595</v>
      </c>
      <c r="II401">
        <v>3594</v>
      </c>
      <c r="IJ401">
        <v>1168568</v>
      </c>
      <c r="IK401">
        <v>140</v>
      </c>
      <c r="IM401" s="24"/>
      <c r="IN401">
        <v>99500002</v>
      </c>
      <c r="IO401">
        <v>104561998</v>
      </c>
      <c r="IP401">
        <v>99500003</v>
      </c>
      <c r="IQ401">
        <v>116</v>
      </c>
      <c r="IR401">
        <v>73</v>
      </c>
      <c r="IT401" s="24"/>
      <c r="IU401">
        <v>9806</v>
      </c>
      <c r="IV401">
        <v>10399</v>
      </c>
      <c r="IW401">
        <v>10399</v>
      </c>
      <c r="IX401">
        <v>996322</v>
      </c>
      <c r="IY401">
        <v>150</v>
      </c>
      <c r="JA401" s="24"/>
      <c r="JB401">
        <v>95000003</v>
      </c>
      <c r="JC401">
        <v>99999890</v>
      </c>
      <c r="JD401">
        <v>99999800</v>
      </c>
      <c r="JE401">
        <v>135</v>
      </c>
      <c r="JF401">
        <v>85</v>
      </c>
      <c r="JH401" s="24"/>
      <c r="JI401">
        <v>96000002</v>
      </c>
      <c r="JJ401">
        <v>102744998</v>
      </c>
      <c r="JK401">
        <v>97877670</v>
      </c>
      <c r="JL401">
        <v>67</v>
      </c>
      <c r="JM401">
        <v>50</v>
      </c>
      <c r="JO401" s="24"/>
      <c r="JP401">
        <v>92</v>
      </c>
      <c r="JQ401">
        <v>93</v>
      </c>
      <c r="JR401">
        <v>92</v>
      </c>
      <c r="JS401">
        <v>97149767</v>
      </c>
      <c r="JT401">
        <v>96</v>
      </c>
      <c r="JV401" s="24"/>
      <c r="JW401">
        <v>90</v>
      </c>
      <c r="JX401">
        <v>95</v>
      </c>
      <c r="JY401">
        <v>94</v>
      </c>
      <c r="JZ401">
        <v>88162742</v>
      </c>
      <c r="KA401">
        <v>96</v>
      </c>
      <c r="KC401" s="24"/>
      <c r="KD401">
        <v>90</v>
      </c>
      <c r="KE401">
        <v>94</v>
      </c>
      <c r="KF401">
        <v>94</v>
      </c>
      <c r="KG401">
        <v>42506496</v>
      </c>
      <c r="KH401">
        <v>348</v>
      </c>
      <c r="KJ401" s="24"/>
      <c r="KK401">
        <v>105</v>
      </c>
      <c r="KL401">
        <v>112</v>
      </c>
      <c r="KM401">
        <v>112</v>
      </c>
      <c r="KN401">
        <v>126649314</v>
      </c>
      <c r="KO401">
        <v>142</v>
      </c>
      <c r="KQ401" s="24"/>
      <c r="KR401">
        <v>123031</v>
      </c>
      <c r="KS401">
        <v>123250</v>
      </c>
      <c r="KT401">
        <v>123032</v>
      </c>
      <c r="KU401">
        <v>72168</v>
      </c>
      <c r="KV401">
        <v>596</v>
      </c>
      <c r="KX401" s="24"/>
      <c r="KY401">
        <v>687</v>
      </c>
      <c r="KZ401">
        <v>718</v>
      </c>
      <c r="LA401">
        <v>718</v>
      </c>
      <c r="LB401">
        <v>4910947</v>
      </c>
      <c r="LC401">
        <v>173</v>
      </c>
      <c r="LE401" s="24"/>
      <c r="LF401">
        <v>182000</v>
      </c>
      <c r="LG401">
        <v>182011</v>
      </c>
      <c r="LH401">
        <v>182000</v>
      </c>
      <c r="LI401">
        <v>144858</v>
      </c>
      <c r="LJ401">
        <v>906</v>
      </c>
      <c r="LL401" s="24"/>
      <c r="LM401">
        <v>66251</v>
      </c>
      <c r="LN401">
        <v>66760</v>
      </c>
      <c r="LO401">
        <v>66253</v>
      </c>
      <c r="LP401">
        <v>379378</v>
      </c>
      <c r="LQ401">
        <v>1268</v>
      </c>
      <c r="LS401" s="24"/>
      <c r="LT401">
        <v>527</v>
      </c>
      <c r="LU401">
        <v>532</v>
      </c>
      <c r="LV401">
        <v>529</v>
      </c>
      <c r="LW401">
        <v>121568644</v>
      </c>
      <c r="LX401">
        <v>471</v>
      </c>
      <c r="LZ401" s="24"/>
      <c r="MA401">
        <v>93710</v>
      </c>
      <c r="MB401">
        <v>99497</v>
      </c>
      <c r="MC401">
        <v>98008</v>
      </c>
      <c r="MD401">
        <v>1019621</v>
      </c>
      <c r="ME401">
        <v>76</v>
      </c>
    </row>
    <row r="402" spans="2:343" x14ac:dyDescent="0.25">
      <c r="B402" s="24"/>
      <c r="C402">
        <v>3</v>
      </c>
      <c r="D402">
        <v>3</v>
      </c>
      <c r="E402">
        <v>3</v>
      </c>
      <c r="F402">
        <v>25794672409</v>
      </c>
      <c r="G402">
        <v>2622</v>
      </c>
      <c r="I402" s="24"/>
      <c r="J402">
        <v>5</v>
      </c>
      <c r="K402">
        <v>5</v>
      </c>
      <c r="L402">
        <v>5</v>
      </c>
      <c r="M402">
        <v>5909259817</v>
      </c>
      <c r="N402">
        <v>1903</v>
      </c>
      <c r="P402" s="24"/>
      <c r="Q402">
        <v>48</v>
      </c>
      <c r="R402">
        <v>49</v>
      </c>
      <c r="S402">
        <v>49</v>
      </c>
      <c r="T402">
        <v>1468547065</v>
      </c>
      <c r="U402">
        <v>1827</v>
      </c>
      <c r="W402" s="24"/>
      <c r="X402">
        <v>62</v>
      </c>
      <c r="Y402">
        <v>63</v>
      </c>
      <c r="Z402">
        <v>63</v>
      </c>
      <c r="AA402">
        <v>242403265</v>
      </c>
      <c r="AB402">
        <v>1384</v>
      </c>
      <c r="AD402" s="24"/>
      <c r="AE402">
        <v>472</v>
      </c>
      <c r="AF402">
        <v>475</v>
      </c>
      <c r="AG402">
        <v>474</v>
      </c>
      <c r="AH402">
        <v>92986083</v>
      </c>
      <c r="AI402">
        <v>1458</v>
      </c>
      <c r="AK402" s="24"/>
      <c r="AL402">
        <v>720</v>
      </c>
      <c r="AM402">
        <v>731</v>
      </c>
      <c r="AN402">
        <v>727</v>
      </c>
      <c r="AO402">
        <v>25851172</v>
      </c>
      <c r="AP402">
        <v>1216</v>
      </c>
      <c r="AR402" s="24"/>
      <c r="AS402">
        <v>2746</v>
      </c>
      <c r="AT402">
        <v>2787</v>
      </c>
      <c r="AU402">
        <v>2784</v>
      </c>
      <c r="AV402">
        <v>14056211</v>
      </c>
      <c r="AW402">
        <v>1206</v>
      </c>
      <c r="AY402" s="24"/>
      <c r="AZ402">
        <v>456020159</v>
      </c>
      <c r="BA402">
        <v>465943950</v>
      </c>
      <c r="BB402">
        <v>462719666</v>
      </c>
      <c r="BC402">
        <v>2608</v>
      </c>
      <c r="BD402">
        <v>1827</v>
      </c>
      <c r="BF402" s="24"/>
      <c r="BG402">
        <v>26903</v>
      </c>
      <c r="BH402">
        <v>27702</v>
      </c>
      <c r="BI402">
        <v>27201</v>
      </c>
      <c r="BJ402">
        <v>2938655</v>
      </c>
      <c r="BK402">
        <v>261</v>
      </c>
      <c r="BM402" s="24"/>
      <c r="BN402">
        <v>7200004</v>
      </c>
      <c r="BO402">
        <v>7429998</v>
      </c>
      <c r="BP402">
        <v>7300000</v>
      </c>
      <c r="BQ402">
        <v>14232</v>
      </c>
      <c r="BR402">
        <v>343</v>
      </c>
      <c r="BT402" s="24"/>
      <c r="BU402">
        <v>2526</v>
      </c>
      <c r="BV402">
        <v>2628</v>
      </c>
      <c r="BW402">
        <v>2599</v>
      </c>
      <c r="BX402">
        <v>28275777</v>
      </c>
      <c r="BY402">
        <v>265</v>
      </c>
      <c r="CA402" s="24"/>
      <c r="CB402">
        <v>945</v>
      </c>
      <c r="CC402">
        <v>949</v>
      </c>
      <c r="CD402">
        <v>947</v>
      </c>
      <c r="CE402">
        <v>42624160</v>
      </c>
      <c r="CF402">
        <v>331</v>
      </c>
      <c r="CH402" s="24"/>
      <c r="CI402">
        <v>32402</v>
      </c>
      <c r="CJ402">
        <v>32702</v>
      </c>
      <c r="CK402">
        <v>32600</v>
      </c>
      <c r="CL402">
        <v>1709215</v>
      </c>
      <c r="CM402">
        <v>215</v>
      </c>
      <c r="CO402" s="24"/>
      <c r="CP402">
        <v>9909</v>
      </c>
      <c r="CQ402">
        <v>10729</v>
      </c>
      <c r="CR402">
        <v>10588</v>
      </c>
      <c r="CS402">
        <v>1008566</v>
      </c>
      <c r="CT402">
        <v>428</v>
      </c>
      <c r="CV402" s="24"/>
      <c r="CW402">
        <v>1261989</v>
      </c>
      <c r="CX402">
        <v>1268498</v>
      </c>
      <c r="CY402">
        <v>1265999</v>
      </c>
      <c r="CZ402">
        <v>12254</v>
      </c>
      <c r="DA402">
        <v>38</v>
      </c>
      <c r="DC402" s="24"/>
      <c r="DD402">
        <v>598</v>
      </c>
      <c r="DE402">
        <v>598</v>
      </c>
      <c r="DF402">
        <v>598</v>
      </c>
      <c r="DG402">
        <v>32958589</v>
      </c>
      <c r="DH402">
        <v>207</v>
      </c>
      <c r="DJ402" s="24"/>
      <c r="DK402">
        <v>22531799</v>
      </c>
      <c r="DL402">
        <v>22541792</v>
      </c>
      <c r="DM402">
        <v>22531816</v>
      </c>
      <c r="DN402">
        <v>607</v>
      </c>
      <c r="DO402">
        <v>134</v>
      </c>
      <c r="DQ402" s="24"/>
      <c r="DR402">
        <v>2635364</v>
      </c>
      <c r="DS402">
        <v>2849999</v>
      </c>
      <c r="DT402">
        <v>2799380</v>
      </c>
      <c r="DU402">
        <v>6099</v>
      </c>
      <c r="DV402">
        <v>288</v>
      </c>
      <c r="DX402" s="24"/>
      <c r="DY402">
        <v>17235033</v>
      </c>
      <c r="DZ402">
        <v>17999999</v>
      </c>
      <c r="EA402">
        <v>17238000</v>
      </c>
      <c r="EB402">
        <v>604</v>
      </c>
      <c r="EC402">
        <v>148</v>
      </c>
      <c r="EE402" s="24"/>
      <c r="EF402">
        <v>223</v>
      </c>
      <c r="EG402">
        <v>230</v>
      </c>
      <c r="EH402">
        <v>228</v>
      </c>
      <c r="EI402">
        <v>72225437</v>
      </c>
      <c r="EJ402">
        <v>157</v>
      </c>
      <c r="EL402" s="24"/>
      <c r="EM402">
        <v>76084</v>
      </c>
      <c r="EN402">
        <v>83554</v>
      </c>
      <c r="EO402">
        <v>76089</v>
      </c>
      <c r="EP402">
        <v>74978</v>
      </c>
      <c r="EQ402">
        <v>625</v>
      </c>
      <c r="ES402" s="24"/>
      <c r="ET402">
        <v>376</v>
      </c>
      <c r="EU402">
        <v>388</v>
      </c>
      <c r="EV402">
        <v>376</v>
      </c>
      <c r="EW402">
        <v>54206798</v>
      </c>
      <c r="EX402">
        <v>786</v>
      </c>
      <c r="EZ402" s="24"/>
      <c r="FA402">
        <v>3202001</v>
      </c>
      <c r="FB402">
        <v>3534168</v>
      </c>
      <c r="FC402">
        <v>3521979</v>
      </c>
      <c r="FD402">
        <v>1118</v>
      </c>
      <c r="FE402">
        <v>13</v>
      </c>
      <c r="FG402" s="24"/>
      <c r="FH402">
        <v>8709</v>
      </c>
      <c r="FI402">
        <v>8999</v>
      </c>
      <c r="FJ402">
        <v>8996</v>
      </c>
      <c r="FK402">
        <v>1333915</v>
      </c>
      <c r="FL402">
        <v>522</v>
      </c>
      <c r="FN402" s="24"/>
      <c r="FO402">
        <v>20000</v>
      </c>
      <c r="FP402">
        <v>20997</v>
      </c>
      <c r="FQ402">
        <v>20000</v>
      </c>
      <c r="FR402">
        <v>353463</v>
      </c>
      <c r="FS402">
        <v>114</v>
      </c>
      <c r="FU402" s="24"/>
      <c r="FV402">
        <v>14978</v>
      </c>
      <c r="FW402">
        <v>15001</v>
      </c>
      <c r="FX402">
        <v>15000</v>
      </c>
      <c r="FY402">
        <v>413800</v>
      </c>
      <c r="FZ402">
        <v>1209</v>
      </c>
      <c r="GB402" s="24"/>
      <c r="GC402">
        <v>97999999</v>
      </c>
      <c r="GD402">
        <v>99899993</v>
      </c>
      <c r="GE402">
        <v>99899993</v>
      </c>
      <c r="GF402">
        <v>113</v>
      </c>
      <c r="GG402">
        <v>81</v>
      </c>
      <c r="GI402" s="24"/>
      <c r="GJ402">
        <v>21650078</v>
      </c>
      <c r="GK402">
        <v>21650122</v>
      </c>
      <c r="GL402">
        <v>21650107</v>
      </c>
      <c r="GM402">
        <v>328</v>
      </c>
      <c r="GN402">
        <v>61</v>
      </c>
      <c r="GP402" s="24"/>
      <c r="GQ402">
        <v>102</v>
      </c>
      <c r="GR402">
        <v>114</v>
      </c>
      <c r="GS402">
        <v>111</v>
      </c>
      <c r="GT402">
        <v>101557073</v>
      </c>
      <c r="GU402">
        <v>131</v>
      </c>
      <c r="GW402" s="24"/>
      <c r="GX402">
        <v>495</v>
      </c>
      <c r="GY402">
        <v>498</v>
      </c>
      <c r="GZ402">
        <v>497</v>
      </c>
      <c r="HA402">
        <v>34503059</v>
      </c>
      <c r="HB402">
        <v>228</v>
      </c>
      <c r="HD402" s="24"/>
      <c r="HE402">
        <v>5577</v>
      </c>
      <c r="HF402">
        <v>5673</v>
      </c>
      <c r="HG402">
        <v>5666</v>
      </c>
      <c r="HH402">
        <v>14293863</v>
      </c>
      <c r="HI402">
        <v>244</v>
      </c>
      <c r="HK402" s="24"/>
      <c r="HL402">
        <v>93030001</v>
      </c>
      <c r="HM402">
        <v>105994938</v>
      </c>
      <c r="HN402">
        <v>99401641</v>
      </c>
      <c r="HO402">
        <v>86</v>
      </c>
      <c r="HP402">
        <v>61</v>
      </c>
      <c r="HR402" s="24"/>
      <c r="HS402">
        <v>10103</v>
      </c>
      <c r="HT402">
        <v>10397</v>
      </c>
      <c r="HU402">
        <v>10199</v>
      </c>
      <c r="HV402">
        <v>445830</v>
      </c>
      <c r="HW402">
        <v>106</v>
      </c>
      <c r="HY402" s="24"/>
      <c r="HZ402">
        <v>9352</v>
      </c>
      <c r="IA402">
        <v>9880</v>
      </c>
      <c r="IB402">
        <v>9637</v>
      </c>
      <c r="IC402">
        <v>1855919</v>
      </c>
      <c r="ID402">
        <v>572</v>
      </c>
      <c r="IF402" s="24"/>
      <c r="IG402">
        <v>3400</v>
      </c>
      <c r="IH402">
        <v>3589</v>
      </c>
      <c r="II402">
        <v>3510</v>
      </c>
      <c r="IJ402">
        <v>2177996</v>
      </c>
      <c r="IK402">
        <v>157</v>
      </c>
      <c r="IM402" s="24"/>
      <c r="IN402">
        <v>94036004</v>
      </c>
      <c r="IO402">
        <v>101991999</v>
      </c>
      <c r="IP402">
        <v>99873770</v>
      </c>
      <c r="IQ402">
        <v>83</v>
      </c>
      <c r="IR402">
        <v>62</v>
      </c>
      <c r="IT402" s="24"/>
      <c r="IU402">
        <v>9602</v>
      </c>
      <c r="IV402">
        <v>9850</v>
      </c>
      <c r="IW402">
        <v>9603</v>
      </c>
      <c r="IX402">
        <v>1526931</v>
      </c>
      <c r="IY402">
        <v>149</v>
      </c>
      <c r="JA402" s="24"/>
      <c r="JB402">
        <v>95004003</v>
      </c>
      <c r="JC402">
        <v>102499982</v>
      </c>
      <c r="JD402">
        <v>99920196</v>
      </c>
      <c r="JE402">
        <v>83</v>
      </c>
      <c r="JF402">
        <v>63</v>
      </c>
      <c r="JH402" s="24"/>
      <c r="JI402">
        <v>94859001</v>
      </c>
      <c r="JJ402">
        <v>98499996</v>
      </c>
      <c r="JK402">
        <v>97469243</v>
      </c>
      <c r="JL402">
        <v>47</v>
      </c>
      <c r="JM402">
        <v>42</v>
      </c>
      <c r="JO402" s="24"/>
      <c r="JP402">
        <v>89</v>
      </c>
      <c r="JQ402">
        <v>92</v>
      </c>
      <c r="JR402">
        <v>92</v>
      </c>
      <c r="JS402">
        <v>53460255</v>
      </c>
      <c r="JT402">
        <v>86</v>
      </c>
      <c r="JV402" s="24"/>
      <c r="JW402">
        <v>89</v>
      </c>
      <c r="JX402">
        <v>97</v>
      </c>
      <c r="JY402">
        <v>94</v>
      </c>
      <c r="JZ402">
        <v>75625675</v>
      </c>
      <c r="KA402">
        <v>98</v>
      </c>
      <c r="KC402" s="24"/>
      <c r="KD402">
        <v>92</v>
      </c>
      <c r="KE402">
        <v>94</v>
      </c>
      <c r="KF402">
        <v>93</v>
      </c>
      <c r="KG402">
        <v>42173801</v>
      </c>
      <c r="KH402">
        <v>355</v>
      </c>
      <c r="KJ402" s="24"/>
      <c r="KK402">
        <v>104</v>
      </c>
      <c r="KL402">
        <v>115</v>
      </c>
      <c r="KM402">
        <v>114</v>
      </c>
      <c r="KN402">
        <v>96365544</v>
      </c>
      <c r="KO402">
        <v>113</v>
      </c>
      <c r="KQ402" s="24"/>
      <c r="KR402">
        <v>120507</v>
      </c>
      <c r="KS402">
        <v>122999</v>
      </c>
      <c r="KT402">
        <v>120519</v>
      </c>
      <c r="KU402">
        <v>67864</v>
      </c>
      <c r="KV402">
        <v>586</v>
      </c>
      <c r="KX402" s="24"/>
      <c r="KY402">
        <v>688</v>
      </c>
      <c r="KZ402">
        <v>718</v>
      </c>
      <c r="LA402">
        <v>692</v>
      </c>
      <c r="LB402">
        <v>5534665</v>
      </c>
      <c r="LC402">
        <v>150</v>
      </c>
      <c r="LE402" s="24"/>
      <c r="LF402">
        <v>182013</v>
      </c>
      <c r="LG402">
        <v>182015</v>
      </c>
      <c r="LH402">
        <v>182014</v>
      </c>
      <c r="LI402">
        <v>124235</v>
      </c>
      <c r="LJ402">
        <v>909</v>
      </c>
      <c r="LL402" s="24"/>
      <c r="LM402">
        <v>66756</v>
      </c>
      <c r="LN402">
        <v>66775</v>
      </c>
      <c r="LO402">
        <v>66773</v>
      </c>
      <c r="LP402">
        <v>399385</v>
      </c>
      <c r="LQ402">
        <v>1269</v>
      </c>
      <c r="LS402" s="24"/>
      <c r="LT402">
        <v>527</v>
      </c>
      <c r="LU402">
        <v>528</v>
      </c>
      <c r="LV402">
        <v>527</v>
      </c>
      <c r="LW402">
        <v>109871150</v>
      </c>
      <c r="LX402">
        <v>430</v>
      </c>
      <c r="LZ402" s="24"/>
      <c r="MA402">
        <v>93804</v>
      </c>
      <c r="MB402">
        <v>98908</v>
      </c>
      <c r="MC402">
        <v>95000</v>
      </c>
      <c r="MD402">
        <v>1547121</v>
      </c>
      <c r="ME402">
        <v>84</v>
      </c>
    </row>
    <row r="403" spans="2:343" x14ac:dyDescent="0.25">
      <c r="B403" s="24"/>
      <c r="C403">
        <v>3</v>
      </c>
      <c r="D403">
        <v>3</v>
      </c>
      <c r="E403">
        <v>3</v>
      </c>
      <c r="F403">
        <v>31060518674</v>
      </c>
      <c r="G403">
        <v>2922</v>
      </c>
      <c r="I403" s="24"/>
      <c r="J403">
        <v>5</v>
      </c>
      <c r="K403">
        <v>5</v>
      </c>
      <c r="L403">
        <v>5</v>
      </c>
      <c r="M403">
        <v>6365326379</v>
      </c>
      <c r="N403">
        <v>2037</v>
      </c>
      <c r="P403" s="24"/>
      <c r="Q403">
        <v>48</v>
      </c>
      <c r="R403">
        <v>49</v>
      </c>
      <c r="S403">
        <v>49</v>
      </c>
      <c r="T403">
        <v>1912170877</v>
      </c>
      <c r="U403">
        <v>1953</v>
      </c>
      <c r="W403" s="24"/>
      <c r="X403">
        <v>63</v>
      </c>
      <c r="Y403">
        <v>63</v>
      </c>
      <c r="Z403">
        <v>63</v>
      </c>
      <c r="AA403">
        <v>309128594</v>
      </c>
      <c r="AB403">
        <v>1492</v>
      </c>
      <c r="AD403" s="24"/>
      <c r="AE403">
        <v>470</v>
      </c>
      <c r="AF403">
        <v>476</v>
      </c>
      <c r="AG403">
        <v>475</v>
      </c>
      <c r="AH403">
        <v>95541739</v>
      </c>
      <c r="AI403">
        <v>1625</v>
      </c>
      <c r="AK403" s="24"/>
      <c r="AL403">
        <v>714</v>
      </c>
      <c r="AM403">
        <v>728</v>
      </c>
      <c r="AN403">
        <v>720</v>
      </c>
      <c r="AO403">
        <v>48446042</v>
      </c>
      <c r="AP403">
        <v>1337</v>
      </c>
      <c r="AR403" s="24"/>
      <c r="AS403">
        <v>2746</v>
      </c>
      <c r="AT403">
        <v>2780</v>
      </c>
      <c r="AU403">
        <v>2779</v>
      </c>
      <c r="AV403">
        <v>11059483</v>
      </c>
      <c r="AW403">
        <v>1235</v>
      </c>
      <c r="AY403" s="24"/>
      <c r="AZ403">
        <v>458000290</v>
      </c>
      <c r="BA403">
        <v>466486000</v>
      </c>
      <c r="BB403">
        <v>464555555</v>
      </c>
      <c r="BC403">
        <v>2747</v>
      </c>
      <c r="BD403">
        <v>1850</v>
      </c>
      <c r="BF403" s="24"/>
      <c r="BG403">
        <v>27403</v>
      </c>
      <c r="BH403">
        <v>27504</v>
      </c>
      <c r="BI403">
        <v>27503</v>
      </c>
      <c r="BJ403">
        <v>2010516</v>
      </c>
      <c r="BK403">
        <v>220</v>
      </c>
      <c r="BM403" s="24"/>
      <c r="BN403">
        <v>7400000</v>
      </c>
      <c r="BO403">
        <v>7450010</v>
      </c>
      <c r="BP403">
        <v>7401010</v>
      </c>
      <c r="BQ403">
        <v>10944</v>
      </c>
      <c r="BR403">
        <v>313</v>
      </c>
      <c r="BT403" s="24"/>
      <c r="BU403">
        <v>2467</v>
      </c>
      <c r="BV403">
        <v>2597</v>
      </c>
      <c r="BW403">
        <v>2596</v>
      </c>
      <c r="BX403">
        <v>17920760</v>
      </c>
      <c r="BY403">
        <v>250</v>
      </c>
      <c r="CA403" s="24"/>
      <c r="CB403">
        <v>967</v>
      </c>
      <c r="CC403">
        <v>1009</v>
      </c>
      <c r="CD403">
        <v>1007</v>
      </c>
      <c r="CE403">
        <v>49462462</v>
      </c>
      <c r="CF403">
        <v>359</v>
      </c>
      <c r="CH403" s="24"/>
      <c r="CI403">
        <v>32402</v>
      </c>
      <c r="CJ403">
        <v>32799</v>
      </c>
      <c r="CK403">
        <v>32699</v>
      </c>
      <c r="CL403">
        <v>2830690</v>
      </c>
      <c r="CM403">
        <v>248</v>
      </c>
      <c r="CO403" s="24"/>
      <c r="CP403">
        <v>9951</v>
      </c>
      <c r="CQ403">
        <v>10599</v>
      </c>
      <c r="CR403">
        <v>10398</v>
      </c>
      <c r="CS403">
        <v>1146830</v>
      </c>
      <c r="CT403">
        <v>441</v>
      </c>
      <c r="CV403" s="24"/>
      <c r="CW403">
        <v>1249999</v>
      </c>
      <c r="CX403">
        <v>1263399</v>
      </c>
      <c r="CY403">
        <v>1259997</v>
      </c>
      <c r="CZ403">
        <v>18762</v>
      </c>
      <c r="DA403">
        <v>56</v>
      </c>
      <c r="DC403" s="24"/>
      <c r="DD403">
        <v>561</v>
      </c>
      <c r="DE403">
        <v>580</v>
      </c>
      <c r="DF403">
        <v>579</v>
      </c>
      <c r="DG403">
        <v>67738784</v>
      </c>
      <c r="DH403">
        <v>248</v>
      </c>
      <c r="DJ403" s="24"/>
      <c r="DK403">
        <v>22541800</v>
      </c>
      <c r="DL403">
        <v>23899999</v>
      </c>
      <c r="DM403">
        <v>22743933</v>
      </c>
      <c r="DN403">
        <v>504</v>
      </c>
      <c r="DO403">
        <v>114</v>
      </c>
      <c r="DQ403" s="24"/>
      <c r="DR403">
        <v>2802000</v>
      </c>
      <c r="DS403">
        <v>3055036</v>
      </c>
      <c r="DT403">
        <v>2980008</v>
      </c>
      <c r="DU403">
        <v>5420</v>
      </c>
      <c r="DV403">
        <v>276</v>
      </c>
      <c r="DX403" s="24"/>
      <c r="DY403">
        <v>17238005</v>
      </c>
      <c r="DZ403">
        <v>17799998</v>
      </c>
      <c r="EA403">
        <v>17238020</v>
      </c>
      <c r="EB403">
        <v>484</v>
      </c>
      <c r="EC403">
        <v>113</v>
      </c>
      <c r="EE403" s="24"/>
      <c r="EF403">
        <v>225</v>
      </c>
      <c r="EG403">
        <v>227</v>
      </c>
      <c r="EH403">
        <v>227</v>
      </c>
      <c r="EI403">
        <v>95448256</v>
      </c>
      <c r="EJ403">
        <v>186</v>
      </c>
      <c r="EL403" s="24"/>
      <c r="EM403">
        <v>77514</v>
      </c>
      <c r="EN403">
        <v>82000</v>
      </c>
      <c r="EO403">
        <v>78001</v>
      </c>
      <c r="EP403">
        <v>100349</v>
      </c>
      <c r="EQ403">
        <v>703</v>
      </c>
      <c r="ES403" s="24"/>
      <c r="ET403">
        <v>398</v>
      </c>
      <c r="EU403">
        <v>415</v>
      </c>
      <c r="EV403">
        <v>415</v>
      </c>
      <c r="EW403">
        <v>41086969</v>
      </c>
      <c r="EX403">
        <v>798</v>
      </c>
      <c r="EZ403" s="24"/>
      <c r="FA403">
        <v>3399999</v>
      </c>
      <c r="FB403">
        <v>3521110</v>
      </c>
      <c r="FC403">
        <v>3518800</v>
      </c>
      <c r="FD403">
        <v>3289</v>
      </c>
      <c r="FE403">
        <v>32</v>
      </c>
      <c r="FG403" s="24"/>
      <c r="FH403">
        <v>8564</v>
      </c>
      <c r="FI403">
        <v>8999</v>
      </c>
      <c r="FJ403">
        <v>8699</v>
      </c>
      <c r="FK403">
        <v>3138023</v>
      </c>
      <c r="FL403">
        <v>522</v>
      </c>
      <c r="FN403" s="24"/>
      <c r="FO403">
        <v>20991</v>
      </c>
      <c r="FP403">
        <v>20992</v>
      </c>
      <c r="FQ403">
        <v>20992</v>
      </c>
      <c r="FR403">
        <v>420294</v>
      </c>
      <c r="FS403">
        <v>96</v>
      </c>
      <c r="FU403" s="24"/>
      <c r="FV403">
        <v>15003</v>
      </c>
      <c r="FW403">
        <v>15900</v>
      </c>
      <c r="FX403">
        <v>15007</v>
      </c>
      <c r="FY403">
        <v>423534</v>
      </c>
      <c r="FZ403">
        <v>1247</v>
      </c>
      <c r="GB403" s="24"/>
      <c r="GC403">
        <v>94022000</v>
      </c>
      <c r="GD403">
        <v>100297897</v>
      </c>
      <c r="GE403">
        <v>99133763</v>
      </c>
      <c r="GF403">
        <v>79</v>
      </c>
      <c r="GG403">
        <v>54</v>
      </c>
      <c r="GI403" s="24"/>
      <c r="GJ403">
        <v>21650100</v>
      </c>
      <c r="GK403">
        <v>22599999</v>
      </c>
      <c r="GL403">
        <v>21650486</v>
      </c>
      <c r="GM403">
        <v>639</v>
      </c>
      <c r="GN403">
        <v>103</v>
      </c>
      <c r="GP403" s="24"/>
      <c r="GQ403">
        <v>104</v>
      </c>
      <c r="GR403">
        <v>115</v>
      </c>
      <c r="GS403">
        <v>114</v>
      </c>
      <c r="GT403">
        <v>145134208</v>
      </c>
      <c r="GU403">
        <v>161</v>
      </c>
      <c r="GW403" s="24"/>
      <c r="GX403">
        <v>482</v>
      </c>
      <c r="GY403">
        <v>497</v>
      </c>
      <c r="GZ403">
        <v>495</v>
      </c>
      <c r="HA403">
        <v>54143206</v>
      </c>
      <c r="HB403">
        <v>298</v>
      </c>
      <c r="HD403" s="24"/>
      <c r="HE403">
        <v>5608</v>
      </c>
      <c r="HF403">
        <v>5696</v>
      </c>
      <c r="HG403">
        <v>5670</v>
      </c>
      <c r="HH403">
        <v>17309378</v>
      </c>
      <c r="HI403">
        <v>281</v>
      </c>
      <c r="HK403" s="24"/>
      <c r="HL403">
        <v>98000000</v>
      </c>
      <c r="HM403">
        <v>105989990</v>
      </c>
      <c r="HN403">
        <v>99010001</v>
      </c>
      <c r="HO403">
        <v>121</v>
      </c>
      <c r="HP403">
        <v>81</v>
      </c>
      <c r="HR403" s="24"/>
      <c r="HS403">
        <v>9891</v>
      </c>
      <c r="HT403">
        <v>10489</v>
      </c>
      <c r="HU403">
        <v>10296</v>
      </c>
      <c r="HV403">
        <v>947289</v>
      </c>
      <c r="HW403">
        <v>164</v>
      </c>
      <c r="HY403" s="24"/>
      <c r="HZ403">
        <v>9189</v>
      </c>
      <c r="IA403">
        <v>9253</v>
      </c>
      <c r="IB403">
        <v>9190</v>
      </c>
      <c r="IC403">
        <v>3117540</v>
      </c>
      <c r="ID403">
        <v>523</v>
      </c>
      <c r="IF403" s="24"/>
      <c r="IG403">
        <v>3592</v>
      </c>
      <c r="IH403">
        <v>3595</v>
      </c>
      <c r="II403">
        <v>3595</v>
      </c>
      <c r="IJ403">
        <v>1484557</v>
      </c>
      <c r="IK403">
        <v>150</v>
      </c>
      <c r="IM403" s="24"/>
      <c r="IN403">
        <v>94048000</v>
      </c>
      <c r="IO403">
        <v>98999999</v>
      </c>
      <c r="IP403">
        <v>94054000</v>
      </c>
      <c r="IQ403">
        <v>121</v>
      </c>
      <c r="IR403">
        <v>63</v>
      </c>
      <c r="IT403" s="24"/>
      <c r="IU403">
        <v>9591</v>
      </c>
      <c r="IV403">
        <v>9850</v>
      </c>
      <c r="IW403">
        <v>9603</v>
      </c>
      <c r="IX403">
        <v>1951462</v>
      </c>
      <c r="IY403">
        <v>176</v>
      </c>
      <c r="JA403" s="24"/>
      <c r="JB403">
        <v>95109005</v>
      </c>
      <c r="JC403">
        <v>104996992</v>
      </c>
      <c r="JD403">
        <v>99999999</v>
      </c>
      <c r="JE403">
        <v>142</v>
      </c>
      <c r="JF403">
        <v>78</v>
      </c>
      <c r="JH403" s="24"/>
      <c r="JI403">
        <v>94873002</v>
      </c>
      <c r="JJ403">
        <v>97999999</v>
      </c>
      <c r="JK403">
        <v>97413119</v>
      </c>
      <c r="JL403">
        <v>67</v>
      </c>
      <c r="JM403">
        <v>49</v>
      </c>
      <c r="JO403" s="24"/>
      <c r="JP403">
        <v>90</v>
      </c>
      <c r="JQ403">
        <v>94</v>
      </c>
      <c r="JR403">
        <v>92</v>
      </c>
      <c r="JS403">
        <v>124613118</v>
      </c>
      <c r="JT403">
        <v>101</v>
      </c>
      <c r="JV403" s="24"/>
      <c r="JW403">
        <v>89</v>
      </c>
      <c r="JX403">
        <v>97</v>
      </c>
      <c r="JY403">
        <v>89</v>
      </c>
      <c r="JZ403">
        <v>107066293</v>
      </c>
      <c r="KA403">
        <v>135</v>
      </c>
      <c r="KC403" s="24"/>
      <c r="KD403">
        <v>88</v>
      </c>
      <c r="KE403">
        <v>92</v>
      </c>
      <c r="KF403">
        <v>92</v>
      </c>
      <c r="KG403">
        <v>47853438</v>
      </c>
      <c r="KH403">
        <v>391</v>
      </c>
      <c r="KJ403" s="24"/>
      <c r="KK403">
        <v>105</v>
      </c>
      <c r="KL403">
        <v>114</v>
      </c>
      <c r="KM403">
        <v>114</v>
      </c>
      <c r="KN403">
        <v>152058725</v>
      </c>
      <c r="KO403">
        <v>132</v>
      </c>
      <c r="KQ403" s="24"/>
      <c r="KR403">
        <v>120539</v>
      </c>
      <c r="KS403">
        <v>120546</v>
      </c>
      <c r="KT403">
        <v>120541</v>
      </c>
      <c r="KU403">
        <v>71286</v>
      </c>
      <c r="KV403">
        <v>630</v>
      </c>
      <c r="KX403" s="24"/>
      <c r="KY403">
        <v>719</v>
      </c>
      <c r="KZ403">
        <v>719</v>
      </c>
      <c r="LA403">
        <v>719</v>
      </c>
      <c r="LB403">
        <v>10497626</v>
      </c>
      <c r="LC403">
        <v>172</v>
      </c>
      <c r="LE403" s="24"/>
      <c r="LF403">
        <v>182000</v>
      </c>
      <c r="LG403">
        <v>182103</v>
      </c>
      <c r="LH403">
        <v>182102</v>
      </c>
      <c r="LI403">
        <v>119340</v>
      </c>
      <c r="LJ403">
        <v>919</v>
      </c>
      <c r="LL403" s="24"/>
      <c r="LM403">
        <v>66800</v>
      </c>
      <c r="LN403">
        <v>70400</v>
      </c>
      <c r="LO403">
        <v>66876</v>
      </c>
      <c r="LP403">
        <v>404774</v>
      </c>
      <c r="LQ403">
        <v>1277</v>
      </c>
      <c r="LS403" s="24"/>
      <c r="LT403">
        <v>519</v>
      </c>
      <c r="LU403">
        <v>526</v>
      </c>
      <c r="LV403">
        <v>526</v>
      </c>
      <c r="LW403">
        <v>108264785</v>
      </c>
      <c r="LX403">
        <v>478</v>
      </c>
      <c r="LZ403" s="24"/>
      <c r="MA403">
        <v>95000</v>
      </c>
      <c r="MB403">
        <v>98936</v>
      </c>
      <c r="MC403">
        <v>98934</v>
      </c>
      <c r="MD403">
        <v>1247805</v>
      </c>
      <c r="ME403">
        <v>114</v>
      </c>
    </row>
    <row r="404" spans="2:343" x14ac:dyDescent="0.25">
      <c r="B404" s="24"/>
      <c r="C404">
        <v>3</v>
      </c>
      <c r="D404">
        <v>3</v>
      </c>
      <c r="E404">
        <v>3</v>
      </c>
      <c r="F404">
        <v>27480872633</v>
      </c>
      <c r="G404">
        <v>3145</v>
      </c>
      <c r="I404" s="24"/>
      <c r="J404">
        <v>5</v>
      </c>
      <c r="K404">
        <v>5</v>
      </c>
      <c r="L404">
        <v>5</v>
      </c>
      <c r="M404">
        <v>6085043245</v>
      </c>
      <c r="N404">
        <v>2288</v>
      </c>
      <c r="P404" s="24"/>
      <c r="Q404">
        <v>48</v>
      </c>
      <c r="R404">
        <v>49</v>
      </c>
      <c r="S404">
        <v>49</v>
      </c>
      <c r="T404">
        <v>1768014719</v>
      </c>
      <c r="U404">
        <v>2060</v>
      </c>
      <c r="W404" s="24"/>
      <c r="X404">
        <v>63</v>
      </c>
      <c r="Y404">
        <v>63</v>
      </c>
      <c r="Z404">
        <v>63</v>
      </c>
      <c r="AA404">
        <v>424028825</v>
      </c>
      <c r="AB404">
        <v>1677</v>
      </c>
      <c r="AD404" s="24"/>
      <c r="AE404">
        <v>471</v>
      </c>
      <c r="AF404">
        <v>476</v>
      </c>
      <c r="AG404">
        <v>476</v>
      </c>
      <c r="AH404">
        <v>108160473</v>
      </c>
      <c r="AI404">
        <v>1707</v>
      </c>
      <c r="AK404" s="24"/>
      <c r="AL404">
        <v>715</v>
      </c>
      <c r="AM404">
        <v>719</v>
      </c>
      <c r="AN404">
        <v>716</v>
      </c>
      <c r="AO404">
        <v>51548265</v>
      </c>
      <c r="AP404">
        <v>1449</v>
      </c>
      <c r="AR404" s="24"/>
      <c r="AS404">
        <v>2723</v>
      </c>
      <c r="AT404">
        <v>2769</v>
      </c>
      <c r="AU404">
        <v>2746</v>
      </c>
      <c r="AV404">
        <v>22444753</v>
      </c>
      <c r="AW404">
        <v>1449</v>
      </c>
      <c r="AY404" s="24"/>
      <c r="AZ404">
        <v>457573200</v>
      </c>
      <c r="BA404">
        <v>464690000</v>
      </c>
      <c r="BB404">
        <v>462895000</v>
      </c>
      <c r="BC404">
        <v>2575</v>
      </c>
      <c r="BD404">
        <v>1910</v>
      </c>
      <c r="BF404" s="24"/>
      <c r="BG404">
        <v>27799</v>
      </c>
      <c r="BH404">
        <v>27799</v>
      </c>
      <c r="BI404">
        <v>27799</v>
      </c>
      <c r="BJ404">
        <v>1450840</v>
      </c>
      <c r="BK404">
        <v>232</v>
      </c>
      <c r="BM404" s="24"/>
      <c r="BN404">
        <v>7450012</v>
      </c>
      <c r="BO404">
        <v>7500000</v>
      </c>
      <c r="BP404">
        <v>7465003</v>
      </c>
      <c r="BQ404">
        <v>13224</v>
      </c>
      <c r="BR404">
        <v>434</v>
      </c>
      <c r="BT404" s="24"/>
      <c r="BU404">
        <v>2521</v>
      </c>
      <c r="BV404">
        <v>2523</v>
      </c>
      <c r="BW404">
        <v>2523</v>
      </c>
      <c r="BX404">
        <v>38371162</v>
      </c>
      <c r="BY404">
        <v>341</v>
      </c>
      <c r="CA404" s="24"/>
      <c r="CB404">
        <v>1080</v>
      </c>
      <c r="CC404">
        <v>1197</v>
      </c>
      <c r="CD404">
        <v>1141</v>
      </c>
      <c r="CE404">
        <v>61748485</v>
      </c>
      <c r="CF404">
        <v>398</v>
      </c>
      <c r="CH404" s="24"/>
      <c r="CI404">
        <v>32514</v>
      </c>
      <c r="CJ404">
        <v>32700</v>
      </c>
      <c r="CK404">
        <v>32600</v>
      </c>
      <c r="CL404">
        <v>1840273</v>
      </c>
      <c r="CM404">
        <v>230</v>
      </c>
      <c r="CO404" s="24"/>
      <c r="CP404">
        <v>9958</v>
      </c>
      <c r="CQ404">
        <v>10374</v>
      </c>
      <c r="CR404">
        <v>10374</v>
      </c>
      <c r="CS404">
        <v>1427849</v>
      </c>
      <c r="CT404">
        <v>479</v>
      </c>
      <c r="CV404" s="24"/>
      <c r="CW404">
        <v>1286498</v>
      </c>
      <c r="CX404">
        <v>1342999</v>
      </c>
      <c r="CY404">
        <v>1300000</v>
      </c>
      <c r="CZ404">
        <v>8352</v>
      </c>
      <c r="DA404">
        <v>36</v>
      </c>
      <c r="DC404" s="24"/>
      <c r="DD404">
        <v>567</v>
      </c>
      <c r="DE404">
        <v>578</v>
      </c>
      <c r="DF404">
        <v>567</v>
      </c>
      <c r="DG404">
        <v>50420060</v>
      </c>
      <c r="DH404">
        <v>270</v>
      </c>
      <c r="DJ404" s="24"/>
      <c r="DK404">
        <v>22531791</v>
      </c>
      <c r="DL404">
        <v>23550000</v>
      </c>
      <c r="DM404">
        <v>22743930</v>
      </c>
      <c r="DN404">
        <v>1072</v>
      </c>
      <c r="DO404">
        <v>139</v>
      </c>
      <c r="DQ404" s="24"/>
      <c r="DR404">
        <v>3180024</v>
      </c>
      <c r="DS404">
        <v>3339999</v>
      </c>
      <c r="DT404">
        <v>3181013</v>
      </c>
      <c r="DU404">
        <v>5197</v>
      </c>
      <c r="DV404">
        <v>237</v>
      </c>
      <c r="DX404" s="24"/>
      <c r="DY404">
        <v>17750000</v>
      </c>
      <c r="DZ404">
        <v>18199999</v>
      </c>
      <c r="EA404">
        <v>17999999</v>
      </c>
      <c r="EB404">
        <v>718</v>
      </c>
      <c r="EC404">
        <v>150</v>
      </c>
      <c r="EE404" s="24"/>
      <c r="EF404">
        <v>224</v>
      </c>
      <c r="EG404">
        <v>229</v>
      </c>
      <c r="EH404">
        <v>227</v>
      </c>
      <c r="EI404">
        <v>134405737</v>
      </c>
      <c r="EJ404">
        <v>245</v>
      </c>
      <c r="EL404" s="24"/>
      <c r="EM404">
        <v>79400</v>
      </c>
      <c r="EN404">
        <v>79973</v>
      </c>
      <c r="EO404">
        <v>79973</v>
      </c>
      <c r="EP404">
        <v>127363</v>
      </c>
      <c r="EQ404">
        <v>755</v>
      </c>
      <c r="ES404" s="24"/>
      <c r="ET404">
        <v>395</v>
      </c>
      <c r="EU404">
        <v>426</v>
      </c>
      <c r="EV404">
        <v>421</v>
      </c>
      <c r="EW404">
        <v>72216292</v>
      </c>
      <c r="EX404">
        <v>854</v>
      </c>
      <c r="EZ404" s="24"/>
      <c r="FA404">
        <v>3521973</v>
      </c>
      <c r="FB404">
        <v>3534110</v>
      </c>
      <c r="FC404">
        <v>3521974</v>
      </c>
      <c r="FD404">
        <v>1668</v>
      </c>
      <c r="FE404">
        <v>34</v>
      </c>
      <c r="FG404" s="24"/>
      <c r="FH404">
        <v>8660</v>
      </c>
      <c r="FI404">
        <v>9019</v>
      </c>
      <c r="FJ404">
        <v>8999</v>
      </c>
      <c r="FK404">
        <v>1620807</v>
      </c>
      <c r="FL404">
        <v>550</v>
      </c>
      <c r="FN404" s="24"/>
      <c r="FO404">
        <v>23200</v>
      </c>
      <c r="FP404">
        <v>23298</v>
      </c>
      <c r="FQ404">
        <v>23297</v>
      </c>
      <c r="FR404">
        <v>566060</v>
      </c>
      <c r="FS404">
        <v>140</v>
      </c>
      <c r="FU404" s="24"/>
      <c r="FV404">
        <v>15102</v>
      </c>
      <c r="FW404">
        <v>15121</v>
      </c>
      <c r="FX404">
        <v>15106</v>
      </c>
      <c r="FY404">
        <v>520898</v>
      </c>
      <c r="FZ404">
        <v>1329</v>
      </c>
      <c r="GB404" s="24"/>
      <c r="GC404">
        <v>94008015</v>
      </c>
      <c r="GD404">
        <v>98849997</v>
      </c>
      <c r="GE404">
        <v>94102000</v>
      </c>
      <c r="GF404">
        <v>201</v>
      </c>
      <c r="GG404">
        <v>106</v>
      </c>
      <c r="GI404" s="24"/>
      <c r="GJ404">
        <v>21650151</v>
      </c>
      <c r="GK404">
        <v>22599990</v>
      </c>
      <c r="GL404">
        <v>21650163</v>
      </c>
      <c r="GM404">
        <v>420</v>
      </c>
      <c r="GN404">
        <v>88</v>
      </c>
      <c r="GP404" s="24"/>
      <c r="GQ404">
        <v>108</v>
      </c>
      <c r="GR404">
        <v>116</v>
      </c>
      <c r="GS404">
        <v>113</v>
      </c>
      <c r="GT404">
        <v>189825401</v>
      </c>
      <c r="GU404">
        <v>160</v>
      </c>
      <c r="GW404" s="24"/>
      <c r="GX404">
        <v>486</v>
      </c>
      <c r="GY404">
        <v>497</v>
      </c>
      <c r="GZ404">
        <v>496</v>
      </c>
      <c r="HA404">
        <v>71730693</v>
      </c>
      <c r="HB404">
        <v>292</v>
      </c>
      <c r="HD404" s="24"/>
      <c r="HE404">
        <v>5560</v>
      </c>
      <c r="HF404">
        <v>5670</v>
      </c>
      <c r="HG404">
        <v>5669</v>
      </c>
      <c r="HH404">
        <v>22047973</v>
      </c>
      <c r="HI404">
        <v>339</v>
      </c>
      <c r="HK404" s="24"/>
      <c r="HL404">
        <v>93044112</v>
      </c>
      <c r="HM404">
        <v>99992000</v>
      </c>
      <c r="HN404">
        <v>93057000</v>
      </c>
      <c r="HO404">
        <v>242</v>
      </c>
      <c r="HP404">
        <v>111</v>
      </c>
      <c r="HR404" s="24"/>
      <c r="HS404">
        <v>10267</v>
      </c>
      <c r="HT404">
        <v>10267</v>
      </c>
      <c r="HU404">
        <v>10267</v>
      </c>
      <c r="HV404">
        <v>822927</v>
      </c>
      <c r="HW404">
        <v>144</v>
      </c>
      <c r="HY404" s="24"/>
      <c r="HZ404">
        <v>8951</v>
      </c>
      <c r="IA404">
        <v>9178</v>
      </c>
      <c r="IB404">
        <v>9148</v>
      </c>
      <c r="IC404">
        <v>2230391</v>
      </c>
      <c r="ID404">
        <v>484</v>
      </c>
      <c r="IF404" s="24"/>
      <c r="IG404">
        <v>3618</v>
      </c>
      <c r="IH404">
        <v>4036</v>
      </c>
      <c r="II404">
        <v>3705</v>
      </c>
      <c r="IJ404">
        <v>2604009</v>
      </c>
      <c r="IK404">
        <v>181</v>
      </c>
      <c r="IM404" s="24"/>
      <c r="IN404">
        <v>94042001</v>
      </c>
      <c r="IO404">
        <v>99774000</v>
      </c>
      <c r="IP404">
        <v>94043006</v>
      </c>
      <c r="IQ404">
        <v>196</v>
      </c>
      <c r="IR404">
        <v>115</v>
      </c>
      <c r="IT404" s="24"/>
      <c r="IU404">
        <v>9100</v>
      </c>
      <c r="IV404">
        <v>9845</v>
      </c>
      <c r="IW404">
        <v>9845</v>
      </c>
      <c r="IX404">
        <v>2053654</v>
      </c>
      <c r="IY404">
        <v>206</v>
      </c>
      <c r="JA404" s="24"/>
      <c r="JB404">
        <v>93273000</v>
      </c>
      <c r="JC404">
        <v>100000000</v>
      </c>
      <c r="JD404">
        <v>95109011</v>
      </c>
      <c r="JE404">
        <v>224</v>
      </c>
      <c r="JF404">
        <v>115</v>
      </c>
      <c r="JH404" s="24"/>
      <c r="JI404">
        <v>94575994</v>
      </c>
      <c r="JJ404">
        <v>102450000</v>
      </c>
      <c r="JK404">
        <v>94880003</v>
      </c>
      <c r="JL404">
        <v>139</v>
      </c>
      <c r="JM404">
        <v>75</v>
      </c>
      <c r="JO404" s="24"/>
      <c r="JP404">
        <v>89</v>
      </c>
      <c r="JQ404">
        <v>94</v>
      </c>
      <c r="JR404">
        <v>93</v>
      </c>
      <c r="JS404">
        <v>126842576</v>
      </c>
      <c r="JT404">
        <v>100</v>
      </c>
      <c r="JV404" s="24"/>
      <c r="JW404">
        <v>91</v>
      </c>
      <c r="JX404">
        <v>97</v>
      </c>
      <c r="JY404">
        <v>96</v>
      </c>
      <c r="JZ404">
        <v>121990122</v>
      </c>
      <c r="KA404">
        <v>113</v>
      </c>
      <c r="KC404" s="24"/>
      <c r="KD404">
        <v>86</v>
      </c>
      <c r="KE404">
        <v>89</v>
      </c>
      <c r="KF404">
        <v>89</v>
      </c>
      <c r="KG404">
        <v>61215004</v>
      </c>
      <c r="KH404">
        <v>463</v>
      </c>
      <c r="KJ404" s="24"/>
      <c r="KK404">
        <v>108</v>
      </c>
      <c r="KL404">
        <v>113</v>
      </c>
      <c r="KM404">
        <v>113</v>
      </c>
      <c r="KN404">
        <v>149397294</v>
      </c>
      <c r="KO404">
        <v>173</v>
      </c>
      <c r="KQ404" s="24"/>
      <c r="KR404">
        <v>120547</v>
      </c>
      <c r="KS404">
        <v>120549</v>
      </c>
      <c r="KT404">
        <v>120548</v>
      </c>
      <c r="KU404">
        <v>98727</v>
      </c>
      <c r="KV404">
        <v>707</v>
      </c>
      <c r="KX404" s="24"/>
      <c r="KY404">
        <v>721</v>
      </c>
      <c r="KZ404">
        <v>731</v>
      </c>
      <c r="LA404">
        <v>721</v>
      </c>
      <c r="LB404">
        <v>8898893</v>
      </c>
      <c r="LC404">
        <v>192</v>
      </c>
      <c r="LE404" s="24"/>
      <c r="LF404">
        <v>178762</v>
      </c>
      <c r="LG404">
        <v>178795</v>
      </c>
      <c r="LH404">
        <v>178763</v>
      </c>
      <c r="LI404">
        <v>156143</v>
      </c>
      <c r="LJ404">
        <v>968</v>
      </c>
      <c r="LL404" s="24"/>
      <c r="LM404">
        <v>67433</v>
      </c>
      <c r="LN404">
        <v>67760</v>
      </c>
      <c r="LO404">
        <v>67444</v>
      </c>
      <c r="LP404">
        <v>523496</v>
      </c>
      <c r="LQ404">
        <v>1358</v>
      </c>
      <c r="LS404" s="24"/>
      <c r="LT404">
        <v>511</v>
      </c>
      <c r="LU404">
        <v>513</v>
      </c>
      <c r="LV404">
        <v>512</v>
      </c>
      <c r="LW404">
        <v>153300289</v>
      </c>
      <c r="LX404">
        <v>544</v>
      </c>
      <c r="LZ404" s="24"/>
      <c r="MA404">
        <v>95800</v>
      </c>
      <c r="MB404">
        <v>98933</v>
      </c>
      <c r="MC404">
        <v>98932</v>
      </c>
      <c r="MD404">
        <v>1043255</v>
      </c>
      <c r="ME404">
        <v>144</v>
      </c>
    </row>
    <row r="405" spans="2:343" x14ac:dyDescent="0.25">
      <c r="B405" s="24"/>
      <c r="C405">
        <v>3</v>
      </c>
      <c r="D405">
        <v>4</v>
      </c>
      <c r="E405">
        <v>4</v>
      </c>
      <c r="F405">
        <v>24693704126</v>
      </c>
      <c r="G405">
        <v>3376</v>
      </c>
      <c r="I405" s="24"/>
      <c r="J405">
        <v>5</v>
      </c>
      <c r="K405">
        <v>5</v>
      </c>
      <c r="L405">
        <v>5</v>
      </c>
      <c r="M405">
        <v>5436487915</v>
      </c>
      <c r="N405">
        <v>2355</v>
      </c>
      <c r="P405" s="24"/>
      <c r="Q405">
        <v>49</v>
      </c>
      <c r="R405">
        <v>50</v>
      </c>
      <c r="S405">
        <v>49</v>
      </c>
      <c r="T405">
        <v>1542528281</v>
      </c>
      <c r="U405">
        <v>2241</v>
      </c>
      <c r="W405" s="24"/>
      <c r="X405">
        <v>63</v>
      </c>
      <c r="Y405">
        <v>64</v>
      </c>
      <c r="Z405">
        <v>64</v>
      </c>
      <c r="AA405">
        <v>347681950</v>
      </c>
      <c r="AB405">
        <v>1684</v>
      </c>
      <c r="AD405" s="24"/>
      <c r="AE405">
        <v>477</v>
      </c>
      <c r="AF405">
        <v>484</v>
      </c>
      <c r="AG405">
        <v>483</v>
      </c>
      <c r="AH405">
        <v>88561945</v>
      </c>
      <c r="AI405">
        <v>1755</v>
      </c>
      <c r="AK405" s="24"/>
      <c r="AL405">
        <v>710</v>
      </c>
      <c r="AM405">
        <v>715</v>
      </c>
      <c r="AN405">
        <v>712</v>
      </c>
      <c r="AO405">
        <v>52752364</v>
      </c>
      <c r="AP405">
        <v>1499</v>
      </c>
      <c r="AR405" s="24"/>
      <c r="AS405">
        <v>2679</v>
      </c>
      <c r="AT405">
        <v>2759</v>
      </c>
      <c r="AU405">
        <v>2757</v>
      </c>
      <c r="AV405">
        <v>18924939</v>
      </c>
      <c r="AW405">
        <v>1463</v>
      </c>
      <c r="AY405" s="24"/>
      <c r="AZ405">
        <v>459001001</v>
      </c>
      <c r="BA405">
        <v>466946988</v>
      </c>
      <c r="BB405">
        <v>465817023</v>
      </c>
      <c r="BC405">
        <v>2852</v>
      </c>
      <c r="BD405">
        <v>2037</v>
      </c>
      <c r="BF405" s="24"/>
      <c r="BG405">
        <v>28330</v>
      </c>
      <c r="BH405">
        <v>28331</v>
      </c>
      <c r="BI405">
        <v>28330</v>
      </c>
      <c r="BJ405">
        <v>4290835</v>
      </c>
      <c r="BK405">
        <v>290</v>
      </c>
      <c r="BM405" s="24"/>
      <c r="BN405">
        <v>7476884</v>
      </c>
      <c r="BO405">
        <v>7700000</v>
      </c>
      <c r="BP405">
        <v>7500083</v>
      </c>
      <c r="BQ405">
        <v>22413</v>
      </c>
      <c r="BR405">
        <v>482</v>
      </c>
      <c r="BT405" s="24"/>
      <c r="BU405">
        <v>2519</v>
      </c>
      <c r="BV405">
        <v>2591</v>
      </c>
      <c r="BW405">
        <v>2520</v>
      </c>
      <c r="BX405">
        <v>36459886</v>
      </c>
      <c r="BY405">
        <v>324</v>
      </c>
      <c r="CA405" s="24"/>
      <c r="CB405">
        <v>1095</v>
      </c>
      <c r="CC405">
        <v>1099</v>
      </c>
      <c r="CD405">
        <v>1099</v>
      </c>
      <c r="CE405">
        <v>60597781</v>
      </c>
      <c r="CF405">
        <v>417</v>
      </c>
      <c r="CH405" s="24"/>
      <c r="CI405">
        <v>32915</v>
      </c>
      <c r="CJ405">
        <v>33000</v>
      </c>
      <c r="CK405">
        <v>32916</v>
      </c>
      <c r="CL405">
        <v>1830121</v>
      </c>
      <c r="CM405">
        <v>202</v>
      </c>
      <c r="CO405" s="24"/>
      <c r="CP405">
        <v>10369</v>
      </c>
      <c r="CQ405">
        <v>10628</v>
      </c>
      <c r="CR405">
        <v>10499</v>
      </c>
      <c r="CS405">
        <v>1618060</v>
      </c>
      <c r="CT405">
        <v>495</v>
      </c>
      <c r="CV405" s="24"/>
      <c r="CW405">
        <v>1342897</v>
      </c>
      <c r="CX405">
        <v>1342897</v>
      </c>
      <c r="CY405">
        <v>1342897</v>
      </c>
      <c r="CZ405">
        <v>15190</v>
      </c>
      <c r="DA405">
        <v>74</v>
      </c>
      <c r="DC405" s="24"/>
      <c r="DD405">
        <v>550</v>
      </c>
      <c r="DE405">
        <v>558</v>
      </c>
      <c r="DF405">
        <v>550</v>
      </c>
      <c r="DG405">
        <v>73327414</v>
      </c>
      <c r="DH405">
        <v>256</v>
      </c>
      <c r="DJ405" s="24"/>
      <c r="DK405">
        <v>22222227</v>
      </c>
      <c r="DL405">
        <v>22424272</v>
      </c>
      <c r="DM405">
        <v>22222228</v>
      </c>
      <c r="DN405">
        <v>604</v>
      </c>
      <c r="DO405">
        <v>131</v>
      </c>
      <c r="DQ405" s="24"/>
      <c r="DR405">
        <v>3186032</v>
      </c>
      <c r="DS405">
        <v>3379999</v>
      </c>
      <c r="DT405">
        <v>3299999</v>
      </c>
      <c r="DU405">
        <v>7489</v>
      </c>
      <c r="DV405">
        <v>316</v>
      </c>
      <c r="DX405" s="24"/>
      <c r="DY405">
        <v>17246004</v>
      </c>
      <c r="DZ405">
        <v>18897999</v>
      </c>
      <c r="EA405">
        <v>17507273</v>
      </c>
      <c r="EB405">
        <v>646</v>
      </c>
      <c r="EC405">
        <v>125</v>
      </c>
      <c r="EE405" s="24"/>
      <c r="EF405">
        <v>229</v>
      </c>
      <c r="EG405">
        <v>236</v>
      </c>
      <c r="EH405">
        <v>236</v>
      </c>
      <c r="EI405">
        <v>123399855</v>
      </c>
      <c r="EJ405">
        <v>220</v>
      </c>
      <c r="EL405" s="24"/>
      <c r="EM405">
        <v>77540</v>
      </c>
      <c r="EN405">
        <v>79997</v>
      </c>
      <c r="EO405">
        <v>77543</v>
      </c>
      <c r="EP405">
        <v>142152</v>
      </c>
      <c r="EQ405">
        <v>829</v>
      </c>
      <c r="ES405" s="24"/>
      <c r="ET405">
        <v>424</v>
      </c>
      <c r="EU405">
        <v>429</v>
      </c>
      <c r="EV405">
        <v>425</v>
      </c>
      <c r="EW405">
        <v>60292685</v>
      </c>
      <c r="EX405">
        <v>934</v>
      </c>
      <c r="EZ405" s="24"/>
      <c r="FA405">
        <v>3899998</v>
      </c>
      <c r="FB405">
        <v>4239498</v>
      </c>
      <c r="FC405">
        <v>3900000</v>
      </c>
      <c r="FD405">
        <v>1731</v>
      </c>
      <c r="FE405">
        <v>25</v>
      </c>
      <c r="FG405" s="24"/>
      <c r="FH405">
        <v>8564</v>
      </c>
      <c r="FI405">
        <v>8899</v>
      </c>
      <c r="FJ405">
        <v>8789</v>
      </c>
      <c r="FK405">
        <v>1871440</v>
      </c>
      <c r="FL405">
        <v>599</v>
      </c>
      <c r="FN405" s="24"/>
      <c r="FO405">
        <v>25020</v>
      </c>
      <c r="FP405">
        <v>26996</v>
      </c>
      <c r="FQ405">
        <v>25998</v>
      </c>
      <c r="FR405">
        <v>375214</v>
      </c>
      <c r="FS405">
        <v>108</v>
      </c>
      <c r="FU405" s="24"/>
      <c r="FV405">
        <v>15132</v>
      </c>
      <c r="FW405">
        <v>15201</v>
      </c>
      <c r="FX405">
        <v>15137</v>
      </c>
      <c r="FY405">
        <v>555094</v>
      </c>
      <c r="FZ405">
        <v>1423</v>
      </c>
      <c r="GB405" s="24"/>
      <c r="GC405">
        <v>93000000</v>
      </c>
      <c r="GD405">
        <v>98850000</v>
      </c>
      <c r="GE405">
        <v>97999999</v>
      </c>
      <c r="GF405">
        <v>130</v>
      </c>
      <c r="GG405">
        <v>105</v>
      </c>
      <c r="GI405" s="24"/>
      <c r="GJ405">
        <v>21653180</v>
      </c>
      <c r="GK405">
        <v>23379999</v>
      </c>
      <c r="GL405">
        <v>21658005</v>
      </c>
      <c r="GM405">
        <v>356</v>
      </c>
      <c r="GN405">
        <v>78</v>
      </c>
      <c r="GP405" s="24"/>
      <c r="GQ405">
        <v>108</v>
      </c>
      <c r="GR405">
        <v>115</v>
      </c>
      <c r="GS405">
        <v>110</v>
      </c>
      <c r="GT405">
        <v>165539295</v>
      </c>
      <c r="GU405">
        <v>131</v>
      </c>
      <c r="GW405" s="24"/>
      <c r="GX405">
        <v>486</v>
      </c>
      <c r="GY405">
        <v>498</v>
      </c>
      <c r="GZ405">
        <v>497</v>
      </c>
      <c r="HA405">
        <v>99405192</v>
      </c>
      <c r="HB405">
        <v>333</v>
      </c>
      <c r="HD405" s="24"/>
      <c r="HE405">
        <v>5685</v>
      </c>
      <c r="HF405">
        <v>5799</v>
      </c>
      <c r="HG405">
        <v>5793</v>
      </c>
      <c r="HH405">
        <v>17577387</v>
      </c>
      <c r="HI405">
        <v>298</v>
      </c>
      <c r="HK405" s="24"/>
      <c r="HL405">
        <v>93016011</v>
      </c>
      <c r="HM405">
        <v>99999992</v>
      </c>
      <c r="HN405">
        <v>99998980</v>
      </c>
      <c r="HO405">
        <v>136</v>
      </c>
      <c r="HP405">
        <v>104</v>
      </c>
      <c r="HR405" s="24"/>
      <c r="HS405">
        <v>10309</v>
      </c>
      <c r="HT405">
        <v>11297</v>
      </c>
      <c r="HU405">
        <v>10999</v>
      </c>
      <c r="HV405">
        <v>984702</v>
      </c>
      <c r="HW405">
        <v>174</v>
      </c>
      <c r="HY405" s="24"/>
      <c r="HZ405">
        <v>9310</v>
      </c>
      <c r="IA405">
        <v>9647</v>
      </c>
      <c r="IB405">
        <v>9643</v>
      </c>
      <c r="IC405">
        <v>2109620</v>
      </c>
      <c r="ID405">
        <v>596</v>
      </c>
      <c r="IF405" s="24"/>
      <c r="IG405">
        <v>3586</v>
      </c>
      <c r="IH405">
        <v>4568</v>
      </c>
      <c r="II405">
        <v>3593</v>
      </c>
      <c r="IJ405">
        <v>2532963</v>
      </c>
      <c r="IK405">
        <v>134</v>
      </c>
      <c r="IM405" s="24"/>
      <c r="IN405">
        <v>95774002</v>
      </c>
      <c r="IO405">
        <v>99771000</v>
      </c>
      <c r="IP405">
        <v>97999997</v>
      </c>
      <c r="IQ405">
        <v>129</v>
      </c>
      <c r="IR405">
        <v>104</v>
      </c>
      <c r="IT405" s="24"/>
      <c r="IU405">
        <v>9396</v>
      </c>
      <c r="IV405">
        <v>9397</v>
      </c>
      <c r="IW405">
        <v>9397</v>
      </c>
      <c r="IX405">
        <v>1638319</v>
      </c>
      <c r="IY405">
        <v>182</v>
      </c>
      <c r="JA405" s="24"/>
      <c r="JB405">
        <v>94700011</v>
      </c>
      <c r="JC405">
        <v>100599995</v>
      </c>
      <c r="JD405">
        <v>100598997</v>
      </c>
      <c r="JE405">
        <v>118</v>
      </c>
      <c r="JF405">
        <v>96</v>
      </c>
      <c r="JH405" s="24"/>
      <c r="JI405">
        <v>92440004</v>
      </c>
      <c r="JJ405">
        <v>102422989</v>
      </c>
      <c r="JK405">
        <v>98110783</v>
      </c>
      <c r="JL405">
        <v>87</v>
      </c>
      <c r="JM405">
        <v>70</v>
      </c>
      <c r="JO405" s="24"/>
      <c r="JP405">
        <v>94</v>
      </c>
      <c r="JQ405">
        <v>94</v>
      </c>
      <c r="JR405">
        <v>94</v>
      </c>
      <c r="JS405">
        <v>110900081</v>
      </c>
      <c r="JT405">
        <v>110</v>
      </c>
      <c r="JV405" s="24"/>
      <c r="JW405">
        <v>89</v>
      </c>
      <c r="JX405">
        <v>94</v>
      </c>
      <c r="JY405">
        <v>92</v>
      </c>
      <c r="JZ405">
        <v>273719285</v>
      </c>
      <c r="KA405">
        <v>174</v>
      </c>
      <c r="KC405" s="24"/>
      <c r="KD405">
        <v>86</v>
      </c>
      <c r="KE405">
        <v>91</v>
      </c>
      <c r="KF405">
        <v>90</v>
      </c>
      <c r="KG405">
        <v>61061323</v>
      </c>
      <c r="KH405">
        <v>457</v>
      </c>
      <c r="KJ405" s="24"/>
      <c r="KK405">
        <v>107</v>
      </c>
      <c r="KL405">
        <v>113</v>
      </c>
      <c r="KM405">
        <v>109</v>
      </c>
      <c r="KN405">
        <v>252684192</v>
      </c>
      <c r="KO405">
        <v>189</v>
      </c>
      <c r="KQ405" s="24"/>
      <c r="KR405">
        <v>123000</v>
      </c>
      <c r="KS405">
        <v>123001</v>
      </c>
      <c r="KT405">
        <v>123000</v>
      </c>
      <c r="KU405">
        <v>75287</v>
      </c>
      <c r="KV405">
        <v>691</v>
      </c>
      <c r="KX405" s="24"/>
      <c r="KY405">
        <v>740</v>
      </c>
      <c r="KZ405">
        <v>769</v>
      </c>
      <c r="LA405">
        <v>744</v>
      </c>
      <c r="LB405">
        <v>22952240</v>
      </c>
      <c r="LC405">
        <v>242</v>
      </c>
      <c r="LE405" s="24"/>
      <c r="LF405">
        <v>179500</v>
      </c>
      <c r="LG405">
        <v>179501</v>
      </c>
      <c r="LH405">
        <v>179500</v>
      </c>
      <c r="LI405">
        <v>132686</v>
      </c>
      <c r="LJ405">
        <v>1007</v>
      </c>
      <c r="LL405" s="24"/>
      <c r="LM405">
        <v>68006</v>
      </c>
      <c r="LN405">
        <v>68250</v>
      </c>
      <c r="LO405">
        <v>68011</v>
      </c>
      <c r="LP405">
        <v>458826</v>
      </c>
      <c r="LQ405">
        <v>1474</v>
      </c>
      <c r="LS405" s="24"/>
      <c r="LT405">
        <v>507</v>
      </c>
      <c r="LU405">
        <v>509</v>
      </c>
      <c r="LV405">
        <v>508</v>
      </c>
      <c r="LW405">
        <v>127634056</v>
      </c>
      <c r="LX405">
        <v>543</v>
      </c>
      <c r="LZ405" s="24"/>
      <c r="MA405">
        <v>95000</v>
      </c>
      <c r="MB405">
        <v>98932</v>
      </c>
      <c r="MC405">
        <v>95707</v>
      </c>
      <c r="MD405">
        <v>1607683</v>
      </c>
      <c r="ME405">
        <v>121</v>
      </c>
    </row>
    <row r="406" spans="2:343" x14ac:dyDescent="0.25">
      <c r="B406" s="24"/>
      <c r="C406">
        <v>3</v>
      </c>
      <c r="D406">
        <v>4</v>
      </c>
      <c r="E406">
        <v>4</v>
      </c>
      <c r="F406">
        <v>36161310837</v>
      </c>
      <c r="G406">
        <v>2865</v>
      </c>
      <c r="I406" s="24"/>
      <c r="J406">
        <v>5</v>
      </c>
      <c r="K406">
        <v>5</v>
      </c>
      <c r="L406">
        <v>5</v>
      </c>
      <c r="M406">
        <v>5785370935</v>
      </c>
      <c r="N406">
        <v>1980</v>
      </c>
      <c r="P406" s="24"/>
      <c r="Q406">
        <v>49</v>
      </c>
      <c r="R406">
        <v>49</v>
      </c>
      <c r="S406">
        <v>49</v>
      </c>
      <c r="T406">
        <v>1590652228</v>
      </c>
      <c r="U406">
        <v>1829</v>
      </c>
      <c r="W406" s="24"/>
      <c r="X406">
        <v>62</v>
      </c>
      <c r="Y406">
        <v>63</v>
      </c>
      <c r="Z406">
        <v>63</v>
      </c>
      <c r="AA406">
        <v>427893907</v>
      </c>
      <c r="AB406">
        <v>1416</v>
      </c>
      <c r="AD406" s="24"/>
      <c r="AE406">
        <v>476</v>
      </c>
      <c r="AF406">
        <v>479</v>
      </c>
      <c r="AG406">
        <v>477</v>
      </c>
      <c r="AH406">
        <v>119286947</v>
      </c>
      <c r="AI406">
        <v>1540</v>
      </c>
      <c r="AK406" s="24"/>
      <c r="AL406">
        <v>709</v>
      </c>
      <c r="AM406">
        <v>728</v>
      </c>
      <c r="AN406">
        <v>709</v>
      </c>
      <c r="AO406">
        <v>37245934</v>
      </c>
      <c r="AP406">
        <v>1186</v>
      </c>
      <c r="AR406" s="24"/>
      <c r="AS406">
        <v>2675</v>
      </c>
      <c r="AT406">
        <v>2755</v>
      </c>
      <c r="AU406">
        <v>2680</v>
      </c>
      <c r="AV406">
        <v>14738984</v>
      </c>
      <c r="AW406">
        <v>1229</v>
      </c>
      <c r="AY406" s="24"/>
      <c r="AZ406">
        <v>467000123</v>
      </c>
      <c r="BA406">
        <v>476500000</v>
      </c>
      <c r="BB406">
        <v>469899994</v>
      </c>
      <c r="BC406">
        <v>2623</v>
      </c>
      <c r="BD406">
        <v>1837</v>
      </c>
      <c r="BF406" s="24"/>
      <c r="BG406">
        <v>26755</v>
      </c>
      <c r="BH406">
        <v>27805</v>
      </c>
      <c r="BI406">
        <v>26759</v>
      </c>
      <c r="BJ406">
        <v>4192925</v>
      </c>
      <c r="BK406">
        <v>301</v>
      </c>
      <c r="BM406" s="24"/>
      <c r="BN406">
        <v>7600827</v>
      </c>
      <c r="BO406">
        <v>7775000</v>
      </c>
      <c r="BP406">
        <v>7604007</v>
      </c>
      <c r="BQ406">
        <v>15734</v>
      </c>
      <c r="BR406">
        <v>366</v>
      </c>
      <c r="BT406" s="24"/>
      <c r="BU406">
        <v>2550</v>
      </c>
      <c r="BV406">
        <v>2593</v>
      </c>
      <c r="BW406">
        <v>2593</v>
      </c>
      <c r="BX406">
        <v>25790882</v>
      </c>
      <c r="BY406">
        <v>221</v>
      </c>
      <c r="CA406" s="24"/>
      <c r="CB406">
        <v>1066</v>
      </c>
      <c r="CC406">
        <v>1114</v>
      </c>
      <c r="CD406">
        <v>1113</v>
      </c>
      <c r="CE406">
        <v>39465873</v>
      </c>
      <c r="CF406">
        <v>335</v>
      </c>
      <c r="CH406" s="24"/>
      <c r="CI406">
        <v>32516</v>
      </c>
      <c r="CJ406">
        <v>32816</v>
      </c>
      <c r="CK406">
        <v>32600</v>
      </c>
      <c r="CL406">
        <v>1853080</v>
      </c>
      <c r="CM406">
        <v>203</v>
      </c>
      <c r="CO406" s="24"/>
      <c r="CP406">
        <v>10300</v>
      </c>
      <c r="CQ406">
        <v>10744</v>
      </c>
      <c r="CR406">
        <v>10500</v>
      </c>
      <c r="CS406">
        <v>1220355</v>
      </c>
      <c r="CT406">
        <v>460</v>
      </c>
      <c r="CV406" s="24"/>
      <c r="CW406">
        <v>1337498</v>
      </c>
      <c r="CX406">
        <v>1342897</v>
      </c>
      <c r="CY406">
        <v>1339998</v>
      </c>
      <c r="CZ406">
        <v>6467</v>
      </c>
      <c r="DA406">
        <v>29</v>
      </c>
      <c r="DC406" s="24"/>
      <c r="DD406">
        <v>559</v>
      </c>
      <c r="DE406">
        <v>564</v>
      </c>
      <c r="DF406">
        <v>563</v>
      </c>
      <c r="DG406">
        <v>43072089</v>
      </c>
      <c r="DH406">
        <v>244</v>
      </c>
      <c r="DJ406" s="24"/>
      <c r="DK406">
        <v>21000000</v>
      </c>
      <c r="DL406">
        <v>22000000</v>
      </c>
      <c r="DM406">
        <v>21021022</v>
      </c>
      <c r="DN406">
        <v>1026</v>
      </c>
      <c r="DO406">
        <v>139</v>
      </c>
      <c r="DQ406" s="24"/>
      <c r="DR406">
        <v>3186777</v>
      </c>
      <c r="DS406">
        <v>3399997</v>
      </c>
      <c r="DT406">
        <v>3299998</v>
      </c>
      <c r="DU406">
        <v>7045</v>
      </c>
      <c r="DV406">
        <v>269</v>
      </c>
      <c r="DX406" s="24"/>
      <c r="DY406">
        <v>17262274</v>
      </c>
      <c r="DZ406">
        <v>17265033</v>
      </c>
      <c r="EA406">
        <v>17262278</v>
      </c>
      <c r="EB406">
        <v>524</v>
      </c>
      <c r="EC406">
        <v>120</v>
      </c>
      <c r="EE406" s="24"/>
      <c r="EF406">
        <v>235</v>
      </c>
      <c r="EG406">
        <v>245</v>
      </c>
      <c r="EH406">
        <v>235</v>
      </c>
      <c r="EI406">
        <v>89451975</v>
      </c>
      <c r="EJ406">
        <v>166</v>
      </c>
      <c r="EL406" s="24"/>
      <c r="EM406">
        <v>79003</v>
      </c>
      <c r="EN406">
        <v>79400</v>
      </c>
      <c r="EO406">
        <v>79008</v>
      </c>
      <c r="EP406">
        <v>87860</v>
      </c>
      <c r="EQ406">
        <v>669</v>
      </c>
      <c r="ES406" s="24"/>
      <c r="ET406">
        <v>422</v>
      </c>
      <c r="EU406">
        <v>430</v>
      </c>
      <c r="EV406">
        <v>430</v>
      </c>
      <c r="EW406">
        <v>50859167</v>
      </c>
      <c r="EX406">
        <v>874</v>
      </c>
      <c r="EZ406" s="24"/>
      <c r="FA406">
        <v>4197000</v>
      </c>
      <c r="FB406">
        <v>4197499</v>
      </c>
      <c r="FC406">
        <v>4197499</v>
      </c>
      <c r="FD406">
        <v>900</v>
      </c>
      <c r="FE406">
        <v>8</v>
      </c>
      <c r="FG406" s="24"/>
      <c r="FH406">
        <v>8521</v>
      </c>
      <c r="FI406">
        <v>8893</v>
      </c>
      <c r="FJ406">
        <v>8789</v>
      </c>
      <c r="FK406">
        <v>1850395</v>
      </c>
      <c r="FL406">
        <v>531</v>
      </c>
      <c r="FN406" s="24"/>
      <c r="FO406">
        <v>20035</v>
      </c>
      <c r="FP406">
        <v>23979</v>
      </c>
      <c r="FQ406">
        <v>23964</v>
      </c>
      <c r="FR406">
        <v>99358</v>
      </c>
      <c r="FS406">
        <v>52</v>
      </c>
      <c r="FU406" s="24"/>
      <c r="FV406">
        <v>15141</v>
      </c>
      <c r="FW406">
        <v>15201</v>
      </c>
      <c r="FX406">
        <v>15141</v>
      </c>
      <c r="FY406">
        <v>365583</v>
      </c>
      <c r="FZ406">
        <v>1133</v>
      </c>
      <c r="GB406" s="24"/>
      <c r="GC406">
        <v>92043002</v>
      </c>
      <c r="GD406">
        <v>98000003</v>
      </c>
      <c r="GE406">
        <v>98000001</v>
      </c>
      <c r="GF406">
        <v>177</v>
      </c>
      <c r="GG406">
        <v>95</v>
      </c>
      <c r="GI406" s="24"/>
      <c r="GJ406">
        <v>21690202</v>
      </c>
      <c r="GK406">
        <v>22500000</v>
      </c>
      <c r="GL406">
        <v>21692003</v>
      </c>
      <c r="GM406">
        <v>534</v>
      </c>
      <c r="GN406">
        <v>87</v>
      </c>
      <c r="GP406" s="24"/>
      <c r="GQ406">
        <v>111</v>
      </c>
      <c r="GR406">
        <v>114</v>
      </c>
      <c r="GS406">
        <v>111</v>
      </c>
      <c r="GT406">
        <v>161295417</v>
      </c>
      <c r="GU406">
        <v>125</v>
      </c>
      <c r="GW406" s="24"/>
      <c r="GX406">
        <v>483</v>
      </c>
      <c r="GY406">
        <v>497</v>
      </c>
      <c r="GZ406">
        <v>496</v>
      </c>
      <c r="HA406">
        <v>72287401</v>
      </c>
      <c r="HB406">
        <v>253</v>
      </c>
      <c r="HD406" s="24"/>
      <c r="HE406">
        <v>5916</v>
      </c>
      <c r="HF406">
        <v>6424</v>
      </c>
      <c r="HG406">
        <v>6100</v>
      </c>
      <c r="HH406">
        <v>11403161</v>
      </c>
      <c r="HI406">
        <v>230</v>
      </c>
      <c r="HK406" s="24"/>
      <c r="HL406">
        <v>97500001</v>
      </c>
      <c r="HM406">
        <v>99998869</v>
      </c>
      <c r="HN406">
        <v>97500001</v>
      </c>
      <c r="HO406">
        <v>117</v>
      </c>
      <c r="HP406">
        <v>72</v>
      </c>
      <c r="HR406" s="24"/>
      <c r="HS406">
        <v>10400</v>
      </c>
      <c r="HT406">
        <v>11246</v>
      </c>
      <c r="HU406">
        <v>10400</v>
      </c>
      <c r="HV406">
        <v>1015709</v>
      </c>
      <c r="HW406">
        <v>156</v>
      </c>
      <c r="HY406" s="24"/>
      <c r="HZ406">
        <v>9522</v>
      </c>
      <c r="IA406">
        <v>9881</v>
      </c>
      <c r="IB406">
        <v>9689</v>
      </c>
      <c r="IC406">
        <v>2506790</v>
      </c>
      <c r="ID406">
        <v>578</v>
      </c>
      <c r="IF406" s="24"/>
      <c r="IG406">
        <v>3653</v>
      </c>
      <c r="IH406">
        <v>3899</v>
      </c>
      <c r="II406">
        <v>3654</v>
      </c>
      <c r="IJ406">
        <v>3424508</v>
      </c>
      <c r="IK406">
        <v>162</v>
      </c>
      <c r="IM406" s="24"/>
      <c r="IN406">
        <v>92023001</v>
      </c>
      <c r="IO406">
        <v>98000000</v>
      </c>
      <c r="IP406">
        <v>97504000</v>
      </c>
      <c r="IQ406">
        <v>178</v>
      </c>
      <c r="IR406">
        <v>82</v>
      </c>
      <c r="IT406" s="24"/>
      <c r="IU406">
        <v>9016</v>
      </c>
      <c r="IV406">
        <v>9354</v>
      </c>
      <c r="IW406">
        <v>9354</v>
      </c>
      <c r="IX406">
        <v>1056932</v>
      </c>
      <c r="IY406">
        <v>131</v>
      </c>
      <c r="JA406" s="24"/>
      <c r="JB406">
        <v>93011500</v>
      </c>
      <c r="JC406">
        <v>100582887</v>
      </c>
      <c r="JD406">
        <v>97505000</v>
      </c>
      <c r="JE406">
        <v>108</v>
      </c>
      <c r="JF406">
        <v>73</v>
      </c>
      <c r="JH406" s="24"/>
      <c r="JI406">
        <v>92835002</v>
      </c>
      <c r="JJ406">
        <v>102423000</v>
      </c>
      <c r="JK406">
        <v>98385347</v>
      </c>
      <c r="JL406">
        <v>46</v>
      </c>
      <c r="JM406">
        <v>35</v>
      </c>
      <c r="JO406" s="24"/>
      <c r="JP406">
        <v>90</v>
      </c>
      <c r="JQ406">
        <v>94</v>
      </c>
      <c r="JR406">
        <v>93</v>
      </c>
      <c r="JS406">
        <v>78970382</v>
      </c>
      <c r="JT406">
        <v>77</v>
      </c>
      <c r="JV406" s="24"/>
      <c r="JW406">
        <v>90</v>
      </c>
      <c r="JX406">
        <v>94</v>
      </c>
      <c r="JY406">
        <v>92</v>
      </c>
      <c r="JZ406">
        <v>115848353</v>
      </c>
      <c r="KA406">
        <v>97</v>
      </c>
      <c r="KC406" s="24"/>
      <c r="KD406">
        <v>85</v>
      </c>
      <c r="KE406">
        <v>90</v>
      </c>
      <c r="KF406">
        <v>90</v>
      </c>
      <c r="KG406">
        <v>62962004</v>
      </c>
      <c r="KH406">
        <v>438</v>
      </c>
      <c r="KJ406" s="24"/>
      <c r="KK406">
        <v>107</v>
      </c>
      <c r="KL406">
        <v>111</v>
      </c>
      <c r="KM406">
        <v>110</v>
      </c>
      <c r="KN406">
        <v>95881336</v>
      </c>
      <c r="KO406">
        <v>117</v>
      </c>
      <c r="KQ406" s="24"/>
      <c r="KR406">
        <v>123001</v>
      </c>
      <c r="KS406">
        <v>125000</v>
      </c>
      <c r="KT406">
        <v>123001</v>
      </c>
      <c r="KU406">
        <v>64324</v>
      </c>
      <c r="KV406">
        <v>607</v>
      </c>
      <c r="KX406" s="24"/>
      <c r="KY406">
        <v>734</v>
      </c>
      <c r="KZ406">
        <v>789</v>
      </c>
      <c r="LA406">
        <v>740</v>
      </c>
      <c r="LB406">
        <v>4779609</v>
      </c>
      <c r="LC406">
        <v>151</v>
      </c>
      <c r="LE406" s="24"/>
      <c r="LF406">
        <v>179251</v>
      </c>
      <c r="LG406">
        <v>179258</v>
      </c>
      <c r="LH406">
        <v>179251</v>
      </c>
      <c r="LI406">
        <v>133421</v>
      </c>
      <c r="LJ406">
        <v>880</v>
      </c>
      <c r="LL406" s="24"/>
      <c r="LM406">
        <v>68513</v>
      </c>
      <c r="LN406">
        <v>69003</v>
      </c>
      <c r="LO406">
        <v>68518</v>
      </c>
      <c r="LP406">
        <v>440105</v>
      </c>
      <c r="LQ406">
        <v>1218</v>
      </c>
      <c r="LS406" s="24"/>
      <c r="LT406">
        <v>494</v>
      </c>
      <c r="LU406">
        <v>504</v>
      </c>
      <c r="LV406">
        <v>504</v>
      </c>
      <c r="LW406">
        <v>115596903</v>
      </c>
      <c r="LX406">
        <v>421</v>
      </c>
      <c r="LZ406" s="24"/>
      <c r="MA406">
        <v>98495</v>
      </c>
      <c r="MB406">
        <v>98496</v>
      </c>
      <c r="MC406">
        <v>98495</v>
      </c>
      <c r="MD406">
        <v>673974</v>
      </c>
      <c r="ME406">
        <v>63</v>
      </c>
    </row>
    <row r="407" spans="2:343" x14ac:dyDescent="0.25">
      <c r="B407" s="24"/>
      <c r="C407">
        <v>3</v>
      </c>
      <c r="D407">
        <v>4</v>
      </c>
      <c r="E407">
        <v>4</v>
      </c>
      <c r="F407">
        <v>26570232135</v>
      </c>
      <c r="G407">
        <v>2611</v>
      </c>
      <c r="I407" s="24"/>
      <c r="J407">
        <v>4</v>
      </c>
      <c r="K407">
        <v>5</v>
      </c>
      <c r="L407">
        <v>5</v>
      </c>
      <c r="M407">
        <v>7130445414</v>
      </c>
      <c r="N407">
        <v>1893</v>
      </c>
      <c r="P407" s="24"/>
      <c r="Q407">
        <v>48</v>
      </c>
      <c r="R407">
        <v>48</v>
      </c>
      <c r="S407">
        <v>48</v>
      </c>
      <c r="T407">
        <v>1604620384</v>
      </c>
      <c r="U407">
        <v>1763</v>
      </c>
      <c r="W407" s="24"/>
      <c r="X407">
        <v>62</v>
      </c>
      <c r="Y407">
        <v>62</v>
      </c>
      <c r="Z407">
        <v>62</v>
      </c>
      <c r="AA407">
        <v>349391756</v>
      </c>
      <c r="AB407">
        <v>1391</v>
      </c>
      <c r="AD407" s="24"/>
      <c r="AE407">
        <v>475</v>
      </c>
      <c r="AF407">
        <v>481</v>
      </c>
      <c r="AG407">
        <v>480</v>
      </c>
      <c r="AH407">
        <v>50226473</v>
      </c>
      <c r="AI407">
        <v>1397</v>
      </c>
      <c r="AK407" s="24"/>
      <c r="AL407">
        <v>711</v>
      </c>
      <c r="AM407">
        <v>720</v>
      </c>
      <c r="AN407">
        <v>711</v>
      </c>
      <c r="AO407">
        <v>37237204</v>
      </c>
      <c r="AP407">
        <v>1165</v>
      </c>
      <c r="AR407" s="24"/>
      <c r="AS407">
        <v>2675</v>
      </c>
      <c r="AT407">
        <v>2700</v>
      </c>
      <c r="AU407">
        <v>2696</v>
      </c>
      <c r="AV407">
        <v>17766700</v>
      </c>
      <c r="AW407">
        <v>1157</v>
      </c>
      <c r="AY407" s="24"/>
      <c r="AZ407">
        <v>477341010</v>
      </c>
      <c r="BA407">
        <v>486997986</v>
      </c>
      <c r="BB407">
        <v>479773750</v>
      </c>
      <c r="BC407">
        <v>2812</v>
      </c>
      <c r="BD407">
        <v>1872</v>
      </c>
      <c r="BF407" s="24"/>
      <c r="BG407">
        <v>26786</v>
      </c>
      <c r="BH407">
        <v>27766</v>
      </c>
      <c r="BI407">
        <v>27500</v>
      </c>
      <c r="BJ407">
        <v>4580220</v>
      </c>
      <c r="BK407">
        <v>336</v>
      </c>
      <c r="BM407" s="24"/>
      <c r="BN407">
        <v>7500000</v>
      </c>
      <c r="BO407">
        <v>7600009</v>
      </c>
      <c r="BP407">
        <v>7600000</v>
      </c>
      <c r="BQ407">
        <v>16219</v>
      </c>
      <c r="BR407">
        <v>366</v>
      </c>
      <c r="BT407" s="24"/>
      <c r="BU407">
        <v>2580</v>
      </c>
      <c r="BV407">
        <v>2593</v>
      </c>
      <c r="BW407">
        <v>2591</v>
      </c>
      <c r="BX407">
        <v>19775596</v>
      </c>
      <c r="BY407">
        <v>228</v>
      </c>
      <c r="CA407" s="24"/>
      <c r="CB407">
        <v>1048</v>
      </c>
      <c r="CC407">
        <v>1074</v>
      </c>
      <c r="CD407">
        <v>1060</v>
      </c>
      <c r="CE407">
        <v>55933885</v>
      </c>
      <c r="CF407">
        <v>363</v>
      </c>
      <c r="CH407" s="24"/>
      <c r="CI407">
        <v>32500</v>
      </c>
      <c r="CJ407">
        <v>32600</v>
      </c>
      <c r="CK407">
        <v>32600</v>
      </c>
      <c r="CL407">
        <v>2006760</v>
      </c>
      <c r="CM407">
        <v>233</v>
      </c>
      <c r="CO407" s="24"/>
      <c r="CP407">
        <v>10200</v>
      </c>
      <c r="CQ407">
        <v>10744</v>
      </c>
      <c r="CR407">
        <v>10598</v>
      </c>
      <c r="CS407">
        <v>1253915</v>
      </c>
      <c r="CT407">
        <v>472</v>
      </c>
      <c r="CV407" s="24"/>
      <c r="CW407">
        <v>1315010</v>
      </c>
      <c r="CX407">
        <v>1342896</v>
      </c>
      <c r="CY407">
        <v>1339998</v>
      </c>
      <c r="CZ407">
        <v>11102</v>
      </c>
      <c r="DA407">
        <v>42</v>
      </c>
      <c r="DC407" s="24"/>
      <c r="DD407">
        <v>559</v>
      </c>
      <c r="DE407">
        <v>571</v>
      </c>
      <c r="DF407">
        <v>565</v>
      </c>
      <c r="DG407">
        <v>42022087</v>
      </c>
      <c r="DH407">
        <v>213</v>
      </c>
      <c r="DJ407" s="24"/>
      <c r="DK407">
        <v>18752534</v>
      </c>
      <c r="DL407">
        <v>18756999</v>
      </c>
      <c r="DM407">
        <v>18752535</v>
      </c>
      <c r="DN407">
        <v>704</v>
      </c>
      <c r="DO407">
        <v>114</v>
      </c>
      <c r="DQ407" s="24"/>
      <c r="DR407">
        <v>3186788</v>
      </c>
      <c r="DS407">
        <v>3406779</v>
      </c>
      <c r="DT407">
        <v>3186900</v>
      </c>
      <c r="DU407">
        <v>5953</v>
      </c>
      <c r="DV407">
        <v>265</v>
      </c>
      <c r="DX407" s="24"/>
      <c r="DY407">
        <v>17265055</v>
      </c>
      <c r="DZ407">
        <v>17797995</v>
      </c>
      <c r="EA407">
        <v>17265099</v>
      </c>
      <c r="EB407">
        <v>701</v>
      </c>
      <c r="EC407">
        <v>141</v>
      </c>
      <c r="EE407" s="24"/>
      <c r="EF407">
        <v>231</v>
      </c>
      <c r="EG407">
        <v>252</v>
      </c>
      <c r="EH407">
        <v>248</v>
      </c>
      <c r="EI407">
        <v>76238746</v>
      </c>
      <c r="EJ407">
        <v>153</v>
      </c>
      <c r="EL407" s="24"/>
      <c r="EM407">
        <v>79500</v>
      </c>
      <c r="EN407">
        <v>80500</v>
      </c>
      <c r="EO407">
        <v>80304</v>
      </c>
      <c r="EP407">
        <v>81036</v>
      </c>
      <c r="EQ407">
        <v>610</v>
      </c>
      <c r="ES407" s="24"/>
      <c r="ET407">
        <v>410</v>
      </c>
      <c r="EU407">
        <v>430</v>
      </c>
      <c r="EV407">
        <v>422</v>
      </c>
      <c r="EW407">
        <v>68069665</v>
      </c>
      <c r="EX407">
        <v>872</v>
      </c>
      <c r="EZ407" s="24"/>
      <c r="FA407">
        <v>4100000</v>
      </c>
      <c r="FB407">
        <v>4199000</v>
      </c>
      <c r="FC407">
        <v>4199000</v>
      </c>
      <c r="FD407">
        <v>1156</v>
      </c>
      <c r="FE407">
        <v>21</v>
      </c>
      <c r="FG407" s="24"/>
      <c r="FH407">
        <v>8075</v>
      </c>
      <c r="FI407">
        <v>8699</v>
      </c>
      <c r="FJ407">
        <v>8402</v>
      </c>
      <c r="FK407">
        <v>2093259</v>
      </c>
      <c r="FL407">
        <v>502</v>
      </c>
      <c r="FN407" s="24"/>
      <c r="FO407">
        <v>21701</v>
      </c>
      <c r="FP407">
        <v>23497</v>
      </c>
      <c r="FQ407">
        <v>22070</v>
      </c>
      <c r="FR407">
        <v>345232</v>
      </c>
      <c r="FS407">
        <v>102</v>
      </c>
      <c r="FU407" s="24"/>
      <c r="FV407">
        <v>15200</v>
      </c>
      <c r="FW407">
        <v>15400</v>
      </c>
      <c r="FX407">
        <v>15201</v>
      </c>
      <c r="FY407">
        <v>367097</v>
      </c>
      <c r="FZ407">
        <v>1059</v>
      </c>
      <c r="GB407" s="24"/>
      <c r="GC407">
        <v>93000000</v>
      </c>
      <c r="GD407">
        <v>95996998</v>
      </c>
      <c r="GE407">
        <v>94997000</v>
      </c>
      <c r="GF407">
        <v>148</v>
      </c>
      <c r="GG407">
        <v>72</v>
      </c>
      <c r="GI407" s="24"/>
      <c r="GJ407">
        <v>21693104</v>
      </c>
      <c r="GK407">
        <v>21695001</v>
      </c>
      <c r="GL407">
        <v>21694002</v>
      </c>
      <c r="GM407">
        <v>435</v>
      </c>
      <c r="GN407">
        <v>70</v>
      </c>
      <c r="GP407" s="24"/>
      <c r="GQ407">
        <v>113</v>
      </c>
      <c r="GR407">
        <v>115</v>
      </c>
      <c r="GS407">
        <v>115</v>
      </c>
      <c r="GT407">
        <v>139637223</v>
      </c>
      <c r="GU407">
        <v>114</v>
      </c>
      <c r="GW407" s="24"/>
      <c r="GX407">
        <v>495</v>
      </c>
      <c r="GY407">
        <v>495</v>
      </c>
      <c r="GZ407">
        <v>495</v>
      </c>
      <c r="HA407">
        <v>61720172</v>
      </c>
      <c r="HB407">
        <v>325</v>
      </c>
      <c r="HD407" s="24"/>
      <c r="HE407">
        <v>5928</v>
      </c>
      <c r="HF407">
        <v>6246</v>
      </c>
      <c r="HG407">
        <v>6089</v>
      </c>
      <c r="HH407">
        <v>20918322</v>
      </c>
      <c r="HI407">
        <v>325</v>
      </c>
      <c r="HK407" s="24"/>
      <c r="HL407">
        <v>94000001</v>
      </c>
      <c r="HM407">
        <v>99998860</v>
      </c>
      <c r="HN407">
        <v>94001001</v>
      </c>
      <c r="HO407">
        <v>112</v>
      </c>
      <c r="HP407">
        <v>73</v>
      </c>
      <c r="HR407" s="24"/>
      <c r="HS407">
        <v>10300</v>
      </c>
      <c r="HT407">
        <v>10794</v>
      </c>
      <c r="HU407">
        <v>10725</v>
      </c>
      <c r="HV407">
        <v>745841</v>
      </c>
      <c r="HW407">
        <v>151</v>
      </c>
      <c r="HY407" s="24"/>
      <c r="HZ407">
        <v>9208</v>
      </c>
      <c r="IA407">
        <v>9895</v>
      </c>
      <c r="IB407">
        <v>9759</v>
      </c>
      <c r="IC407">
        <v>2351959</v>
      </c>
      <c r="ID407">
        <v>526</v>
      </c>
      <c r="IF407" s="24"/>
      <c r="IG407">
        <v>3595</v>
      </c>
      <c r="IH407">
        <v>3797</v>
      </c>
      <c r="II407">
        <v>3697</v>
      </c>
      <c r="IJ407">
        <v>1379183</v>
      </c>
      <c r="IK407">
        <v>135</v>
      </c>
      <c r="IM407" s="24"/>
      <c r="IN407">
        <v>93901000</v>
      </c>
      <c r="IO407">
        <v>97997891</v>
      </c>
      <c r="IP407">
        <v>94000100</v>
      </c>
      <c r="IQ407">
        <v>112</v>
      </c>
      <c r="IR407">
        <v>71</v>
      </c>
      <c r="IT407" s="24"/>
      <c r="IU407">
        <v>9354</v>
      </c>
      <c r="IV407">
        <v>9398</v>
      </c>
      <c r="IW407">
        <v>9354</v>
      </c>
      <c r="IX407">
        <v>1481628</v>
      </c>
      <c r="IY407">
        <v>159</v>
      </c>
      <c r="JA407" s="24"/>
      <c r="JB407">
        <v>93020000</v>
      </c>
      <c r="JC407">
        <v>99991989</v>
      </c>
      <c r="JD407">
        <v>97407171</v>
      </c>
      <c r="JE407">
        <v>90</v>
      </c>
      <c r="JF407">
        <v>73</v>
      </c>
      <c r="JH407" s="24"/>
      <c r="JI407">
        <v>92930001</v>
      </c>
      <c r="JJ407">
        <v>102422999</v>
      </c>
      <c r="JK407">
        <v>99520024</v>
      </c>
      <c r="JL407">
        <v>44</v>
      </c>
      <c r="JM407">
        <v>39</v>
      </c>
      <c r="JO407" s="24"/>
      <c r="JP407">
        <v>90</v>
      </c>
      <c r="JQ407">
        <v>93</v>
      </c>
      <c r="JR407">
        <v>90</v>
      </c>
      <c r="JS407">
        <v>94985018</v>
      </c>
      <c r="JT407">
        <v>88</v>
      </c>
      <c r="JV407" s="24"/>
      <c r="JW407">
        <v>89</v>
      </c>
      <c r="JX407">
        <v>93</v>
      </c>
      <c r="JY407">
        <v>89</v>
      </c>
      <c r="JZ407">
        <v>135035622</v>
      </c>
      <c r="KA407">
        <v>117</v>
      </c>
      <c r="KC407" s="24"/>
      <c r="KD407">
        <v>85</v>
      </c>
      <c r="KE407">
        <v>91</v>
      </c>
      <c r="KF407">
        <v>89</v>
      </c>
      <c r="KG407">
        <v>55424239</v>
      </c>
      <c r="KH407">
        <v>381</v>
      </c>
      <c r="KJ407" s="24"/>
      <c r="KK407">
        <v>108</v>
      </c>
      <c r="KL407">
        <v>113</v>
      </c>
      <c r="KM407">
        <v>110</v>
      </c>
      <c r="KN407">
        <v>126681067</v>
      </c>
      <c r="KO407">
        <v>137</v>
      </c>
      <c r="KQ407" s="24"/>
      <c r="KR407">
        <v>124000</v>
      </c>
      <c r="KS407">
        <v>124500</v>
      </c>
      <c r="KT407">
        <v>124001</v>
      </c>
      <c r="KU407">
        <v>79533</v>
      </c>
      <c r="KV407">
        <v>545</v>
      </c>
      <c r="KX407" s="24"/>
      <c r="KY407">
        <v>710</v>
      </c>
      <c r="KZ407">
        <v>769</v>
      </c>
      <c r="LA407">
        <v>748</v>
      </c>
      <c r="LB407">
        <v>7023241</v>
      </c>
      <c r="LC407">
        <v>166</v>
      </c>
      <c r="LE407" s="24"/>
      <c r="LF407">
        <v>179001</v>
      </c>
      <c r="LG407">
        <v>179101</v>
      </c>
      <c r="LH407">
        <v>179101</v>
      </c>
      <c r="LI407">
        <v>94755</v>
      </c>
      <c r="LJ407">
        <v>777</v>
      </c>
      <c r="LL407" s="24"/>
      <c r="LM407">
        <v>69006</v>
      </c>
      <c r="LN407">
        <v>69805</v>
      </c>
      <c r="LO407">
        <v>69200</v>
      </c>
      <c r="LP407">
        <v>427160</v>
      </c>
      <c r="LQ407">
        <v>1169</v>
      </c>
      <c r="LS407" s="24"/>
      <c r="LT407">
        <v>500</v>
      </c>
      <c r="LU407">
        <v>503</v>
      </c>
      <c r="LV407">
        <v>503</v>
      </c>
      <c r="LW407">
        <v>98186588</v>
      </c>
      <c r="LX407">
        <v>416</v>
      </c>
      <c r="LZ407" s="24"/>
      <c r="MA407">
        <v>95119</v>
      </c>
      <c r="MB407">
        <v>98489</v>
      </c>
      <c r="MC407">
        <v>95301</v>
      </c>
      <c r="MD407">
        <v>1409620</v>
      </c>
      <c r="ME407">
        <v>130</v>
      </c>
    </row>
    <row r="408" spans="2:343" x14ac:dyDescent="0.25">
      <c r="B408" s="24"/>
      <c r="C408">
        <v>3</v>
      </c>
      <c r="D408">
        <v>3</v>
      </c>
      <c r="E408">
        <v>3</v>
      </c>
      <c r="F408">
        <v>36543447416</v>
      </c>
      <c r="G408">
        <v>2623</v>
      </c>
      <c r="I408" s="24"/>
      <c r="J408">
        <v>4</v>
      </c>
      <c r="K408">
        <v>5</v>
      </c>
      <c r="L408">
        <v>5</v>
      </c>
      <c r="M408">
        <v>9201912356</v>
      </c>
      <c r="N408">
        <v>1887</v>
      </c>
      <c r="P408" s="24"/>
      <c r="Q408">
        <v>48</v>
      </c>
      <c r="R408">
        <v>48</v>
      </c>
      <c r="S408">
        <v>48</v>
      </c>
      <c r="T408">
        <v>1893137927</v>
      </c>
      <c r="U408">
        <v>1722</v>
      </c>
      <c r="W408" s="24"/>
      <c r="X408">
        <v>62</v>
      </c>
      <c r="Y408">
        <v>62</v>
      </c>
      <c r="Z408">
        <v>62</v>
      </c>
      <c r="AA408">
        <v>398231150</v>
      </c>
      <c r="AB408">
        <v>1349</v>
      </c>
      <c r="AD408" s="24"/>
      <c r="AE408">
        <v>474</v>
      </c>
      <c r="AF408">
        <v>475</v>
      </c>
      <c r="AG408">
        <v>474</v>
      </c>
      <c r="AH408">
        <v>102309616</v>
      </c>
      <c r="AI408">
        <v>1393</v>
      </c>
      <c r="AK408" s="24"/>
      <c r="AL408">
        <v>701</v>
      </c>
      <c r="AM408">
        <v>718</v>
      </c>
      <c r="AN408">
        <v>701</v>
      </c>
      <c r="AO408">
        <v>45537240</v>
      </c>
      <c r="AP408">
        <v>1134</v>
      </c>
      <c r="AR408" s="24"/>
      <c r="AS408">
        <v>2569</v>
      </c>
      <c r="AT408">
        <v>2688</v>
      </c>
      <c r="AU408">
        <v>2652</v>
      </c>
      <c r="AV408">
        <v>22924682</v>
      </c>
      <c r="AW408">
        <v>1207</v>
      </c>
      <c r="AY408" s="24"/>
      <c r="AZ408">
        <v>480000003</v>
      </c>
      <c r="BA408">
        <v>488998997</v>
      </c>
      <c r="BB408">
        <v>484000000</v>
      </c>
      <c r="BC408">
        <v>2757</v>
      </c>
      <c r="BD408">
        <v>1874</v>
      </c>
      <c r="BF408" s="24"/>
      <c r="BG408">
        <v>26840</v>
      </c>
      <c r="BH408">
        <v>27407</v>
      </c>
      <c r="BI408">
        <v>26885</v>
      </c>
      <c r="BJ408">
        <v>7339103</v>
      </c>
      <c r="BK408">
        <v>284</v>
      </c>
      <c r="BM408" s="24"/>
      <c r="BN408">
        <v>7410804</v>
      </c>
      <c r="BO408">
        <v>7410807</v>
      </c>
      <c r="BP408">
        <v>7410806</v>
      </c>
      <c r="BQ408">
        <v>10583</v>
      </c>
      <c r="BR408">
        <v>269</v>
      </c>
      <c r="BT408" s="24"/>
      <c r="BU408">
        <v>2555</v>
      </c>
      <c r="BV408">
        <v>2588</v>
      </c>
      <c r="BW408">
        <v>2588</v>
      </c>
      <c r="BX408">
        <v>23008469</v>
      </c>
      <c r="BY408">
        <v>223</v>
      </c>
      <c r="CA408" s="24"/>
      <c r="CB408">
        <v>1029</v>
      </c>
      <c r="CC408">
        <v>1073</v>
      </c>
      <c r="CD408">
        <v>1055</v>
      </c>
      <c r="CE408">
        <v>45038933</v>
      </c>
      <c r="CF408">
        <v>323</v>
      </c>
      <c r="CH408" s="24"/>
      <c r="CI408">
        <v>32052</v>
      </c>
      <c r="CJ408">
        <v>32405</v>
      </c>
      <c r="CK408">
        <v>32255</v>
      </c>
      <c r="CL408">
        <v>2621125</v>
      </c>
      <c r="CM408">
        <v>197</v>
      </c>
      <c r="CO408" s="24"/>
      <c r="CP408">
        <v>10401</v>
      </c>
      <c r="CQ408">
        <v>10744</v>
      </c>
      <c r="CR408">
        <v>10744</v>
      </c>
      <c r="CS408">
        <v>1336709</v>
      </c>
      <c r="CT408">
        <v>422</v>
      </c>
      <c r="CV408" s="24"/>
      <c r="CW408">
        <v>1261002</v>
      </c>
      <c r="CX408">
        <v>1315010</v>
      </c>
      <c r="CY408">
        <v>1300000</v>
      </c>
      <c r="CZ408">
        <v>8384</v>
      </c>
      <c r="DA408">
        <v>40</v>
      </c>
      <c r="DC408" s="24"/>
      <c r="DD408">
        <v>571</v>
      </c>
      <c r="DE408">
        <v>578</v>
      </c>
      <c r="DF408">
        <v>577</v>
      </c>
      <c r="DG408">
        <v>45852829</v>
      </c>
      <c r="DH408">
        <v>221</v>
      </c>
      <c r="DJ408" s="24"/>
      <c r="DK408">
        <v>18753738</v>
      </c>
      <c r="DL408">
        <v>19499999</v>
      </c>
      <c r="DM408">
        <v>18755752</v>
      </c>
      <c r="DN408">
        <v>526</v>
      </c>
      <c r="DO408">
        <v>106</v>
      </c>
      <c r="DQ408" s="24"/>
      <c r="DR408">
        <v>3194003</v>
      </c>
      <c r="DS408">
        <v>3400000</v>
      </c>
      <c r="DT408">
        <v>3195999</v>
      </c>
      <c r="DU408">
        <v>6251</v>
      </c>
      <c r="DV408">
        <v>266</v>
      </c>
      <c r="DX408" s="24"/>
      <c r="DY408">
        <v>17238184</v>
      </c>
      <c r="DZ408">
        <v>17999999</v>
      </c>
      <c r="EA408">
        <v>17987998</v>
      </c>
      <c r="EB408">
        <v>558</v>
      </c>
      <c r="EC408">
        <v>117</v>
      </c>
      <c r="EE408" s="24"/>
      <c r="EF408">
        <v>234</v>
      </c>
      <c r="EG408">
        <v>248</v>
      </c>
      <c r="EH408">
        <v>247</v>
      </c>
      <c r="EI408">
        <v>89654455</v>
      </c>
      <c r="EJ408">
        <v>150</v>
      </c>
      <c r="EL408" s="24"/>
      <c r="EM408">
        <v>79415</v>
      </c>
      <c r="EN408">
        <v>80303</v>
      </c>
      <c r="EO408">
        <v>80302</v>
      </c>
      <c r="EP408">
        <v>93046</v>
      </c>
      <c r="EQ408">
        <v>623</v>
      </c>
      <c r="ES408" s="24"/>
      <c r="ET408">
        <v>409</v>
      </c>
      <c r="EU408">
        <v>430</v>
      </c>
      <c r="EV408">
        <v>413</v>
      </c>
      <c r="EW408">
        <v>74473482</v>
      </c>
      <c r="EX408">
        <v>822</v>
      </c>
      <c r="EZ408" s="24"/>
      <c r="FA408">
        <v>3662014</v>
      </c>
      <c r="FB408">
        <v>3800000</v>
      </c>
      <c r="FC408">
        <v>3662014</v>
      </c>
      <c r="FD408">
        <v>3079</v>
      </c>
      <c r="FE408">
        <v>39</v>
      </c>
      <c r="FG408" s="24"/>
      <c r="FH408">
        <v>8160</v>
      </c>
      <c r="FI408">
        <v>8489</v>
      </c>
      <c r="FJ408">
        <v>8479</v>
      </c>
      <c r="FK408">
        <v>1846964</v>
      </c>
      <c r="FL408">
        <v>466</v>
      </c>
      <c r="FN408" s="24"/>
      <c r="FO408">
        <v>22000</v>
      </c>
      <c r="FP408">
        <v>23482</v>
      </c>
      <c r="FQ408">
        <v>23467</v>
      </c>
      <c r="FR408">
        <v>134793</v>
      </c>
      <c r="FS408">
        <v>67</v>
      </c>
      <c r="FU408" s="24"/>
      <c r="FV408">
        <v>15136</v>
      </c>
      <c r="FW408">
        <v>15149</v>
      </c>
      <c r="FX408">
        <v>15138</v>
      </c>
      <c r="FY408">
        <v>431182</v>
      </c>
      <c r="FZ408">
        <v>1084</v>
      </c>
      <c r="GB408" s="24"/>
      <c r="GC408">
        <v>93600000</v>
      </c>
      <c r="GD408">
        <v>100020991</v>
      </c>
      <c r="GE408">
        <v>95650000</v>
      </c>
      <c r="GF408">
        <v>125</v>
      </c>
      <c r="GG408">
        <v>71</v>
      </c>
      <c r="GI408" s="24"/>
      <c r="GJ408">
        <v>21694235</v>
      </c>
      <c r="GK408">
        <v>22296999</v>
      </c>
      <c r="GL408">
        <v>21695240</v>
      </c>
      <c r="GM408">
        <v>493</v>
      </c>
      <c r="GN408">
        <v>72</v>
      </c>
      <c r="GP408" s="24"/>
      <c r="GQ408">
        <v>115</v>
      </c>
      <c r="GR408">
        <v>117</v>
      </c>
      <c r="GS408">
        <v>117</v>
      </c>
      <c r="GT408">
        <v>135745360</v>
      </c>
      <c r="GU408">
        <v>79</v>
      </c>
      <c r="GW408" s="24"/>
      <c r="GX408">
        <v>485</v>
      </c>
      <c r="GY408">
        <v>498</v>
      </c>
      <c r="GZ408">
        <v>497</v>
      </c>
      <c r="HA408">
        <v>89405296</v>
      </c>
      <c r="HB408">
        <v>332</v>
      </c>
      <c r="HD408" s="24"/>
      <c r="HE408">
        <v>5930</v>
      </c>
      <c r="HF408">
        <v>6185</v>
      </c>
      <c r="HG408">
        <v>6160</v>
      </c>
      <c r="HH408">
        <v>12368818</v>
      </c>
      <c r="HI408">
        <v>241</v>
      </c>
      <c r="HK408" s="24"/>
      <c r="HL408">
        <v>93680000</v>
      </c>
      <c r="HM408">
        <v>99499988</v>
      </c>
      <c r="HN408">
        <v>97629783</v>
      </c>
      <c r="HO408">
        <v>97</v>
      </c>
      <c r="HP408">
        <v>75</v>
      </c>
      <c r="HR408" s="24"/>
      <c r="HS408">
        <v>10011</v>
      </c>
      <c r="HT408">
        <v>10793</v>
      </c>
      <c r="HU408">
        <v>10724</v>
      </c>
      <c r="HV408">
        <v>914734</v>
      </c>
      <c r="HW408">
        <v>144</v>
      </c>
      <c r="HY408" s="24"/>
      <c r="HZ408">
        <v>9350</v>
      </c>
      <c r="IA408">
        <v>9750</v>
      </c>
      <c r="IB408">
        <v>9500</v>
      </c>
      <c r="IC408">
        <v>2432122</v>
      </c>
      <c r="ID408">
        <v>535</v>
      </c>
      <c r="IF408" s="24"/>
      <c r="IG408">
        <v>3589</v>
      </c>
      <c r="IH408">
        <v>3595</v>
      </c>
      <c r="II408">
        <v>3589</v>
      </c>
      <c r="IJ408">
        <v>1494637</v>
      </c>
      <c r="IK408">
        <v>122</v>
      </c>
      <c r="IM408" s="24"/>
      <c r="IN408">
        <v>94000000</v>
      </c>
      <c r="IO408">
        <v>95700000</v>
      </c>
      <c r="IP408">
        <v>94100001</v>
      </c>
      <c r="IQ408">
        <v>212</v>
      </c>
      <c r="IR408">
        <v>116</v>
      </c>
      <c r="IT408" s="24"/>
      <c r="IU408">
        <v>9041</v>
      </c>
      <c r="IV408">
        <v>9499</v>
      </c>
      <c r="IW408">
        <v>9498</v>
      </c>
      <c r="IX408">
        <v>1085687</v>
      </c>
      <c r="IY408">
        <v>105</v>
      </c>
      <c r="JA408" s="24"/>
      <c r="JB408">
        <v>96200000</v>
      </c>
      <c r="JC408">
        <v>99977997</v>
      </c>
      <c r="JD408">
        <v>97899999</v>
      </c>
      <c r="JE408">
        <v>101</v>
      </c>
      <c r="JF408">
        <v>71</v>
      </c>
      <c r="JH408" s="24"/>
      <c r="JI408">
        <v>95500000</v>
      </c>
      <c r="JJ408">
        <v>102422997</v>
      </c>
      <c r="JK408">
        <v>97204179</v>
      </c>
      <c r="JL408">
        <v>83</v>
      </c>
      <c r="JM408">
        <v>58</v>
      </c>
      <c r="JO408" s="24"/>
      <c r="JP408">
        <v>89</v>
      </c>
      <c r="JQ408">
        <v>93</v>
      </c>
      <c r="JR408">
        <v>90</v>
      </c>
      <c r="JS408">
        <v>46709238</v>
      </c>
      <c r="JT408">
        <v>52</v>
      </c>
      <c r="JV408" s="24"/>
      <c r="JW408">
        <v>90</v>
      </c>
      <c r="JX408">
        <v>94</v>
      </c>
      <c r="JY408">
        <v>93</v>
      </c>
      <c r="JZ408">
        <v>207074020</v>
      </c>
      <c r="KA408">
        <v>134</v>
      </c>
      <c r="KC408" s="24"/>
      <c r="KD408">
        <v>90</v>
      </c>
      <c r="KE408">
        <v>91</v>
      </c>
      <c r="KF408">
        <v>90</v>
      </c>
      <c r="KG408">
        <v>42726529</v>
      </c>
      <c r="KH408">
        <v>380</v>
      </c>
      <c r="KJ408" s="24"/>
      <c r="KK408">
        <v>119</v>
      </c>
      <c r="KL408">
        <v>119</v>
      </c>
      <c r="KM408">
        <v>119</v>
      </c>
      <c r="KN408">
        <v>103579093</v>
      </c>
      <c r="KO408">
        <v>127</v>
      </c>
      <c r="KQ408" s="24"/>
      <c r="KR408">
        <v>124752</v>
      </c>
      <c r="KS408">
        <v>124757</v>
      </c>
      <c r="KT408">
        <v>124752</v>
      </c>
      <c r="KU408">
        <v>58918</v>
      </c>
      <c r="KV408">
        <v>567</v>
      </c>
      <c r="KX408" s="24"/>
      <c r="KY408">
        <v>700</v>
      </c>
      <c r="KZ408">
        <v>767</v>
      </c>
      <c r="LA408">
        <v>764</v>
      </c>
      <c r="LB408">
        <v>3682762</v>
      </c>
      <c r="LC408">
        <v>154</v>
      </c>
      <c r="LE408" s="24"/>
      <c r="LF408">
        <v>179155</v>
      </c>
      <c r="LG408">
        <v>179261</v>
      </c>
      <c r="LH408">
        <v>179157</v>
      </c>
      <c r="LI408">
        <v>101102</v>
      </c>
      <c r="LJ408">
        <v>802</v>
      </c>
      <c r="LL408" s="24"/>
      <c r="LM408">
        <v>69811</v>
      </c>
      <c r="LN408">
        <v>70001</v>
      </c>
      <c r="LO408">
        <v>70000</v>
      </c>
      <c r="LP408">
        <v>373523</v>
      </c>
      <c r="LQ408">
        <v>1138</v>
      </c>
      <c r="LS408" s="24"/>
      <c r="LT408">
        <v>503</v>
      </c>
      <c r="LU408">
        <v>503</v>
      </c>
      <c r="LV408">
        <v>503</v>
      </c>
      <c r="LW408">
        <v>98235507</v>
      </c>
      <c r="LX408">
        <v>374</v>
      </c>
      <c r="LZ408" s="24"/>
      <c r="MA408">
        <v>95120</v>
      </c>
      <c r="MB408">
        <v>98399</v>
      </c>
      <c r="MC408">
        <v>98390</v>
      </c>
      <c r="MD408">
        <v>756637</v>
      </c>
      <c r="ME408">
        <v>78</v>
      </c>
    </row>
    <row r="409" spans="2:343" x14ac:dyDescent="0.25">
      <c r="B409" s="24"/>
      <c r="C409">
        <v>3</v>
      </c>
      <c r="D409">
        <v>3</v>
      </c>
      <c r="E409">
        <v>3</v>
      </c>
      <c r="F409">
        <v>33336630932</v>
      </c>
      <c r="G409">
        <v>2739</v>
      </c>
      <c r="I409" s="24"/>
      <c r="J409">
        <v>4</v>
      </c>
      <c r="K409">
        <v>5</v>
      </c>
      <c r="L409">
        <v>5</v>
      </c>
      <c r="M409">
        <v>6487422015</v>
      </c>
      <c r="N409">
        <v>1935</v>
      </c>
      <c r="P409" s="24"/>
      <c r="Q409">
        <v>48</v>
      </c>
      <c r="R409">
        <v>48</v>
      </c>
      <c r="S409">
        <v>48</v>
      </c>
      <c r="T409">
        <v>1390142456</v>
      </c>
      <c r="U409">
        <v>1791</v>
      </c>
      <c r="W409" s="24"/>
      <c r="X409">
        <v>62</v>
      </c>
      <c r="Y409">
        <v>62</v>
      </c>
      <c r="Z409">
        <v>62</v>
      </c>
      <c r="AA409">
        <v>449689536</v>
      </c>
      <c r="AB409">
        <v>1446</v>
      </c>
      <c r="AD409" s="24"/>
      <c r="AE409">
        <v>472</v>
      </c>
      <c r="AF409">
        <v>481</v>
      </c>
      <c r="AG409">
        <v>480</v>
      </c>
      <c r="AH409">
        <v>99604856</v>
      </c>
      <c r="AI409">
        <v>1482</v>
      </c>
      <c r="AK409" s="24"/>
      <c r="AL409">
        <v>706</v>
      </c>
      <c r="AM409">
        <v>718</v>
      </c>
      <c r="AN409">
        <v>715</v>
      </c>
      <c r="AO409">
        <v>50706881</v>
      </c>
      <c r="AP409">
        <v>1236</v>
      </c>
      <c r="AR409" s="24"/>
      <c r="AS409">
        <v>2639</v>
      </c>
      <c r="AT409">
        <v>2699</v>
      </c>
      <c r="AU409">
        <v>2687</v>
      </c>
      <c r="AV409">
        <v>11486734</v>
      </c>
      <c r="AW409">
        <v>1150</v>
      </c>
      <c r="AY409" s="24"/>
      <c r="AZ409">
        <v>480123600</v>
      </c>
      <c r="BA409">
        <v>489449000</v>
      </c>
      <c r="BB409">
        <v>487999999</v>
      </c>
      <c r="BC409">
        <v>2779</v>
      </c>
      <c r="BD409">
        <v>1879</v>
      </c>
      <c r="BF409" s="24"/>
      <c r="BG409">
        <v>27510</v>
      </c>
      <c r="BH409">
        <v>27691</v>
      </c>
      <c r="BI409">
        <v>27690</v>
      </c>
      <c r="BJ409">
        <v>1966308</v>
      </c>
      <c r="BK409">
        <v>227</v>
      </c>
      <c r="BM409" s="24"/>
      <c r="BN409">
        <v>7410810</v>
      </c>
      <c r="BO409">
        <v>7615000</v>
      </c>
      <c r="BP409">
        <v>7500980</v>
      </c>
      <c r="BQ409">
        <v>14300</v>
      </c>
      <c r="BR409">
        <v>327</v>
      </c>
      <c r="BT409" s="24"/>
      <c r="BU409">
        <v>2502</v>
      </c>
      <c r="BV409">
        <v>2585</v>
      </c>
      <c r="BW409">
        <v>2584</v>
      </c>
      <c r="BX409">
        <v>24204756</v>
      </c>
      <c r="BY409">
        <v>271</v>
      </c>
      <c r="CA409" s="24"/>
      <c r="CB409">
        <v>1072</v>
      </c>
      <c r="CC409">
        <v>1073</v>
      </c>
      <c r="CD409">
        <v>1073</v>
      </c>
      <c r="CE409">
        <v>42736553</v>
      </c>
      <c r="CF409">
        <v>329</v>
      </c>
      <c r="CH409" s="24"/>
      <c r="CI409">
        <v>31800</v>
      </c>
      <c r="CJ409">
        <v>32310</v>
      </c>
      <c r="CK409">
        <v>32070</v>
      </c>
      <c r="CL409">
        <v>2464902</v>
      </c>
      <c r="CM409">
        <v>220</v>
      </c>
      <c r="CO409" s="24"/>
      <c r="CP409">
        <v>10250</v>
      </c>
      <c r="CQ409">
        <v>10697</v>
      </c>
      <c r="CR409">
        <v>10688</v>
      </c>
      <c r="CS409">
        <v>1513177</v>
      </c>
      <c r="CT409">
        <v>456</v>
      </c>
      <c r="CV409" s="24"/>
      <c r="CW409">
        <v>1323999</v>
      </c>
      <c r="CX409">
        <v>1340998</v>
      </c>
      <c r="CY409">
        <v>1336000</v>
      </c>
      <c r="CZ409">
        <v>12869</v>
      </c>
      <c r="DA409">
        <v>38</v>
      </c>
      <c r="DC409" s="24"/>
      <c r="DD409">
        <v>594</v>
      </c>
      <c r="DE409">
        <v>595</v>
      </c>
      <c r="DF409">
        <v>594</v>
      </c>
      <c r="DG409">
        <v>36091032</v>
      </c>
      <c r="DH409">
        <v>188</v>
      </c>
      <c r="DJ409" s="24"/>
      <c r="DK409">
        <v>19000905</v>
      </c>
      <c r="DL409">
        <v>20499998</v>
      </c>
      <c r="DM409">
        <v>20000859</v>
      </c>
      <c r="DN409">
        <v>452</v>
      </c>
      <c r="DO409">
        <v>124</v>
      </c>
      <c r="DQ409" s="24"/>
      <c r="DR409">
        <v>3188053</v>
      </c>
      <c r="DS409">
        <v>3399999</v>
      </c>
      <c r="DT409">
        <v>3251000</v>
      </c>
      <c r="DU409">
        <v>5398</v>
      </c>
      <c r="DV409">
        <v>248</v>
      </c>
      <c r="DX409" s="24"/>
      <c r="DY409">
        <v>17500020</v>
      </c>
      <c r="DZ409">
        <v>18044444</v>
      </c>
      <c r="EA409">
        <v>17562715</v>
      </c>
      <c r="EB409">
        <v>392</v>
      </c>
      <c r="EC409">
        <v>79</v>
      </c>
      <c r="EE409" s="24"/>
      <c r="EF409">
        <v>241</v>
      </c>
      <c r="EG409">
        <v>246</v>
      </c>
      <c r="EH409">
        <v>246</v>
      </c>
      <c r="EI409">
        <v>81490539</v>
      </c>
      <c r="EJ409">
        <v>158</v>
      </c>
      <c r="EL409" s="24"/>
      <c r="EM409">
        <v>79409</v>
      </c>
      <c r="EN409">
        <v>82499</v>
      </c>
      <c r="EO409">
        <v>79409</v>
      </c>
      <c r="EP409">
        <v>80578</v>
      </c>
      <c r="EQ409">
        <v>607</v>
      </c>
      <c r="ES409" s="24"/>
      <c r="ET409">
        <v>427</v>
      </c>
      <c r="EU409">
        <v>450</v>
      </c>
      <c r="EV409">
        <v>434</v>
      </c>
      <c r="EW409">
        <v>60722036</v>
      </c>
      <c r="EX409">
        <v>828</v>
      </c>
      <c r="EZ409" s="24"/>
      <c r="FA409">
        <v>3660101</v>
      </c>
      <c r="FB409">
        <v>3899999</v>
      </c>
      <c r="FC409">
        <v>3660111</v>
      </c>
      <c r="FD409">
        <v>1990</v>
      </c>
      <c r="FE409">
        <v>19</v>
      </c>
      <c r="FG409" s="24"/>
      <c r="FH409">
        <v>8044</v>
      </c>
      <c r="FI409">
        <v>8399</v>
      </c>
      <c r="FJ409">
        <v>8379</v>
      </c>
      <c r="FK409">
        <v>1926385</v>
      </c>
      <c r="FL409">
        <v>512</v>
      </c>
      <c r="FN409" s="24"/>
      <c r="FO409">
        <v>23457</v>
      </c>
      <c r="FP409">
        <v>23461</v>
      </c>
      <c r="FQ409">
        <v>23461</v>
      </c>
      <c r="FR409">
        <v>117734</v>
      </c>
      <c r="FS409">
        <v>97</v>
      </c>
      <c r="FU409" s="24"/>
      <c r="FV409">
        <v>15149</v>
      </c>
      <c r="FW409">
        <v>15799</v>
      </c>
      <c r="FX409">
        <v>15150</v>
      </c>
      <c r="FY409">
        <v>360636</v>
      </c>
      <c r="FZ409">
        <v>1066</v>
      </c>
      <c r="GB409" s="24"/>
      <c r="GC409">
        <v>95500000</v>
      </c>
      <c r="GD409">
        <v>96000000</v>
      </c>
      <c r="GE409">
        <v>95503003</v>
      </c>
      <c r="GF409">
        <v>143</v>
      </c>
      <c r="GG409">
        <v>65</v>
      </c>
      <c r="GI409" s="24"/>
      <c r="GJ409">
        <v>21100002</v>
      </c>
      <c r="GK409">
        <v>21695000</v>
      </c>
      <c r="GL409">
        <v>21693004</v>
      </c>
      <c r="GM409">
        <v>592</v>
      </c>
      <c r="GN409">
        <v>81</v>
      </c>
      <c r="GP409" s="24"/>
      <c r="GQ409">
        <v>110</v>
      </c>
      <c r="GR409">
        <v>117</v>
      </c>
      <c r="GS409">
        <v>110</v>
      </c>
      <c r="GT409">
        <v>153975634</v>
      </c>
      <c r="GU409">
        <v>130</v>
      </c>
      <c r="GW409" s="24"/>
      <c r="GX409">
        <v>498</v>
      </c>
      <c r="GY409">
        <v>499</v>
      </c>
      <c r="GZ409">
        <v>499</v>
      </c>
      <c r="HA409">
        <v>56826480</v>
      </c>
      <c r="HB409">
        <v>345</v>
      </c>
      <c r="HD409" s="24"/>
      <c r="HE409">
        <v>5826</v>
      </c>
      <c r="HF409">
        <v>6120</v>
      </c>
      <c r="HG409">
        <v>6114</v>
      </c>
      <c r="HH409">
        <v>12680916</v>
      </c>
      <c r="HI409">
        <v>269</v>
      </c>
      <c r="HK409" s="24"/>
      <c r="HL409">
        <v>94502002</v>
      </c>
      <c r="HM409">
        <v>98999897</v>
      </c>
      <c r="HN409">
        <v>98202025</v>
      </c>
      <c r="HO409">
        <v>45</v>
      </c>
      <c r="HP409">
        <v>42</v>
      </c>
      <c r="HR409" s="24"/>
      <c r="HS409">
        <v>10000</v>
      </c>
      <c r="HT409">
        <v>10450</v>
      </c>
      <c r="HU409">
        <v>10011</v>
      </c>
      <c r="HV409">
        <v>1002229</v>
      </c>
      <c r="HW409">
        <v>130</v>
      </c>
      <c r="HY409" s="24"/>
      <c r="HZ409">
        <v>9429</v>
      </c>
      <c r="IA409">
        <v>10195</v>
      </c>
      <c r="IB409">
        <v>9984</v>
      </c>
      <c r="IC409">
        <v>2778159</v>
      </c>
      <c r="ID409">
        <v>568</v>
      </c>
      <c r="IF409" s="24"/>
      <c r="IG409">
        <v>3485</v>
      </c>
      <c r="IH409">
        <v>3588</v>
      </c>
      <c r="II409">
        <v>3588</v>
      </c>
      <c r="IJ409">
        <v>1109370</v>
      </c>
      <c r="IK409">
        <v>138</v>
      </c>
      <c r="IM409" s="24"/>
      <c r="IN409">
        <v>93994993</v>
      </c>
      <c r="IO409">
        <v>97993991</v>
      </c>
      <c r="IP409">
        <v>96119624</v>
      </c>
      <c r="IQ409">
        <v>68</v>
      </c>
      <c r="IR409">
        <v>50</v>
      </c>
      <c r="IT409" s="24"/>
      <c r="IU409">
        <v>9450</v>
      </c>
      <c r="IV409">
        <v>9498</v>
      </c>
      <c r="IW409">
        <v>9496</v>
      </c>
      <c r="IX409">
        <v>998928</v>
      </c>
      <c r="IY409">
        <v>141</v>
      </c>
      <c r="JA409" s="24"/>
      <c r="JB409">
        <v>94500000</v>
      </c>
      <c r="JC409">
        <v>98997999</v>
      </c>
      <c r="JD409">
        <v>96674758</v>
      </c>
      <c r="JE409">
        <v>80</v>
      </c>
      <c r="JF409">
        <v>63</v>
      </c>
      <c r="JH409" s="24"/>
      <c r="JI409">
        <v>96500000</v>
      </c>
      <c r="JJ409">
        <v>102421999</v>
      </c>
      <c r="JK409">
        <v>98574281</v>
      </c>
      <c r="JL409">
        <v>64</v>
      </c>
      <c r="JM409">
        <v>53</v>
      </c>
      <c r="JO409" s="24"/>
      <c r="JP409">
        <v>89</v>
      </c>
      <c r="JQ409">
        <v>93</v>
      </c>
      <c r="JR409">
        <v>90</v>
      </c>
      <c r="JS409">
        <v>140148719</v>
      </c>
      <c r="JT409">
        <v>93</v>
      </c>
      <c r="JV409" s="24"/>
      <c r="JW409">
        <v>91</v>
      </c>
      <c r="JX409">
        <v>94</v>
      </c>
      <c r="JY409">
        <v>93</v>
      </c>
      <c r="JZ409">
        <v>118773701</v>
      </c>
      <c r="KA409">
        <v>95</v>
      </c>
      <c r="KC409" s="24"/>
      <c r="KD409">
        <v>86</v>
      </c>
      <c r="KE409">
        <v>92</v>
      </c>
      <c r="KF409">
        <v>92</v>
      </c>
      <c r="KG409">
        <v>56631547</v>
      </c>
      <c r="KH409">
        <v>372</v>
      </c>
      <c r="KJ409" s="24"/>
      <c r="KK409">
        <v>110</v>
      </c>
      <c r="KL409">
        <v>117</v>
      </c>
      <c r="KM409">
        <v>110</v>
      </c>
      <c r="KN409">
        <v>126095507</v>
      </c>
      <c r="KO409">
        <v>138</v>
      </c>
      <c r="KQ409" s="24"/>
      <c r="KR409">
        <v>124760</v>
      </c>
      <c r="KS409">
        <v>129299</v>
      </c>
      <c r="KT409">
        <v>125000</v>
      </c>
      <c r="KU409">
        <v>51546</v>
      </c>
      <c r="KV409">
        <v>589</v>
      </c>
      <c r="KX409" s="24"/>
      <c r="KY409">
        <v>700</v>
      </c>
      <c r="KZ409">
        <v>764</v>
      </c>
      <c r="LA409">
        <v>764</v>
      </c>
      <c r="LB409">
        <v>4851574</v>
      </c>
      <c r="LC409">
        <v>163</v>
      </c>
      <c r="LE409" s="24"/>
      <c r="LF409">
        <v>179281</v>
      </c>
      <c r="LG409">
        <v>183998</v>
      </c>
      <c r="LH409">
        <v>179283</v>
      </c>
      <c r="LI409">
        <v>91933</v>
      </c>
      <c r="LJ409">
        <v>780</v>
      </c>
      <c r="LL409" s="24"/>
      <c r="LM409">
        <v>70001</v>
      </c>
      <c r="LN409">
        <v>70400</v>
      </c>
      <c r="LO409">
        <v>70001</v>
      </c>
      <c r="LP409">
        <v>307321</v>
      </c>
      <c r="LQ409">
        <v>1136</v>
      </c>
      <c r="LS409" s="24"/>
      <c r="LT409">
        <v>502</v>
      </c>
      <c r="LU409">
        <v>503</v>
      </c>
      <c r="LV409">
        <v>503</v>
      </c>
      <c r="LW409">
        <v>106177285</v>
      </c>
      <c r="LX409">
        <v>426</v>
      </c>
      <c r="LZ409" s="24"/>
      <c r="MA409">
        <v>96501</v>
      </c>
      <c r="MB409">
        <v>98390</v>
      </c>
      <c r="MC409">
        <v>98389</v>
      </c>
      <c r="MD409">
        <v>1505806</v>
      </c>
      <c r="ME409">
        <v>102</v>
      </c>
    </row>
    <row r="410" spans="2:343" x14ac:dyDescent="0.25">
      <c r="B410" s="24"/>
      <c r="C410">
        <v>3</v>
      </c>
      <c r="D410">
        <v>3</v>
      </c>
      <c r="E410">
        <v>3</v>
      </c>
      <c r="F410">
        <v>18632003648</v>
      </c>
      <c r="G410">
        <v>2606</v>
      </c>
      <c r="I410" s="24"/>
      <c r="J410">
        <v>4</v>
      </c>
      <c r="K410">
        <v>5</v>
      </c>
      <c r="L410">
        <v>5</v>
      </c>
      <c r="M410">
        <v>4325234773</v>
      </c>
      <c r="N410">
        <v>1893</v>
      </c>
      <c r="P410" s="24"/>
      <c r="Q410">
        <v>48</v>
      </c>
      <c r="R410">
        <v>48</v>
      </c>
      <c r="S410">
        <v>48</v>
      </c>
      <c r="T410">
        <v>1492071764</v>
      </c>
      <c r="U410">
        <v>1749</v>
      </c>
      <c r="W410" s="24"/>
      <c r="X410">
        <v>62</v>
      </c>
      <c r="Y410">
        <v>64</v>
      </c>
      <c r="Z410">
        <v>63</v>
      </c>
      <c r="AA410">
        <v>424396588</v>
      </c>
      <c r="AB410">
        <v>1442</v>
      </c>
      <c r="AD410" s="24"/>
      <c r="AE410">
        <v>480</v>
      </c>
      <c r="AF410">
        <v>484</v>
      </c>
      <c r="AG410">
        <v>483</v>
      </c>
      <c r="AH410">
        <v>88684784</v>
      </c>
      <c r="AI410">
        <v>1451</v>
      </c>
      <c r="AK410" s="24"/>
      <c r="AL410">
        <v>710</v>
      </c>
      <c r="AM410">
        <v>718</v>
      </c>
      <c r="AN410">
        <v>711</v>
      </c>
      <c r="AO410">
        <v>40200798</v>
      </c>
      <c r="AP410">
        <v>1207</v>
      </c>
      <c r="AR410" s="24"/>
      <c r="AS410">
        <v>2650</v>
      </c>
      <c r="AT410">
        <v>2690</v>
      </c>
      <c r="AU410">
        <v>2650</v>
      </c>
      <c r="AV410">
        <v>12452214</v>
      </c>
      <c r="AW410">
        <v>1120</v>
      </c>
      <c r="AY410" s="24"/>
      <c r="AZ410">
        <v>477000000</v>
      </c>
      <c r="BA410">
        <v>485297995</v>
      </c>
      <c r="BB410">
        <v>482000335</v>
      </c>
      <c r="BC410">
        <v>3070</v>
      </c>
      <c r="BD410">
        <v>1921</v>
      </c>
      <c r="BF410" s="24"/>
      <c r="BG410">
        <v>27907</v>
      </c>
      <c r="BH410">
        <v>28004</v>
      </c>
      <c r="BI410">
        <v>28004</v>
      </c>
      <c r="BJ410">
        <v>2741285</v>
      </c>
      <c r="BK410">
        <v>196</v>
      </c>
      <c r="BM410" s="24"/>
      <c r="BN410">
        <v>7600100</v>
      </c>
      <c r="BO410">
        <v>7643000</v>
      </c>
      <c r="BP410">
        <v>7608959</v>
      </c>
      <c r="BQ410">
        <v>13369</v>
      </c>
      <c r="BR410">
        <v>400</v>
      </c>
      <c r="BT410" s="24"/>
      <c r="BU410">
        <v>2495</v>
      </c>
      <c r="BV410">
        <v>2584</v>
      </c>
      <c r="BW410">
        <v>2505</v>
      </c>
      <c r="BX410">
        <v>39394914</v>
      </c>
      <c r="BY410">
        <v>272</v>
      </c>
      <c r="CA410" s="24"/>
      <c r="CB410">
        <v>1045</v>
      </c>
      <c r="CC410">
        <v>1073</v>
      </c>
      <c r="CD410">
        <v>1072</v>
      </c>
      <c r="CE410">
        <v>38898986</v>
      </c>
      <c r="CF410">
        <v>295</v>
      </c>
      <c r="CH410" s="24"/>
      <c r="CI410">
        <v>32300</v>
      </c>
      <c r="CJ410">
        <v>33200</v>
      </c>
      <c r="CK410">
        <v>32311</v>
      </c>
      <c r="CL410">
        <v>1229647</v>
      </c>
      <c r="CM410">
        <v>152</v>
      </c>
      <c r="CO410" s="24"/>
      <c r="CP410">
        <v>10301</v>
      </c>
      <c r="CQ410">
        <v>10689</v>
      </c>
      <c r="CR410">
        <v>10304</v>
      </c>
      <c r="CS410">
        <v>1184486</v>
      </c>
      <c r="CT410">
        <v>393</v>
      </c>
      <c r="CV410" s="24"/>
      <c r="CW410">
        <v>1321986</v>
      </c>
      <c r="CX410">
        <v>1322998</v>
      </c>
      <c r="CY410">
        <v>1322998</v>
      </c>
      <c r="CZ410">
        <v>11131</v>
      </c>
      <c r="DA410">
        <v>39</v>
      </c>
      <c r="DC410" s="24"/>
      <c r="DD410">
        <v>594</v>
      </c>
      <c r="DE410">
        <v>594</v>
      </c>
      <c r="DF410">
        <v>594</v>
      </c>
      <c r="DG410">
        <v>20072871</v>
      </c>
      <c r="DH410">
        <v>166</v>
      </c>
      <c r="DJ410" s="24"/>
      <c r="DK410">
        <v>19008013</v>
      </c>
      <c r="DL410">
        <v>22449999</v>
      </c>
      <c r="DM410">
        <v>21000000</v>
      </c>
      <c r="DN410">
        <v>824</v>
      </c>
      <c r="DO410">
        <v>167</v>
      </c>
      <c r="DQ410" s="24"/>
      <c r="DR410">
        <v>3202110</v>
      </c>
      <c r="DS410">
        <v>3444999</v>
      </c>
      <c r="DT410">
        <v>3443000</v>
      </c>
      <c r="DU410">
        <v>5679</v>
      </c>
      <c r="DV410">
        <v>300</v>
      </c>
      <c r="DX410" s="24"/>
      <c r="DY410">
        <v>17500092</v>
      </c>
      <c r="DZ410">
        <v>18199026</v>
      </c>
      <c r="EA410">
        <v>18000000</v>
      </c>
      <c r="EB410">
        <v>900</v>
      </c>
      <c r="EC410">
        <v>146</v>
      </c>
      <c r="EE410" s="24"/>
      <c r="EF410">
        <v>242</v>
      </c>
      <c r="EG410">
        <v>248</v>
      </c>
      <c r="EH410">
        <v>248</v>
      </c>
      <c r="EI410">
        <v>91432967</v>
      </c>
      <c r="EJ410">
        <v>173</v>
      </c>
      <c r="EL410" s="24"/>
      <c r="EM410">
        <v>79806</v>
      </c>
      <c r="EN410">
        <v>82396</v>
      </c>
      <c r="EO410">
        <v>80398</v>
      </c>
      <c r="EP410">
        <v>73293</v>
      </c>
      <c r="EQ410">
        <v>642</v>
      </c>
      <c r="ES410" s="24"/>
      <c r="ET410">
        <v>468</v>
      </c>
      <c r="EU410">
        <v>469</v>
      </c>
      <c r="EV410">
        <v>468</v>
      </c>
      <c r="EW410">
        <v>39489228</v>
      </c>
      <c r="EX410">
        <v>783</v>
      </c>
      <c r="EZ410" s="24"/>
      <c r="FA410">
        <v>3661203</v>
      </c>
      <c r="FB410">
        <v>3661209</v>
      </c>
      <c r="FC410">
        <v>3661203</v>
      </c>
      <c r="FD410">
        <v>1284</v>
      </c>
      <c r="FE410">
        <v>17</v>
      </c>
      <c r="FG410" s="24"/>
      <c r="FH410">
        <v>7800</v>
      </c>
      <c r="FI410">
        <v>8045</v>
      </c>
      <c r="FJ410">
        <v>7998</v>
      </c>
      <c r="FK410">
        <v>2187881</v>
      </c>
      <c r="FL410">
        <v>446</v>
      </c>
      <c r="FN410" s="24"/>
      <c r="FO410">
        <v>20885</v>
      </c>
      <c r="FP410">
        <v>23452</v>
      </c>
      <c r="FQ410">
        <v>23448</v>
      </c>
      <c r="FR410">
        <v>256531</v>
      </c>
      <c r="FS410">
        <v>92</v>
      </c>
      <c r="FU410" s="24"/>
      <c r="FV410">
        <v>15154</v>
      </c>
      <c r="FW410">
        <v>15603</v>
      </c>
      <c r="FX410">
        <v>15156</v>
      </c>
      <c r="FY410">
        <v>375132</v>
      </c>
      <c r="FZ410">
        <v>1140</v>
      </c>
      <c r="GB410" s="24"/>
      <c r="GC410">
        <v>93043001</v>
      </c>
      <c r="GD410">
        <v>96700001</v>
      </c>
      <c r="GE410">
        <v>95000000</v>
      </c>
      <c r="GF410">
        <v>135</v>
      </c>
      <c r="GG410">
        <v>75</v>
      </c>
      <c r="GI410" s="24"/>
      <c r="GJ410">
        <v>20500538</v>
      </c>
      <c r="GK410">
        <v>21999998</v>
      </c>
      <c r="GL410">
        <v>21999998</v>
      </c>
      <c r="GM410">
        <v>523</v>
      </c>
      <c r="GN410">
        <v>86</v>
      </c>
      <c r="GP410" s="24"/>
      <c r="GQ410">
        <v>118</v>
      </c>
      <c r="GR410">
        <v>121</v>
      </c>
      <c r="GS410">
        <v>120</v>
      </c>
      <c r="GT410">
        <v>95392834</v>
      </c>
      <c r="GU410">
        <v>129</v>
      </c>
      <c r="GW410" s="24"/>
      <c r="GX410">
        <v>499</v>
      </c>
      <c r="GY410">
        <v>518</v>
      </c>
      <c r="GZ410">
        <v>500</v>
      </c>
      <c r="HA410">
        <v>68270186</v>
      </c>
      <c r="HB410">
        <v>298</v>
      </c>
      <c r="HD410" s="24"/>
      <c r="HE410">
        <v>5910</v>
      </c>
      <c r="HF410">
        <v>6121</v>
      </c>
      <c r="HG410">
        <v>6114</v>
      </c>
      <c r="HH410">
        <v>13513775</v>
      </c>
      <c r="HI410">
        <v>257</v>
      </c>
      <c r="HK410" s="24"/>
      <c r="HL410">
        <v>94502012</v>
      </c>
      <c r="HM410">
        <v>99998798</v>
      </c>
      <c r="HN410">
        <v>94507000</v>
      </c>
      <c r="HO410">
        <v>173</v>
      </c>
      <c r="HP410">
        <v>114</v>
      </c>
      <c r="HR410" s="24"/>
      <c r="HS410">
        <v>9988</v>
      </c>
      <c r="HT410">
        <v>10282</v>
      </c>
      <c r="HU410">
        <v>9989</v>
      </c>
      <c r="HV410">
        <v>552075</v>
      </c>
      <c r="HW410">
        <v>137</v>
      </c>
      <c r="HY410" s="24"/>
      <c r="HZ410">
        <v>9450</v>
      </c>
      <c r="IA410">
        <v>9938</v>
      </c>
      <c r="IB410">
        <v>9700</v>
      </c>
      <c r="IC410">
        <v>1957057</v>
      </c>
      <c r="ID410">
        <v>476</v>
      </c>
      <c r="IF410" s="24"/>
      <c r="IG410">
        <v>3588</v>
      </c>
      <c r="IH410">
        <v>3588</v>
      </c>
      <c r="II410">
        <v>3588</v>
      </c>
      <c r="IJ410">
        <v>1730502</v>
      </c>
      <c r="IK410">
        <v>145</v>
      </c>
      <c r="IM410" s="24"/>
      <c r="IN410">
        <v>93997994</v>
      </c>
      <c r="IO410">
        <v>97993987</v>
      </c>
      <c r="IP410">
        <v>95925026</v>
      </c>
      <c r="IQ410">
        <v>87</v>
      </c>
      <c r="IR410">
        <v>74</v>
      </c>
      <c r="IT410" s="24"/>
      <c r="IU410">
        <v>9499</v>
      </c>
      <c r="IV410">
        <v>9845</v>
      </c>
      <c r="IW410">
        <v>9499</v>
      </c>
      <c r="IX410">
        <v>1190829</v>
      </c>
      <c r="IY410">
        <v>136</v>
      </c>
      <c r="JA410" s="24"/>
      <c r="JB410">
        <v>94000004</v>
      </c>
      <c r="JC410">
        <v>98909993</v>
      </c>
      <c r="JD410">
        <v>94075004</v>
      </c>
      <c r="JE410">
        <v>118</v>
      </c>
      <c r="JF410">
        <v>86</v>
      </c>
      <c r="JH410" s="24"/>
      <c r="JI410">
        <v>94500101</v>
      </c>
      <c r="JJ410">
        <v>94999998</v>
      </c>
      <c r="JK410">
        <v>94510001</v>
      </c>
      <c r="JL410">
        <v>138</v>
      </c>
      <c r="JM410">
        <v>66</v>
      </c>
      <c r="JO410" s="24"/>
      <c r="JP410">
        <v>89</v>
      </c>
      <c r="JQ410">
        <v>93</v>
      </c>
      <c r="JR410">
        <v>93</v>
      </c>
      <c r="JS410">
        <v>108656476</v>
      </c>
      <c r="JT410">
        <v>72</v>
      </c>
      <c r="JV410" s="24"/>
      <c r="JW410">
        <v>91</v>
      </c>
      <c r="JX410">
        <v>94</v>
      </c>
      <c r="JY410">
        <v>92</v>
      </c>
      <c r="JZ410">
        <v>131553842</v>
      </c>
      <c r="KA410">
        <v>101</v>
      </c>
      <c r="KC410" s="24"/>
      <c r="KD410">
        <v>92</v>
      </c>
      <c r="KE410">
        <v>115</v>
      </c>
      <c r="KF410">
        <v>95</v>
      </c>
      <c r="KG410">
        <v>45914649</v>
      </c>
      <c r="KH410">
        <v>347</v>
      </c>
      <c r="KJ410" s="24"/>
      <c r="KK410">
        <v>111</v>
      </c>
      <c r="KL410">
        <v>113</v>
      </c>
      <c r="KM410">
        <v>111</v>
      </c>
      <c r="KN410">
        <v>150209945</v>
      </c>
      <c r="KO410">
        <v>141</v>
      </c>
      <c r="KQ410" s="24"/>
      <c r="KR410">
        <v>125001</v>
      </c>
      <c r="KS410">
        <v>125005</v>
      </c>
      <c r="KT410">
        <v>125002</v>
      </c>
      <c r="KU410">
        <v>50196</v>
      </c>
      <c r="KV410">
        <v>571</v>
      </c>
      <c r="KX410" s="24"/>
      <c r="KY410">
        <v>763</v>
      </c>
      <c r="KZ410">
        <v>764</v>
      </c>
      <c r="LA410">
        <v>764</v>
      </c>
      <c r="LB410">
        <v>4305243</v>
      </c>
      <c r="LC410">
        <v>151</v>
      </c>
      <c r="LE410" s="24"/>
      <c r="LF410">
        <v>179507</v>
      </c>
      <c r="LG410">
        <v>180000</v>
      </c>
      <c r="LH410">
        <v>179508</v>
      </c>
      <c r="LI410">
        <v>131830</v>
      </c>
      <c r="LJ410">
        <v>816</v>
      </c>
      <c r="LL410" s="24"/>
      <c r="LM410">
        <v>70014</v>
      </c>
      <c r="LN410">
        <v>71000</v>
      </c>
      <c r="LO410">
        <v>70016</v>
      </c>
      <c r="LP410">
        <v>336386</v>
      </c>
      <c r="LQ410">
        <v>1167</v>
      </c>
      <c r="LS410" s="24"/>
      <c r="LT410">
        <v>503</v>
      </c>
      <c r="LU410">
        <v>503</v>
      </c>
      <c r="LV410">
        <v>503</v>
      </c>
      <c r="LW410">
        <v>68395896</v>
      </c>
      <c r="LX410">
        <v>383</v>
      </c>
      <c r="LZ410" s="24"/>
      <c r="MA410">
        <v>98396</v>
      </c>
      <c r="MB410">
        <v>98396</v>
      </c>
      <c r="MC410">
        <v>98396</v>
      </c>
      <c r="MD410">
        <v>1067173</v>
      </c>
      <c r="ME410">
        <v>73</v>
      </c>
    </row>
    <row r="411" spans="2:343" x14ac:dyDescent="0.25">
      <c r="B411" s="24"/>
      <c r="C411">
        <v>3</v>
      </c>
      <c r="D411">
        <v>4</v>
      </c>
      <c r="E411">
        <v>3</v>
      </c>
      <c r="F411">
        <v>25317804087</v>
      </c>
      <c r="G411">
        <v>3043</v>
      </c>
      <c r="I411" s="24"/>
      <c r="J411">
        <v>4</v>
      </c>
      <c r="K411">
        <v>5</v>
      </c>
      <c r="L411">
        <v>4</v>
      </c>
      <c r="M411">
        <v>4693637797</v>
      </c>
      <c r="N411">
        <v>2242</v>
      </c>
      <c r="P411" s="24"/>
      <c r="Q411">
        <v>48</v>
      </c>
      <c r="R411">
        <v>48</v>
      </c>
      <c r="S411">
        <v>48</v>
      </c>
      <c r="T411">
        <v>1663414946</v>
      </c>
      <c r="U411">
        <v>1985</v>
      </c>
      <c r="W411" s="24"/>
      <c r="X411">
        <v>62</v>
      </c>
      <c r="Y411">
        <v>64</v>
      </c>
      <c r="Z411">
        <v>64</v>
      </c>
      <c r="AA411">
        <v>321764093</v>
      </c>
      <c r="AB411">
        <v>1554</v>
      </c>
      <c r="AD411" s="24"/>
      <c r="AE411">
        <v>469</v>
      </c>
      <c r="AF411">
        <v>477</v>
      </c>
      <c r="AG411">
        <v>473</v>
      </c>
      <c r="AH411">
        <v>133688950</v>
      </c>
      <c r="AI411">
        <v>1641</v>
      </c>
      <c r="AK411" s="24"/>
      <c r="AL411">
        <v>707</v>
      </c>
      <c r="AM411">
        <v>732</v>
      </c>
      <c r="AN411">
        <v>710</v>
      </c>
      <c r="AO411">
        <v>77992055</v>
      </c>
      <c r="AP411">
        <v>1603</v>
      </c>
      <c r="AR411" s="24"/>
      <c r="AS411">
        <v>2596</v>
      </c>
      <c r="AT411">
        <v>2678</v>
      </c>
      <c r="AU411">
        <v>2661</v>
      </c>
      <c r="AV411">
        <v>18390506</v>
      </c>
      <c r="AW411">
        <v>1390</v>
      </c>
      <c r="AY411" s="24"/>
      <c r="AZ411">
        <v>469000001</v>
      </c>
      <c r="BA411">
        <v>477300000</v>
      </c>
      <c r="BB411">
        <v>474999939</v>
      </c>
      <c r="BC411">
        <v>3005</v>
      </c>
      <c r="BD411">
        <v>2029</v>
      </c>
      <c r="BF411" s="24"/>
      <c r="BG411">
        <v>27909</v>
      </c>
      <c r="BH411">
        <v>28486</v>
      </c>
      <c r="BI411">
        <v>28000</v>
      </c>
      <c r="BJ411">
        <v>4242718</v>
      </c>
      <c r="BK411">
        <v>268</v>
      </c>
      <c r="BM411" s="24"/>
      <c r="BN411">
        <v>7609964</v>
      </c>
      <c r="BO411">
        <v>7708964</v>
      </c>
      <c r="BP411">
        <v>7609996</v>
      </c>
      <c r="BQ411">
        <v>10630</v>
      </c>
      <c r="BR411">
        <v>398</v>
      </c>
      <c r="BT411" s="24"/>
      <c r="BU411">
        <v>2500</v>
      </c>
      <c r="BV411">
        <v>2583</v>
      </c>
      <c r="BW411">
        <v>2582</v>
      </c>
      <c r="BX411">
        <v>33388019</v>
      </c>
      <c r="BY411">
        <v>334</v>
      </c>
      <c r="CA411" s="24"/>
      <c r="CB411">
        <v>1007</v>
      </c>
      <c r="CC411">
        <v>1061</v>
      </c>
      <c r="CD411">
        <v>1041</v>
      </c>
      <c r="CE411">
        <v>56868786</v>
      </c>
      <c r="CF411">
        <v>391</v>
      </c>
      <c r="CH411" s="24"/>
      <c r="CI411">
        <v>31801</v>
      </c>
      <c r="CJ411">
        <v>32300</v>
      </c>
      <c r="CK411">
        <v>32300</v>
      </c>
      <c r="CL411">
        <v>1695723</v>
      </c>
      <c r="CM411">
        <v>195</v>
      </c>
      <c r="CO411" s="24"/>
      <c r="CP411">
        <v>10210</v>
      </c>
      <c r="CQ411">
        <v>10493</v>
      </c>
      <c r="CR411">
        <v>10227</v>
      </c>
      <c r="CS411">
        <v>1755228</v>
      </c>
      <c r="CT411">
        <v>444</v>
      </c>
      <c r="CV411" s="24"/>
      <c r="CW411">
        <v>1321988</v>
      </c>
      <c r="CX411">
        <v>1388999</v>
      </c>
      <c r="CY411">
        <v>1342897</v>
      </c>
      <c r="CZ411">
        <v>28888</v>
      </c>
      <c r="DA411">
        <v>73</v>
      </c>
      <c r="DC411" s="24"/>
      <c r="DD411">
        <v>590</v>
      </c>
      <c r="DE411">
        <v>595</v>
      </c>
      <c r="DF411">
        <v>594</v>
      </c>
      <c r="DG411">
        <v>45701767</v>
      </c>
      <c r="DH411">
        <v>260</v>
      </c>
      <c r="DJ411" s="24"/>
      <c r="DK411">
        <v>21500090</v>
      </c>
      <c r="DL411">
        <v>22449999</v>
      </c>
      <c r="DM411">
        <v>21500100</v>
      </c>
      <c r="DN411">
        <v>1087</v>
      </c>
      <c r="DO411">
        <v>141</v>
      </c>
      <c r="DQ411" s="24"/>
      <c r="DR411">
        <v>3207085</v>
      </c>
      <c r="DS411">
        <v>3498999</v>
      </c>
      <c r="DT411">
        <v>3450000</v>
      </c>
      <c r="DU411">
        <v>8532</v>
      </c>
      <c r="DV411">
        <v>325</v>
      </c>
      <c r="DX411" s="24"/>
      <c r="DY411">
        <v>17506126</v>
      </c>
      <c r="DZ411">
        <v>18199025</v>
      </c>
      <c r="EA411">
        <v>18006106</v>
      </c>
      <c r="EB411">
        <v>1409</v>
      </c>
      <c r="EC411">
        <v>181</v>
      </c>
      <c r="EE411" s="24"/>
      <c r="EF411">
        <v>255</v>
      </c>
      <c r="EG411">
        <v>264</v>
      </c>
      <c r="EH411">
        <v>264</v>
      </c>
      <c r="EI411">
        <v>105778831</v>
      </c>
      <c r="EJ411">
        <v>254</v>
      </c>
      <c r="EL411" s="24"/>
      <c r="EM411">
        <v>80213</v>
      </c>
      <c r="EN411">
        <v>82000</v>
      </c>
      <c r="EO411">
        <v>80227</v>
      </c>
      <c r="EP411">
        <v>146386</v>
      </c>
      <c r="EQ411">
        <v>789</v>
      </c>
      <c r="ES411" s="24"/>
      <c r="ET411">
        <v>451</v>
      </c>
      <c r="EU411">
        <v>469</v>
      </c>
      <c r="EV411">
        <v>455</v>
      </c>
      <c r="EW411">
        <v>72186758</v>
      </c>
      <c r="EX411">
        <v>949</v>
      </c>
      <c r="EZ411" s="24"/>
      <c r="FA411">
        <v>3662209</v>
      </c>
      <c r="FB411">
        <v>3749000</v>
      </c>
      <c r="FC411">
        <v>3748998</v>
      </c>
      <c r="FD411">
        <v>1652</v>
      </c>
      <c r="FE411">
        <v>28</v>
      </c>
      <c r="FG411" s="24"/>
      <c r="FH411">
        <v>7702</v>
      </c>
      <c r="FI411">
        <v>7994</v>
      </c>
      <c r="FJ411">
        <v>7850</v>
      </c>
      <c r="FK411">
        <v>2197090</v>
      </c>
      <c r="FL411">
        <v>531</v>
      </c>
      <c r="FN411" s="24"/>
      <c r="FO411">
        <v>22001</v>
      </c>
      <c r="FP411">
        <v>23441</v>
      </c>
      <c r="FQ411">
        <v>23418</v>
      </c>
      <c r="FR411">
        <v>230665</v>
      </c>
      <c r="FS411">
        <v>117</v>
      </c>
      <c r="FU411" s="24"/>
      <c r="FV411">
        <v>15157</v>
      </c>
      <c r="FW411">
        <v>15206</v>
      </c>
      <c r="FX411">
        <v>15202</v>
      </c>
      <c r="FY411">
        <v>554672</v>
      </c>
      <c r="FZ411">
        <v>1358</v>
      </c>
      <c r="GB411" s="24"/>
      <c r="GC411">
        <v>94000102</v>
      </c>
      <c r="GD411">
        <v>99000000</v>
      </c>
      <c r="GE411">
        <v>98089999</v>
      </c>
      <c r="GF411">
        <v>114</v>
      </c>
      <c r="GG411">
        <v>84</v>
      </c>
      <c r="GI411" s="24"/>
      <c r="GJ411">
        <v>20501575</v>
      </c>
      <c r="GK411">
        <v>22478999</v>
      </c>
      <c r="GL411">
        <v>22478574</v>
      </c>
      <c r="GM411">
        <v>726</v>
      </c>
      <c r="GN411">
        <v>113</v>
      </c>
      <c r="GP411" s="24"/>
      <c r="GQ411">
        <v>114</v>
      </c>
      <c r="GR411">
        <v>126</v>
      </c>
      <c r="GS411">
        <v>117</v>
      </c>
      <c r="GT411">
        <v>143613874</v>
      </c>
      <c r="GU411">
        <v>141</v>
      </c>
      <c r="GW411" s="24"/>
      <c r="GX411">
        <v>491</v>
      </c>
      <c r="GY411">
        <v>508</v>
      </c>
      <c r="GZ411">
        <v>505</v>
      </c>
      <c r="HA411">
        <v>79056771</v>
      </c>
      <c r="HB411">
        <v>314</v>
      </c>
      <c r="HD411" s="24"/>
      <c r="HE411">
        <v>5951</v>
      </c>
      <c r="HF411">
        <v>6099</v>
      </c>
      <c r="HG411">
        <v>6098</v>
      </c>
      <c r="HH411">
        <v>17924519</v>
      </c>
      <c r="HI411">
        <v>343</v>
      </c>
      <c r="HK411" s="24"/>
      <c r="HL411">
        <v>94507000</v>
      </c>
      <c r="HM411">
        <v>96999999</v>
      </c>
      <c r="HN411">
        <v>96999000</v>
      </c>
      <c r="HO411">
        <v>164</v>
      </c>
      <c r="HP411">
        <v>107</v>
      </c>
      <c r="HR411" s="24"/>
      <c r="HS411">
        <v>9891</v>
      </c>
      <c r="HT411">
        <v>10277</v>
      </c>
      <c r="HU411">
        <v>10199</v>
      </c>
      <c r="HV411">
        <v>1343809</v>
      </c>
      <c r="HW411">
        <v>238</v>
      </c>
      <c r="HY411" s="24"/>
      <c r="HZ411">
        <v>9450</v>
      </c>
      <c r="IA411">
        <v>9595</v>
      </c>
      <c r="IB411">
        <v>9500</v>
      </c>
      <c r="IC411">
        <v>3064028</v>
      </c>
      <c r="ID411">
        <v>591</v>
      </c>
      <c r="IF411" s="24"/>
      <c r="IG411">
        <v>3579</v>
      </c>
      <c r="IH411">
        <v>3693</v>
      </c>
      <c r="II411">
        <v>3588</v>
      </c>
      <c r="IJ411">
        <v>3393120</v>
      </c>
      <c r="IK411">
        <v>208</v>
      </c>
      <c r="IM411" s="24"/>
      <c r="IN411">
        <v>93947496</v>
      </c>
      <c r="IO411">
        <v>97002999</v>
      </c>
      <c r="IP411">
        <v>96254927</v>
      </c>
      <c r="IQ411">
        <v>99</v>
      </c>
      <c r="IR411">
        <v>82</v>
      </c>
      <c r="IT411" s="24"/>
      <c r="IU411">
        <v>9600</v>
      </c>
      <c r="IV411">
        <v>9848</v>
      </c>
      <c r="IW411">
        <v>9847</v>
      </c>
      <c r="IX411">
        <v>1145597</v>
      </c>
      <c r="IY411">
        <v>192</v>
      </c>
      <c r="JA411" s="24"/>
      <c r="JB411">
        <v>93033000</v>
      </c>
      <c r="JC411">
        <v>96899999</v>
      </c>
      <c r="JD411">
        <v>95998999</v>
      </c>
      <c r="JE411">
        <v>152</v>
      </c>
      <c r="JF411">
        <v>104</v>
      </c>
      <c r="JH411" s="24"/>
      <c r="JI411">
        <v>94999996</v>
      </c>
      <c r="JJ411">
        <v>99999997</v>
      </c>
      <c r="JK411">
        <v>95089724</v>
      </c>
      <c r="JL411">
        <v>73</v>
      </c>
      <c r="JM411">
        <v>49</v>
      </c>
      <c r="JO411" s="24"/>
      <c r="JP411">
        <v>89</v>
      </c>
      <c r="JQ411">
        <v>92</v>
      </c>
      <c r="JR411">
        <v>92</v>
      </c>
      <c r="JS411">
        <v>114937376</v>
      </c>
      <c r="JT411">
        <v>117</v>
      </c>
      <c r="JV411" s="24"/>
      <c r="JW411">
        <v>91</v>
      </c>
      <c r="JX411">
        <v>92</v>
      </c>
      <c r="JY411">
        <v>91</v>
      </c>
      <c r="JZ411">
        <v>232085504</v>
      </c>
      <c r="KA411">
        <v>160</v>
      </c>
      <c r="KC411" s="24"/>
      <c r="KD411">
        <v>104</v>
      </c>
      <c r="KE411">
        <v>113</v>
      </c>
      <c r="KF411">
        <v>106</v>
      </c>
      <c r="KG411">
        <v>70035035</v>
      </c>
      <c r="KH411">
        <v>459</v>
      </c>
      <c r="KJ411" s="24"/>
      <c r="KK411">
        <v>112</v>
      </c>
      <c r="KL411">
        <v>117</v>
      </c>
      <c r="KM411">
        <v>112</v>
      </c>
      <c r="KN411">
        <v>172056544</v>
      </c>
      <c r="KO411">
        <v>186</v>
      </c>
      <c r="KQ411" s="24"/>
      <c r="KR411">
        <v>125007</v>
      </c>
      <c r="KS411">
        <v>125010</v>
      </c>
      <c r="KT411">
        <v>125007</v>
      </c>
      <c r="KU411">
        <v>81546</v>
      </c>
      <c r="KV411">
        <v>657</v>
      </c>
      <c r="KX411" s="24"/>
      <c r="KY411">
        <v>750</v>
      </c>
      <c r="KZ411">
        <v>762</v>
      </c>
      <c r="LA411">
        <v>761</v>
      </c>
      <c r="LB411">
        <v>7355597</v>
      </c>
      <c r="LC411">
        <v>264</v>
      </c>
      <c r="LE411" s="24"/>
      <c r="LF411">
        <v>179520</v>
      </c>
      <c r="LG411">
        <v>180003</v>
      </c>
      <c r="LH411">
        <v>180000</v>
      </c>
      <c r="LI411">
        <v>148542</v>
      </c>
      <c r="LJ411">
        <v>965</v>
      </c>
      <c r="LL411" s="24"/>
      <c r="LM411">
        <v>67994</v>
      </c>
      <c r="LN411">
        <v>70017</v>
      </c>
      <c r="LO411">
        <v>70016</v>
      </c>
      <c r="LP411">
        <v>548052</v>
      </c>
      <c r="LQ411">
        <v>1408</v>
      </c>
      <c r="LS411" s="24"/>
      <c r="LT411">
        <v>499</v>
      </c>
      <c r="LU411">
        <v>503</v>
      </c>
      <c r="LV411">
        <v>502</v>
      </c>
      <c r="LW411">
        <v>129995053</v>
      </c>
      <c r="LX411">
        <v>504</v>
      </c>
      <c r="LZ411" s="24"/>
      <c r="MA411">
        <v>98932</v>
      </c>
      <c r="MB411">
        <v>102876</v>
      </c>
      <c r="MC411">
        <v>102500</v>
      </c>
      <c r="MD411">
        <v>1058931</v>
      </c>
      <c r="ME411">
        <v>105</v>
      </c>
    </row>
    <row r="412" spans="2:343" x14ac:dyDescent="0.25">
      <c r="B412" s="24"/>
      <c r="C412">
        <v>3</v>
      </c>
      <c r="D412">
        <v>3</v>
      </c>
      <c r="E412">
        <v>3</v>
      </c>
      <c r="F412">
        <v>21707020498</v>
      </c>
      <c r="G412">
        <v>3129</v>
      </c>
      <c r="I412" s="24"/>
      <c r="J412">
        <v>4</v>
      </c>
      <c r="K412">
        <v>4</v>
      </c>
      <c r="L412">
        <v>4</v>
      </c>
      <c r="M412">
        <v>6915383549</v>
      </c>
      <c r="N412">
        <v>2263</v>
      </c>
      <c r="P412" s="24"/>
      <c r="Q412">
        <v>47</v>
      </c>
      <c r="R412">
        <v>48</v>
      </c>
      <c r="S412">
        <v>48</v>
      </c>
      <c r="T412">
        <v>1492511024</v>
      </c>
      <c r="U412">
        <v>2130</v>
      </c>
      <c r="W412" s="24"/>
      <c r="X412">
        <v>63</v>
      </c>
      <c r="Y412">
        <v>64</v>
      </c>
      <c r="Z412">
        <v>64</v>
      </c>
      <c r="AA412">
        <v>389109484</v>
      </c>
      <c r="AB412">
        <v>1793</v>
      </c>
      <c r="AD412" s="24"/>
      <c r="AE412">
        <v>464</v>
      </c>
      <c r="AF412">
        <v>473</v>
      </c>
      <c r="AG412">
        <v>472</v>
      </c>
      <c r="AH412">
        <v>89093396</v>
      </c>
      <c r="AI412">
        <v>1785</v>
      </c>
      <c r="AK412" s="24"/>
      <c r="AL412">
        <v>714</v>
      </c>
      <c r="AM412">
        <v>714</v>
      </c>
      <c r="AN412">
        <v>714</v>
      </c>
      <c r="AO412">
        <v>79561384</v>
      </c>
      <c r="AP412">
        <v>1467</v>
      </c>
      <c r="AR412" s="24"/>
      <c r="AS412">
        <v>2590</v>
      </c>
      <c r="AT412">
        <v>2668</v>
      </c>
      <c r="AU412">
        <v>2602</v>
      </c>
      <c r="AV412">
        <v>16185044</v>
      </c>
      <c r="AW412">
        <v>1466</v>
      </c>
      <c r="AY412" s="24"/>
      <c r="AZ412">
        <v>470014000</v>
      </c>
      <c r="BA412">
        <v>479684000</v>
      </c>
      <c r="BB412">
        <v>475261000</v>
      </c>
      <c r="BC412">
        <v>2973</v>
      </c>
      <c r="BD412">
        <v>2000</v>
      </c>
      <c r="BF412" s="24"/>
      <c r="BG412">
        <v>27912</v>
      </c>
      <c r="BH412">
        <v>27912</v>
      </c>
      <c r="BI412">
        <v>27912</v>
      </c>
      <c r="BJ412">
        <v>2691351</v>
      </c>
      <c r="BK412">
        <v>295</v>
      </c>
      <c r="BM412" s="24"/>
      <c r="BN412">
        <v>7650028</v>
      </c>
      <c r="BO412">
        <v>7850000</v>
      </c>
      <c r="BP412">
        <v>7653035</v>
      </c>
      <c r="BQ412">
        <v>17213</v>
      </c>
      <c r="BR412">
        <v>431</v>
      </c>
      <c r="BT412" s="24"/>
      <c r="BU412">
        <v>2573</v>
      </c>
      <c r="BV412">
        <v>2581</v>
      </c>
      <c r="BW412">
        <v>2574</v>
      </c>
      <c r="BX412">
        <v>25678197</v>
      </c>
      <c r="BY412">
        <v>260</v>
      </c>
      <c r="CA412" s="24"/>
      <c r="CB412">
        <v>1019</v>
      </c>
      <c r="CC412">
        <v>1035</v>
      </c>
      <c r="CD412">
        <v>1028</v>
      </c>
      <c r="CE412">
        <v>59574813</v>
      </c>
      <c r="CF412">
        <v>363</v>
      </c>
      <c r="CH412" s="24"/>
      <c r="CI412">
        <v>31805</v>
      </c>
      <c r="CJ412">
        <v>32205</v>
      </c>
      <c r="CK412">
        <v>31806</v>
      </c>
      <c r="CL412">
        <v>1016282</v>
      </c>
      <c r="CM412">
        <v>193</v>
      </c>
      <c r="CO412" s="24"/>
      <c r="CP412">
        <v>10238</v>
      </c>
      <c r="CQ412">
        <v>10399</v>
      </c>
      <c r="CR412">
        <v>10362</v>
      </c>
      <c r="CS412">
        <v>1380825</v>
      </c>
      <c r="CT412">
        <v>437</v>
      </c>
      <c r="CV412" s="24"/>
      <c r="CW412">
        <v>1308003</v>
      </c>
      <c r="CX412">
        <v>1720000</v>
      </c>
      <c r="CY412">
        <v>1400000</v>
      </c>
      <c r="CZ412">
        <v>4242</v>
      </c>
      <c r="DA412">
        <v>24</v>
      </c>
      <c r="DC412" s="24"/>
      <c r="DD412">
        <v>606</v>
      </c>
      <c r="DE412">
        <v>638</v>
      </c>
      <c r="DF412">
        <v>636</v>
      </c>
      <c r="DG412">
        <v>42914305</v>
      </c>
      <c r="DH412">
        <v>266</v>
      </c>
      <c r="DJ412" s="24"/>
      <c r="DK412">
        <v>21500132</v>
      </c>
      <c r="DL412">
        <v>22500000</v>
      </c>
      <c r="DM412">
        <v>21556061</v>
      </c>
      <c r="DN412">
        <v>749</v>
      </c>
      <c r="DO412">
        <v>156</v>
      </c>
      <c r="DQ412" s="24"/>
      <c r="DR412">
        <v>3770016</v>
      </c>
      <c r="DS412">
        <v>3900000</v>
      </c>
      <c r="DT412">
        <v>3770070</v>
      </c>
      <c r="DU412">
        <v>7453</v>
      </c>
      <c r="DV412">
        <v>352</v>
      </c>
      <c r="DX412" s="24"/>
      <c r="DY412">
        <v>17600009</v>
      </c>
      <c r="DZ412">
        <v>18137999</v>
      </c>
      <c r="EA412">
        <v>17600020</v>
      </c>
      <c r="EB412">
        <v>1160</v>
      </c>
      <c r="EC412">
        <v>160</v>
      </c>
      <c r="EE412" s="24"/>
      <c r="EF412">
        <v>253</v>
      </c>
      <c r="EG412">
        <v>256</v>
      </c>
      <c r="EH412">
        <v>255</v>
      </c>
      <c r="EI412">
        <v>115366141</v>
      </c>
      <c r="EJ412">
        <v>210</v>
      </c>
      <c r="EL412" s="24"/>
      <c r="EM412">
        <v>79000</v>
      </c>
      <c r="EN412">
        <v>80227</v>
      </c>
      <c r="EO412">
        <v>80225</v>
      </c>
      <c r="EP412">
        <v>119896</v>
      </c>
      <c r="EQ412">
        <v>877</v>
      </c>
      <c r="ES412" s="24"/>
      <c r="ET412">
        <v>440</v>
      </c>
      <c r="EU412">
        <v>463</v>
      </c>
      <c r="EV412">
        <v>450</v>
      </c>
      <c r="EW412">
        <v>102043780</v>
      </c>
      <c r="EX412">
        <v>950</v>
      </c>
      <c r="EZ412" s="24"/>
      <c r="FA412">
        <v>3662210</v>
      </c>
      <c r="FB412">
        <v>3662211</v>
      </c>
      <c r="FC412">
        <v>3662210</v>
      </c>
      <c r="FD412">
        <v>2279</v>
      </c>
      <c r="FE412">
        <v>23</v>
      </c>
      <c r="FG412" s="24"/>
      <c r="FH412">
        <v>7400</v>
      </c>
      <c r="FI412">
        <v>7800</v>
      </c>
      <c r="FJ412">
        <v>7769</v>
      </c>
      <c r="FK412">
        <v>2090558</v>
      </c>
      <c r="FL412">
        <v>529</v>
      </c>
      <c r="FN412" s="24"/>
      <c r="FO412">
        <v>22108</v>
      </c>
      <c r="FP412">
        <v>23402</v>
      </c>
      <c r="FQ412">
        <v>23401</v>
      </c>
      <c r="FR412">
        <v>271227</v>
      </c>
      <c r="FS412">
        <v>111</v>
      </c>
      <c r="FU412" s="24"/>
      <c r="FV412">
        <v>14015</v>
      </c>
      <c r="FW412">
        <v>15000</v>
      </c>
      <c r="FX412">
        <v>14020</v>
      </c>
      <c r="FY412">
        <v>520388</v>
      </c>
      <c r="FZ412">
        <v>1458</v>
      </c>
      <c r="GB412" s="24"/>
      <c r="GC412">
        <v>94101119</v>
      </c>
      <c r="GD412">
        <v>97992888</v>
      </c>
      <c r="GE412">
        <v>95000506</v>
      </c>
      <c r="GF412">
        <v>156</v>
      </c>
      <c r="GG412">
        <v>91</v>
      </c>
      <c r="GI412" s="24"/>
      <c r="GJ412">
        <v>20601084</v>
      </c>
      <c r="GK412">
        <v>20700001</v>
      </c>
      <c r="GL412">
        <v>20601086</v>
      </c>
      <c r="GM412">
        <v>648</v>
      </c>
      <c r="GN412">
        <v>94</v>
      </c>
      <c r="GP412" s="24"/>
      <c r="GQ412">
        <v>111</v>
      </c>
      <c r="GR412">
        <v>116</v>
      </c>
      <c r="GS412">
        <v>114</v>
      </c>
      <c r="GT412">
        <v>199828826</v>
      </c>
      <c r="GU412">
        <v>175</v>
      </c>
      <c r="GW412" s="24"/>
      <c r="GX412">
        <v>491</v>
      </c>
      <c r="GY412">
        <v>499</v>
      </c>
      <c r="GZ412">
        <v>499</v>
      </c>
      <c r="HA412">
        <v>73479104</v>
      </c>
      <c r="HB412">
        <v>286</v>
      </c>
      <c r="HD412" s="24"/>
      <c r="HE412">
        <v>5961</v>
      </c>
      <c r="HF412">
        <v>6097</v>
      </c>
      <c r="HG412">
        <v>6096</v>
      </c>
      <c r="HH412">
        <v>18636790</v>
      </c>
      <c r="HI412">
        <v>299</v>
      </c>
      <c r="HK412" s="24"/>
      <c r="HL412">
        <v>95000000</v>
      </c>
      <c r="HM412">
        <v>98000000</v>
      </c>
      <c r="HN412">
        <v>96998999</v>
      </c>
      <c r="HO412">
        <v>110</v>
      </c>
      <c r="HP412">
        <v>63</v>
      </c>
      <c r="HR412" s="24"/>
      <c r="HS412">
        <v>9879</v>
      </c>
      <c r="HT412">
        <v>10200</v>
      </c>
      <c r="HU412">
        <v>10000</v>
      </c>
      <c r="HV412">
        <v>840588</v>
      </c>
      <c r="HW412">
        <v>180</v>
      </c>
      <c r="HY412" s="24"/>
      <c r="HZ412">
        <v>9253</v>
      </c>
      <c r="IA412">
        <v>9574</v>
      </c>
      <c r="IB412">
        <v>9559</v>
      </c>
      <c r="IC412">
        <v>2232369</v>
      </c>
      <c r="ID412">
        <v>570</v>
      </c>
      <c r="IF412" s="24"/>
      <c r="IG412">
        <v>4000</v>
      </c>
      <c r="IH412">
        <v>4446</v>
      </c>
      <c r="II412">
        <v>4349</v>
      </c>
      <c r="IJ412">
        <v>1243560</v>
      </c>
      <c r="IK412">
        <v>116</v>
      </c>
      <c r="IM412" s="24"/>
      <c r="IN412">
        <v>94302010</v>
      </c>
      <c r="IO412">
        <v>97993991</v>
      </c>
      <c r="IP412">
        <v>95999999</v>
      </c>
      <c r="IQ412">
        <v>207</v>
      </c>
      <c r="IR412">
        <v>100</v>
      </c>
      <c r="IT412" s="24"/>
      <c r="IU412">
        <v>9845</v>
      </c>
      <c r="IV412">
        <v>9846</v>
      </c>
      <c r="IW412">
        <v>9846</v>
      </c>
      <c r="IX412">
        <v>1524364</v>
      </c>
      <c r="IY412">
        <v>187</v>
      </c>
      <c r="JA412" s="24"/>
      <c r="JB412">
        <v>97992998</v>
      </c>
      <c r="JC412">
        <v>103499997</v>
      </c>
      <c r="JD412">
        <v>98900000</v>
      </c>
      <c r="JE412">
        <v>102</v>
      </c>
      <c r="JF412">
        <v>68</v>
      </c>
      <c r="JH412" s="24"/>
      <c r="JI412">
        <v>93506000</v>
      </c>
      <c r="JJ412">
        <v>99999997</v>
      </c>
      <c r="JK412">
        <v>98064788</v>
      </c>
      <c r="JL412">
        <v>48</v>
      </c>
      <c r="JM412">
        <v>41</v>
      </c>
      <c r="JO412" s="24"/>
      <c r="JP412">
        <v>89</v>
      </c>
      <c r="JQ412">
        <v>92</v>
      </c>
      <c r="JR412">
        <v>92</v>
      </c>
      <c r="JS412">
        <v>94192118</v>
      </c>
      <c r="JT412">
        <v>119</v>
      </c>
      <c r="JV412" s="24"/>
      <c r="JW412">
        <v>90</v>
      </c>
      <c r="JX412">
        <v>93</v>
      </c>
      <c r="JY412">
        <v>93</v>
      </c>
      <c r="JZ412">
        <v>155516632</v>
      </c>
      <c r="KA412">
        <v>132</v>
      </c>
      <c r="KC412" s="24"/>
      <c r="KD412">
        <v>102</v>
      </c>
      <c r="KE412">
        <v>109</v>
      </c>
      <c r="KF412">
        <v>104</v>
      </c>
      <c r="KG412">
        <v>106561622</v>
      </c>
      <c r="KH412">
        <v>527</v>
      </c>
      <c r="KJ412" s="24"/>
      <c r="KK412">
        <v>112</v>
      </c>
      <c r="KL412">
        <v>113</v>
      </c>
      <c r="KM412">
        <v>112</v>
      </c>
      <c r="KN412">
        <v>147138647</v>
      </c>
      <c r="KO412">
        <v>152</v>
      </c>
      <c r="KQ412" s="24"/>
      <c r="KR412">
        <v>125013</v>
      </c>
      <c r="KS412">
        <v>125019</v>
      </c>
      <c r="KT412">
        <v>125015</v>
      </c>
      <c r="KU412">
        <v>67514</v>
      </c>
      <c r="KV412">
        <v>781</v>
      </c>
      <c r="KX412" s="24"/>
      <c r="KY412">
        <v>690</v>
      </c>
      <c r="KZ412">
        <v>757</v>
      </c>
      <c r="LA412">
        <v>757</v>
      </c>
      <c r="LB412">
        <v>8514702</v>
      </c>
      <c r="LC412">
        <v>208</v>
      </c>
      <c r="LE412" s="24"/>
      <c r="LF412">
        <v>179751</v>
      </c>
      <c r="LG412">
        <v>180003</v>
      </c>
      <c r="LH412">
        <v>180001</v>
      </c>
      <c r="LI412">
        <v>168582</v>
      </c>
      <c r="LJ412">
        <v>1123</v>
      </c>
      <c r="LL412" s="24"/>
      <c r="LM412">
        <v>68266</v>
      </c>
      <c r="LN412">
        <v>68369</v>
      </c>
      <c r="LO412">
        <v>68355</v>
      </c>
      <c r="LP412">
        <v>481100</v>
      </c>
      <c r="LQ412">
        <v>1531</v>
      </c>
      <c r="LS412" s="24"/>
      <c r="LT412">
        <v>500</v>
      </c>
      <c r="LU412">
        <v>502</v>
      </c>
      <c r="LV412">
        <v>501</v>
      </c>
      <c r="LW412">
        <v>101263468</v>
      </c>
      <c r="LX412">
        <v>499</v>
      </c>
      <c r="LZ412" s="24"/>
      <c r="MA412">
        <v>96708</v>
      </c>
      <c r="MB412">
        <v>101398</v>
      </c>
      <c r="MC412">
        <v>98006</v>
      </c>
      <c r="MD412">
        <v>1000494</v>
      </c>
      <c r="ME412">
        <v>100</v>
      </c>
    </row>
    <row r="413" spans="2:343" x14ac:dyDescent="0.25">
      <c r="B413" s="24"/>
      <c r="C413">
        <v>3</v>
      </c>
      <c r="D413">
        <v>3</v>
      </c>
      <c r="E413">
        <v>3</v>
      </c>
      <c r="F413">
        <v>27926214763</v>
      </c>
      <c r="G413">
        <v>2780</v>
      </c>
      <c r="I413" s="24"/>
      <c r="J413">
        <v>4</v>
      </c>
      <c r="K413">
        <v>4</v>
      </c>
      <c r="L413">
        <v>4</v>
      </c>
      <c r="M413">
        <v>7917122455</v>
      </c>
      <c r="N413">
        <v>2051</v>
      </c>
      <c r="P413" s="24"/>
      <c r="Q413">
        <v>47</v>
      </c>
      <c r="R413">
        <v>48</v>
      </c>
      <c r="S413">
        <v>48</v>
      </c>
      <c r="T413">
        <v>1706191121</v>
      </c>
      <c r="U413">
        <v>1885</v>
      </c>
      <c r="W413" s="24"/>
      <c r="X413">
        <v>63</v>
      </c>
      <c r="Y413">
        <v>65</v>
      </c>
      <c r="Z413">
        <v>64</v>
      </c>
      <c r="AA413">
        <v>463073503</v>
      </c>
      <c r="AB413">
        <v>1607</v>
      </c>
      <c r="AD413" s="24"/>
      <c r="AE413">
        <v>467</v>
      </c>
      <c r="AF413">
        <v>472</v>
      </c>
      <c r="AG413">
        <v>471</v>
      </c>
      <c r="AH413">
        <v>87373147</v>
      </c>
      <c r="AI413">
        <v>1477</v>
      </c>
      <c r="AK413" s="24"/>
      <c r="AL413">
        <v>712</v>
      </c>
      <c r="AM413">
        <v>725</v>
      </c>
      <c r="AN413">
        <v>720</v>
      </c>
      <c r="AO413">
        <v>29254011</v>
      </c>
      <c r="AP413">
        <v>1292</v>
      </c>
      <c r="AR413" s="24"/>
      <c r="AS413">
        <v>2595</v>
      </c>
      <c r="AT413">
        <v>2666</v>
      </c>
      <c r="AU413">
        <v>2665</v>
      </c>
      <c r="AV413">
        <v>15144867</v>
      </c>
      <c r="AW413">
        <v>1259</v>
      </c>
      <c r="AY413" s="24"/>
      <c r="AZ413">
        <v>476510003</v>
      </c>
      <c r="BA413">
        <v>485999998</v>
      </c>
      <c r="BB413">
        <v>481188000</v>
      </c>
      <c r="BC413">
        <v>2631</v>
      </c>
      <c r="BD413">
        <v>1851</v>
      </c>
      <c r="BF413" s="24"/>
      <c r="BG413">
        <v>27210</v>
      </c>
      <c r="BH413">
        <v>27913</v>
      </c>
      <c r="BI413">
        <v>27912</v>
      </c>
      <c r="BJ413">
        <v>7089573</v>
      </c>
      <c r="BK413">
        <v>279</v>
      </c>
      <c r="BM413" s="24"/>
      <c r="BN413">
        <v>7900003</v>
      </c>
      <c r="BO413">
        <v>8000000</v>
      </c>
      <c r="BP413">
        <v>7901009</v>
      </c>
      <c r="BQ413">
        <v>12807</v>
      </c>
      <c r="BR413">
        <v>379</v>
      </c>
      <c r="BT413" s="24"/>
      <c r="BU413">
        <v>2470</v>
      </c>
      <c r="BV413">
        <v>2570</v>
      </c>
      <c r="BW413">
        <v>2508</v>
      </c>
      <c r="BX413">
        <v>25287866</v>
      </c>
      <c r="BY413">
        <v>253</v>
      </c>
      <c r="CA413" s="24"/>
      <c r="CB413">
        <v>1002</v>
      </c>
      <c r="CC413">
        <v>1073</v>
      </c>
      <c r="CD413">
        <v>1067</v>
      </c>
      <c r="CE413">
        <v>61881792</v>
      </c>
      <c r="CF413">
        <v>381</v>
      </c>
      <c r="CH413" s="24"/>
      <c r="CI413">
        <v>31808</v>
      </c>
      <c r="CJ413">
        <v>31808</v>
      </c>
      <c r="CK413">
        <v>31808</v>
      </c>
      <c r="CL413">
        <v>1520351</v>
      </c>
      <c r="CM413">
        <v>164</v>
      </c>
      <c r="CO413" s="24"/>
      <c r="CP413">
        <v>9973</v>
      </c>
      <c r="CQ413">
        <v>10277</v>
      </c>
      <c r="CR413">
        <v>10238</v>
      </c>
      <c r="CS413">
        <v>1196131</v>
      </c>
      <c r="CT413">
        <v>422</v>
      </c>
      <c r="CV413" s="24"/>
      <c r="CW413">
        <v>1378004</v>
      </c>
      <c r="CX413">
        <v>1399998</v>
      </c>
      <c r="CY413">
        <v>1381003</v>
      </c>
      <c r="CZ413">
        <v>10211</v>
      </c>
      <c r="DA413">
        <v>42</v>
      </c>
      <c r="DC413" s="24"/>
      <c r="DD413">
        <v>607</v>
      </c>
      <c r="DE413">
        <v>637</v>
      </c>
      <c r="DF413">
        <v>633</v>
      </c>
      <c r="DG413">
        <v>38157033</v>
      </c>
      <c r="DH413">
        <v>202</v>
      </c>
      <c r="DJ413" s="24"/>
      <c r="DK413">
        <v>21756508</v>
      </c>
      <c r="DL413">
        <v>22500000</v>
      </c>
      <c r="DM413">
        <v>22000053</v>
      </c>
      <c r="DN413">
        <v>1016</v>
      </c>
      <c r="DO413">
        <v>150</v>
      </c>
      <c r="DQ413" s="24"/>
      <c r="DR413">
        <v>3782004</v>
      </c>
      <c r="DS413">
        <v>3999998</v>
      </c>
      <c r="DT413">
        <v>3853002</v>
      </c>
      <c r="DU413">
        <v>5812</v>
      </c>
      <c r="DV413">
        <v>280</v>
      </c>
      <c r="DX413" s="24"/>
      <c r="DY413">
        <v>16999999</v>
      </c>
      <c r="DZ413">
        <v>17399000</v>
      </c>
      <c r="EA413">
        <v>17238360</v>
      </c>
      <c r="EB413">
        <v>958</v>
      </c>
      <c r="EC413">
        <v>167</v>
      </c>
      <c r="EE413" s="24"/>
      <c r="EF413">
        <v>245</v>
      </c>
      <c r="EG413">
        <v>256</v>
      </c>
      <c r="EH413">
        <v>252</v>
      </c>
      <c r="EI413">
        <v>84500563</v>
      </c>
      <c r="EJ413">
        <v>166</v>
      </c>
      <c r="EL413" s="24"/>
      <c r="EM413">
        <v>78752</v>
      </c>
      <c r="EN413">
        <v>79500</v>
      </c>
      <c r="EO413">
        <v>78755</v>
      </c>
      <c r="EP413">
        <v>72272</v>
      </c>
      <c r="EQ413">
        <v>650</v>
      </c>
      <c r="ES413" s="24"/>
      <c r="ET413">
        <v>407</v>
      </c>
      <c r="EU413">
        <v>431</v>
      </c>
      <c r="EV413">
        <v>411</v>
      </c>
      <c r="EW413">
        <v>80019180</v>
      </c>
      <c r="EX413">
        <v>955</v>
      </c>
      <c r="EZ413" s="24"/>
      <c r="FA413">
        <v>3663239</v>
      </c>
      <c r="FB413">
        <v>3742210</v>
      </c>
      <c r="FC413">
        <v>3663247</v>
      </c>
      <c r="FD413">
        <v>3476</v>
      </c>
      <c r="FE413">
        <v>29</v>
      </c>
      <c r="FG413" s="24"/>
      <c r="FH413">
        <v>7500</v>
      </c>
      <c r="FI413">
        <v>7740</v>
      </c>
      <c r="FJ413">
        <v>7699</v>
      </c>
      <c r="FK413">
        <v>1760010</v>
      </c>
      <c r="FL413">
        <v>493</v>
      </c>
      <c r="FN413" s="24"/>
      <c r="FO413">
        <v>21010</v>
      </c>
      <c r="FP413">
        <v>23100</v>
      </c>
      <c r="FQ413">
        <v>23099</v>
      </c>
      <c r="FR413">
        <v>280683</v>
      </c>
      <c r="FS413">
        <v>102</v>
      </c>
      <c r="FU413" s="24"/>
      <c r="FV413">
        <v>14056</v>
      </c>
      <c r="FW413">
        <v>14066</v>
      </c>
      <c r="FX413">
        <v>14059</v>
      </c>
      <c r="FY413">
        <v>365490</v>
      </c>
      <c r="FZ413">
        <v>1178</v>
      </c>
      <c r="GB413" s="24"/>
      <c r="GC413">
        <v>94200003</v>
      </c>
      <c r="GD413">
        <v>97992883</v>
      </c>
      <c r="GE413">
        <v>97116486</v>
      </c>
      <c r="GF413">
        <v>73</v>
      </c>
      <c r="GG413">
        <v>65</v>
      </c>
      <c r="GI413" s="24"/>
      <c r="GJ413">
        <v>21002001</v>
      </c>
      <c r="GK413">
        <v>22001007</v>
      </c>
      <c r="GL413">
        <v>21002001</v>
      </c>
      <c r="GM413">
        <v>366</v>
      </c>
      <c r="GN413">
        <v>74</v>
      </c>
      <c r="GP413" s="24"/>
      <c r="GQ413">
        <v>110</v>
      </c>
      <c r="GR413">
        <v>114</v>
      </c>
      <c r="GS413">
        <v>114</v>
      </c>
      <c r="GT413">
        <v>130858066</v>
      </c>
      <c r="GU413">
        <v>133</v>
      </c>
      <c r="GW413" s="24"/>
      <c r="GX413">
        <v>489</v>
      </c>
      <c r="GY413">
        <v>495</v>
      </c>
      <c r="GZ413">
        <v>494</v>
      </c>
      <c r="HA413">
        <v>106042589</v>
      </c>
      <c r="HB413">
        <v>306</v>
      </c>
      <c r="HD413" s="24"/>
      <c r="HE413">
        <v>6127</v>
      </c>
      <c r="HF413">
        <v>6129</v>
      </c>
      <c r="HG413">
        <v>6127</v>
      </c>
      <c r="HH413">
        <v>11681974</v>
      </c>
      <c r="HI413">
        <v>224</v>
      </c>
      <c r="HK413" s="24"/>
      <c r="HL413">
        <v>94225005</v>
      </c>
      <c r="HM413">
        <v>102796999</v>
      </c>
      <c r="HN413">
        <v>101228972</v>
      </c>
      <c r="HO413">
        <v>54</v>
      </c>
      <c r="HP413">
        <v>50</v>
      </c>
      <c r="HR413" s="24"/>
      <c r="HS413">
        <v>10250</v>
      </c>
      <c r="HT413">
        <v>10300</v>
      </c>
      <c r="HU413">
        <v>10250</v>
      </c>
      <c r="HV413">
        <v>1009739</v>
      </c>
      <c r="HW413">
        <v>148</v>
      </c>
      <c r="HY413" s="24"/>
      <c r="HZ413">
        <v>9257</v>
      </c>
      <c r="IA413">
        <v>9568</v>
      </c>
      <c r="IB413">
        <v>9537</v>
      </c>
      <c r="IC413">
        <v>2586277</v>
      </c>
      <c r="ID413">
        <v>549</v>
      </c>
      <c r="IF413" s="24"/>
      <c r="IG413">
        <v>3731</v>
      </c>
      <c r="IH413">
        <v>4199</v>
      </c>
      <c r="II413">
        <v>4197</v>
      </c>
      <c r="IJ413">
        <v>1212441</v>
      </c>
      <c r="IK413">
        <v>142</v>
      </c>
      <c r="IM413" s="24"/>
      <c r="IN413">
        <v>94300000</v>
      </c>
      <c r="IO413">
        <v>96497499</v>
      </c>
      <c r="IP413">
        <v>94500000</v>
      </c>
      <c r="IQ413">
        <v>142</v>
      </c>
      <c r="IR413">
        <v>86</v>
      </c>
      <c r="IT413" s="24"/>
      <c r="IU413">
        <v>9559</v>
      </c>
      <c r="IV413">
        <v>9844</v>
      </c>
      <c r="IW413">
        <v>9842</v>
      </c>
      <c r="IX413">
        <v>1178388</v>
      </c>
      <c r="IY413">
        <v>131</v>
      </c>
      <c r="JA413" s="24"/>
      <c r="JB413">
        <v>95100000</v>
      </c>
      <c r="JC413">
        <v>104374999</v>
      </c>
      <c r="JD413">
        <v>96007125</v>
      </c>
      <c r="JE413">
        <v>138</v>
      </c>
      <c r="JF413">
        <v>101</v>
      </c>
      <c r="JH413" s="24"/>
      <c r="JI413">
        <v>94500000</v>
      </c>
      <c r="JJ413">
        <v>101899996</v>
      </c>
      <c r="JK413">
        <v>100573095</v>
      </c>
      <c r="JL413">
        <v>31</v>
      </c>
      <c r="JM413">
        <v>27</v>
      </c>
      <c r="JO413" s="24"/>
      <c r="JP413">
        <v>89</v>
      </c>
      <c r="JQ413">
        <v>92</v>
      </c>
      <c r="JR413">
        <v>92</v>
      </c>
      <c r="JS413">
        <v>84721255</v>
      </c>
      <c r="JT413">
        <v>74</v>
      </c>
      <c r="JV413" s="24"/>
      <c r="JW413">
        <v>90</v>
      </c>
      <c r="JX413">
        <v>93</v>
      </c>
      <c r="JY413">
        <v>91</v>
      </c>
      <c r="JZ413">
        <v>84050652</v>
      </c>
      <c r="KA413">
        <v>79</v>
      </c>
      <c r="KC413" s="24"/>
      <c r="KD413">
        <v>106</v>
      </c>
      <c r="KE413">
        <v>119</v>
      </c>
      <c r="KF413">
        <v>113</v>
      </c>
      <c r="KG413">
        <v>147685434</v>
      </c>
      <c r="KH413">
        <v>510</v>
      </c>
      <c r="KJ413" s="24"/>
      <c r="KK413">
        <v>109</v>
      </c>
      <c r="KL413">
        <v>112</v>
      </c>
      <c r="KM413">
        <v>109</v>
      </c>
      <c r="KN413">
        <v>133884297</v>
      </c>
      <c r="KO413">
        <v>102</v>
      </c>
      <c r="KQ413" s="24"/>
      <c r="KR413">
        <v>125023</v>
      </c>
      <c r="KS413">
        <v>127999</v>
      </c>
      <c r="KT413">
        <v>127998</v>
      </c>
      <c r="KU413">
        <v>107805</v>
      </c>
      <c r="KV413">
        <v>656</v>
      </c>
      <c r="KX413" s="24"/>
      <c r="KY413">
        <v>757</v>
      </c>
      <c r="KZ413">
        <v>757</v>
      </c>
      <c r="LA413">
        <v>757</v>
      </c>
      <c r="LB413">
        <v>4272723</v>
      </c>
      <c r="LC413">
        <v>155</v>
      </c>
      <c r="LE413" s="24"/>
      <c r="LF413">
        <v>179755</v>
      </c>
      <c r="LG413">
        <v>180003</v>
      </c>
      <c r="LH413">
        <v>180002</v>
      </c>
      <c r="LI413">
        <v>101558</v>
      </c>
      <c r="LJ413">
        <v>837</v>
      </c>
      <c r="LL413" s="24"/>
      <c r="LM413">
        <v>68382</v>
      </c>
      <c r="LN413">
        <v>68410</v>
      </c>
      <c r="LO413">
        <v>68384</v>
      </c>
      <c r="LP413">
        <v>348278</v>
      </c>
      <c r="LQ413">
        <v>1246</v>
      </c>
      <c r="LS413" s="24"/>
      <c r="LT413">
        <v>491</v>
      </c>
      <c r="LU413">
        <v>502</v>
      </c>
      <c r="LV413">
        <v>501</v>
      </c>
      <c r="LW413">
        <v>110939829</v>
      </c>
      <c r="LX413">
        <v>545</v>
      </c>
      <c r="LZ413" s="24"/>
      <c r="MA413">
        <v>101398</v>
      </c>
      <c r="MB413">
        <v>101398</v>
      </c>
      <c r="MC413">
        <v>101398</v>
      </c>
      <c r="MD413">
        <v>972904</v>
      </c>
      <c r="ME413">
        <v>106</v>
      </c>
    </row>
    <row r="414" spans="2:343" x14ac:dyDescent="0.25">
      <c r="B414" s="24"/>
      <c r="C414">
        <v>3</v>
      </c>
      <c r="D414">
        <v>3</v>
      </c>
      <c r="E414">
        <v>3</v>
      </c>
      <c r="F414">
        <v>28081762001</v>
      </c>
      <c r="G414">
        <v>2574</v>
      </c>
      <c r="I414" s="24"/>
      <c r="J414">
        <v>4</v>
      </c>
      <c r="K414">
        <v>4</v>
      </c>
      <c r="L414">
        <v>4</v>
      </c>
      <c r="M414">
        <v>5450957953</v>
      </c>
      <c r="N414">
        <v>1787</v>
      </c>
      <c r="P414" s="24"/>
      <c r="Q414">
        <v>47</v>
      </c>
      <c r="R414">
        <v>48</v>
      </c>
      <c r="S414">
        <v>48</v>
      </c>
      <c r="T414">
        <v>1861938262</v>
      </c>
      <c r="U414">
        <v>1698</v>
      </c>
      <c r="W414" s="24"/>
      <c r="X414">
        <v>63</v>
      </c>
      <c r="Y414">
        <v>63</v>
      </c>
      <c r="Z414">
        <v>63</v>
      </c>
      <c r="AA414">
        <v>226411741</v>
      </c>
      <c r="AB414">
        <v>1353</v>
      </c>
      <c r="AD414" s="24"/>
      <c r="AE414">
        <v>467</v>
      </c>
      <c r="AF414">
        <v>471</v>
      </c>
      <c r="AG414">
        <v>470</v>
      </c>
      <c r="AH414">
        <v>116753278</v>
      </c>
      <c r="AI414">
        <v>1404</v>
      </c>
      <c r="AK414" s="24"/>
      <c r="AL414">
        <v>711</v>
      </c>
      <c r="AM414">
        <v>723</v>
      </c>
      <c r="AN414">
        <v>720</v>
      </c>
      <c r="AO414">
        <v>49972721</v>
      </c>
      <c r="AP414">
        <v>1243</v>
      </c>
      <c r="AR414" s="24"/>
      <c r="AS414">
        <v>2581</v>
      </c>
      <c r="AT414">
        <v>2662</v>
      </c>
      <c r="AU414">
        <v>2600</v>
      </c>
      <c r="AV414">
        <v>19522275</v>
      </c>
      <c r="AW414">
        <v>1264</v>
      </c>
      <c r="AY414" s="24"/>
      <c r="AZ414">
        <v>480501094</v>
      </c>
      <c r="BA414">
        <v>488000000</v>
      </c>
      <c r="BB414">
        <v>487000000</v>
      </c>
      <c r="BC414">
        <v>3331</v>
      </c>
      <c r="BD414">
        <v>2117</v>
      </c>
      <c r="BF414" s="24"/>
      <c r="BG414">
        <v>27012</v>
      </c>
      <c r="BH414">
        <v>27497</v>
      </c>
      <c r="BI414">
        <v>27012</v>
      </c>
      <c r="BJ414">
        <v>2855255</v>
      </c>
      <c r="BK414">
        <v>233</v>
      </c>
      <c r="BM414" s="24"/>
      <c r="BN414">
        <v>8000004</v>
      </c>
      <c r="BO414">
        <v>8150000</v>
      </c>
      <c r="BP414">
        <v>8000008</v>
      </c>
      <c r="BQ414">
        <v>13779</v>
      </c>
      <c r="BR414">
        <v>373</v>
      </c>
      <c r="BT414" s="24"/>
      <c r="BU414">
        <v>2441</v>
      </c>
      <c r="BV414">
        <v>2495</v>
      </c>
      <c r="BW414">
        <v>2494</v>
      </c>
      <c r="BX414">
        <v>24078251</v>
      </c>
      <c r="BY414">
        <v>258</v>
      </c>
      <c r="CA414" s="24"/>
      <c r="CB414">
        <v>1001</v>
      </c>
      <c r="CC414">
        <v>1041</v>
      </c>
      <c r="CD414">
        <v>1030</v>
      </c>
      <c r="CE414">
        <v>44928395</v>
      </c>
      <c r="CF414">
        <v>332</v>
      </c>
      <c r="CH414" s="24"/>
      <c r="CI414">
        <v>31810</v>
      </c>
      <c r="CJ414">
        <v>32228</v>
      </c>
      <c r="CK414">
        <v>32128</v>
      </c>
      <c r="CL414">
        <v>2018766</v>
      </c>
      <c r="CM414">
        <v>197</v>
      </c>
      <c r="CO414" s="24"/>
      <c r="CP414">
        <v>9999</v>
      </c>
      <c r="CQ414">
        <v>10275</v>
      </c>
      <c r="CR414">
        <v>10272</v>
      </c>
      <c r="CS414">
        <v>1202285</v>
      </c>
      <c r="CT414">
        <v>409</v>
      </c>
      <c r="CV414" s="24"/>
      <c r="CW414">
        <v>1350000</v>
      </c>
      <c r="CX414">
        <v>1393988</v>
      </c>
      <c r="CY414">
        <v>1380000</v>
      </c>
      <c r="CZ414">
        <v>12245</v>
      </c>
      <c r="DA414">
        <v>47</v>
      </c>
      <c r="DC414" s="24"/>
      <c r="DD414">
        <v>632</v>
      </c>
      <c r="DE414">
        <v>632</v>
      </c>
      <c r="DF414">
        <v>632</v>
      </c>
      <c r="DG414">
        <v>31348908</v>
      </c>
      <c r="DH414">
        <v>219</v>
      </c>
      <c r="DJ414" s="24"/>
      <c r="DK414">
        <v>22000000</v>
      </c>
      <c r="DL414">
        <v>22999999</v>
      </c>
      <c r="DM414">
        <v>22000009</v>
      </c>
      <c r="DN414">
        <v>1165</v>
      </c>
      <c r="DO414">
        <v>170</v>
      </c>
      <c r="DQ414" s="24"/>
      <c r="DR414">
        <v>3854004</v>
      </c>
      <c r="DS414">
        <v>3998000</v>
      </c>
      <c r="DT414">
        <v>3854062</v>
      </c>
      <c r="DU414">
        <v>5507</v>
      </c>
      <c r="DV414">
        <v>283</v>
      </c>
      <c r="DX414" s="24"/>
      <c r="DY414">
        <v>16628022</v>
      </c>
      <c r="DZ414">
        <v>16630003</v>
      </c>
      <c r="EA414">
        <v>16628025</v>
      </c>
      <c r="EB414">
        <v>898</v>
      </c>
      <c r="EC414">
        <v>150</v>
      </c>
      <c r="EE414" s="24"/>
      <c r="EF414">
        <v>240</v>
      </c>
      <c r="EG414">
        <v>249</v>
      </c>
      <c r="EH414">
        <v>249</v>
      </c>
      <c r="EI414">
        <v>54175937</v>
      </c>
      <c r="EJ414">
        <v>140</v>
      </c>
      <c r="EL414" s="24"/>
      <c r="EM414">
        <v>78901</v>
      </c>
      <c r="EN414">
        <v>80001</v>
      </c>
      <c r="EO414">
        <v>78909</v>
      </c>
      <c r="EP414">
        <v>148946</v>
      </c>
      <c r="EQ414">
        <v>692</v>
      </c>
      <c r="ES414" s="24"/>
      <c r="ET414">
        <v>424</v>
      </c>
      <c r="EU414">
        <v>450</v>
      </c>
      <c r="EV414">
        <v>431</v>
      </c>
      <c r="EW414">
        <v>57079219</v>
      </c>
      <c r="EX414">
        <v>905</v>
      </c>
      <c r="EZ414" s="24"/>
      <c r="FA414">
        <v>3661000</v>
      </c>
      <c r="FB414">
        <v>3742210</v>
      </c>
      <c r="FC414">
        <v>3742208</v>
      </c>
      <c r="FD414">
        <v>3429</v>
      </c>
      <c r="FE414">
        <v>36</v>
      </c>
      <c r="FG414" s="24"/>
      <c r="FH414">
        <v>7406</v>
      </c>
      <c r="FI414">
        <v>7648</v>
      </c>
      <c r="FJ414">
        <v>7639</v>
      </c>
      <c r="FK414">
        <v>1506103</v>
      </c>
      <c r="FL414">
        <v>472</v>
      </c>
      <c r="FN414" s="24"/>
      <c r="FO414">
        <v>20824</v>
      </c>
      <c r="FP414">
        <v>22299</v>
      </c>
      <c r="FQ414">
        <v>22298</v>
      </c>
      <c r="FR414">
        <v>90616</v>
      </c>
      <c r="FS414">
        <v>63</v>
      </c>
      <c r="FU414" s="24"/>
      <c r="FV414">
        <v>14109</v>
      </c>
      <c r="FW414">
        <v>14625</v>
      </c>
      <c r="FX414">
        <v>14469</v>
      </c>
      <c r="FY414">
        <v>707074</v>
      </c>
      <c r="FZ414">
        <v>1194</v>
      </c>
      <c r="GB414" s="24"/>
      <c r="GC414">
        <v>94300000</v>
      </c>
      <c r="GD414">
        <v>97992882</v>
      </c>
      <c r="GE414">
        <v>94400000</v>
      </c>
      <c r="GF414">
        <v>102</v>
      </c>
      <c r="GG414">
        <v>57</v>
      </c>
      <c r="GI414" s="24"/>
      <c r="GJ414">
        <v>21105024</v>
      </c>
      <c r="GK414">
        <v>21888999</v>
      </c>
      <c r="GL414">
        <v>21105025</v>
      </c>
      <c r="GM414">
        <v>446</v>
      </c>
      <c r="GN414">
        <v>85</v>
      </c>
      <c r="GP414" s="24"/>
      <c r="GQ414">
        <v>110</v>
      </c>
      <c r="GR414">
        <v>114</v>
      </c>
      <c r="GS414">
        <v>113</v>
      </c>
      <c r="GT414">
        <v>84779121</v>
      </c>
      <c r="GU414">
        <v>98</v>
      </c>
      <c r="GW414" s="24"/>
      <c r="GX414">
        <v>489</v>
      </c>
      <c r="GY414">
        <v>490</v>
      </c>
      <c r="GZ414">
        <v>490</v>
      </c>
      <c r="HA414">
        <v>50793636</v>
      </c>
      <c r="HB414">
        <v>242</v>
      </c>
      <c r="HD414" s="24"/>
      <c r="HE414">
        <v>5965</v>
      </c>
      <c r="HF414">
        <v>6126</v>
      </c>
      <c r="HG414">
        <v>6000</v>
      </c>
      <c r="HH414">
        <v>13324071</v>
      </c>
      <c r="HI414">
        <v>265</v>
      </c>
      <c r="HK414" s="24"/>
      <c r="HL414">
        <v>94302011</v>
      </c>
      <c r="HM414">
        <v>98302007</v>
      </c>
      <c r="HN414">
        <v>94304000</v>
      </c>
      <c r="HO414">
        <v>157</v>
      </c>
      <c r="HP414">
        <v>93</v>
      </c>
      <c r="HR414" s="24"/>
      <c r="HS414">
        <v>9802</v>
      </c>
      <c r="HT414">
        <v>10624</v>
      </c>
      <c r="HU414">
        <v>10599</v>
      </c>
      <c r="HV414">
        <v>1297794</v>
      </c>
      <c r="HW414">
        <v>220</v>
      </c>
      <c r="HY414" s="24"/>
      <c r="HZ414">
        <v>9257</v>
      </c>
      <c r="IA414">
        <v>9533</v>
      </c>
      <c r="IB414">
        <v>9532</v>
      </c>
      <c r="IC414">
        <v>2156999</v>
      </c>
      <c r="ID414">
        <v>471</v>
      </c>
      <c r="IF414" s="24"/>
      <c r="IG414">
        <v>3850</v>
      </c>
      <c r="IH414">
        <v>4128</v>
      </c>
      <c r="II414">
        <v>3854</v>
      </c>
      <c r="IJ414">
        <v>2200213</v>
      </c>
      <c r="IK414">
        <v>146</v>
      </c>
      <c r="IM414" s="24"/>
      <c r="IN414">
        <v>93000051</v>
      </c>
      <c r="IO414">
        <v>94999995</v>
      </c>
      <c r="IP414">
        <v>94407085</v>
      </c>
      <c r="IQ414">
        <v>56</v>
      </c>
      <c r="IR414">
        <v>44</v>
      </c>
      <c r="IT414" s="24"/>
      <c r="IU414">
        <v>9702</v>
      </c>
      <c r="IV414">
        <v>9839</v>
      </c>
      <c r="IW414">
        <v>9838</v>
      </c>
      <c r="IX414">
        <v>756909</v>
      </c>
      <c r="IY414">
        <v>119</v>
      </c>
      <c r="JA414" s="24"/>
      <c r="JB414">
        <v>95000001</v>
      </c>
      <c r="JC414">
        <v>103090985</v>
      </c>
      <c r="JD414">
        <v>98500538</v>
      </c>
      <c r="JE414">
        <v>76</v>
      </c>
      <c r="JF414">
        <v>59</v>
      </c>
      <c r="JH414" s="24"/>
      <c r="JI414">
        <v>94700000</v>
      </c>
      <c r="JJ414">
        <v>95000000</v>
      </c>
      <c r="JK414">
        <v>94700001</v>
      </c>
      <c r="JL414">
        <v>119</v>
      </c>
      <c r="JM414">
        <v>65</v>
      </c>
      <c r="JO414" s="24"/>
      <c r="JP414">
        <v>89</v>
      </c>
      <c r="JQ414">
        <v>92</v>
      </c>
      <c r="JR414">
        <v>92</v>
      </c>
      <c r="JS414">
        <v>74692979</v>
      </c>
      <c r="JT414">
        <v>84</v>
      </c>
      <c r="JV414" s="24"/>
      <c r="JW414">
        <v>90</v>
      </c>
      <c r="JX414">
        <v>93</v>
      </c>
      <c r="JY414">
        <v>92</v>
      </c>
      <c r="JZ414">
        <v>36113487</v>
      </c>
      <c r="KA414">
        <v>70</v>
      </c>
      <c r="KC414" s="24"/>
      <c r="KD414">
        <v>128</v>
      </c>
      <c r="KE414">
        <v>136</v>
      </c>
      <c r="KF414">
        <v>134</v>
      </c>
      <c r="KG414">
        <v>48156156</v>
      </c>
      <c r="KH414">
        <v>445</v>
      </c>
      <c r="KJ414" s="24"/>
      <c r="KK414">
        <v>105</v>
      </c>
      <c r="KL414">
        <v>107</v>
      </c>
      <c r="KM414">
        <v>107</v>
      </c>
      <c r="KN414">
        <v>52302314</v>
      </c>
      <c r="KO414">
        <v>86</v>
      </c>
      <c r="KQ414" s="24"/>
      <c r="KR414">
        <v>125042</v>
      </c>
      <c r="KS414">
        <v>128449</v>
      </c>
      <c r="KT414">
        <v>125076</v>
      </c>
      <c r="KU414">
        <v>117463</v>
      </c>
      <c r="KV414">
        <v>586</v>
      </c>
      <c r="KX414" s="24"/>
      <c r="KY414">
        <v>738</v>
      </c>
      <c r="KZ414">
        <v>757</v>
      </c>
      <c r="LA414">
        <v>755</v>
      </c>
      <c r="LB414">
        <v>3850095</v>
      </c>
      <c r="LC414">
        <v>172</v>
      </c>
      <c r="LE414" s="24"/>
      <c r="LF414">
        <v>175133</v>
      </c>
      <c r="LG414">
        <v>175168</v>
      </c>
      <c r="LH414">
        <v>175159</v>
      </c>
      <c r="LI414">
        <v>143572</v>
      </c>
      <c r="LJ414">
        <v>790</v>
      </c>
      <c r="LL414" s="24"/>
      <c r="LM414">
        <v>68615</v>
      </c>
      <c r="LN414">
        <v>68701</v>
      </c>
      <c r="LO414">
        <v>68625</v>
      </c>
      <c r="LP414">
        <v>510667</v>
      </c>
      <c r="LQ414">
        <v>1222</v>
      </c>
      <c r="LS414" s="24"/>
      <c r="LT414">
        <v>499</v>
      </c>
      <c r="LU414">
        <v>503</v>
      </c>
      <c r="LV414">
        <v>503</v>
      </c>
      <c r="LW414">
        <v>90830680</v>
      </c>
      <c r="LX414">
        <v>481</v>
      </c>
      <c r="LZ414" s="24"/>
      <c r="MA414">
        <v>97300</v>
      </c>
      <c r="MB414">
        <v>101393</v>
      </c>
      <c r="MC414">
        <v>97425</v>
      </c>
      <c r="MD414">
        <v>1666474</v>
      </c>
      <c r="ME414">
        <v>112</v>
      </c>
    </row>
    <row r="415" spans="2:343" x14ac:dyDescent="0.25">
      <c r="B415" s="24"/>
      <c r="C415">
        <v>3</v>
      </c>
      <c r="D415">
        <v>3</v>
      </c>
      <c r="E415">
        <v>3</v>
      </c>
      <c r="F415">
        <v>26418755440</v>
      </c>
      <c r="G415">
        <v>2473</v>
      </c>
      <c r="I415" s="24"/>
      <c r="J415">
        <v>4</v>
      </c>
      <c r="K415">
        <v>4</v>
      </c>
      <c r="L415">
        <v>4</v>
      </c>
      <c r="M415">
        <v>5092680422</v>
      </c>
      <c r="N415">
        <v>1689</v>
      </c>
      <c r="P415" s="24"/>
      <c r="Q415">
        <v>47</v>
      </c>
      <c r="R415">
        <v>48</v>
      </c>
      <c r="S415">
        <v>48</v>
      </c>
      <c r="T415">
        <v>1286844035</v>
      </c>
      <c r="U415">
        <v>1563</v>
      </c>
      <c r="W415" s="24"/>
      <c r="X415">
        <v>63</v>
      </c>
      <c r="Y415">
        <v>63</v>
      </c>
      <c r="Z415">
        <v>63</v>
      </c>
      <c r="AA415">
        <v>528225231</v>
      </c>
      <c r="AB415">
        <v>1327</v>
      </c>
      <c r="AD415" s="24"/>
      <c r="AE415">
        <v>473</v>
      </c>
      <c r="AF415">
        <v>488</v>
      </c>
      <c r="AG415">
        <v>487</v>
      </c>
      <c r="AH415">
        <v>110411734</v>
      </c>
      <c r="AI415">
        <v>1410</v>
      </c>
      <c r="AK415" s="24"/>
      <c r="AL415">
        <v>710</v>
      </c>
      <c r="AM415">
        <v>723</v>
      </c>
      <c r="AN415">
        <v>723</v>
      </c>
      <c r="AO415">
        <v>47900351</v>
      </c>
      <c r="AP415">
        <v>1105</v>
      </c>
      <c r="AR415" s="24"/>
      <c r="AS415">
        <v>2571</v>
      </c>
      <c r="AT415">
        <v>2662</v>
      </c>
      <c r="AU415">
        <v>2600</v>
      </c>
      <c r="AV415">
        <v>12899368</v>
      </c>
      <c r="AW415">
        <v>1105</v>
      </c>
      <c r="AY415" s="24"/>
      <c r="AZ415">
        <v>483332355</v>
      </c>
      <c r="BA415">
        <v>493992000</v>
      </c>
      <c r="BB415">
        <v>488114999</v>
      </c>
      <c r="BC415">
        <v>3256</v>
      </c>
      <c r="BD415">
        <v>2020</v>
      </c>
      <c r="BF415" s="24"/>
      <c r="BG415">
        <v>27598</v>
      </c>
      <c r="BH415">
        <v>27698</v>
      </c>
      <c r="BI415">
        <v>27697</v>
      </c>
      <c r="BJ415">
        <v>1720420</v>
      </c>
      <c r="BK415">
        <v>207</v>
      </c>
      <c r="BM415" s="24"/>
      <c r="BN415">
        <v>8100001</v>
      </c>
      <c r="BO415">
        <v>8441002</v>
      </c>
      <c r="BP415">
        <v>8250000</v>
      </c>
      <c r="BQ415">
        <v>11567</v>
      </c>
      <c r="BR415">
        <v>374</v>
      </c>
      <c r="BT415" s="24"/>
      <c r="BU415">
        <v>2489</v>
      </c>
      <c r="BV415">
        <v>2492</v>
      </c>
      <c r="BW415">
        <v>2489</v>
      </c>
      <c r="BX415">
        <v>21059022</v>
      </c>
      <c r="BY415">
        <v>202</v>
      </c>
      <c r="CA415" s="24"/>
      <c r="CB415">
        <v>999</v>
      </c>
      <c r="CC415">
        <v>1020</v>
      </c>
      <c r="CD415">
        <v>1018</v>
      </c>
      <c r="CE415">
        <v>47705277</v>
      </c>
      <c r="CF415">
        <v>317</v>
      </c>
      <c r="CH415" s="24"/>
      <c r="CI415">
        <v>32298</v>
      </c>
      <c r="CJ415">
        <v>32358</v>
      </c>
      <c r="CK415">
        <v>32358</v>
      </c>
      <c r="CL415">
        <v>701634</v>
      </c>
      <c r="CM415">
        <v>182</v>
      </c>
      <c r="CV415" s="24"/>
      <c r="CW415">
        <v>1350000</v>
      </c>
      <c r="CX415">
        <v>1377988</v>
      </c>
      <c r="CY415">
        <v>1375795</v>
      </c>
      <c r="CZ415">
        <v>11340</v>
      </c>
      <c r="DA415">
        <v>46</v>
      </c>
      <c r="DC415" s="24"/>
      <c r="DD415">
        <v>620</v>
      </c>
      <c r="DE415">
        <v>632</v>
      </c>
      <c r="DF415">
        <v>628</v>
      </c>
      <c r="DG415">
        <v>40288796</v>
      </c>
      <c r="DH415">
        <v>227</v>
      </c>
      <c r="DJ415" s="24"/>
      <c r="DK415">
        <v>21500000</v>
      </c>
      <c r="DL415">
        <v>22898999</v>
      </c>
      <c r="DM415">
        <v>21500058</v>
      </c>
      <c r="DN415">
        <v>481</v>
      </c>
      <c r="DO415">
        <v>99</v>
      </c>
      <c r="DQ415" s="24"/>
      <c r="DR415">
        <v>3860028</v>
      </c>
      <c r="DS415">
        <v>4040100</v>
      </c>
      <c r="DT415">
        <v>4000000</v>
      </c>
      <c r="DU415">
        <v>5003</v>
      </c>
      <c r="DV415">
        <v>224</v>
      </c>
      <c r="DX415" s="24"/>
      <c r="DY415">
        <v>16100023</v>
      </c>
      <c r="DZ415">
        <v>16949999</v>
      </c>
      <c r="EA415">
        <v>16599997</v>
      </c>
      <c r="EB415">
        <v>583</v>
      </c>
      <c r="EC415">
        <v>110</v>
      </c>
      <c r="EE415" s="24"/>
      <c r="EF415">
        <v>242</v>
      </c>
      <c r="EG415">
        <v>254</v>
      </c>
      <c r="EH415">
        <v>249</v>
      </c>
      <c r="EI415">
        <v>86718467</v>
      </c>
      <c r="EJ415">
        <v>173</v>
      </c>
      <c r="EL415" s="24"/>
      <c r="EM415">
        <v>76099</v>
      </c>
      <c r="EN415">
        <v>77001</v>
      </c>
      <c r="EO415">
        <v>76100</v>
      </c>
      <c r="EP415">
        <v>74157</v>
      </c>
      <c r="EQ415">
        <v>572</v>
      </c>
      <c r="EZ415" s="24"/>
      <c r="FA415">
        <v>3742202</v>
      </c>
      <c r="FB415">
        <v>3742208</v>
      </c>
      <c r="FC415">
        <v>3742208</v>
      </c>
      <c r="FD415">
        <v>1476</v>
      </c>
      <c r="FE415">
        <v>22</v>
      </c>
      <c r="FN415" s="24"/>
      <c r="FO415">
        <v>22291</v>
      </c>
      <c r="FP415">
        <v>22298</v>
      </c>
      <c r="FQ415">
        <v>22297</v>
      </c>
      <c r="FR415">
        <v>165920</v>
      </c>
      <c r="FS415">
        <v>69</v>
      </c>
      <c r="FU415" s="24"/>
      <c r="FV415">
        <v>15500</v>
      </c>
      <c r="FW415">
        <v>15700</v>
      </c>
      <c r="FX415">
        <v>15503</v>
      </c>
      <c r="FY415">
        <v>479651</v>
      </c>
      <c r="FZ415">
        <v>1090</v>
      </c>
      <c r="GB415" s="24"/>
      <c r="GC415">
        <v>94300004</v>
      </c>
      <c r="GD415">
        <v>102288879</v>
      </c>
      <c r="GE415">
        <v>94300004</v>
      </c>
      <c r="GF415">
        <v>101</v>
      </c>
      <c r="GG415">
        <v>73</v>
      </c>
      <c r="GI415" s="24"/>
      <c r="GJ415">
        <v>21185044</v>
      </c>
      <c r="GK415">
        <v>22250000</v>
      </c>
      <c r="GL415">
        <v>21185070</v>
      </c>
      <c r="GM415">
        <v>291</v>
      </c>
      <c r="GN415">
        <v>61</v>
      </c>
      <c r="GP415" s="24"/>
      <c r="GQ415">
        <v>111</v>
      </c>
      <c r="GR415">
        <v>114</v>
      </c>
      <c r="GS415">
        <v>114</v>
      </c>
      <c r="GT415">
        <v>106007748</v>
      </c>
      <c r="GU415">
        <v>121</v>
      </c>
      <c r="GW415" s="24"/>
      <c r="GX415">
        <v>479</v>
      </c>
      <c r="GY415">
        <v>486</v>
      </c>
      <c r="GZ415">
        <v>484</v>
      </c>
      <c r="HA415">
        <v>89153067</v>
      </c>
      <c r="HB415">
        <v>299</v>
      </c>
      <c r="HD415" s="24"/>
      <c r="HE415">
        <v>5921</v>
      </c>
      <c r="HF415">
        <v>6126</v>
      </c>
      <c r="HG415">
        <v>6099</v>
      </c>
      <c r="HH415">
        <v>17589113</v>
      </c>
      <c r="HI415">
        <v>394</v>
      </c>
      <c r="HK415" s="24"/>
      <c r="HL415">
        <v>89414501</v>
      </c>
      <c r="HM415">
        <v>98302004</v>
      </c>
      <c r="HN415">
        <v>94302000</v>
      </c>
      <c r="HO415">
        <v>115</v>
      </c>
      <c r="HP415">
        <v>87</v>
      </c>
      <c r="HR415" s="24"/>
      <c r="HS415">
        <v>10962</v>
      </c>
      <c r="HT415">
        <v>11394</v>
      </c>
      <c r="HU415">
        <v>11000</v>
      </c>
      <c r="HV415">
        <v>807562</v>
      </c>
      <c r="HW415">
        <v>119</v>
      </c>
      <c r="IF415" s="24"/>
      <c r="IG415">
        <v>3850</v>
      </c>
      <c r="IH415">
        <v>4000</v>
      </c>
      <c r="II415">
        <v>3850</v>
      </c>
      <c r="IJ415">
        <v>2429542</v>
      </c>
      <c r="IK415">
        <v>141</v>
      </c>
      <c r="IM415" s="24"/>
      <c r="IN415">
        <v>92999010</v>
      </c>
      <c r="IO415">
        <v>94998996</v>
      </c>
      <c r="IP415">
        <v>94215575</v>
      </c>
      <c r="IQ415">
        <v>87</v>
      </c>
      <c r="IR415">
        <v>71</v>
      </c>
      <c r="IT415" s="24"/>
      <c r="IU415">
        <v>9559</v>
      </c>
      <c r="IV415">
        <v>9835</v>
      </c>
      <c r="IW415">
        <v>9820</v>
      </c>
      <c r="IX415">
        <v>1337425</v>
      </c>
      <c r="IY415">
        <v>139</v>
      </c>
      <c r="JA415" s="24"/>
      <c r="JB415">
        <v>93033002</v>
      </c>
      <c r="JC415">
        <v>99998998</v>
      </c>
      <c r="JD415">
        <v>97933193</v>
      </c>
      <c r="JE415">
        <v>81</v>
      </c>
      <c r="JF415">
        <v>72</v>
      </c>
      <c r="JH415" s="24"/>
      <c r="JI415">
        <v>93503000</v>
      </c>
      <c r="JJ415">
        <v>98508998</v>
      </c>
      <c r="JK415">
        <v>96422903</v>
      </c>
      <c r="JL415">
        <v>43</v>
      </c>
      <c r="JM415">
        <v>32</v>
      </c>
      <c r="LE415" s="24"/>
      <c r="LF415">
        <v>175777</v>
      </c>
      <c r="LG415">
        <v>177559</v>
      </c>
      <c r="LH415">
        <v>175817</v>
      </c>
      <c r="LI415">
        <v>99095</v>
      </c>
      <c r="LJ415">
        <v>789</v>
      </c>
      <c r="LL415" s="24"/>
      <c r="LM415">
        <v>68633</v>
      </c>
      <c r="LN415">
        <v>68703</v>
      </c>
      <c r="LO415">
        <v>68633</v>
      </c>
      <c r="LP415">
        <v>369878</v>
      </c>
      <c r="LQ415">
        <v>1093</v>
      </c>
      <c r="LS415" s="24"/>
      <c r="LT415">
        <v>496</v>
      </c>
      <c r="LU415">
        <v>503</v>
      </c>
      <c r="LV415">
        <v>502</v>
      </c>
      <c r="LW415">
        <v>70384694</v>
      </c>
      <c r="LX415">
        <v>388</v>
      </c>
      <c r="LZ415" s="24"/>
      <c r="MA415">
        <v>96718</v>
      </c>
      <c r="MB415">
        <v>99999</v>
      </c>
      <c r="MC415">
        <v>96718</v>
      </c>
      <c r="MD415">
        <v>1028228</v>
      </c>
      <c r="ME415">
        <v>103</v>
      </c>
    </row>
    <row r="416" spans="2:343" x14ac:dyDescent="0.25">
      <c r="B416" s="24"/>
      <c r="C416">
        <v>3</v>
      </c>
      <c r="D416">
        <v>3</v>
      </c>
      <c r="E416">
        <v>3</v>
      </c>
      <c r="F416">
        <v>31656583311</v>
      </c>
      <c r="G416">
        <v>2560</v>
      </c>
      <c r="I416" s="24"/>
      <c r="J416">
        <v>4</v>
      </c>
      <c r="K416">
        <v>4</v>
      </c>
      <c r="L416">
        <v>4</v>
      </c>
      <c r="M416">
        <v>4867771234</v>
      </c>
      <c r="N416">
        <v>1738</v>
      </c>
      <c r="P416" s="24"/>
      <c r="Q416">
        <v>48</v>
      </c>
      <c r="R416">
        <v>48</v>
      </c>
      <c r="S416">
        <v>48</v>
      </c>
      <c r="T416">
        <v>1690406810</v>
      </c>
      <c r="U416">
        <v>1700</v>
      </c>
      <c r="W416" s="24"/>
      <c r="X416">
        <v>64</v>
      </c>
      <c r="Y416">
        <v>67</v>
      </c>
      <c r="Z416">
        <v>64</v>
      </c>
      <c r="AA416">
        <v>324287842</v>
      </c>
      <c r="AB416">
        <v>1370</v>
      </c>
      <c r="AD416" s="24"/>
      <c r="AE416">
        <v>472</v>
      </c>
      <c r="AF416">
        <v>487</v>
      </c>
      <c r="AG416">
        <v>475</v>
      </c>
      <c r="AH416">
        <v>136877885</v>
      </c>
      <c r="AI416">
        <v>1515</v>
      </c>
      <c r="AK416" s="24"/>
      <c r="AL416">
        <v>725</v>
      </c>
      <c r="AM416">
        <v>728</v>
      </c>
      <c r="AN416">
        <v>727</v>
      </c>
      <c r="AO416">
        <v>71908307</v>
      </c>
      <c r="AP416">
        <v>1141</v>
      </c>
      <c r="AR416" s="24"/>
      <c r="AS416">
        <v>2582</v>
      </c>
      <c r="AT416">
        <v>2668</v>
      </c>
      <c r="AU416">
        <v>2665</v>
      </c>
      <c r="AV416">
        <v>20304249</v>
      </c>
      <c r="AW416">
        <v>1152</v>
      </c>
      <c r="AY416" s="24"/>
      <c r="AZ416">
        <v>483000002</v>
      </c>
      <c r="BA416">
        <v>490000000</v>
      </c>
      <c r="BB416">
        <v>485500000</v>
      </c>
      <c r="BC416">
        <v>2897</v>
      </c>
      <c r="BD416">
        <v>1849</v>
      </c>
      <c r="BF416" s="24"/>
      <c r="BG416">
        <v>27900</v>
      </c>
      <c r="BH416">
        <v>27900</v>
      </c>
      <c r="BI416">
        <v>27900</v>
      </c>
      <c r="BJ416">
        <v>4600790</v>
      </c>
      <c r="BK416">
        <v>239</v>
      </c>
      <c r="BM416" s="24"/>
      <c r="BN416">
        <v>8300007</v>
      </c>
      <c r="BO416">
        <v>8548998</v>
      </c>
      <c r="BP416">
        <v>8300012</v>
      </c>
      <c r="BQ416">
        <v>9672</v>
      </c>
      <c r="BR416">
        <v>340</v>
      </c>
      <c r="BT416" s="24"/>
      <c r="BU416">
        <v>2412</v>
      </c>
      <c r="BV416">
        <v>2453</v>
      </c>
      <c r="BW416">
        <v>2452</v>
      </c>
      <c r="BX416">
        <v>25736126</v>
      </c>
      <c r="BY416">
        <v>260</v>
      </c>
      <c r="CA416" s="24"/>
      <c r="CB416">
        <v>962</v>
      </c>
      <c r="CC416">
        <v>994</v>
      </c>
      <c r="CD416">
        <v>965</v>
      </c>
      <c r="CE416">
        <v>59243956</v>
      </c>
      <c r="CF416">
        <v>290</v>
      </c>
      <c r="CH416" s="24"/>
      <c r="CI416">
        <v>32700</v>
      </c>
      <c r="CJ416">
        <v>32898</v>
      </c>
      <c r="CK416">
        <v>32798</v>
      </c>
      <c r="CL416">
        <v>1834968</v>
      </c>
      <c r="CM416">
        <v>178</v>
      </c>
      <c r="CV416" s="24"/>
      <c r="CW416">
        <v>1374999</v>
      </c>
      <c r="CX416">
        <v>1374999</v>
      </c>
      <c r="CY416">
        <v>1374999</v>
      </c>
      <c r="CZ416">
        <v>10164</v>
      </c>
      <c r="DA416">
        <v>38</v>
      </c>
      <c r="DC416" s="24"/>
      <c r="DD416">
        <v>617</v>
      </c>
      <c r="DE416">
        <v>628</v>
      </c>
      <c r="DF416">
        <v>628</v>
      </c>
      <c r="DG416">
        <v>52699322</v>
      </c>
      <c r="DH416">
        <v>204</v>
      </c>
      <c r="DJ416" s="24"/>
      <c r="DK416">
        <v>21500063</v>
      </c>
      <c r="DL416">
        <v>22800098</v>
      </c>
      <c r="DM416">
        <v>21500286</v>
      </c>
      <c r="DN416">
        <v>650</v>
      </c>
      <c r="DO416">
        <v>150</v>
      </c>
      <c r="DQ416" s="24"/>
      <c r="DR416">
        <v>3861136</v>
      </c>
      <c r="DS416">
        <v>3861141</v>
      </c>
      <c r="DT416">
        <v>3861139</v>
      </c>
      <c r="DU416">
        <v>9149</v>
      </c>
      <c r="DV416">
        <v>267</v>
      </c>
      <c r="DX416" s="24"/>
      <c r="DY416">
        <v>16100044</v>
      </c>
      <c r="DZ416">
        <v>16949998</v>
      </c>
      <c r="EA416">
        <v>16100059</v>
      </c>
      <c r="EB416">
        <v>787</v>
      </c>
      <c r="EC416">
        <v>113</v>
      </c>
      <c r="EL416" s="24"/>
      <c r="EM416">
        <v>78201</v>
      </c>
      <c r="EN416">
        <v>80001</v>
      </c>
      <c r="EO416">
        <v>80000</v>
      </c>
      <c r="EP416">
        <v>88442</v>
      </c>
      <c r="EQ416">
        <v>611</v>
      </c>
      <c r="EZ416" s="24"/>
      <c r="FA416">
        <v>3718202</v>
      </c>
      <c r="FB416">
        <v>3718202</v>
      </c>
      <c r="FC416">
        <v>3718202</v>
      </c>
      <c r="FD416">
        <v>1162</v>
      </c>
      <c r="FE416">
        <v>10</v>
      </c>
      <c r="FN416" s="24"/>
      <c r="FO416">
        <v>21080</v>
      </c>
      <c r="FP416">
        <v>21082</v>
      </c>
      <c r="FQ416">
        <v>21082</v>
      </c>
      <c r="FR416">
        <v>315716</v>
      </c>
      <c r="FS416">
        <v>83</v>
      </c>
      <c r="FU416" s="24"/>
      <c r="FV416">
        <v>15515</v>
      </c>
      <c r="FW416">
        <v>16098</v>
      </c>
      <c r="FX416">
        <v>15520</v>
      </c>
      <c r="FY416">
        <v>361264</v>
      </c>
      <c r="FZ416">
        <v>1112</v>
      </c>
      <c r="GB416" s="24"/>
      <c r="GC416">
        <v>97000000</v>
      </c>
      <c r="GD416">
        <v>102249999</v>
      </c>
      <c r="GE416">
        <v>100258825</v>
      </c>
      <c r="GF416">
        <v>81</v>
      </c>
      <c r="GG416">
        <v>59</v>
      </c>
      <c r="GI416" s="24"/>
      <c r="GJ416">
        <v>21185048</v>
      </c>
      <c r="GK416">
        <v>21200002</v>
      </c>
      <c r="GL416">
        <v>21185070</v>
      </c>
      <c r="GM416">
        <v>795</v>
      </c>
      <c r="GN416">
        <v>85</v>
      </c>
      <c r="GP416" s="24"/>
      <c r="GQ416">
        <v>113</v>
      </c>
      <c r="GR416">
        <v>122</v>
      </c>
      <c r="GS416">
        <v>122</v>
      </c>
      <c r="GT416">
        <v>95008614</v>
      </c>
      <c r="GU416">
        <v>100</v>
      </c>
      <c r="GW416" s="24"/>
      <c r="GX416">
        <v>486</v>
      </c>
      <c r="GY416">
        <v>487</v>
      </c>
      <c r="GZ416">
        <v>486</v>
      </c>
      <c r="HA416">
        <v>46317981</v>
      </c>
      <c r="HB416">
        <v>224</v>
      </c>
      <c r="HD416" s="24"/>
      <c r="HE416">
        <v>5929</v>
      </c>
      <c r="HF416">
        <v>6391</v>
      </c>
      <c r="HG416">
        <v>6379</v>
      </c>
      <c r="HH416">
        <v>14130246</v>
      </c>
      <c r="HI416">
        <v>197</v>
      </c>
      <c r="HK416" s="24"/>
      <c r="HL416">
        <v>96400000</v>
      </c>
      <c r="HM416">
        <v>100411999</v>
      </c>
      <c r="HN416">
        <v>97909370</v>
      </c>
      <c r="HO416">
        <v>81</v>
      </c>
      <c r="HP416">
        <v>70</v>
      </c>
      <c r="HR416" s="24"/>
      <c r="HS416">
        <v>10039</v>
      </c>
      <c r="HT416">
        <v>11200</v>
      </c>
      <c r="HU416">
        <v>11079</v>
      </c>
      <c r="HV416">
        <v>2058765</v>
      </c>
      <c r="HW416">
        <v>146</v>
      </c>
      <c r="IM416" s="24"/>
      <c r="IN416">
        <v>93003004</v>
      </c>
      <c r="IO416">
        <v>96993999</v>
      </c>
      <c r="IP416">
        <v>94997996</v>
      </c>
      <c r="IQ416">
        <v>121</v>
      </c>
      <c r="IR416">
        <v>78</v>
      </c>
      <c r="IT416" s="24"/>
      <c r="IU416">
        <v>9816</v>
      </c>
      <c r="IV416">
        <v>9820</v>
      </c>
      <c r="IW416">
        <v>9817</v>
      </c>
      <c r="IX416">
        <v>1002253</v>
      </c>
      <c r="IY416">
        <v>102</v>
      </c>
      <c r="JA416" s="24"/>
      <c r="JB416">
        <v>97000000</v>
      </c>
      <c r="JC416">
        <v>103084788</v>
      </c>
      <c r="JD416">
        <v>101609652</v>
      </c>
      <c r="JE416">
        <v>64</v>
      </c>
      <c r="JF416">
        <v>63</v>
      </c>
      <c r="JH416" s="24"/>
      <c r="JI416">
        <v>94000001</v>
      </c>
      <c r="JJ416">
        <v>98508984</v>
      </c>
      <c r="JK416">
        <v>96875375</v>
      </c>
      <c r="JL416">
        <v>44</v>
      </c>
      <c r="JM416">
        <v>36</v>
      </c>
      <c r="LE416" s="24"/>
      <c r="LF416">
        <v>178004</v>
      </c>
      <c r="LG416">
        <v>187996</v>
      </c>
      <c r="LH416">
        <v>178006</v>
      </c>
      <c r="LI416">
        <v>133962</v>
      </c>
      <c r="LJ416">
        <v>822</v>
      </c>
      <c r="LL416" s="24"/>
      <c r="LM416">
        <v>68660</v>
      </c>
      <c r="LN416">
        <v>69988</v>
      </c>
      <c r="LO416">
        <v>68700</v>
      </c>
      <c r="LP416">
        <v>360372</v>
      </c>
      <c r="LQ416">
        <v>1139</v>
      </c>
      <c r="LS416" s="24"/>
      <c r="LT416">
        <v>505</v>
      </c>
      <c r="LU416">
        <v>515</v>
      </c>
      <c r="LV416">
        <v>506</v>
      </c>
      <c r="LW416">
        <v>114348170</v>
      </c>
      <c r="LX416">
        <v>482</v>
      </c>
      <c r="LZ416" s="24"/>
      <c r="MA416">
        <v>99012</v>
      </c>
      <c r="MB416">
        <v>100893</v>
      </c>
      <c r="MC416">
        <v>100893</v>
      </c>
      <c r="MD416">
        <v>1036423</v>
      </c>
      <c r="ME416">
        <v>103</v>
      </c>
    </row>
    <row r="417" spans="2:343" x14ac:dyDescent="0.25">
      <c r="B417" s="24"/>
      <c r="C417">
        <v>3</v>
      </c>
      <c r="D417">
        <v>3</v>
      </c>
      <c r="E417">
        <v>3</v>
      </c>
      <c r="F417">
        <v>28700689060</v>
      </c>
      <c r="G417">
        <v>2661</v>
      </c>
      <c r="I417" s="24"/>
      <c r="J417">
        <v>4</v>
      </c>
      <c r="K417">
        <v>4</v>
      </c>
      <c r="L417">
        <v>4</v>
      </c>
      <c r="M417">
        <v>6745213442</v>
      </c>
      <c r="N417">
        <v>1863</v>
      </c>
      <c r="P417" s="24"/>
      <c r="Q417">
        <v>48</v>
      </c>
      <c r="R417">
        <v>49</v>
      </c>
      <c r="S417">
        <v>49</v>
      </c>
      <c r="T417">
        <v>1722581591</v>
      </c>
      <c r="U417">
        <v>1747</v>
      </c>
      <c r="W417" s="24"/>
      <c r="X417">
        <v>65</v>
      </c>
      <c r="Y417">
        <v>66</v>
      </c>
      <c r="Z417">
        <v>65</v>
      </c>
      <c r="AA417">
        <v>370162304</v>
      </c>
      <c r="AB417">
        <v>1367</v>
      </c>
      <c r="AD417" s="24"/>
      <c r="AE417">
        <v>470</v>
      </c>
      <c r="AF417">
        <v>483</v>
      </c>
      <c r="AG417">
        <v>471</v>
      </c>
      <c r="AH417">
        <v>135395682</v>
      </c>
      <c r="AI417">
        <v>1434</v>
      </c>
      <c r="AK417" s="24"/>
      <c r="AL417">
        <v>712</v>
      </c>
      <c r="AM417">
        <v>730</v>
      </c>
      <c r="AN417">
        <v>729</v>
      </c>
      <c r="AO417">
        <v>61832033</v>
      </c>
      <c r="AP417">
        <v>1181</v>
      </c>
      <c r="AR417" s="24"/>
      <c r="AS417">
        <v>2592</v>
      </c>
      <c r="AT417">
        <v>2654</v>
      </c>
      <c r="AU417">
        <v>2615</v>
      </c>
      <c r="AV417">
        <v>17096598</v>
      </c>
      <c r="AW417">
        <v>1145</v>
      </c>
      <c r="AY417" s="24"/>
      <c r="AZ417">
        <v>480611000</v>
      </c>
      <c r="BA417">
        <v>488700000</v>
      </c>
      <c r="BB417">
        <v>486999000</v>
      </c>
      <c r="BC417">
        <v>2896</v>
      </c>
      <c r="BD417">
        <v>1829</v>
      </c>
      <c r="BF417" s="24"/>
      <c r="BG417">
        <v>27904</v>
      </c>
      <c r="BH417">
        <v>28104</v>
      </c>
      <c r="BI417">
        <v>28005</v>
      </c>
      <c r="BJ417">
        <v>4074291</v>
      </c>
      <c r="BK417">
        <v>231</v>
      </c>
      <c r="BM417" s="24"/>
      <c r="BN417">
        <v>8302001</v>
      </c>
      <c r="BO417">
        <v>8715023</v>
      </c>
      <c r="BP417">
        <v>8500001</v>
      </c>
      <c r="BQ417">
        <v>12334</v>
      </c>
      <c r="BR417">
        <v>388</v>
      </c>
      <c r="BT417" s="24"/>
      <c r="BU417">
        <v>2301</v>
      </c>
      <c r="BV417">
        <v>2446</v>
      </c>
      <c r="BW417">
        <v>2360</v>
      </c>
      <c r="BX417">
        <v>24875108</v>
      </c>
      <c r="BY417">
        <v>224</v>
      </c>
      <c r="CA417" s="24"/>
      <c r="CB417">
        <v>948</v>
      </c>
      <c r="CC417">
        <v>979</v>
      </c>
      <c r="CD417">
        <v>956</v>
      </c>
      <c r="CE417">
        <v>46827460</v>
      </c>
      <c r="CF417">
        <v>346</v>
      </c>
      <c r="CH417" s="24"/>
      <c r="CI417">
        <v>32300</v>
      </c>
      <c r="CJ417">
        <v>32600</v>
      </c>
      <c r="CK417">
        <v>32502</v>
      </c>
      <c r="CL417">
        <v>1232621</v>
      </c>
      <c r="CM417">
        <v>157</v>
      </c>
      <c r="CV417" s="24"/>
      <c r="CW417">
        <v>1377998</v>
      </c>
      <c r="CX417">
        <v>1399999</v>
      </c>
      <c r="CY417">
        <v>1377998</v>
      </c>
      <c r="CZ417">
        <v>10815</v>
      </c>
      <c r="DA417">
        <v>42</v>
      </c>
      <c r="DC417" s="24"/>
      <c r="DD417">
        <v>600</v>
      </c>
      <c r="DE417">
        <v>629</v>
      </c>
      <c r="DF417">
        <v>629</v>
      </c>
      <c r="DG417">
        <v>43237828</v>
      </c>
      <c r="DH417">
        <v>223</v>
      </c>
      <c r="DJ417" s="24"/>
      <c r="DK417">
        <v>21500651</v>
      </c>
      <c r="DL417">
        <v>22699998</v>
      </c>
      <c r="DM417">
        <v>21500700</v>
      </c>
      <c r="DN417">
        <v>451</v>
      </c>
      <c r="DO417">
        <v>117</v>
      </c>
      <c r="DQ417" s="24"/>
      <c r="DR417">
        <v>3783026</v>
      </c>
      <c r="DS417">
        <v>3999799</v>
      </c>
      <c r="DT417">
        <v>3862001</v>
      </c>
      <c r="DU417">
        <v>4598</v>
      </c>
      <c r="DV417">
        <v>228</v>
      </c>
      <c r="DX417" s="24"/>
      <c r="DY417">
        <v>15255001</v>
      </c>
      <c r="DZ417">
        <v>16101005</v>
      </c>
      <c r="EA417">
        <v>16101000</v>
      </c>
      <c r="EB417">
        <v>919</v>
      </c>
      <c r="EC417">
        <v>150</v>
      </c>
      <c r="EL417" s="24"/>
      <c r="EM417">
        <v>79002</v>
      </c>
      <c r="EN417">
        <v>82489</v>
      </c>
      <c r="EO417">
        <v>80100</v>
      </c>
      <c r="EP417">
        <v>73988</v>
      </c>
      <c r="EQ417">
        <v>653</v>
      </c>
      <c r="EZ417" s="24"/>
      <c r="FA417">
        <v>3717999</v>
      </c>
      <c r="FB417">
        <v>3718000</v>
      </c>
      <c r="FC417">
        <v>3717999</v>
      </c>
      <c r="FD417">
        <v>2112</v>
      </c>
      <c r="FE417">
        <v>23</v>
      </c>
      <c r="FN417" s="24"/>
      <c r="FO417">
        <v>21060</v>
      </c>
      <c r="FP417">
        <v>22188</v>
      </c>
      <c r="FQ417">
        <v>21300</v>
      </c>
      <c r="FR417">
        <v>224345</v>
      </c>
      <c r="FS417">
        <v>67</v>
      </c>
      <c r="FU417" s="24"/>
      <c r="FV417">
        <v>15706</v>
      </c>
      <c r="FW417">
        <v>15810</v>
      </c>
      <c r="FX417">
        <v>15801</v>
      </c>
      <c r="FY417">
        <v>342495</v>
      </c>
      <c r="FZ417">
        <v>1153</v>
      </c>
      <c r="GB417" s="24"/>
      <c r="GC417">
        <v>94312001</v>
      </c>
      <c r="GD417">
        <v>101999997</v>
      </c>
      <c r="GE417">
        <v>99000000</v>
      </c>
      <c r="GF417">
        <v>147</v>
      </c>
      <c r="GG417">
        <v>71</v>
      </c>
      <c r="GI417" s="24"/>
      <c r="GJ417">
        <v>19344988</v>
      </c>
      <c r="GK417">
        <v>19999998</v>
      </c>
      <c r="GL417">
        <v>19345005</v>
      </c>
      <c r="GM417">
        <v>754</v>
      </c>
      <c r="GN417">
        <v>97</v>
      </c>
      <c r="GP417" s="24"/>
      <c r="GQ417">
        <v>113</v>
      </c>
      <c r="GR417">
        <v>121</v>
      </c>
      <c r="GS417">
        <v>117</v>
      </c>
      <c r="GT417">
        <v>86981459</v>
      </c>
      <c r="GU417">
        <v>96</v>
      </c>
      <c r="GW417" s="24"/>
      <c r="GX417">
        <v>485</v>
      </c>
      <c r="GY417">
        <v>493</v>
      </c>
      <c r="GZ417">
        <v>487</v>
      </c>
      <c r="HA417">
        <v>57716621</v>
      </c>
      <c r="HB417">
        <v>294</v>
      </c>
      <c r="HD417" s="24"/>
      <c r="HE417">
        <v>6100</v>
      </c>
      <c r="HF417">
        <v>6376</v>
      </c>
      <c r="HG417">
        <v>6285</v>
      </c>
      <c r="HH417">
        <v>12799460</v>
      </c>
      <c r="HI417">
        <v>236</v>
      </c>
      <c r="HK417" s="24"/>
      <c r="HL417">
        <v>98000000</v>
      </c>
      <c r="HM417">
        <v>101999997</v>
      </c>
      <c r="HN417">
        <v>98000001</v>
      </c>
      <c r="HO417">
        <v>113</v>
      </c>
      <c r="HP417">
        <v>63</v>
      </c>
      <c r="IM417" s="24"/>
      <c r="IN417">
        <v>93400001</v>
      </c>
      <c r="IO417">
        <v>101997998</v>
      </c>
      <c r="IP417">
        <v>97500000</v>
      </c>
      <c r="IQ417">
        <v>123</v>
      </c>
      <c r="IR417">
        <v>62</v>
      </c>
      <c r="IT417" s="24"/>
      <c r="IU417">
        <v>9618</v>
      </c>
      <c r="IV417">
        <v>9816</v>
      </c>
      <c r="IW417">
        <v>9799</v>
      </c>
      <c r="IX417">
        <v>921881</v>
      </c>
      <c r="IY417">
        <v>106</v>
      </c>
      <c r="JA417" s="24"/>
      <c r="JB417">
        <v>98006001</v>
      </c>
      <c r="JC417">
        <v>102993999</v>
      </c>
      <c r="JD417">
        <v>100000000</v>
      </c>
      <c r="JE417">
        <v>108</v>
      </c>
      <c r="JF417">
        <v>62</v>
      </c>
      <c r="LE417" s="24"/>
      <c r="LF417">
        <v>178036</v>
      </c>
      <c r="LG417">
        <v>178040</v>
      </c>
      <c r="LH417">
        <v>178038</v>
      </c>
      <c r="LI417">
        <v>71465</v>
      </c>
      <c r="LJ417">
        <v>797</v>
      </c>
      <c r="LL417" s="24"/>
      <c r="LM417">
        <v>68919</v>
      </c>
      <c r="LN417">
        <v>70003</v>
      </c>
      <c r="LO417">
        <v>69000</v>
      </c>
      <c r="LP417">
        <v>324791</v>
      </c>
      <c r="LQ417">
        <v>1188</v>
      </c>
      <c r="LS417" s="24"/>
      <c r="LT417">
        <v>526</v>
      </c>
      <c r="LU417">
        <v>544</v>
      </c>
      <c r="LV417">
        <v>539</v>
      </c>
      <c r="LW417">
        <v>111754064</v>
      </c>
      <c r="LX417">
        <v>436</v>
      </c>
      <c r="LZ417" s="24"/>
      <c r="MA417">
        <v>100999</v>
      </c>
      <c r="MB417">
        <v>100999</v>
      </c>
      <c r="MC417">
        <v>100999</v>
      </c>
      <c r="MD417">
        <v>846704</v>
      </c>
      <c r="ME417">
        <v>69</v>
      </c>
    </row>
    <row r="418" spans="2:343" x14ac:dyDescent="0.25">
      <c r="B418" s="24"/>
      <c r="C418">
        <v>3</v>
      </c>
      <c r="D418">
        <v>4</v>
      </c>
      <c r="E418">
        <v>4</v>
      </c>
      <c r="F418">
        <v>33912761208</v>
      </c>
      <c r="G418">
        <v>3203</v>
      </c>
      <c r="I418" s="24"/>
      <c r="J418">
        <v>4</v>
      </c>
      <c r="K418">
        <v>5</v>
      </c>
      <c r="L418">
        <v>4</v>
      </c>
      <c r="M418">
        <v>6624642203</v>
      </c>
      <c r="N418">
        <v>2280</v>
      </c>
      <c r="P418" s="24"/>
      <c r="Q418">
        <v>48</v>
      </c>
      <c r="R418">
        <v>49</v>
      </c>
      <c r="S418">
        <v>49</v>
      </c>
      <c r="T418">
        <v>2147055244</v>
      </c>
      <c r="U418">
        <v>2162</v>
      </c>
      <c r="W418" s="24"/>
      <c r="X418">
        <v>64</v>
      </c>
      <c r="Y418">
        <v>65</v>
      </c>
      <c r="Z418">
        <v>65</v>
      </c>
      <c r="AA418">
        <v>488735850</v>
      </c>
      <c r="AB418">
        <v>1734</v>
      </c>
      <c r="AD418" s="24"/>
      <c r="AE418">
        <v>471</v>
      </c>
      <c r="AF418">
        <v>483</v>
      </c>
      <c r="AG418">
        <v>478</v>
      </c>
      <c r="AH418">
        <v>132715137</v>
      </c>
      <c r="AI418">
        <v>1821</v>
      </c>
      <c r="AK418" s="24"/>
      <c r="AL418">
        <v>720</v>
      </c>
      <c r="AM418">
        <v>728</v>
      </c>
      <c r="AN418">
        <v>727</v>
      </c>
      <c r="AO418">
        <v>32939956</v>
      </c>
      <c r="AP418">
        <v>1383</v>
      </c>
      <c r="AY418" s="24"/>
      <c r="AZ418">
        <v>483011124</v>
      </c>
      <c r="BA418">
        <v>490000000</v>
      </c>
      <c r="BB418">
        <v>485000000</v>
      </c>
      <c r="BC418">
        <v>3193</v>
      </c>
      <c r="BD418">
        <v>1999</v>
      </c>
      <c r="BF418" s="24"/>
      <c r="BG418">
        <v>28005</v>
      </c>
      <c r="BH418">
        <v>28199</v>
      </c>
      <c r="BI418">
        <v>28005</v>
      </c>
      <c r="BJ418">
        <v>3173097</v>
      </c>
      <c r="BK418">
        <v>287</v>
      </c>
      <c r="BM418" s="24"/>
      <c r="BN418">
        <v>9100002</v>
      </c>
      <c r="BO418">
        <v>9400004</v>
      </c>
      <c r="BP418">
        <v>9250009</v>
      </c>
      <c r="BQ418">
        <v>21056</v>
      </c>
      <c r="BR418">
        <v>467</v>
      </c>
      <c r="BT418" s="24"/>
      <c r="BU418">
        <v>2405</v>
      </c>
      <c r="BV418">
        <v>2426</v>
      </c>
      <c r="BW418">
        <v>2420</v>
      </c>
      <c r="BX418">
        <v>28748554</v>
      </c>
      <c r="BY418">
        <v>320</v>
      </c>
      <c r="CA418" s="24"/>
      <c r="CB418">
        <v>882</v>
      </c>
      <c r="CC418">
        <v>942</v>
      </c>
      <c r="CD418">
        <v>927</v>
      </c>
      <c r="CE418">
        <v>77283875</v>
      </c>
      <c r="CF418">
        <v>366</v>
      </c>
      <c r="CH418" s="24"/>
      <c r="CI418">
        <v>32501</v>
      </c>
      <c r="CJ418">
        <v>32996</v>
      </c>
      <c r="CK418">
        <v>32600</v>
      </c>
      <c r="CL418">
        <v>1835509</v>
      </c>
      <c r="CM418">
        <v>242</v>
      </c>
      <c r="CV418" s="24"/>
      <c r="CW418">
        <v>1399999</v>
      </c>
      <c r="CX418">
        <v>1599999</v>
      </c>
      <c r="CY418">
        <v>1444444</v>
      </c>
      <c r="CZ418">
        <v>12302</v>
      </c>
      <c r="DA418">
        <v>54</v>
      </c>
      <c r="DC418" s="24"/>
      <c r="DD418">
        <v>603</v>
      </c>
      <c r="DE418">
        <v>628</v>
      </c>
      <c r="DF418">
        <v>605</v>
      </c>
      <c r="DG418">
        <v>58880396</v>
      </c>
      <c r="DH418">
        <v>292</v>
      </c>
      <c r="DJ418" s="24"/>
      <c r="DK418">
        <v>21500804</v>
      </c>
      <c r="DL418">
        <v>22650719</v>
      </c>
      <c r="DM418">
        <v>21500934</v>
      </c>
      <c r="DN418">
        <v>846</v>
      </c>
      <c r="DO418">
        <v>148</v>
      </c>
      <c r="DQ418" s="24"/>
      <c r="DR418">
        <v>3783040</v>
      </c>
      <c r="DS418">
        <v>3953999</v>
      </c>
      <c r="DT418">
        <v>3850000</v>
      </c>
      <c r="DU418">
        <v>6939</v>
      </c>
      <c r="DV418">
        <v>294</v>
      </c>
      <c r="DX418" s="24"/>
      <c r="DY418">
        <v>15255007</v>
      </c>
      <c r="DZ418">
        <v>15734983</v>
      </c>
      <c r="EA418">
        <v>15255011</v>
      </c>
      <c r="EB418">
        <v>785</v>
      </c>
      <c r="EC418">
        <v>150</v>
      </c>
      <c r="EL418" s="24"/>
      <c r="EM418">
        <v>79005</v>
      </c>
      <c r="EN418">
        <v>80101</v>
      </c>
      <c r="EO418">
        <v>80101</v>
      </c>
      <c r="EP418">
        <v>143332</v>
      </c>
      <c r="EQ418">
        <v>819</v>
      </c>
      <c r="EZ418" s="24"/>
      <c r="FA418">
        <v>3335003</v>
      </c>
      <c r="FB418">
        <v>3699999</v>
      </c>
      <c r="FC418">
        <v>3697999</v>
      </c>
      <c r="FD418">
        <v>2710</v>
      </c>
      <c r="FE418">
        <v>37</v>
      </c>
      <c r="FN418" s="24"/>
      <c r="FO418">
        <v>21100</v>
      </c>
      <c r="FP418">
        <v>22187</v>
      </c>
      <c r="FQ418">
        <v>22185</v>
      </c>
      <c r="FR418">
        <v>253319</v>
      </c>
      <c r="FS418">
        <v>86</v>
      </c>
      <c r="FU418" s="24"/>
      <c r="FV418">
        <v>15900</v>
      </c>
      <c r="FW418">
        <v>16201</v>
      </c>
      <c r="FX418">
        <v>16201</v>
      </c>
      <c r="FY418">
        <v>641340</v>
      </c>
      <c r="FZ418">
        <v>1408</v>
      </c>
      <c r="GB418" s="24"/>
      <c r="GC418">
        <v>92250000</v>
      </c>
      <c r="GD418">
        <v>98000000</v>
      </c>
      <c r="GE418">
        <v>94312001</v>
      </c>
      <c r="GF418">
        <v>296</v>
      </c>
      <c r="GG418">
        <v>118</v>
      </c>
      <c r="GI418" s="24"/>
      <c r="GJ418">
        <v>17001043</v>
      </c>
      <c r="GK418">
        <v>18999993</v>
      </c>
      <c r="GL418">
        <v>17001074</v>
      </c>
      <c r="GM418">
        <v>446</v>
      </c>
      <c r="GN418">
        <v>82</v>
      </c>
      <c r="GP418" s="24"/>
      <c r="GQ418">
        <v>115</v>
      </c>
      <c r="GR418">
        <v>121</v>
      </c>
      <c r="GS418">
        <v>121</v>
      </c>
      <c r="GT418">
        <v>200513954</v>
      </c>
      <c r="GU418">
        <v>190</v>
      </c>
      <c r="GW418" s="24"/>
      <c r="GX418">
        <v>499</v>
      </c>
      <c r="GY418">
        <v>504</v>
      </c>
      <c r="GZ418">
        <v>500</v>
      </c>
      <c r="HA418">
        <v>48403376</v>
      </c>
      <c r="HB418">
        <v>308</v>
      </c>
      <c r="HD418" s="24"/>
      <c r="HE418">
        <v>5984</v>
      </c>
      <c r="HF418">
        <v>6190</v>
      </c>
      <c r="HG418">
        <v>6178</v>
      </c>
      <c r="HH418">
        <v>24245910</v>
      </c>
      <c r="HI418">
        <v>361</v>
      </c>
      <c r="HK418" s="24"/>
      <c r="HL418">
        <v>94104002</v>
      </c>
      <c r="HM418">
        <v>99900017</v>
      </c>
      <c r="HN418">
        <v>99899999</v>
      </c>
      <c r="HO418">
        <v>117</v>
      </c>
      <c r="HP418">
        <v>80</v>
      </c>
      <c r="IM418" s="24"/>
      <c r="IN418">
        <v>93280000</v>
      </c>
      <c r="IO418">
        <v>101906000</v>
      </c>
      <c r="IP418">
        <v>97000008</v>
      </c>
      <c r="IQ418">
        <v>207</v>
      </c>
      <c r="IR418">
        <v>88</v>
      </c>
      <c r="IT418" s="24"/>
      <c r="IU418">
        <v>9501</v>
      </c>
      <c r="IV418">
        <v>9776</v>
      </c>
      <c r="IW418">
        <v>9617</v>
      </c>
      <c r="IX418">
        <v>2998331</v>
      </c>
      <c r="IY418">
        <v>209</v>
      </c>
      <c r="JA418" s="24"/>
      <c r="JB418">
        <v>94300004</v>
      </c>
      <c r="JC418">
        <v>97300004</v>
      </c>
      <c r="JD418">
        <v>97299999</v>
      </c>
      <c r="JE418">
        <v>138</v>
      </c>
      <c r="JF418">
        <v>104</v>
      </c>
      <c r="LE418" s="24"/>
      <c r="LF418">
        <v>178104</v>
      </c>
      <c r="LG418">
        <v>178200</v>
      </c>
      <c r="LH418">
        <v>178105</v>
      </c>
      <c r="LI418">
        <v>151388</v>
      </c>
      <c r="LJ418">
        <v>1067</v>
      </c>
      <c r="LL418" s="24"/>
      <c r="LM418">
        <v>70012</v>
      </c>
      <c r="LN418">
        <v>71000</v>
      </c>
      <c r="LO418">
        <v>70016</v>
      </c>
      <c r="LP418">
        <v>627247</v>
      </c>
      <c r="LQ418">
        <v>1480</v>
      </c>
      <c r="LS418" s="24"/>
      <c r="LT418">
        <v>528</v>
      </c>
      <c r="LU418">
        <v>532</v>
      </c>
      <c r="LV418">
        <v>532</v>
      </c>
      <c r="LW418">
        <v>92010911</v>
      </c>
      <c r="LX418">
        <v>541</v>
      </c>
      <c r="LZ418" s="24"/>
      <c r="MA418">
        <v>101398</v>
      </c>
      <c r="MB418">
        <v>107795</v>
      </c>
      <c r="MC418">
        <v>104000</v>
      </c>
      <c r="MD418">
        <v>1099903</v>
      </c>
      <c r="ME418">
        <v>128</v>
      </c>
    </row>
  </sheetData>
  <conditionalFormatting sqref="A1">
    <cfRule type="containsErrors" dxfId="0" priority="4">
      <formula>ISERROR(A1)</formula>
    </cfRule>
  </conditionalFormatting>
  <pageMargins left="0.7" right="0.7" top="0.75" bottom="0.75" header="0.3" footer="0.3"/>
  <pageSetup orientation="portrait" r:id="rId1"/>
  <tableParts count="4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Q347"/>
  <sheetViews>
    <sheetView topLeftCell="A181" zoomScale="90" workbookViewId="0">
      <selection activeCell="I220" sqref="I220"/>
    </sheetView>
  </sheetViews>
  <sheetFormatPr defaultColWidth="11.5703125" defaultRowHeight="12.75" x14ac:dyDescent="0.2"/>
  <cols>
    <col min="1" max="1" width="43.5703125" style="7" customWidth="1"/>
    <col min="2" max="2" width="9.140625" style="7" customWidth="1"/>
    <col min="3" max="3" width="11.85546875" style="7" customWidth="1"/>
    <col min="4" max="4" width="9" style="7" customWidth="1"/>
    <col min="5" max="5" width="7" style="7" customWidth="1"/>
    <col min="6" max="6" width="8.85546875" style="7" customWidth="1"/>
    <col min="7" max="7" width="8.7109375" style="7" customWidth="1"/>
    <col min="8" max="8" width="9.7109375" style="7" customWidth="1"/>
    <col min="9" max="9" width="9.7109375" style="9" customWidth="1"/>
    <col min="10" max="10" width="8.7109375" style="7" customWidth="1"/>
    <col min="11" max="11" width="11.140625" style="9" customWidth="1"/>
    <col min="12" max="12" width="11.5703125" style="7"/>
    <col min="13" max="13" width="11.5703125" style="8"/>
    <col min="14" max="16384" width="11.5703125" style="7"/>
  </cols>
  <sheetData>
    <row r="4" spans="1:17" x14ac:dyDescent="0.2">
      <c r="A4" s="7" t="s">
        <v>366</v>
      </c>
      <c r="B4" s="7">
        <v>49</v>
      </c>
      <c r="C4" s="7">
        <v>126</v>
      </c>
      <c r="D4" s="7">
        <v>395</v>
      </c>
      <c r="E4" s="7">
        <v>148</v>
      </c>
      <c r="F4" s="7">
        <v>8</v>
      </c>
      <c r="H4" s="7">
        <v>1</v>
      </c>
      <c r="I4" s="9">
        <f>(B4*'Ore Index'!E2)+(C4*'Ore Index'!F2)+(D4*'Ore Index'!G2)+(E4*'Ore Index'!H2)+(F4*'Ore Index'!I2)+(G4*'Ore Index'!J2)+(H4*'Ore Index'!K2)</f>
        <v>52117.069999999992</v>
      </c>
      <c r="K4" s="9">
        <f t="shared" ref="K4:K35" si="0">(B4+C4+D4+E4+F4+G4+H4)*0.01</f>
        <v>7.2700000000000005</v>
      </c>
      <c r="N4" s="7">
        <v>1.0269999999999999</v>
      </c>
      <c r="O4" s="7">
        <v>1.0269999999999999</v>
      </c>
    </row>
    <row r="5" spans="1:17" x14ac:dyDescent="0.2">
      <c r="A5" s="7" t="s">
        <v>365</v>
      </c>
      <c r="B5" s="7">
        <v>630</v>
      </c>
      <c r="C5" s="7">
        <v>557</v>
      </c>
      <c r="D5" s="7">
        <v>1</v>
      </c>
      <c r="F5" s="7">
        <v>1</v>
      </c>
      <c r="I5" s="9">
        <f>(B5*'Ore Index'!E2)+(C5*'Ore Index'!F2)+(D5*'Ore Index'!G2)+(E5*'Ore Index'!H2)+(F5*'Ore Index'!I2)+(G5*'Ore Index'!J2)+(H5*'Ore Index'!K2)</f>
        <v>12658.490000000002</v>
      </c>
      <c r="K5" s="9">
        <f t="shared" si="0"/>
        <v>11.89</v>
      </c>
      <c r="M5" s="8">
        <f t="shared" ref="M5:M12" si="1">(B5*N5)</f>
        <v>647.01</v>
      </c>
      <c r="N5" s="7">
        <v>1.0269999999999999</v>
      </c>
      <c r="O5" s="7">
        <v>1.0269999999999999</v>
      </c>
      <c r="P5" s="7">
        <v>630</v>
      </c>
      <c r="Q5" s="7">
        <f t="shared" ref="Q5:Q12" si="2">M5/P5</f>
        <v>1.0269999999999999</v>
      </c>
    </row>
    <row r="6" spans="1:17" x14ac:dyDescent="0.2">
      <c r="A6" s="7" t="s">
        <v>364</v>
      </c>
      <c r="B6" s="7">
        <v>3561.57</v>
      </c>
      <c r="C6" s="7">
        <v>1913.48</v>
      </c>
      <c r="D6" s="7">
        <v>204.51</v>
      </c>
      <c r="E6" s="7">
        <v>12</v>
      </c>
      <c r="F6" s="7">
        <v>2</v>
      </c>
      <c r="I6" s="9">
        <f>(B6*'Ore Index'!E2)+(C6*'Ore Index'!F2)+(D6*'Ore Index'!G2)+(E6*'Ore Index'!H2)+(F6*'Ore Index'!I2)+(G6*'Ore Index'!J2)+(H6*'Ore Index'!K2)</f>
        <v>61803.809400000006</v>
      </c>
      <c r="J6" s="7">
        <v>10</v>
      </c>
      <c r="K6" s="9">
        <f t="shared" si="0"/>
        <v>56.935600000000008</v>
      </c>
      <c r="L6" s="7">
        <f t="shared" ref="L6:L13" si="3">B6/C6</f>
        <v>1.8613050567552314</v>
      </c>
      <c r="M6" s="8">
        <f t="shared" si="1"/>
        <v>3657.7323899999997</v>
      </c>
      <c r="N6" s="7">
        <v>1.0269999999999999</v>
      </c>
      <c r="O6" s="7">
        <v>1.0269999999999999</v>
      </c>
      <c r="P6" s="7">
        <v>3527</v>
      </c>
      <c r="Q6" s="7">
        <f t="shared" si="2"/>
        <v>1.0370661723844625</v>
      </c>
    </row>
    <row r="7" spans="1:17" x14ac:dyDescent="0.2">
      <c r="A7" s="7" t="s">
        <v>363</v>
      </c>
      <c r="B7" s="7">
        <v>3428</v>
      </c>
      <c r="C7" s="7">
        <v>3122</v>
      </c>
      <c r="D7" s="7">
        <v>3</v>
      </c>
      <c r="E7" s="7">
        <v>2</v>
      </c>
      <c r="I7" s="9">
        <f>(B7*'Ore Index'!E2)+(C7*'Ore Index'!F2)+(D7*'Ore Index'!G2)+(E7*'Ore Index'!H2)+(F7*'Ore Index'!I2)+(G7*'Ore Index'!J2)+(H7*'Ore Index'!K2)</f>
        <v>65996.400000000009</v>
      </c>
      <c r="J7" s="7">
        <v>25</v>
      </c>
      <c r="K7" s="9">
        <f t="shared" si="0"/>
        <v>65.55</v>
      </c>
      <c r="L7" s="7">
        <f t="shared" si="3"/>
        <v>1.0980140935297886</v>
      </c>
      <c r="M7" s="8">
        <f t="shared" si="1"/>
        <v>3520.5559999999996</v>
      </c>
      <c r="N7" s="7">
        <v>1.0269999999999999</v>
      </c>
      <c r="O7" s="7">
        <v>1.0269999999999999</v>
      </c>
      <c r="P7" s="7">
        <v>3394</v>
      </c>
      <c r="Q7" s="7">
        <f t="shared" si="2"/>
        <v>1.0372881555686504</v>
      </c>
    </row>
    <row r="8" spans="1:17" x14ac:dyDescent="0.2">
      <c r="A8" s="7" t="s">
        <v>362</v>
      </c>
      <c r="B8" s="7">
        <v>15593.11</v>
      </c>
      <c r="C8" s="7">
        <v>13206.76</v>
      </c>
      <c r="D8" s="7">
        <v>60.85</v>
      </c>
      <c r="E8" s="7">
        <v>1</v>
      </c>
      <c r="F8" s="7">
        <v>1</v>
      </c>
      <c r="G8" s="7">
        <v>1</v>
      </c>
      <c r="H8" s="7">
        <v>2</v>
      </c>
      <c r="I8" s="9">
        <f>(B8*'Ore Index'!E2)+(C8*'Ore Index'!F2)+(D8*'Ore Index'!G2)+(E8*'Ore Index'!H2)+(F8*'Ore Index'!I2)+(G8*'Ore Index'!J2)+(H8*'Ore Index'!K2)</f>
        <v>293577.62139999995</v>
      </c>
      <c r="J8" s="7">
        <v>25</v>
      </c>
      <c r="K8" s="9">
        <f t="shared" si="0"/>
        <v>288.65720000000005</v>
      </c>
      <c r="L8" s="7">
        <f t="shared" si="3"/>
        <v>1.1806915549309596</v>
      </c>
      <c r="M8" s="8">
        <f t="shared" si="1"/>
        <v>16014.123969999999</v>
      </c>
      <c r="N8" s="7">
        <v>1.0269999999999999</v>
      </c>
      <c r="O8" s="7">
        <v>1.0269999999999999</v>
      </c>
      <c r="P8" s="7">
        <v>15442</v>
      </c>
      <c r="Q8" s="7">
        <f t="shared" si="2"/>
        <v>1.0370498620644992</v>
      </c>
    </row>
    <row r="9" spans="1:17" x14ac:dyDescent="0.2">
      <c r="A9" s="7" t="s">
        <v>361</v>
      </c>
      <c r="B9" s="7">
        <v>1762</v>
      </c>
      <c r="C9" s="7">
        <v>85</v>
      </c>
      <c r="D9" s="7">
        <v>157</v>
      </c>
      <c r="F9" s="7">
        <v>1</v>
      </c>
      <c r="I9" s="9">
        <f>(B9*'Ore Index'!E2)+(C9*'Ore Index'!F2)+(D9*'Ore Index'!G2)+(E9*'Ore Index'!H2)+(F9*'Ore Index'!I2)+(G9*'Ore Index'!J2)+(H9*'Ore Index'!K2)</f>
        <v>19722.73</v>
      </c>
      <c r="K9" s="9">
        <f t="shared" si="0"/>
        <v>20.05</v>
      </c>
      <c r="L9" s="7">
        <f t="shared" si="3"/>
        <v>20.729411764705883</v>
      </c>
      <c r="M9" s="8">
        <f t="shared" si="1"/>
        <v>1809.5739999999998</v>
      </c>
      <c r="N9" s="7">
        <v>1.0269999999999999</v>
      </c>
      <c r="O9" s="7">
        <v>1.0269999999999999</v>
      </c>
      <c r="P9" s="7">
        <v>1762</v>
      </c>
      <c r="Q9" s="7">
        <f t="shared" si="2"/>
        <v>1.0269999999999999</v>
      </c>
    </row>
    <row r="10" spans="1:17" x14ac:dyDescent="0.2">
      <c r="A10" s="7" t="s">
        <v>360</v>
      </c>
      <c r="B10" s="7">
        <v>3009</v>
      </c>
      <c r="C10" s="7">
        <v>2462</v>
      </c>
      <c r="D10" s="7">
        <v>161</v>
      </c>
      <c r="I10" s="9">
        <f>(B10*'Ore Index'!E2)+(C10*'Ore Index'!F2)+(D10*'Ore Index'!G2)+(E10*'Ore Index'!H2)+(F10*'Ore Index'!I2)+(G10*'Ore Index'!J2)+(H10*'Ore Index'!K2)</f>
        <v>61252.899999999994</v>
      </c>
      <c r="K10" s="9">
        <f t="shared" si="0"/>
        <v>56.32</v>
      </c>
      <c r="L10" s="7">
        <f t="shared" si="3"/>
        <v>1.2221770917952883</v>
      </c>
      <c r="M10" s="8">
        <f t="shared" si="1"/>
        <v>3090.2429999999999</v>
      </c>
      <c r="N10" s="7">
        <v>1.0269999999999999</v>
      </c>
      <c r="O10" s="7">
        <v>1.0269999999999999</v>
      </c>
      <c r="P10" s="7">
        <v>3008</v>
      </c>
      <c r="Q10" s="7">
        <f t="shared" si="2"/>
        <v>1.0273414228723403</v>
      </c>
    </row>
    <row r="11" spans="1:17" x14ac:dyDescent="0.2">
      <c r="A11" s="7" t="s">
        <v>359</v>
      </c>
      <c r="B11" s="7">
        <v>668</v>
      </c>
      <c r="C11" s="7">
        <v>195</v>
      </c>
      <c r="D11" s="7">
        <v>269</v>
      </c>
      <c r="E11" s="7">
        <v>38</v>
      </c>
      <c r="F11" s="7">
        <v>2</v>
      </c>
      <c r="G11" s="7">
        <v>1</v>
      </c>
      <c r="I11" s="9">
        <f>(B11*'Ore Index'!E2)+(C11*'Ore Index'!F2)+(D11*'Ore Index'!G2)+(E11*'Ore Index'!H2)+(F11*'Ore Index'!I2)+(G11*'Ore Index'!J2)+(H11*'Ore Index'!K2)</f>
        <v>27707.599999999999</v>
      </c>
      <c r="K11" s="9">
        <f t="shared" si="0"/>
        <v>11.73</v>
      </c>
      <c r="L11" s="7">
        <f t="shared" si="3"/>
        <v>3.4256410256410255</v>
      </c>
      <c r="M11" s="8">
        <f t="shared" si="1"/>
        <v>686.03599999999994</v>
      </c>
      <c r="N11" s="7">
        <v>1.0269999999999999</v>
      </c>
      <c r="O11" s="7">
        <v>1.0269999999999999</v>
      </c>
      <c r="P11" s="7">
        <v>668</v>
      </c>
      <c r="Q11" s="7">
        <f t="shared" si="2"/>
        <v>1.0269999999999999</v>
      </c>
    </row>
    <row r="12" spans="1:17" x14ac:dyDescent="0.2">
      <c r="A12" s="7" t="s">
        <v>358</v>
      </c>
      <c r="B12" s="7">
        <v>668</v>
      </c>
      <c r="C12" s="7">
        <v>195</v>
      </c>
      <c r="D12" s="7">
        <v>269</v>
      </c>
      <c r="E12" s="7">
        <v>38</v>
      </c>
      <c r="F12" s="7">
        <v>2</v>
      </c>
      <c r="G12" s="7">
        <v>1</v>
      </c>
      <c r="I12" s="9">
        <f>(B12*'Ore Index'!E2)+(C12*'Ore Index'!F2)+(D12*'Ore Index'!G2)+(E12*'Ore Index'!H2)+(F12*'Ore Index'!I2)+(G12*'Ore Index'!J2)+(H12*'Ore Index'!K2)</f>
        <v>27707.599999999999</v>
      </c>
      <c r="K12" s="9">
        <f t="shared" si="0"/>
        <v>11.73</v>
      </c>
      <c r="L12" s="7">
        <f t="shared" si="3"/>
        <v>3.4256410256410255</v>
      </c>
      <c r="M12" s="8">
        <f t="shared" si="1"/>
        <v>686.03599999999994</v>
      </c>
      <c r="N12" s="7">
        <v>1.0269999999999999</v>
      </c>
      <c r="O12" s="7">
        <v>1.0269999999999999</v>
      </c>
      <c r="P12" s="7">
        <v>668</v>
      </c>
      <c r="Q12" s="7">
        <f t="shared" si="2"/>
        <v>1.0269999999999999</v>
      </c>
    </row>
    <row r="13" spans="1:17" x14ac:dyDescent="0.2">
      <c r="A13" s="7" t="s">
        <v>357</v>
      </c>
      <c r="B13" s="7">
        <v>1166</v>
      </c>
      <c r="C13" s="7">
        <v>421</v>
      </c>
      <c r="D13" s="7">
        <v>92</v>
      </c>
      <c r="E13" s="7">
        <v>2</v>
      </c>
      <c r="I13" s="9">
        <f>(B13*'Ore Index'!E2)+(C13*'Ore Index'!F2)+(D13*'Ore Index'!G2)+(E13*'Ore Index'!H2)+(F13*'Ore Index'!I2)+(G13*'Ore Index'!J2)+(H13*'Ore Index'!K2)</f>
        <v>17608.54</v>
      </c>
      <c r="K13" s="9">
        <f t="shared" si="0"/>
        <v>16.809999999999999</v>
      </c>
      <c r="L13" s="7">
        <f t="shared" si="3"/>
        <v>2.7695961995249405</v>
      </c>
    </row>
    <row r="14" spans="1:17" x14ac:dyDescent="0.2">
      <c r="A14" s="7" t="s">
        <v>356</v>
      </c>
      <c r="B14" s="7">
        <v>1225</v>
      </c>
      <c r="C14" s="7">
        <v>66</v>
      </c>
      <c r="D14" s="7">
        <v>77</v>
      </c>
      <c r="G14" s="7">
        <v>1</v>
      </c>
      <c r="I14" s="9">
        <f>(B14*'Ore Index'!E2)+(C14*'Ore Index'!F2)+(D14*'Ore Index'!G2)+(E14*'Ore Index'!H2)+(F14*'Ore Index'!I2)+(G14*'Ore Index'!J2)+(H14*'Ore Index'!K2)</f>
        <v>12481.380000000001</v>
      </c>
      <c r="K14" s="9">
        <f t="shared" si="0"/>
        <v>13.69</v>
      </c>
    </row>
    <row r="15" spans="1:17" x14ac:dyDescent="0.2">
      <c r="A15" s="7" t="s">
        <v>355</v>
      </c>
      <c r="B15" s="7">
        <v>885</v>
      </c>
      <c r="C15" s="7">
        <v>267</v>
      </c>
      <c r="G15" s="7">
        <v>1</v>
      </c>
      <c r="I15" s="9">
        <f>(B15*'Ore Index'!E2)+(C15*'Ore Index'!F2)+(D15*'Ore Index'!G2)+(E15*'Ore Index'!H2)+(F15*'Ore Index'!I2)+(G15*'Ore Index'!J2)+(H15*'Ore Index'!K2)</f>
        <v>9770.08</v>
      </c>
      <c r="K15" s="9">
        <f t="shared" si="0"/>
        <v>11.53</v>
      </c>
      <c r="L15" s="7">
        <f t="shared" ref="L15:L26" si="4">B15/C15</f>
        <v>3.3146067415730336</v>
      </c>
    </row>
    <row r="16" spans="1:17" x14ac:dyDescent="0.2">
      <c r="A16" s="7" t="s">
        <v>354</v>
      </c>
      <c r="B16" s="7">
        <v>2427</v>
      </c>
      <c r="C16" s="7">
        <v>128</v>
      </c>
      <c r="D16" s="7">
        <v>148</v>
      </c>
      <c r="G16" s="7">
        <v>2</v>
      </c>
      <c r="I16" s="9">
        <f>(B16*'Ore Index'!E2)+(C16*'Ore Index'!F2)+(D16*'Ore Index'!G2)+(E16*'Ore Index'!H2)+(F16*'Ore Index'!I2)+(G16*'Ore Index'!J2)+(H16*'Ore Index'!K2)</f>
        <v>24481.579999999998</v>
      </c>
      <c r="K16" s="9">
        <f t="shared" si="0"/>
        <v>27.05</v>
      </c>
      <c r="L16" s="7">
        <f t="shared" si="4"/>
        <v>18.9609375</v>
      </c>
      <c r="M16" s="8">
        <f>(B16*N16)</f>
        <v>2492.529</v>
      </c>
      <c r="N16" s="7">
        <v>1.0269999999999999</v>
      </c>
      <c r="O16" s="7">
        <v>1.0269999999999999</v>
      </c>
      <c r="P16" s="7">
        <v>2427</v>
      </c>
      <c r="Q16" s="7">
        <f>M16/P16</f>
        <v>1.0269999999999999</v>
      </c>
    </row>
    <row r="17" spans="1:17" x14ac:dyDescent="0.2">
      <c r="A17" s="7" t="s">
        <v>353</v>
      </c>
      <c r="B17" s="7">
        <v>1482</v>
      </c>
      <c r="C17" s="7">
        <v>128</v>
      </c>
      <c r="D17" s="7">
        <v>74</v>
      </c>
      <c r="E17" s="7">
        <v>20</v>
      </c>
      <c r="I17" s="9">
        <f>(B17*'Ore Index'!E2)+(C17*'Ore Index'!F2)+(D17*'Ore Index'!G2)+(E17*'Ore Index'!H2)+(F17*'Ore Index'!I2)+(G17*'Ore Index'!J2)+(H17*'Ore Index'!K2)</f>
        <v>16854.199999999997</v>
      </c>
      <c r="K17" s="9">
        <f t="shared" si="0"/>
        <v>17.04</v>
      </c>
      <c r="L17" s="7">
        <f t="shared" si="4"/>
        <v>11.578125</v>
      </c>
    </row>
    <row r="18" spans="1:17" x14ac:dyDescent="0.2">
      <c r="A18" s="7" t="s">
        <v>352</v>
      </c>
      <c r="B18" s="7">
        <v>4091</v>
      </c>
      <c r="C18" s="7">
        <v>1371</v>
      </c>
      <c r="D18" s="7">
        <v>1010</v>
      </c>
      <c r="E18" s="7">
        <v>55</v>
      </c>
      <c r="F18" s="7">
        <v>43</v>
      </c>
      <c r="G18" s="7">
        <v>8</v>
      </c>
      <c r="I18" s="9">
        <f>(B18*'Ore Index'!E2)+(C18*'Ore Index'!F2)+(D18*'Ore Index'!G2)+(E18*'Ore Index'!H2)+(F18*'Ore Index'!I2)+(G18*'Ore Index'!J2)+(H18*'Ore Index'!K2)</f>
        <v>141686.81</v>
      </c>
      <c r="J18" s="7">
        <v>10</v>
      </c>
      <c r="K18" s="9">
        <f t="shared" si="0"/>
        <v>65.78</v>
      </c>
      <c r="L18" s="7">
        <f t="shared" si="4"/>
        <v>2.9839533187454412</v>
      </c>
      <c r="M18" s="8">
        <f>(B18*N18)</f>
        <v>4201.4569999999994</v>
      </c>
      <c r="N18" s="7">
        <v>1.0269999999999999</v>
      </c>
      <c r="O18" s="7">
        <v>1.0269999999999999</v>
      </c>
      <c r="P18" s="7">
        <v>4091</v>
      </c>
      <c r="Q18" s="7">
        <f>M18/P18</f>
        <v>1.0269999999999999</v>
      </c>
    </row>
    <row r="19" spans="1:17" x14ac:dyDescent="0.2">
      <c r="A19" s="7" t="s">
        <v>351</v>
      </c>
      <c r="B19" s="7">
        <v>4708.8599999999997</v>
      </c>
      <c r="C19" s="7">
        <v>2837.26</v>
      </c>
      <c r="D19" s="7">
        <v>756.2</v>
      </c>
      <c r="F19" s="7">
        <v>18</v>
      </c>
      <c r="G19" s="7">
        <v>3</v>
      </c>
      <c r="H19" s="7">
        <v>1</v>
      </c>
      <c r="I19" s="9">
        <f>(B19*'Ore Index'!E2)+(C19*'Ore Index'!F2)+(D19*'Ore Index'!G2)+(E19*'Ore Index'!H2)+(F19*'Ore Index'!I2)+(G19*'Ore Index'!J2)+(H19*'Ore Index'!K2)</f>
        <v>124946.52840000001</v>
      </c>
      <c r="K19" s="9">
        <f t="shared" si="0"/>
        <v>83.243200000000002</v>
      </c>
      <c r="L19" s="7">
        <f t="shared" si="4"/>
        <v>1.6596505078843671</v>
      </c>
      <c r="M19" s="8">
        <f>(B19*N19)</f>
        <v>4835.9992199999997</v>
      </c>
      <c r="N19" s="7">
        <v>1.0269999999999999</v>
      </c>
      <c r="O19" s="7">
        <v>1.0269999999999999</v>
      </c>
      <c r="P19" s="7">
        <v>4664</v>
      </c>
      <c r="Q19" s="7">
        <f>M19/P19</f>
        <v>1.0368780488850771</v>
      </c>
    </row>
    <row r="20" spans="1:17" x14ac:dyDescent="0.2">
      <c r="A20" s="7" t="s">
        <v>350</v>
      </c>
      <c r="B20" s="7">
        <v>4708.8599999999997</v>
      </c>
      <c r="C20" s="7">
        <v>2837.26</v>
      </c>
      <c r="D20" s="7">
        <v>756.2</v>
      </c>
      <c r="F20" s="7">
        <v>18</v>
      </c>
      <c r="G20" s="7">
        <v>3</v>
      </c>
      <c r="H20" s="7">
        <v>1</v>
      </c>
      <c r="I20" s="9">
        <f>(B20*'Ore Index'!E2)+(C20*'Ore Index'!F2)+(D20*'Ore Index'!G2)+(E20*'Ore Index'!H2)+(F20*'Ore Index'!I2)+(G20*'Ore Index'!J2)+(H20*'Ore Index'!K2)</f>
        <v>124946.52840000001</v>
      </c>
      <c r="K20" s="9">
        <f t="shared" si="0"/>
        <v>83.243200000000002</v>
      </c>
      <c r="L20" s="7">
        <f t="shared" si="4"/>
        <v>1.6596505078843671</v>
      </c>
      <c r="M20" s="8">
        <f>(B20*N20)</f>
        <v>4835.9992199999997</v>
      </c>
      <c r="N20" s="7">
        <v>1.0269999999999999</v>
      </c>
      <c r="O20" s="7">
        <v>1.0269999999999999</v>
      </c>
      <c r="P20" s="7">
        <v>4664</v>
      </c>
      <c r="Q20" s="7">
        <f>M20/P20</f>
        <v>1.0368780488850771</v>
      </c>
    </row>
    <row r="21" spans="1:17" x14ac:dyDescent="0.2">
      <c r="A21" s="7" t="s">
        <v>349</v>
      </c>
      <c r="B21" s="7">
        <v>4708.8599999999997</v>
      </c>
      <c r="C21" s="7">
        <v>2837.26</v>
      </c>
      <c r="D21" s="7">
        <v>756.2</v>
      </c>
      <c r="F21" s="7">
        <v>18</v>
      </c>
      <c r="G21" s="7">
        <v>3</v>
      </c>
      <c r="H21" s="7">
        <v>1</v>
      </c>
      <c r="I21" s="9">
        <f>(B21*'Ore Index'!E2)+(C21*'Ore Index'!F2)+(D21*'Ore Index'!G2)+(E21*'Ore Index'!H2)+(F21*'Ore Index'!I2)+(G21*'Ore Index'!J2)+(H21*'Ore Index'!K2)</f>
        <v>124946.52840000001</v>
      </c>
      <c r="K21" s="9">
        <f t="shared" si="0"/>
        <v>83.243200000000002</v>
      </c>
      <c r="L21" s="7">
        <f t="shared" si="4"/>
        <v>1.6596505078843671</v>
      </c>
    </row>
    <row r="22" spans="1:17" x14ac:dyDescent="0.2">
      <c r="A22" s="7" t="s">
        <v>348</v>
      </c>
      <c r="B22" s="7">
        <v>4708.8599999999997</v>
      </c>
      <c r="C22" s="7">
        <v>2837.26</v>
      </c>
      <c r="D22" s="7">
        <v>756.2</v>
      </c>
      <c r="F22" s="7">
        <v>18</v>
      </c>
      <c r="G22" s="7">
        <v>3</v>
      </c>
      <c r="H22" s="7">
        <v>1</v>
      </c>
      <c r="I22" s="9">
        <f>(B22*'Ore Index'!E2)+(C22*'Ore Index'!F2)+(D22*'Ore Index'!G2)+(E22*'Ore Index'!H2)+(F22*'Ore Index'!I2)+(G22*'Ore Index'!J2)+(H22*'Ore Index'!K2)</f>
        <v>124946.52840000001</v>
      </c>
      <c r="K22" s="9">
        <f t="shared" si="0"/>
        <v>83.243200000000002</v>
      </c>
      <c r="L22" s="7">
        <f t="shared" si="4"/>
        <v>1.6596505078843671</v>
      </c>
      <c r="M22" s="8">
        <f>(B22*N22)</f>
        <v>4835.9992199999997</v>
      </c>
      <c r="N22" s="7">
        <v>1.0269999999999999</v>
      </c>
      <c r="O22" s="7">
        <v>1.0269999999999999</v>
      </c>
      <c r="P22" s="7">
        <v>4664</v>
      </c>
      <c r="Q22" s="7">
        <f>M22/P22</f>
        <v>1.0368780488850771</v>
      </c>
    </row>
    <row r="23" spans="1:17" x14ac:dyDescent="0.2">
      <c r="A23" s="7" t="s">
        <v>347</v>
      </c>
      <c r="B23" s="7">
        <v>3999</v>
      </c>
      <c r="C23" s="7">
        <v>1155</v>
      </c>
      <c r="D23" s="7">
        <v>1076</v>
      </c>
      <c r="H23" s="7">
        <v>1</v>
      </c>
      <c r="I23" s="9">
        <f>(B23*'Ore Index'!E2)+(C23*'Ore Index'!F2)+(D23*'Ore Index'!G2)+(E23*'Ore Index'!H2)+(F23*'Ore Index'!I2)+(G23*'Ore Index'!J2)+(H23*'Ore Index'!K2)</f>
        <v>94692.290000000008</v>
      </c>
      <c r="K23" s="9">
        <f t="shared" si="0"/>
        <v>62.31</v>
      </c>
      <c r="L23" s="7">
        <f t="shared" si="4"/>
        <v>3.4623376623376623</v>
      </c>
      <c r="M23" s="8">
        <f>(B23*N23)</f>
        <v>4106.973</v>
      </c>
      <c r="N23" s="7">
        <v>1.0269999999999999</v>
      </c>
      <c r="O23" s="7">
        <v>1.0269999999999999</v>
      </c>
      <c r="P23" s="7">
        <v>3960</v>
      </c>
      <c r="Q23" s="7">
        <f>M23/P23</f>
        <v>1.0371143939393939</v>
      </c>
    </row>
    <row r="24" spans="1:17" x14ac:dyDescent="0.2">
      <c r="A24" s="7" t="s">
        <v>346</v>
      </c>
      <c r="B24" s="7">
        <v>4061</v>
      </c>
      <c r="C24" s="7">
        <v>1325</v>
      </c>
      <c r="D24" s="7">
        <v>1600</v>
      </c>
      <c r="E24" s="7">
        <v>1</v>
      </c>
      <c r="F24" s="7">
        <v>8</v>
      </c>
      <c r="I24" s="9">
        <f>(B24*'Ore Index'!E2)+(C24*'Ore Index'!F2)+(D24*'Ore Index'!G2)+(E24*'Ore Index'!H2)+(F24*'Ore Index'!I2)+(G24*'Ore Index'!J2)+(H24*'Ore Index'!K2)</f>
        <v>126927</v>
      </c>
      <c r="K24" s="9">
        <f t="shared" si="0"/>
        <v>69.95</v>
      </c>
      <c r="L24" s="7">
        <f t="shared" si="4"/>
        <v>3.0649056603773586</v>
      </c>
    </row>
    <row r="25" spans="1:17" x14ac:dyDescent="0.2">
      <c r="A25" s="7" t="s">
        <v>345</v>
      </c>
      <c r="B25" s="7">
        <v>4061</v>
      </c>
      <c r="C25" s="7">
        <v>1325</v>
      </c>
      <c r="D25" s="7">
        <v>1600</v>
      </c>
      <c r="E25" s="7">
        <v>1</v>
      </c>
      <c r="F25" s="7">
        <v>8</v>
      </c>
      <c r="I25" s="9">
        <f>(B25*'Ore Index'!E2)+(C25*'Ore Index'!F2)+(D25*'Ore Index'!G2)+(E25*'Ore Index'!H2)+(F25*'Ore Index'!I2)+(G25*'Ore Index'!J2)+(H25*'Ore Index'!K2)</f>
        <v>126927</v>
      </c>
      <c r="J25" s="7">
        <v>10</v>
      </c>
      <c r="K25" s="9">
        <f t="shared" si="0"/>
        <v>69.95</v>
      </c>
      <c r="L25" s="7">
        <f t="shared" si="4"/>
        <v>3.0649056603773586</v>
      </c>
      <c r="M25" s="8">
        <f>(B25*N25)</f>
        <v>4170.6469999999999</v>
      </c>
      <c r="N25" s="7">
        <v>1.0269999999999999</v>
      </c>
      <c r="O25" s="7">
        <v>1.0269999999999999</v>
      </c>
      <c r="P25" s="7">
        <v>4061</v>
      </c>
      <c r="Q25" s="7">
        <f>M25/P25</f>
        <v>1.0269999999999999</v>
      </c>
    </row>
    <row r="26" spans="1:17" x14ac:dyDescent="0.2">
      <c r="A26" s="7" t="s">
        <v>344</v>
      </c>
      <c r="B26" s="7">
        <v>4061</v>
      </c>
      <c r="C26" s="7">
        <v>1325</v>
      </c>
      <c r="D26" s="7">
        <v>1600</v>
      </c>
      <c r="E26" s="7">
        <v>1</v>
      </c>
      <c r="F26" s="7">
        <v>8</v>
      </c>
      <c r="I26" s="9">
        <f>(B26*'Ore Index'!E2)+(C26*'Ore Index'!F2)+(D26*'Ore Index'!G2)+(E26*'Ore Index'!H2)+(F26*'Ore Index'!I2)+(G26*'Ore Index'!J2)+(H26*'Ore Index'!K2)</f>
        <v>126927</v>
      </c>
      <c r="K26" s="9">
        <f t="shared" si="0"/>
        <v>69.95</v>
      </c>
      <c r="L26" s="7">
        <f t="shared" si="4"/>
        <v>3.0649056603773586</v>
      </c>
    </row>
    <row r="27" spans="1:17" x14ac:dyDescent="0.2">
      <c r="A27" s="7" t="s">
        <v>343</v>
      </c>
      <c r="B27" s="7">
        <v>1432</v>
      </c>
      <c r="C27" s="7">
        <v>619</v>
      </c>
      <c r="D27" s="7">
        <v>130</v>
      </c>
      <c r="I27" s="9">
        <f>(B27*'Ore Index'!E2)+(C27*'Ore Index'!F2)+(D27*'Ore Index'!G2)+(E27*'Ore Index'!H2)+(F27*'Ore Index'!I2)+(G27*'Ore Index'!J2)+(H27*'Ore Index'!K2)</f>
        <v>23594.059999999998</v>
      </c>
      <c r="K27" s="9">
        <f t="shared" si="0"/>
        <v>21.81</v>
      </c>
    </row>
    <row r="28" spans="1:17" x14ac:dyDescent="0.2">
      <c r="A28" s="7" t="s">
        <v>342</v>
      </c>
      <c r="B28" s="7">
        <v>8201</v>
      </c>
      <c r="C28" s="7">
        <v>2677</v>
      </c>
      <c r="D28" s="7">
        <v>3231</v>
      </c>
      <c r="E28" s="7">
        <v>2</v>
      </c>
      <c r="F28" s="7">
        <v>16</v>
      </c>
      <c r="I28" s="9">
        <f>(B28*'Ore Index'!E2)+(C28*'Ore Index'!F2)+(D28*'Ore Index'!G2)+(E28*'Ore Index'!H2)+(F28*'Ore Index'!I2)+(G28*'Ore Index'!J2)+(H28*'Ore Index'!K2)</f>
        <v>256206.40000000002</v>
      </c>
      <c r="J28" s="7">
        <v>25</v>
      </c>
      <c r="K28" s="9">
        <f t="shared" si="0"/>
        <v>141.27000000000001</v>
      </c>
      <c r="L28" s="7">
        <f>B28/C28</f>
        <v>3.0635039223010834</v>
      </c>
      <c r="M28" s="8">
        <f>(B28*N28)</f>
        <v>8422.4269999999997</v>
      </c>
      <c r="N28" s="7">
        <v>1.0269999999999999</v>
      </c>
      <c r="O28" s="7">
        <v>1.0269999999999999</v>
      </c>
      <c r="P28" s="7">
        <v>8122</v>
      </c>
      <c r="Q28" s="7">
        <f>M28/P28</f>
        <v>1.0369892883526224</v>
      </c>
    </row>
    <row r="29" spans="1:17" x14ac:dyDescent="0.2">
      <c r="A29" s="7" t="s">
        <v>341</v>
      </c>
      <c r="B29" s="7">
        <v>2427</v>
      </c>
      <c r="C29" s="7">
        <v>128</v>
      </c>
      <c r="D29" s="7">
        <v>148</v>
      </c>
      <c r="G29" s="7">
        <v>2</v>
      </c>
      <c r="I29" s="9">
        <f>(B29*'Ore Index'!E2)+(C29*'Ore Index'!F2)+(D29*'Ore Index'!G2)+(E29*'Ore Index'!H2)+(F29*'Ore Index'!I2)+(G29*'Ore Index'!J2)+(H29*'Ore Index'!K2)</f>
        <v>24481.579999999998</v>
      </c>
      <c r="J29" s="7">
        <v>5</v>
      </c>
      <c r="K29" s="9">
        <f t="shared" si="0"/>
        <v>27.05</v>
      </c>
      <c r="L29" s="7">
        <f>B29/C29</f>
        <v>18.9609375</v>
      </c>
      <c r="M29" s="8">
        <f>(B29*N29)</f>
        <v>2492.529</v>
      </c>
      <c r="N29" s="7">
        <v>1.0269999999999999</v>
      </c>
      <c r="O29" s="7">
        <v>1.0269999999999999</v>
      </c>
      <c r="P29" s="7">
        <v>2427</v>
      </c>
      <c r="Q29" s="7">
        <f>M29/P29</f>
        <v>1.0269999999999999</v>
      </c>
    </row>
    <row r="30" spans="1:17" x14ac:dyDescent="0.2">
      <c r="A30" s="7" t="s">
        <v>340</v>
      </c>
      <c r="B30" s="7">
        <v>69508</v>
      </c>
      <c r="C30" s="7">
        <v>17772</v>
      </c>
      <c r="D30" s="7">
        <v>5146</v>
      </c>
      <c r="E30" s="7">
        <v>1082</v>
      </c>
      <c r="F30" s="7">
        <v>308</v>
      </c>
      <c r="G30" s="7">
        <v>93</v>
      </c>
      <c r="H30" s="7">
        <v>8</v>
      </c>
      <c r="I30" s="9">
        <f>(B30*'Ore Index'!E2)+(C30*'Ore Index'!F2)+(D30*'Ore Index'!G2)+(E30*'Ore Index'!H2)+(F30*'Ore Index'!I2)+(G30*'Ore Index'!J2)+(H30*'Ore Index'!K2)</f>
        <v>1410233.6400000001</v>
      </c>
      <c r="K30" s="9">
        <f t="shared" si="0"/>
        <v>939.17000000000007</v>
      </c>
      <c r="L30" s="7">
        <f>B30/C30</f>
        <v>3.9110961062345262</v>
      </c>
      <c r="M30" s="8">
        <f>(B30*N30)</f>
        <v>71384.716</v>
      </c>
      <c r="N30" s="7">
        <v>1.0269999999999999</v>
      </c>
      <c r="O30" s="7">
        <v>1.0269999999999999</v>
      </c>
      <c r="P30" s="7">
        <v>68834</v>
      </c>
      <c r="Q30" s="7">
        <f>M30/P30</f>
        <v>1.0370560478833135</v>
      </c>
    </row>
    <row r="31" spans="1:17" x14ac:dyDescent="0.2">
      <c r="A31" s="7" t="s">
        <v>339</v>
      </c>
      <c r="B31" s="7">
        <v>69508</v>
      </c>
      <c r="C31" s="7">
        <v>17772</v>
      </c>
      <c r="D31" s="7">
        <v>5146</v>
      </c>
      <c r="E31" s="7">
        <v>1082</v>
      </c>
      <c r="F31" s="7">
        <v>308</v>
      </c>
      <c r="G31" s="7">
        <v>93</v>
      </c>
      <c r="H31" s="7">
        <v>8</v>
      </c>
      <c r="I31" s="9">
        <f>(B31*'Ore Index'!E2)+(C31*'Ore Index'!F2)+(D31*'Ore Index'!G2)+(E31*'Ore Index'!H2)+(F31*'Ore Index'!I2)+(G31*'Ore Index'!J2)+(H31*'Ore Index'!K2)</f>
        <v>1410233.6400000001</v>
      </c>
      <c r="K31" s="9">
        <f t="shared" si="0"/>
        <v>939.17000000000007</v>
      </c>
      <c r="L31" s="7">
        <f>B31/C31</f>
        <v>3.9110961062345262</v>
      </c>
      <c r="M31" s="8">
        <f>(B31*N31)</f>
        <v>71384.716</v>
      </c>
      <c r="N31" s="7">
        <v>1.0269999999999999</v>
      </c>
      <c r="O31" s="7">
        <v>1.0269999999999999</v>
      </c>
      <c r="P31" s="7">
        <v>68834</v>
      </c>
      <c r="Q31" s="7">
        <f>M31/P31</f>
        <v>1.0370560478833135</v>
      </c>
    </row>
    <row r="32" spans="1:17" x14ac:dyDescent="0.2">
      <c r="A32" s="7" t="s">
        <v>338</v>
      </c>
      <c r="B32" s="7">
        <v>69508</v>
      </c>
      <c r="C32" s="7">
        <v>17772</v>
      </c>
      <c r="D32" s="7">
        <v>5146</v>
      </c>
      <c r="E32" s="7">
        <v>1082</v>
      </c>
      <c r="F32" s="7">
        <v>308</v>
      </c>
      <c r="G32" s="7">
        <v>93</v>
      </c>
      <c r="H32" s="7">
        <v>8</v>
      </c>
      <c r="I32" s="9">
        <f>(B32*'Ore Index'!E2)+(C32*'Ore Index'!F2)+(D32*'Ore Index'!G2)+(E32*'Ore Index'!H2)+(F32*'Ore Index'!I2)+(G32*'Ore Index'!J2)+(H32*'Ore Index'!K2)</f>
        <v>1410233.6400000001</v>
      </c>
      <c r="K32" s="9">
        <f t="shared" si="0"/>
        <v>939.17000000000007</v>
      </c>
    </row>
    <row r="33" spans="1:17" x14ac:dyDescent="0.2">
      <c r="A33" s="7" t="s">
        <v>337</v>
      </c>
      <c r="B33" s="7">
        <v>69508</v>
      </c>
      <c r="C33" s="7">
        <v>17772</v>
      </c>
      <c r="D33" s="7">
        <v>5146</v>
      </c>
      <c r="E33" s="7">
        <v>1082</v>
      </c>
      <c r="F33" s="7">
        <v>308</v>
      </c>
      <c r="G33" s="7">
        <v>93</v>
      </c>
      <c r="H33" s="7">
        <v>8</v>
      </c>
      <c r="I33" s="9">
        <f>(B33*'Ore Index'!E2)+(C33*'Ore Index'!F2)+(D33*'Ore Index'!G2)+(E33*'Ore Index'!H2)+(F33*'Ore Index'!I2)+(G33*'Ore Index'!J2)+(H33*'Ore Index'!K2)</f>
        <v>1410233.6400000001</v>
      </c>
      <c r="K33" s="9">
        <f t="shared" si="0"/>
        <v>939.17000000000007</v>
      </c>
    </row>
    <row r="34" spans="1:17" x14ac:dyDescent="0.2">
      <c r="A34" s="7" t="s">
        <v>336</v>
      </c>
      <c r="B34" s="7">
        <v>9509.5</v>
      </c>
      <c r="C34" s="7">
        <v>6270.17</v>
      </c>
      <c r="D34" s="7">
        <v>2247.69</v>
      </c>
      <c r="E34" s="7">
        <v>1</v>
      </c>
      <c r="G34" s="7">
        <v>5</v>
      </c>
      <c r="H34" s="7">
        <v>1</v>
      </c>
      <c r="I34" s="9">
        <f>(B34*'Ore Index'!E2)+(C34*'Ore Index'!F2)+(D34*'Ore Index'!G2)+(E34*'Ore Index'!H2)+(F34*'Ore Index'!I2)+(G34*'Ore Index'!J2)+(H34*'Ore Index'!K2)</f>
        <v>262446.62460000004</v>
      </c>
      <c r="K34" s="9">
        <f t="shared" si="0"/>
        <v>180.34360000000001</v>
      </c>
      <c r="L34" s="7">
        <f t="shared" ref="L34:L46" si="5">B34/C34</f>
        <v>1.5166255460378266</v>
      </c>
      <c r="M34" s="8">
        <f>(B34*N34)</f>
        <v>9766.2564999999995</v>
      </c>
      <c r="N34" s="7">
        <v>1.0269999999999999</v>
      </c>
      <c r="O34" s="7">
        <v>1.0269999999999999</v>
      </c>
      <c r="P34" s="7">
        <v>9418</v>
      </c>
      <c r="Q34" s="7">
        <f>M34/P34</f>
        <v>1.0369777553620725</v>
      </c>
    </row>
    <row r="35" spans="1:17" x14ac:dyDescent="0.2">
      <c r="A35" s="7" t="s">
        <v>335</v>
      </c>
      <c r="B35" s="7">
        <v>9509.5</v>
      </c>
      <c r="C35" s="7">
        <v>6270.17</v>
      </c>
      <c r="D35" s="7">
        <v>2247.69</v>
      </c>
      <c r="E35" s="7">
        <v>1</v>
      </c>
      <c r="G35" s="7">
        <v>5</v>
      </c>
      <c r="H35" s="7">
        <v>1</v>
      </c>
      <c r="I35" s="9">
        <f>(B35*'Ore Index'!E2)+(C35*'Ore Index'!F2)+(D35*'Ore Index'!G2)+(E35*'Ore Index'!H2)+(F35*'Ore Index'!I2)+(G35*'Ore Index'!J2)+(H35*'Ore Index'!K2)</f>
        <v>262446.62460000004</v>
      </c>
      <c r="K35" s="9">
        <f t="shared" si="0"/>
        <v>180.34360000000001</v>
      </c>
      <c r="L35" s="7">
        <f t="shared" si="5"/>
        <v>1.5166255460378266</v>
      </c>
      <c r="M35" s="8">
        <f>(B35*N35)</f>
        <v>9766.2564999999995</v>
      </c>
      <c r="N35" s="7">
        <v>1.0269999999999999</v>
      </c>
      <c r="O35" s="7">
        <v>1.0269999999999999</v>
      </c>
      <c r="P35" s="7">
        <v>9418</v>
      </c>
      <c r="Q35" s="7">
        <f>M35/P35</f>
        <v>1.0369777553620725</v>
      </c>
    </row>
    <row r="36" spans="1:17" x14ac:dyDescent="0.2">
      <c r="A36" s="7" t="s">
        <v>334</v>
      </c>
      <c r="B36" s="7">
        <v>9509.5</v>
      </c>
      <c r="C36" s="7">
        <v>6270.17</v>
      </c>
      <c r="D36" s="7">
        <v>2247.69</v>
      </c>
      <c r="E36" s="7">
        <v>1</v>
      </c>
      <c r="G36" s="7">
        <v>5</v>
      </c>
      <c r="H36" s="7">
        <v>1</v>
      </c>
      <c r="I36" s="9">
        <f>(B36*'Ore Index'!E2)+(C36*'Ore Index'!F2)+(D36*'Ore Index'!G2)+(E36*'Ore Index'!H2)+(F36*'Ore Index'!I2)+(G36*'Ore Index'!J2)+(H36*'Ore Index'!K2)</f>
        <v>262446.62460000004</v>
      </c>
      <c r="K36" s="9">
        <f t="shared" ref="K36:K67" si="6">(B36+C36+D36+E36+F36+G36+H36)*0.01</f>
        <v>180.34360000000001</v>
      </c>
      <c r="L36" s="7">
        <f t="shared" si="5"/>
        <v>1.5166255460378266</v>
      </c>
      <c r="M36" s="8">
        <f>(B36*N36)</f>
        <v>9766.2564999999995</v>
      </c>
      <c r="N36" s="7">
        <v>1.0269999999999999</v>
      </c>
      <c r="O36" s="7">
        <v>1.0269999999999999</v>
      </c>
      <c r="P36" s="7">
        <v>9418</v>
      </c>
      <c r="Q36" s="7">
        <f>M36/P36</f>
        <v>1.0369777553620725</v>
      </c>
    </row>
    <row r="37" spans="1:17" x14ac:dyDescent="0.2">
      <c r="A37" s="7" t="s">
        <v>333</v>
      </c>
      <c r="B37" s="7">
        <v>9509.5</v>
      </c>
      <c r="C37" s="7">
        <v>6270.17</v>
      </c>
      <c r="D37" s="7">
        <v>2247.69</v>
      </c>
      <c r="E37" s="7">
        <v>1</v>
      </c>
      <c r="G37" s="7">
        <v>5</v>
      </c>
      <c r="H37" s="7">
        <v>1</v>
      </c>
      <c r="I37" s="9">
        <f>(B37*'Ore Index'!E2)+(C37*'Ore Index'!F2)+(D37*'Ore Index'!G2)+(E37*'Ore Index'!H2)+(F37*'Ore Index'!I2)+(G37*'Ore Index'!J2)+(H37*'Ore Index'!K2)</f>
        <v>262446.62460000004</v>
      </c>
      <c r="K37" s="9">
        <f t="shared" si="6"/>
        <v>180.34360000000001</v>
      </c>
      <c r="L37" s="7">
        <f t="shared" si="5"/>
        <v>1.5166255460378266</v>
      </c>
    </row>
    <row r="38" spans="1:17" x14ac:dyDescent="0.2">
      <c r="A38" s="7" t="s">
        <v>332</v>
      </c>
      <c r="B38" s="7">
        <v>4066</v>
      </c>
      <c r="C38" s="7">
        <v>1476</v>
      </c>
      <c r="D38" s="7">
        <v>2167</v>
      </c>
      <c r="F38" s="7">
        <v>1</v>
      </c>
      <c r="I38" s="9">
        <f>(B38*'Ore Index'!E2)+(C38*'Ore Index'!F2)+(D38*'Ore Index'!G2)+(E38*'Ore Index'!H2)+(F38*'Ore Index'!I2)+(G38*'Ore Index'!J2)+(H38*'Ore Index'!K2)</f>
        <v>150884.07000000004</v>
      </c>
      <c r="J38" s="7">
        <v>10</v>
      </c>
      <c r="K38" s="9">
        <f t="shared" si="6"/>
        <v>77.100000000000009</v>
      </c>
      <c r="L38" s="7">
        <f t="shared" si="5"/>
        <v>2.7547425474254741</v>
      </c>
      <c r="M38" s="8">
        <f>(B38*N38)</f>
        <v>4175.7819999999992</v>
      </c>
      <c r="N38" s="7">
        <v>1.0269999999999999</v>
      </c>
      <c r="O38" s="7">
        <v>1.0269999999999999</v>
      </c>
      <c r="P38" s="7">
        <v>4027</v>
      </c>
      <c r="Q38" s="7">
        <f>M38/P38</f>
        <v>1.0369461137323068</v>
      </c>
    </row>
    <row r="39" spans="1:17" x14ac:dyDescent="0.2">
      <c r="A39" s="7" t="s">
        <v>331</v>
      </c>
      <c r="B39" s="7">
        <v>51125</v>
      </c>
      <c r="C39" s="7">
        <v>13115</v>
      </c>
      <c r="D39" s="7">
        <v>4376</v>
      </c>
      <c r="E39" s="7">
        <v>1189</v>
      </c>
      <c r="F39" s="7">
        <v>185</v>
      </c>
      <c r="G39" s="7">
        <v>9</v>
      </c>
      <c r="H39" s="7">
        <v>16</v>
      </c>
      <c r="I39" s="9">
        <f>(B39*'Ore Index'!E2)+(C39*'Ore Index'!F2)+(D39*'Ore Index'!G2)+(E39*'Ore Index'!H2)+(F39*'Ore Index'!I2)+(G39*'Ore Index'!J2)+(H39*'Ore Index'!K2)</f>
        <v>1070604.31</v>
      </c>
      <c r="K39" s="9">
        <f t="shared" si="6"/>
        <v>700.15</v>
      </c>
      <c r="L39" s="7">
        <f t="shared" si="5"/>
        <v>3.8982081585970265</v>
      </c>
      <c r="M39" s="8">
        <f>(B39*N39)</f>
        <v>52505.374999999993</v>
      </c>
      <c r="N39" s="7">
        <v>1.0269999999999999</v>
      </c>
      <c r="O39" s="7">
        <v>1.0269999999999999</v>
      </c>
      <c r="P39" s="7">
        <v>50630</v>
      </c>
      <c r="Q39" s="7">
        <f>M39/P39</f>
        <v>1.0370407860952002</v>
      </c>
    </row>
    <row r="40" spans="1:17" x14ac:dyDescent="0.2">
      <c r="A40" s="7" t="s">
        <v>330</v>
      </c>
      <c r="B40" s="7">
        <v>51125</v>
      </c>
      <c r="C40" s="7">
        <v>13115</v>
      </c>
      <c r="D40" s="7">
        <v>4376</v>
      </c>
      <c r="E40" s="7">
        <v>1189</v>
      </c>
      <c r="F40" s="7">
        <v>185</v>
      </c>
      <c r="G40" s="7">
        <v>9</v>
      </c>
      <c r="H40" s="7">
        <v>16</v>
      </c>
      <c r="I40" s="9">
        <f>(B40*'Ore Index'!E2)+(C40*'Ore Index'!F2)+(D40*'Ore Index'!G2)+(E40*'Ore Index'!H2)+(F40*'Ore Index'!I2)+(G40*'Ore Index'!J2)+(H40*'Ore Index'!K2)</f>
        <v>1070604.31</v>
      </c>
      <c r="K40" s="9">
        <f t="shared" si="6"/>
        <v>700.15</v>
      </c>
      <c r="L40" s="7">
        <f t="shared" si="5"/>
        <v>3.8982081585970265</v>
      </c>
      <c r="M40" s="8">
        <f>(B40*N40)</f>
        <v>52505.374999999993</v>
      </c>
      <c r="N40" s="7">
        <v>1.0269999999999999</v>
      </c>
      <c r="O40" s="7">
        <v>1.0269999999999999</v>
      </c>
      <c r="P40" s="7">
        <v>50630</v>
      </c>
      <c r="Q40" s="7">
        <f>M40/P40</f>
        <v>1.0370407860952002</v>
      </c>
    </row>
    <row r="41" spans="1:17" x14ac:dyDescent="0.2">
      <c r="A41" s="7" t="s">
        <v>329</v>
      </c>
      <c r="B41" s="7">
        <v>51125</v>
      </c>
      <c r="C41" s="7">
        <v>13115</v>
      </c>
      <c r="D41" s="7">
        <v>4376</v>
      </c>
      <c r="E41" s="7">
        <v>1189</v>
      </c>
      <c r="F41" s="7">
        <v>183</v>
      </c>
      <c r="G41" s="7">
        <v>9</v>
      </c>
      <c r="H41" s="7">
        <v>16</v>
      </c>
      <c r="I41" s="9">
        <f>(B41*'Ore Index'!E2)+(C41*'Ore Index'!F2)+(D41*'Ore Index'!G2)+(E41*'Ore Index'!H2)+(F41*'Ore Index'!I2)+(G41*'Ore Index'!J2)+(H41*'Ore Index'!K2)</f>
        <v>1068986.73</v>
      </c>
      <c r="K41" s="9">
        <f t="shared" si="6"/>
        <v>700.13</v>
      </c>
      <c r="L41" s="7">
        <f t="shared" si="5"/>
        <v>3.8982081585970265</v>
      </c>
    </row>
    <row r="42" spans="1:17" x14ac:dyDescent="0.2">
      <c r="A42" s="7" t="s">
        <v>328</v>
      </c>
      <c r="B42" s="7">
        <v>2032</v>
      </c>
      <c r="C42" s="7">
        <v>737</v>
      </c>
      <c r="D42" s="7">
        <v>1083</v>
      </c>
      <c r="I42" s="9">
        <f>(B42*'Ore Index'!E2)+(C42*'Ore Index'!F2)+(D42*'Ore Index'!G2)+(E42*'Ore Index'!H2)+(F42*'Ore Index'!I2)+(G42*'Ore Index'!J2)+(H42*'Ore Index'!K2)</f>
        <v>74992.94</v>
      </c>
      <c r="K42" s="9">
        <f t="shared" si="6"/>
        <v>38.520000000000003</v>
      </c>
      <c r="L42" s="7">
        <f t="shared" si="5"/>
        <v>2.7571234735413839</v>
      </c>
    </row>
    <row r="43" spans="1:17" x14ac:dyDescent="0.2">
      <c r="A43" s="7" t="s">
        <v>327</v>
      </c>
      <c r="B43" s="7">
        <v>1334</v>
      </c>
      <c r="C43" s="7">
        <v>1334</v>
      </c>
      <c r="D43" s="7">
        <v>1334</v>
      </c>
      <c r="E43" s="7">
        <v>1334</v>
      </c>
      <c r="G43" s="7">
        <v>45</v>
      </c>
      <c r="H43" s="7">
        <v>22</v>
      </c>
      <c r="I43" s="9">
        <f>(B43*'Ore Index'!E2)+(C43*'Ore Index'!F2)+(D43*'Ore Index'!G2)+(E43*'Ore Index'!H2)+(F43*'Ore Index'!I2)+(G43*'Ore Index'!J2)+(H43*'Ore Index'!K2)</f>
        <v>381593.89999999997</v>
      </c>
      <c r="K43" s="9">
        <f t="shared" si="6"/>
        <v>54.03</v>
      </c>
      <c r="L43" s="7">
        <f t="shared" si="5"/>
        <v>1</v>
      </c>
    </row>
    <row r="44" spans="1:17" x14ac:dyDescent="0.2">
      <c r="A44" s="7" t="s">
        <v>326</v>
      </c>
      <c r="B44" s="7">
        <v>8081</v>
      </c>
      <c r="C44" s="7">
        <v>2412</v>
      </c>
      <c r="D44" s="7">
        <v>2447</v>
      </c>
      <c r="E44" s="7">
        <v>13</v>
      </c>
      <c r="F44" s="7">
        <v>1</v>
      </c>
      <c r="I44" s="9">
        <f>(B44*'Ore Index'!E2)+(C44*'Ore Index'!F2)+(D44*'Ore Index'!G2)+(E44*'Ore Index'!H2)+(F44*'Ore Index'!I2)+(G44*'Ore Index'!J2)+(H44*'Ore Index'!K2)</f>
        <v>203056.05000000002</v>
      </c>
      <c r="J44" s="7">
        <v>25</v>
      </c>
      <c r="K44" s="9">
        <f t="shared" si="6"/>
        <v>129.54</v>
      </c>
      <c r="L44" s="7">
        <f t="shared" si="5"/>
        <v>3.3503316749585408</v>
      </c>
      <c r="M44" s="8">
        <f>(B44*N44)</f>
        <v>8299.1869999999999</v>
      </c>
      <c r="N44" s="7">
        <v>1.0269999999999999</v>
      </c>
      <c r="O44" s="7">
        <v>1.0269999999999999</v>
      </c>
      <c r="P44" s="7">
        <v>8081</v>
      </c>
      <c r="Q44" s="7">
        <f>M44/P44</f>
        <v>1.0269999999999999</v>
      </c>
    </row>
    <row r="45" spans="1:17" x14ac:dyDescent="0.2">
      <c r="A45" s="7" t="s">
        <v>325</v>
      </c>
      <c r="B45" s="7">
        <v>4041</v>
      </c>
      <c r="C45" s="7">
        <v>1238</v>
      </c>
      <c r="D45" s="7">
        <v>1257</v>
      </c>
      <c r="E45" s="7">
        <v>6</v>
      </c>
      <c r="I45" s="9">
        <f>(B45*'Ore Index'!E2)+(C45*'Ore Index'!F2)+(D45*'Ore Index'!G2)+(E45*'Ore Index'!H2)+(F45*'Ore Index'!I2)+(G45*'Ore Index'!J2)+(H45*'Ore Index'!K2)</f>
        <v>103150.34000000001</v>
      </c>
      <c r="K45" s="9">
        <f t="shared" si="6"/>
        <v>65.42</v>
      </c>
      <c r="L45" s="7">
        <f t="shared" si="5"/>
        <v>3.2641357027463651</v>
      </c>
    </row>
    <row r="46" spans="1:17" x14ac:dyDescent="0.2">
      <c r="A46" s="7" t="s">
        <v>324</v>
      </c>
      <c r="B46" s="7">
        <v>8200</v>
      </c>
      <c r="C46" s="7">
        <v>2676.67</v>
      </c>
      <c r="D46" s="7">
        <v>3231.35</v>
      </c>
      <c r="E46" s="7">
        <v>2</v>
      </c>
      <c r="F46" s="7">
        <v>16</v>
      </c>
      <c r="I46" s="9">
        <f>(B46*'Ore Index'!E2)+(C46*'Ore Index'!F2)+(D46*'Ore Index'!G2)+(E46*'Ore Index'!H2)+(F46*'Ore Index'!I2)+(G46*'Ore Index'!J2)+(H46*'Ore Index'!K2)</f>
        <v>256212.81780000002</v>
      </c>
      <c r="J46" s="7">
        <v>25</v>
      </c>
      <c r="K46" s="9">
        <f t="shared" si="6"/>
        <v>141.2602</v>
      </c>
      <c r="L46" s="7">
        <f t="shared" si="5"/>
        <v>3.0635080155566432</v>
      </c>
      <c r="M46" s="8">
        <f>(B46*N46)</f>
        <v>8421.4</v>
      </c>
      <c r="N46" s="7">
        <v>1.0269999999999999</v>
      </c>
      <c r="O46" s="7">
        <v>1.0269999999999999</v>
      </c>
      <c r="P46" s="7">
        <v>8122</v>
      </c>
      <c r="Q46" s="7">
        <f>M46/P46</f>
        <v>1.0368628416646146</v>
      </c>
    </row>
    <row r="47" spans="1:17" x14ac:dyDescent="0.2">
      <c r="A47" s="7" t="s">
        <v>323</v>
      </c>
      <c r="B47" s="7">
        <v>30655</v>
      </c>
      <c r="C47" s="7">
        <v>8005</v>
      </c>
      <c r="D47" s="7">
        <v>3229</v>
      </c>
      <c r="E47" s="7">
        <v>876</v>
      </c>
      <c r="F47" s="7">
        <v>105</v>
      </c>
      <c r="G47" s="7">
        <v>2</v>
      </c>
      <c r="H47" s="7">
        <v>6</v>
      </c>
      <c r="I47" s="9">
        <f>(B47*'Ore Index'!E2)+(C47*'Ore Index'!F2)+(D47*'Ore Index'!G2)+(E47*'Ore Index'!H2)+(F47*'Ore Index'!I2)+(G47*'Ore Index'!J2)+(H47*'Ore Index'!K2)</f>
        <v>680212.33</v>
      </c>
      <c r="K47" s="9">
        <f t="shared" si="6"/>
        <v>428.78000000000003</v>
      </c>
    </row>
    <row r="48" spans="1:17" x14ac:dyDescent="0.2">
      <c r="A48" s="7" t="s">
        <v>322</v>
      </c>
      <c r="B48" s="7">
        <v>30655</v>
      </c>
      <c r="C48" s="7">
        <v>8005</v>
      </c>
      <c r="D48" s="7">
        <v>3229</v>
      </c>
      <c r="E48" s="7">
        <v>876</v>
      </c>
      <c r="F48" s="7">
        <v>105</v>
      </c>
      <c r="G48" s="7">
        <v>2</v>
      </c>
      <c r="H48" s="7">
        <v>6</v>
      </c>
      <c r="I48" s="9">
        <f>(B48*'Ore Index'!E2)+(C48*'Ore Index'!F2)+(D48*'Ore Index'!G2)+(E48*'Ore Index'!H2)+(F48*'Ore Index'!I2)+(G48*'Ore Index'!J2)+(H48*'Ore Index'!K2)</f>
        <v>680212.33</v>
      </c>
      <c r="K48" s="9">
        <f t="shared" si="6"/>
        <v>428.78000000000003</v>
      </c>
    </row>
    <row r="49" spans="1:17" x14ac:dyDescent="0.2">
      <c r="A49" s="7" t="s">
        <v>321</v>
      </c>
      <c r="B49" s="7">
        <v>30655</v>
      </c>
      <c r="C49" s="7">
        <v>8005</v>
      </c>
      <c r="D49" s="7">
        <v>3229</v>
      </c>
      <c r="E49" s="7">
        <v>876</v>
      </c>
      <c r="F49" s="7">
        <v>105</v>
      </c>
      <c r="G49" s="7">
        <v>2</v>
      </c>
      <c r="H49" s="7">
        <v>6</v>
      </c>
      <c r="I49" s="9">
        <f>(B49*'Ore Index'!E2)+(C49*'Ore Index'!F2)+(D49*'Ore Index'!G2)+(E49*'Ore Index'!H2)+(F49*'Ore Index'!I2)+(G49*'Ore Index'!J2)+(H49*'Ore Index'!K2)</f>
        <v>680212.33</v>
      </c>
      <c r="K49" s="9">
        <f t="shared" si="6"/>
        <v>428.78000000000003</v>
      </c>
    </row>
    <row r="50" spans="1:17" x14ac:dyDescent="0.2">
      <c r="A50" s="7" t="s">
        <v>320</v>
      </c>
      <c r="B50" s="7">
        <v>10970</v>
      </c>
      <c r="C50" s="7">
        <v>10410</v>
      </c>
      <c r="D50" s="7">
        <v>7506</v>
      </c>
      <c r="E50" s="7">
        <v>208</v>
      </c>
      <c r="F50" s="7">
        <v>5</v>
      </c>
      <c r="H50" s="7">
        <v>3</v>
      </c>
      <c r="I50" s="9">
        <f>(B50*'Ore Index'!E2)+(C50*'Ore Index'!F2)+(D50*'Ore Index'!G2)+(E50*'Ore Index'!H2)+(F50*'Ore Index'!I2)+(G50*'Ore Index'!J2)+(H50*'Ore Index'!K2)</f>
        <v>622672.62</v>
      </c>
      <c r="K50" s="9">
        <f t="shared" si="6"/>
        <v>291.02</v>
      </c>
      <c r="L50" s="7">
        <f t="shared" ref="L50:L55" si="7">B50/C50</f>
        <v>1.0537944284341978</v>
      </c>
      <c r="M50" s="8">
        <f t="shared" ref="M50:M55" si="8">(B50*N50)</f>
        <v>11266.189999999999</v>
      </c>
      <c r="N50" s="7">
        <v>1.0269999999999999</v>
      </c>
      <c r="O50" s="7">
        <v>1.0269999999999999</v>
      </c>
      <c r="P50" s="7">
        <v>10864</v>
      </c>
      <c r="Q50" s="7">
        <f t="shared" ref="Q50:Q55" si="9">M50/P50</f>
        <v>1.0370204344624447</v>
      </c>
    </row>
    <row r="51" spans="1:17" x14ac:dyDescent="0.2">
      <c r="A51" s="7" t="s">
        <v>319</v>
      </c>
      <c r="B51" s="7">
        <v>10970</v>
      </c>
      <c r="C51" s="7">
        <v>10410</v>
      </c>
      <c r="D51" s="7">
        <v>7506</v>
      </c>
      <c r="E51" s="7">
        <v>208</v>
      </c>
      <c r="F51" s="7">
        <v>5</v>
      </c>
      <c r="H51" s="7">
        <v>3</v>
      </c>
      <c r="I51" s="9">
        <f>(B51*'Ore Index'!E2)+(C51*'Ore Index'!F2)+(D51*'Ore Index'!G2)+(E51*'Ore Index'!H2)+(F51*'Ore Index'!I2)+(G51*'Ore Index'!J2)+(H51*'Ore Index'!K2)</f>
        <v>622672.62</v>
      </c>
      <c r="K51" s="9">
        <f t="shared" si="6"/>
        <v>291.02</v>
      </c>
      <c r="L51" s="7">
        <f t="shared" si="7"/>
        <v>1.0537944284341978</v>
      </c>
      <c r="M51" s="8">
        <f t="shared" si="8"/>
        <v>11266.189999999999</v>
      </c>
      <c r="N51" s="7">
        <v>1.0269999999999999</v>
      </c>
      <c r="O51" s="7">
        <v>1.0269999999999999</v>
      </c>
      <c r="P51" s="7">
        <v>10864</v>
      </c>
      <c r="Q51" s="7">
        <f t="shared" si="9"/>
        <v>1.0370204344624447</v>
      </c>
    </row>
    <row r="52" spans="1:17" x14ac:dyDescent="0.2">
      <c r="A52" s="7" t="s">
        <v>318</v>
      </c>
      <c r="B52" s="7">
        <v>10970</v>
      </c>
      <c r="C52" s="7">
        <v>10410</v>
      </c>
      <c r="D52" s="7">
        <v>7506</v>
      </c>
      <c r="E52" s="7">
        <v>208</v>
      </c>
      <c r="F52" s="7">
        <v>5</v>
      </c>
      <c r="H52" s="7">
        <v>3</v>
      </c>
      <c r="I52" s="9">
        <f>(B52*'Ore Index'!E2)+(C52*'Ore Index'!F2)+(D52*'Ore Index'!G2)+(E52*'Ore Index'!H2)+(F52*'Ore Index'!I2)+(G52*'Ore Index'!J2)+(H52*'Ore Index'!K2)</f>
        <v>622672.62</v>
      </c>
      <c r="J52" s="7">
        <v>50</v>
      </c>
      <c r="K52" s="9">
        <f t="shared" si="6"/>
        <v>291.02</v>
      </c>
      <c r="L52" s="7">
        <f t="shared" si="7"/>
        <v>1.0537944284341978</v>
      </c>
      <c r="M52" s="8">
        <f t="shared" si="8"/>
        <v>11266.189999999999</v>
      </c>
      <c r="N52" s="7">
        <v>1.0269999999999999</v>
      </c>
      <c r="O52" s="7">
        <v>1.0269999999999999</v>
      </c>
      <c r="P52" s="7">
        <v>10864</v>
      </c>
      <c r="Q52" s="7">
        <f t="shared" si="9"/>
        <v>1.0370204344624447</v>
      </c>
    </row>
    <row r="53" spans="1:17" x14ac:dyDescent="0.2">
      <c r="A53" s="7" t="s">
        <v>317</v>
      </c>
      <c r="B53" s="7">
        <v>10970</v>
      </c>
      <c r="C53" s="7">
        <v>10410</v>
      </c>
      <c r="D53" s="7">
        <v>7506</v>
      </c>
      <c r="E53" s="7">
        <v>208</v>
      </c>
      <c r="F53" s="7">
        <v>5</v>
      </c>
      <c r="H53" s="7">
        <v>3</v>
      </c>
      <c r="I53" s="9">
        <f>(B53*'Ore Index'!E2)+(C53*'Ore Index'!F2)+(D53*'Ore Index'!G2)+(E53*'Ore Index'!H2)+(F53*'Ore Index'!I2)+(G53*'Ore Index'!J2)+(H53*'Ore Index'!K2)</f>
        <v>622672.62</v>
      </c>
      <c r="K53" s="9">
        <f t="shared" si="6"/>
        <v>291.02</v>
      </c>
      <c r="L53" s="7">
        <f t="shared" si="7"/>
        <v>1.0537944284341978</v>
      </c>
      <c r="M53" s="8">
        <f t="shared" si="8"/>
        <v>11266.189999999999</v>
      </c>
      <c r="N53" s="7">
        <v>1.0269999999999999</v>
      </c>
      <c r="O53" s="7">
        <v>1.0269999999999999</v>
      </c>
      <c r="P53" s="7">
        <v>10864</v>
      </c>
      <c r="Q53" s="7">
        <f t="shared" si="9"/>
        <v>1.0370204344624447</v>
      </c>
    </row>
    <row r="54" spans="1:17" x14ac:dyDescent="0.2">
      <c r="A54" s="7" t="s">
        <v>316</v>
      </c>
      <c r="B54" s="7">
        <v>10970</v>
      </c>
      <c r="C54" s="7">
        <v>10410</v>
      </c>
      <c r="D54" s="7">
        <v>7506</v>
      </c>
      <c r="E54" s="7">
        <v>208</v>
      </c>
      <c r="F54" s="7">
        <v>5</v>
      </c>
      <c r="H54" s="7">
        <v>3</v>
      </c>
      <c r="I54" s="9">
        <f>(B54*'Ore Index'!E2)+(C54*'Ore Index'!F2)+(D54*'Ore Index'!G2)+(E54*'Ore Index'!H2)+(F54*'Ore Index'!I2)+(G54*'Ore Index'!J2)+(H54*'Ore Index'!K2)</f>
        <v>622672.62</v>
      </c>
      <c r="K54" s="9">
        <f t="shared" si="6"/>
        <v>291.02</v>
      </c>
      <c r="L54" s="7">
        <f t="shared" si="7"/>
        <v>1.0537944284341978</v>
      </c>
      <c r="M54" s="8">
        <f t="shared" si="8"/>
        <v>11266.189999999999</v>
      </c>
      <c r="N54" s="7">
        <v>1.0269999999999999</v>
      </c>
      <c r="O54" s="7">
        <v>1.0269999999999999</v>
      </c>
      <c r="P54" s="7">
        <v>10864</v>
      </c>
      <c r="Q54" s="7">
        <f t="shared" si="9"/>
        <v>1.0370204344624447</v>
      </c>
    </row>
    <row r="55" spans="1:17" x14ac:dyDescent="0.2">
      <c r="A55" s="7" t="s">
        <v>315</v>
      </c>
      <c r="B55" s="7">
        <v>60737</v>
      </c>
      <c r="C55" s="7">
        <v>15445</v>
      </c>
      <c r="D55" s="7">
        <v>6231</v>
      </c>
      <c r="E55" s="7">
        <v>1689</v>
      </c>
      <c r="F55" s="7">
        <v>203</v>
      </c>
      <c r="G55" s="7">
        <v>5</v>
      </c>
      <c r="H55" s="7">
        <v>12</v>
      </c>
      <c r="I55" s="9">
        <f>(B55*'Ore Index'!E2)+(C55*'Ore Index'!F2)+(D55*'Ore Index'!G2)+(E55*'Ore Index'!H2)+(F55*'Ore Index'!I2)+(G55*'Ore Index'!J2)+(H55*'Ore Index'!K2)</f>
        <v>1323716.6500000001</v>
      </c>
      <c r="K55" s="9">
        <f t="shared" si="6"/>
        <v>843.22</v>
      </c>
      <c r="L55" s="7">
        <f t="shared" si="7"/>
        <v>3.9324700550339915</v>
      </c>
      <c r="M55" s="8">
        <f t="shared" si="8"/>
        <v>62376.898999999998</v>
      </c>
      <c r="N55" s="7">
        <v>1.0269999999999999</v>
      </c>
      <c r="O55" s="7">
        <v>1.0269999999999999</v>
      </c>
      <c r="P55" s="7">
        <v>60737</v>
      </c>
      <c r="Q55" s="7">
        <f t="shared" si="9"/>
        <v>1.0269999999999999</v>
      </c>
    </row>
    <row r="56" spans="1:17" x14ac:dyDescent="0.2">
      <c r="A56" s="7" t="s">
        <v>314</v>
      </c>
      <c r="B56" s="7">
        <v>81739</v>
      </c>
      <c r="C56" s="7">
        <v>21117</v>
      </c>
      <c r="D56" s="7">
        <v>7731</v>
      </c>
      <c r="E56" s="7">
        <v>2059</v>
      </c>
      <c r="F56" s="7">
        <v>291</v>
      </c>
      <c r="G56" s="7">
        <v>8</v>
      </c>
      <c r="H56" s="7">
        <v>23</v>
      </c>
      <c r="I56" s="9">
        <f>(B56*'Ore Index'!E2)+(C56*'Ore Index'!F2)+(D56*'Ore Index'!G2)+(E56*'Ore Index'!H2)+(F56*'Ore Index'!I2)+(G56*'Ore Index'!J2)+(H56*'Ore Index'!K2)</f>
        <v>1756877.92</v>
      </c>
      <c r="K56" s="9">
        <f t="shared" si="6"/>
        <v>1129.68</v>
      </c>
    </row>
    <row r="57" spans="1:17" x14ac:dyDescent="0.2">
      <c r="A57" s="7" t="s">
        <v>313</v>
      </c>
      <c r="B57" s="7">
        <v>40869</v>
      </c>
      <c r="C57" s="7">
        <v>10558</v>
      </c>
      <c r="D57" s="7">
        <v>3866</v>
      </c>
      <c r="E57" s="7">
        <v>1029</v>
      </c>
      <c r="F57" s="7">
        <v>146</v>
      </c>
      <c r="G57" s="7">
        <v>4</v>
      </c>
      <c r="H57" s="7">
        <v>11</v>
      </c>
      <c r="I57" s="9">
        <f>(B57*'Ore Index'!E2)+(C57*'Ore Index'!F2)+(D57*'Ore Index'!G2)+(E57*'Ore Index'!H2)+(F57*'Ore Index'!I2)+(G57*'Ore Index'!J2)+(H57*'Ore Index'!K2)</f>
        <v>877451.2699999999</v>
      </c>
      <c r="K57" s="9">
        <f t="shared" si="6"/>
        <v>564.83000000000004</v>
      </c>
    </row>
    <row r="58" spans="1:17" x14ac:dyDescent="0.2">
      <c r="A58" s="7" t="s">
        <v>312</v>
      </c>
      <c r="B58" s="7">
        <v>40869</v>
      </c>
      <c r="C58" s="7">
        <v>10558</v>
      </c>
      <c r="D58" s="7">
        <v>3866</v>
      </c>
      <c r="E58" s="7">
        <v>1029</v>
      </c>
      <c r="F58" s="7">
        <v>146</v>
      </c>
      <c r="G58" s="7">
        <v>4</v>
      </c>
      <c r="H58" s="7">
        <v>11</v>
      </c>
      <c r="I58" s="9">
        <f>(B58*'Ore Index'!E2)+(C58*'Ore Index'!F2)+(D58*'Ore Index'!G2)+(E58*'Ore Index'!H2)+(F58*'Ore Index'!I2)+(G58*'Ore Index'!J2)+(H58*'Ore Index'!K2)</f>
        <v>877451.2699999999</v>
      </c>
      <c r="K58" s="9">
        <f t="shared" si="6"/>
        <v>564.83000000000004</v>
      </c>
    </row>
    <row r="59" spans="1:17" x14ac:dyDescent="0.2">
      <c r="A59" s="7" t="s">
        <v>311</v>
      </c>
      <c r="B59" s="7">
        <v>40869</v>
      </c>
      <c r="C59" s="7">
        <v>10558</v>
      </c>
      <c r="D59" s="7">
        <v>3866</v>
      </c>
      <c r="E59" s="7">
        <v>1029</v>
      </c>
      <c r="F59" s="7">
        <v>146</v>
      </c>
      <c r="G59" s="7">
        <v>4</v>
      </c>
      <c r="H59" s="7">
        <v>11</v>
      </c>
      <c r="I59" s="9">
        <f>(B59*'Ore Index'!E2)+(C59*'Ore Index'!F2)+(D59*'Ore Index'!G2)+(E59*'Ore Index'!H2)+(F59*'Ore Index'!I2)+(G59*'Ore Index'!J2)+(H59*'Ore Index'!K2)</f>
        <v>877451.2699999999</v>
      </c>
      <c r="K59" s="9">
        <f t="shared" si="6"/>
        <v>564.83000000000004</v>
      </c>
    </row>
    <row r="60" spans="1:17" x14ac:dyDescent="0.2">
      <c r="A60" s="7" t="s">
        <v>310</v>
      </c>
      <c r="B60" s="7">
        <v>50636</v>
      </c>
      <c r="C60" s="7">
        <v>12990</v>
      </c>
      <c r="D60" s="7">
        <v>4334</v>
      </c>
      <c r="E60" s="7">
        <v>1178</v>
      </c>
      <c r="F60" s="7">
        <v>183</v>
      </c>
      <c r="G60" s="7">
        <v>9</v>
      </c>
      <c r="H60" s="7">
        <v>16</v>
      </c>
      <c r="I60" s="9">
        <f>(B60*'Ore Index'!E2)+(C60*'Ore Index'!F2)+(D60*'Ore Index'!G2)+(E60*'Ore Index'!H2)+(F60*'Ore Index'!I2)+(G60*'Ore Index'!J2)+(H60*'Ore Index'!K2)</f>
        <v>1060707.8100000003</v>
      </c>
      <c r="K60" s="9">
        <f t="shared" si="6"/>
        <v>693.46</v>
      </c>
      <c r="L60" s="7">
        <f t="shared" ref="L60:L73" si="10">B60/C60</f>
        <v>3.8980754426481909</v>
      </c>
    </row>
    <row r="61" spans="1:17" x14ac:dyDescent="0.2">
      <c r="A61" s="7" t="s">
        <v>309</v>
      </c>
      <c r="B61" s="7">
        <v>50636</v>
      </c>
      <c r="C61" s="7">
        <v>12990</v>
      </c>
      <c r="D61" s="7">
        <v>4334</v>
      </c>
      <c r="E61" s="7">
        <v>1178</v>
      </c>
      <c r="F61" s="7">
        <v>183</v>
      </c>
      <c r="G61" s="7">
        <v>9</v>
      </c>
      <c r="H61" s="7">
        <v>16</v>
      </c>
      <c r="I61" s="9">
        <f>(B61*'Ore Index'!E2)+(C61*'Ore Index'!F2)+(D61*'Ore Index'!G2)+(E61*'Ore Index'!H2)+(F61*'Ore Index'!I2)+(G61*'Ore Index'!J2)+(H61*'Ore Index'!K2)</f>
        <v>1060707.8100000003</v>
      </c>
      <c r="K61" s="9">
        <f t="shared" si="6"/>
        <v>693.46</v>
      </c>
      <c r="L61" s="7">
        <f t="shared" si="10"/>
        <v>3.8980754426481909</v>
      </c>
    </row>
    <row r="62" spans="1:17" x14ac:dyDescent="0.2">
      <c r="A62" s="7" t="s">
        <v>308</v>
      </c>
      <c r="B62" s="7">
        <v>101272</v>
      </c>
      <c r="C62" s="7">
        <v>25980</v>
      </c>
      <c r="D62" s="7">
        <v>8668</v>
      </c>
      <c r="E62" s="7">
        <v>2357</v>
      </c>
      <c r="F62" s="7">
        <v>366</v>
      </c>
      <c r="G62" s="7">
        <v>19</v>
      </c>
      <c r="H62" s="7">
        <v>33</v>
      </c>
      <c r="I62" s="9">
        <f>(B62*'Ore Index'!E2)+(C62*'Ore Index'!F2)+(D62*'Ore Index'!G2)+(E62*'Ore Index'!H2)+(F62*'Ore Index'!I2)+(G62*'Ore Index'!J2)+(H62*'Ore Index'!K2)</f>
        <v>2125017.8700000006</v>
      </c>
      <c r="K62" s="9">
        <f t="shared" si="6"/>
        <v>1386.95</v>
      </c>
      <c r="L62" s="7">
        <f t="shared" si="10"/>
        <v>3.8980754426481909</v>
      </c>
    </row>
    <row r="63" spans="1:17" x14ac:dyDescent="0.2">
      <c r="A63" s="7" t="s">
        <v>307</v>
      </c>
      <c r="B63" s="7">
        <v>17004</v>
      </c>
      <c r="C63" s="7">
        <v>16173</v>
      </c>
      <c r="D63" s="7">
        <v>12228</v>
      </c>
      <c r="E63" s="7">
        <v>787</v>
      </c>
      <c r="G63" s="7">
        <v>1</v>
      </c>
      <c r="H63" s="7">
        <v>5</v>
      </c>
      <c r="I63" s="9">
        <f>(B63*'Ore Index'!E2)+(C63*'Ore Index'!F2)+(D63*'Ore Index'!G2)+(E63*'Ore Index'!H2)+(F63*'Ore Index'!I2)+(G63*'Ore Index'!J2)+(H63*'Ore Index'!K2)</f>
        <v>1058013.9900000002</v>
      </c>
      <c r="K63" s="9">
        <f t="shared" si="6"/>
        <v>461.98</v>
      </c>
      <c r="L63" s="7">
        <f t="shared" si="10"/>
        <v>1.0513819328510481</v>
      </c>
      <c r="M63" s="8">
        <f>(B63*N63)</f>
        <v>17463.108</v>
      </c>
      <c r="N63" s="7">
        <v>1.0269999999999999</v>
      </c>
      <c r="O63" s="7">
        <v>1.0269999999999999</v>
      </c>
      <c r="P63" s="7">
        <v>16839</v>
      </c>
      <c r="Q63" s="7">
        <f>M63/P63</f>
        <v>1.0370632460359879</v>
      </c>
    </row>
    <row r="64" spans="1:17" x14ac:dyDescent="0.2">
      <c r="A64" s="7" t="s">
        <v>306</v>
      </c>
      <c r="B64" s="7">
        <v>17004</v>
      </c>
      <c r="C64" s="7">
        <v>16173</v>
      </c>
      <c r="D64" s="7">
        <v>12228</v>
      </c>
      <c r="E64" s="7">
        <v>787</v>
      </c>
      <c r="G64" s="7">
        <v>1</v>
      </c>
      <c r="H64" s="7">
        <v>5</v>
      </c>
      <c r="I64" s="9">
        <f>(B64*'Ore Index'!E2)+(C64*'Ore Index'!F2)+(D64*'Ore Index'!G2)+(E64*'Ore Index'!H2)+(F64*'Ore Index'!I2)+(G64*'Ore Index'!J2)+(H64*'Ore Index'!K2)</f>
        <v>1058013.9900000002</v>
      </c>
      <c r="K64" s="9">
        <f t="shared" si="6"/>
        <v>461.98</v>
      </c>
      <c r="L64" s="7">
        <f t="shared" si="10"/>
        <v>1.0513819328510481</v>
      </c>
      <c r="M64" s="8">
        <f>(B64*N64)</f>
        <v>17463.108</v>
      </c>
      <c r="N64" s="7">
        <v>1.0269999999999999</v>
      </c>
      <c r="O64" s="7">
        <v>1.0269999999999999</v>
      </c>
      <c r="P64" s="7">
        <v>16839</v>
      </c>
      <c r="Q64" s="7">
        <f>M64/P64</f>
        <v>1.0370632460359879</v>
      </c>
    </row>
    <row r="65" spans="1:17" x14ac:dyDescent="0.2">
      <c r="A65" s="7" t="s">
        <v>305</v>
      </c>
      <c r="B65" s="7">
        <v>17004</v>
      </c>
      <c r="C65" s="7">
        <v>16173</v>
      </c>
      <c r="D65" s="7">
        <v>12228</v>
      </c>
      <c r="E65" s="7">
        <v>787</v>
      </c>
      <c r="G65" s="7">
        <v>1</v>
      </c>
      <c r="H65" s="7">
        <v>5</v>
      </c>
      <c r="I65" s="9">
        <f>(B65*'Ore Index'!E2)+(C65*'Ore Index'!F2)+(D65*'Ore Index'!G2)+(E65*'Ore Index'!H2)+(F65*'Ore Index'!I2)+(G65*'Ore Index'!J2)+(H65*'Ore Index'!K2)</f>
        <v>1058013.9900000002</v>
      </c>
      <c r="K65" s="9">
        <f t="shared" si="6"/>
        <v>461.98</v>
      </c>
      <c r="L65" s="7">
        <f t="shared" si="10"/>
        <v>1.0513819328510481</v>
      </c>
    </row>
    <row r="66" spans="1:17" x14ac:dyDescent="0.2">
      <c r="A66" s="7" t="s">
        <v>304</v>
      </c>
      <c r="B66" s="7">
        <v>17004</v>
      </c>
      <c r="C66" s="7">
        <v>16173</v>
      </c>
      <c r="D66" s="7">
        <v>12228</v>
      </c>
      <c r="E66" s="7">
        <v>787</v>
      </c>
      <c r="G66" s="7">
        <v>1</v>
      </c>
      <c r="H66" s="7">
        <v>5</v>
      </c>
      <c r="I66" s="9">
        <f>(B66*'Ore Index'!E2)+(C66*'Ore Index'!F2)+(D66*'Ore Index'!G2)+(E66*'Ore Index'!H2)+(F66*'Ore Index'!I2)+(G66*'Ore Index'!J2)+(H66*'Ore Index'!K2)</f>
        <v>1058013.9900000002</v>
      </c>
      <c r="K66" s="9">
        <f t="shared" si="6"/>
        <v>461.98</v>
      </c>
      <c r="L66" s="7">
        <f t="shared" si="10"/>
        <v>1.0513819328510481</v>
      </c>
      <c r="M66" s="8">
        <f>(B66*N66)</f>
        <v>17463.108</v>
      </c>
      <c r="N66" s="7">
        <v>1.0269999999999999</v>
      </c>
      <c r="O66" s="7">
        <v>1.0269999999999999</v>
      </c>
      <c r="P66" s="7">
        <v>16839</v>
      </c>
      <c r="Q66" s="7">
        <f>M66/P66</f>
        <v>1.0370632460359879</v>
      </c>
    </row>
    <row r="67" spans="1:17" x14ac:dyDescent="0.2">
      <c r="A67" s="7" t="s">
        <v>303</v>
      </c>
      <c r="B67" s="7">
        <v>20254</v>
      </c>
      <c r="C67" s="7">
        <v>5402</v>
      </c>
      <c r="D67" s="7">
        <v>2695</v>
      </c>
      <c r="E67" s="7">
        <v>709</v>
      </c>
      <c r="F67" s="7">
        <v>55</v>
      </c>
      <c r="G67" s="7">
        <v>3</v>
      </c>
      <c r="I67" s="9">
        <f>(B67*'Ore Index'!E2)+(C67*'Ore Index'!F2)+(D67*'Ore Index'!G2)+(E67*'Ore Index'!H2)+(F67*'Ore Index'!I2)+(G67*'Ore Index'!J2)+(H67*'Ore Index'!K2)</f>
        <v>476542.45</v>
      </c>
      <c r="K67" s="9">
        <f t="shared" si="6"/>
        <v>291.18</v>
      </c>
      <c r="L67" s="7">
        <f t="shared" si="10"/>
        <v>3.7493520918178453</v>
      </c>
    </row>
    <row r="68" spans="1:17" x14ac:dyDescent="0.2">
      <c r="A68" s="7" t="s">
        <v>302</v>
      </c>
      <c r="B68" s="7">
        <v>40492</v>
      </c>
      <c r="C68" s="7">
        <v>10461</v>
      </c>
      <c r="D68" s="7">
        <v>3830</v>
      </c>
      <c r="E68" s="7">
        <v>1020</v>
      </c>
      <c r="F68" s="7">
        <v>144</v>
      </c>
      <c r="G68" s="7">
        <v>4</v>
      </c>
      <c r="H68" s="7">
        <v>11</v>
      </c>
      <c r="I68" s="9">
        <f>(B68*'Ore Index'!E2)+(C68*'Ore Index'!F2)+(D68*'Ore Index'!G2)+(E68*'Ore Index'!H2)+(F68*'Ore Index'!I2)+(G68*'Ore Index'!J2)+(H68*'Ore Index'!K2)</f>
        <v>869189.97</v>
      </c>
      <c r="K68" s="9">
        <f t="shared" ref="K68:K99" si="11">(B68+C68+D68+E68+F68+G68+H68)*0.01</f>
        <v>559.62</v>
      </c>
      <c r="L68" s="7">
        <f t="shared" si="10"/>
        <v>3.8707580537233532</v>
      </c>
    </row>
    <row r="69" spans="1:17" x14ac:dyDescent="0.2">
      <c r="A69" s="7" t="s">
        <v>301</v>
      </c>
      <c r="B69" s="7">
        <v>11080</v>
      </c>
      <c r="C69" s="7">
        <v>4690</v>
      </c>
      <c r="D69" s="7">
        <v>0</v>
      </c>
      <c r="E69" s="7">
        <v>0</v>
      </c>
      <c r="F69" s="7">
        <v>3</v>
      </c>
      <c r="G69" s="7">
        <v>7</v>
      </c>
      <c r="H69" s="7">
        <v>0</v>
      </c>
      <c r="I69" s="9">
        <f>(B69*'Ore Index'!E2)+(C69*'Ore Index'!F2)+(D69*'Ore Index'!G2)+(E69*'Ore Index'!H2)+(F69*'Ore Index'!I2)+(G69*'Ore Index'!J2)+(H69*'Ore Index'!K2)</f>
        <v>140242.97</v>
      </c>
      <c r="J69" s="7">
        <v>20</v>
      </c>
      <c r="K69" s="9">
        <f t="shared" si="11"/>
        <v>157.80000000000001</v>
      </c>
      <c r="L69" s="7">
        <f t="shared" si="10"/>
        <v>2.3624733475479744</v>
      </c>
      <c r="M69" s="8">
        <f>(B69*N69)</f>
        <v>11379.16</v>
      </c>
      <c r="N69" s="7">
        <v>1.0269999999999999</v>
      </c>
      <c r="O69" s="7">
        <v>1.0269999999999999</v>
      </c>
      <c r="P69" s="7">
        <v>11080</v>
      </c>
      <c r="Q69" s="7">
        <f>M69/P69</f>
        <v>1.0269999999999999</v>
      </c>
    </row>
    <row r="70" spans="1:17" x14ac:dyDescent="0.2">
      <c r="A70" s="7" t="s">
        <v>300</v>
      </c>
      <c r="B70" s="7">
        <v>13089</v>
      </c>
      <c r="C70" s="7">
        <v>4480</v>
      </c>
      <c r="E70" s="7">
        <v>82</v>
      </c>
      <c r="F70" s="7">
        <v>12</v>
      </c>
      <c r="G70" s="7">
        <v>6</v>
      </c>
      <c r="H70" s="7">
        <v>1</v>
      </c>
      <c r="I70" s="9">
        <f>(B70*'Ore Index'!E2)+(C70*'Ore Index'!F2)+(D70*'Ore Index'!G2)+(E70*'Ore Index'!H2)+(F70*'Ore Index'!I2)+(G70*'Ore Index'!J2)+(H70*'Ore Index'!K2)</f>
        <v>169765.11</v>
      </c>
      <c r="K70" s="9">
        <f t="shared" si="11"/>
        <v>176.70000000000002</v>
      </c>
      <c r="L70" s="7">
        <f t="shared" si="10"/>
        <v>2.9216517857142859</v>
      </c>
      <c r="M70" s="8">
        <f>(B70*N70)</f>
        <v>13442.402999999998</v>
      </c>
      <c r="N70" s="7">
        <v>1.0269999999999999</v>
      </c>
      <c r="O70" s="7">
        <v>1.0269999999999999</v>
      </c>
      <c r="P70" s="7">
        <v>13089</v>
      </c>
      <c r="Q70" s="7">
        <f>M70/P70</f>
        <v>1.0269999999999999</v>
      </c>
    </row>
    <row r="71" spans="1:17" x14ac:dyDescent="0.2">
      <c r="A71" s="7" t="s">
        <v>299</v>
      </c>
      <c r="B71" s="7">
        <v>11110</v>
      </c>
      <c r="C71" s="7">
        <v>5356</v>
      </c>
      <c r="E71" s="7">
        <v>2</v>
      </c>
      <c r="F71" s="7">
        <v>6</v>
      </c>
      <c r="G71" s="7">
        <v>6</v>
      </c>
      <c r="H71" s="7">
        <v>1</v>
      </c>
      <c r="I71" s="9">
        <f>(B71*'Ore Index'!E2)+(C71*'Ore Index'!F2)+(D71*'Ore Index'!G2)+(E71*'Ore Index'!H2)+(F71*'Ore Index'!I2)+(G71*'Ore Index'!J2)+(H71*'Ore Index'!K2)</f>
        <v>154825.90999999997</v>
      </c>
      <c r="J71" s="7">
        <v>20</v>
      </c>
      <c r="K71" s="9">
        <f t="shared" si="11"/>
        <v>164.81</v>
      </c>
      <c r="L71" s="7">
        <f t="shared" si="10"/>
        <v>2.0743091859596712</v>
      </c>
      <c r="M71" s="8">
        <f>(B71*N71)</f>
        <v>11409.97</v>
      </c>
      <c r="N71" s="7">
        <v>1.0269999999999999</v>
      </c>
      <c r="O71" s="7">
        <v>1.0269999999999999</v>
      </c>
      <c r="P71" s="7">
        <v>11110</v>
      </c>
      <c r="Q71" s="7">
        <f>M71/P71</f>
        <v>1.0269999999999999</v>
      </c>
    </row>
    <row r="72" spans="1:17" x14ac:dyDescent="0.2">
      <c r="A72" s="7" t="s">
        <v>298</v>
      </c>
      <c r="B72" s="7">
        <v>11974</v>
      </c>
      <c r="C72" s="7">
        <v>7258</v>
      </c>
      <c r="D72" s="7">
        <v>494</v>
      </c>
      <c r="E72" s="7">
        <v>15</v>
      </c>
      <c r="F72" s="7">
        <v>3</v>
      </c>
      <c r="G72" s="7">
        <v>7</v>
      </c>
      <c r="I72" s="9">
        <f>(B72*'Ore Index'!E2)+(C72*'Ore Index'!F2)+(D72*'Ore Index'!G2)+(E72*'Ore Index'!H2)+(F72*'Ore Index'!I2)+(G72*'Ore Index'!J2)+(H72*'Ore Index'!K2)</f>
        <v>209357.17</v>
      </c>
      <c r="J72" s="7">
        <v>20</v>
      </c>
      <c r="K72" s="9">
        <f t="shared" si="11"/>
        <v>197.51</v>
      </c>
      <c r="L72" s="7">
        <f t="shared" si="10"/>
        <v>1.649765775695784</v>
      </c>
      <c r="M72" s="8">
        <f>(B72*N72)</f>
        <v>12297.297999999999</v>
      </c>
      <c r="N72" s="7">
        <v>1.0269999999999999</v>
      </c>
      <c r="O72" s="7">
        <v>1.0269999999999999</v>
      </c>
      <c r="P72" s="7">
        <v>11974</v>
      </c>
      <c r="Q72" s="7">
        <f>M72/P72</f>
        <v>1.0269999999999999</v>
      </c>
    </row>
    <row r="73" spans="1:17" x14ac:dyDescent="0.2">
      <c r="A73" s="7" t="s">
        <v>297</v>
      </c>
      <c r="B73" s="7">
        <v>498</v>
      </c>
      <c r="C73" s="7">
        <v>426</v>
      </c>
      <c r="D73" s="7">
        <v>80</v>
      </c>
      <c r="E73" s="7">
        <v>2</v>
      </c>
      <c r="F73" s="7">
        <v>3</v>
      </c>
      <c r="I73" s="9">
        <f>(B73*'Ore Index'!E2)+(C73*'Ore Index'!F2)+(D73*'Ore Index'!G2)+(E73*'Ore Index'!H2)+(F73*'Ore Index'!I2)+(G73*'Ore Index'!J2)+(H73*'Ore Index'!K2)</f>
        <v>15718.77</v>
      </c>
      <c r="K73" s="9">
        <f t="shared" si="11"/>
        <v>10.09</v>
      </c>
      <c r="L73" s="7">
        <f t="shared" si="10"/>
        <v>1.1690140845070423</v>
      </c>
      <c r="M73" s="8">
        <f>(B73*N73)</f>
        <v>511.44599999999997</v>
      </c>
      <c r="N73" s="7">
        <v>1.0269999999999999</v>
      </c>
      <c r="O73" s="7">
        <v>1.0269999999999999</v>
      </c>
      <c r="P73" s="7">
        <v>498</v>
      </c>
      <c r="Q73" s="7">
        <f>M73/P73</f>
        <v>1.0269999999999999</v>
      </c>
    </row>
    <row r="74" spans="1:17" x14ac:dyDescent="0.2">
      <c r="A74" s="7" t="s">
        <v>296</v>
      </c>
      <c r="B74" s="7">
        <v>1213</v>
      </c>
      <c r="D74" s="7">
        <v>570</v>
      </c>
      <c r="E74" s="7">
        <v>4</v>
      </c>
      <c r="G74" s="7">
        <v>6</v>
      </c>
      <c r="H74" s="7">
        <v>2</v>
      </c>
      <c r="I74" s="9">
        <f>(B74*'Ore Index'!E2)+(C74*'Ore Index'!F2)+(D74*'Ore Index'!G2)+(E74*'Ore Index'!H2)+(F74*'Ore Index'!I2)+(G74*'Ore Index'!J2)+(H74*'Ore Index'!K2)</f>
        <v>45227.96</v>
      </c>
      <c r="K74" s="9">
        <f t="shared" si="11"/>
        <v>17.95</v>
      </c>
    </row>
    <row r="75" spans="1:17" x14ac:dyDescent="0.2">
      <c r="A75" s="7" t="s">
        <v>295</v>
      </c>
      <c r="B75" s="7">
        <v>7177</v>
      </c>
      <c r="C75" s="7">
        <v>6483</v>
      </c>
      <c r="D75" s="7">
        <v>190</v>
      </c>
      <c r="E75" s="7">
        <v>2</v>
      </c>
      <c r="I75" s="9">
        <f>(B75*'Ore Index'!E2)+(C75*'Ore Index'!F2)+(D75*'Ore Index'!G2)+(E75*'Ore Index'!H2)+(F75*'Ore Index'!I2)+(G75*'Ore Index'!J2)+(H75*'Ore Index'!K2)</f>
        <v>145980.07999999999</v>
      </c>
      <c r="J75" s="7">
        <v>20</v>
      </c>
      <c r="K75" s="9">
        <f t="shared" si="11"/>
        <v>138.52000000000001</v>
      </c>
      <c r="L75" s="7">
        <f>B75/C75</f>
        <v>1.1070492056146846</v>
      </c>
      <c r="M75" s="8">
        <f>(B75*N75)</f>
        <v>7370.7789999999995</v>
      </c>
      <c r="N75" s="7">
        <v>1.0269999999999999</v>
      </c>
      <c r="O75" s="7">
        <v>1.0269999999999999</v>
      </c>
      <c r="P75" s="7">
        <v>7177</v>
      </c>
      <c r="Q75" s="7">
        <f>M75/P75</f>
        <v>1.0269999999999999</v>
      </c>
    </row>
    <row r="76" spans="1:17" x14ac:dyDescent="0.2">
      <c r="A76" s="7" t="s">
        <v>294</v>
      </c>
      <c r="B76" s="7">
        <v>2132</v>
      </c>
      <c r="C76" s="7">
        <v>414</v>
      </c>
      <c r="D76" s="7">
        <v>159</v>
      </c>
      <c r="E76" s="7">
        <v>1</v>
      </c>
      <c r="F76" s="7">
        <v>4</v>
      </c>
      <c r="I76" s="9">
        <f>(B76*'Ore Index'!E2)+(C76*'Ore Index'!F2)+(D76*'Ore Index'!G2)+(E76*'Ore Index'!H2)+(F76*'Ore Index'!I2)+(G76*'Ore Index'!J2)+(H76*'Ore Index'!K2)</f>
        <v>29351.079999999998</v>
      </c>
      <c r="K76" s="9">
        <f t="shared" si="11"/>
        <v>27.1</v>
      </c>
      <c r="L76" s="7">
        <f>B76/C76</f>
        <v>5.14975845410628</v>
      </c>
    </row>
    <row r="77" spans="1:17" x14ac:dyDescent="0.2">
      <c r="A77" s="7" t="s">
        <v>293</v>
      </c>
      <c r="B77" s="7">
        <v>15962</v>
      </c>
      <c r="C77" s="7">
        <v>3991</v>
      </c>
      <c r="D77" s="7">
        <v>998</v>
      </c>
      <c r="I77" s="9">
        <f>(B77*'Ore Index'!E2)+(C77*'Ore Index'!F2)+(D77*'Ore Index'!G2)+(E77*'Ore Index'!H2)+(F77*'Ore Index'!I2)+(G77*'Ore Index'!J2)+(H77*'Ore Index'!K2)</f>
        <v>198233.7</v>
      </c>
      <c r="K77" s="9">
        <f t="shared" si="11"/>
        <v>209.51</v>
      </c>
    </row>
    <row r="78" spans="1:17" x14ac:dyDescent="0.2">
      <c r="A78" s="7" t="s">
        <v>292</v>
      </c>
      <c r="D78" s="7">
        <v>2394</v>
      </c>
      <c r="E78" s="7">
        <v>599</v>
      </c>
      <c r="I78" s="9">
        <f>(B78*'Ore Index'!E2)+(C78*'Ore Index'!F2)+(D78*'Ore Index'!G2)+(E78*'Ore Index'!H2)+(F78*'Ore Index'!I2)+(G78*'Ore Index'!J2)+(H78*'Ore Index'!K2)</f>
        <v>203898.4</v>
      </c>
      <c r="K78" s="9">
        <f t="shared" si="11"/>
        <v>29.93</v>
      </c>
    </row>
    <row r="79" spans="1:17" x14ac:dyDescent="0.2">
      <c r="A79" s="7" t="s">
        <v>291</v>
      </c>
      <c r="E79" s="7">
        <v>3192</v>
      </c>
      <c r="F79" s="7">
        <v>798</v>
      </c>
      <c r="I79" s="9">
        <f>(B79*'Ore Index'!E2)+(C79*'Ore Index'!F2)+(D79*'Ore Index'!G2)+(E79*'Ore Index'!H2)+(F79*'Ore Index'!I2)+(G79*'Ore Index'!J2)+(H79*'Ore Index'!K2)</f>
        <v>1112978.5799999998</v>
      </c>
      <c r="K79" s="9">
        <f t="shared" si="11"/>
        <v>39.9</v>
      </c>
      <c r="L79" s="7" t="e">
        <f>B79/C79</f>
        <v>#DIV/0!</v>
      </c>
    </row>
    <row r="80" spans="1:17" x14ac:dyDescent="0.2">
      <c r="A80" s="7" t="s">
        <v>290</v>
      </c>
      <c r="B80" s="7">
        <v>742</v>
      </c>
      <c r="C80" s="7">
        <v>537</v>
      </c>
      <c r="D80" s="7">
        <v>443</v>
      </c>
      <c r="I80" s="9">
        <f>(B80*'Ore Index'!E2)+(C80*'Ore Index'!F2)+(D80*'Ore Index'!G2)+(E80*'Ore Index'!H2)+(F80*'Ore Index'!I2)+(G80*'Ore Index'!J2)+(H80*'Ore Index'!K2)</f>
        <v>33639.14</v>
      </c>
      <c r="K80" s="9">
        <f t="shared" si="11"/>
        <v>17.22</v>
      </c>
    </row>
    <row r="81" spans="1:17" x14ac:dyDescent="0.2">
      <c r="A81" s="7" t="s">
        <v>289</v>
      </c>
      <c r="B81" s="7">
        <v>6141</v>
      </c>
      <c r="C81" s="7">
        <v>1847</v>
      </c>
      <c r="D81" s="7">
        <v>1728</v>
      </c>
      <c r="H81" s="7">
        <v>2</v>
      </c>
      <c r="I81" s="9">
        <f>(B81*'Ore Index'!E2)+(C81*'Ore Index'!F2)+(D81*'Ore Index'!G2)+(E81*'Ore Index'!H2)+(F81*'Ore Index'!I2)+(G81*'Ore Index'!J2)+(H81*'Ore Index'!K2)</f>
        <v>151402.58000000002</v>
      </c>
      <c r="K81" s="9">
        <f t="shared" si="11"/>
        <v>97.18</v>
      </c>
      <c r="L81" s="7">
        <f>B81/C81</f>
        <v>3.324851109907959</v>
      </c>
    </row>
    <row r="82" spans="1:17" x14ac:dyDescent="0.2">
      <c r="A82" s="7" t="s">
        <v>288</v>
      </c>
      <c r="B82" s="7">
        <v>6141</v>
      </c>
      <c r="C82" s="7">
        <v>1847</v>
      </c>
      <c r="D82" s="7">
        <v>1728</v>
      </c>
      <c r="H82" s="7">
        <v>2</v>
      </c>
      <c r="I82" s="9">
        <f>(B82*'Ore Index'!E2)+(C82*'Ore Index'!F2)+(D82*'Ore Index'!G2)+(E82*'Ore Index'!H2)+(F82*'Ore Index'!I2)+(G82*'Ore Index'!J2)+(H82*'Ore Index'!K2)</f>
        <v>151402.58000000002</v>
      </c>
      <c r="K82" s="9">
        <f t="shared" si="11"/>
        <v>97.18</v>
      </c>
    </row>
    <row r="83" spans="1:17" x14ac:dyDescent="0.2">
      <c r="A83" s="7" t="s">
        <v>287</v>
      </c>
      <c r="B83" s="7">
        <v>6141</v>
      </c>
      <c r="C83" s="7">
        <v>1847</v>
      </c>
      <c r="D83" s="7">
        <v>1728</v>
      </c>
      <c r="H83" s="7">
        <v>2</v>
      </c>
      <c r="I83" s="9">
        <f>(B83*'Ore Index'!E2)+(C83*'Ore Index'!F2)+(D83*'Ore Index'!G2)+(E83*'Ore Index'!H2)+(F83*'Ore Index'!I2)+(G83*'Ore Index'!J2)+(H83*'Ore Index'!K2)</f>
        <v>151402.58000000002</v>
      </c>
      <c r="K83" s="9">
        <f t="shared" si="11"/>
        <v>97.18</v>
      </c>
    </row>
    <row r="84" spans="1:17" x14ac:dyDescent="0.2">
      <c r="A84" s="7" t="s">
        <v>286</v>
      </c>
      <c r="B84" s="7">
        <v>6141</v>
      </c>
      <c r="C84" s="7">
        <v>1847</v>
      </c>
      <c r="D84" s="7">
        <v>1728</v>
      </c>
      <c r="H84" s="7">
        <v>2</v>
      </c>
      <c r="I84" s="9">
        <f>(B84*'Ore Index'!E2)+(C84*'Ore Index'!F2)+(D84*'Ore Index'!G2)+(E84*'Ore Index'!H2)+(F84*'Ore Index'!I2)+(G84*'Ore Index'!J2)+(H84*'Ore Index'!K2)</f>
        <v>151402.58000000002</v>
      </c>
      <c r="K84" s="9">
        <f t="shared" si="11"/>
        <v>97.18</v>
      </c>
      <c r="L84" s="7">
        <f>B84/C84</f>
        <v>3.324851109907959</v>
      </c>
    </row>
    <row r="85" spans="1:17" x14ac:dyDescent="0.2">
      <c r="A85" s="7" t="s">
        <v>285</v>
      </c>
      <c r="B85" s="7">
        <v>20433</v>
      </c>
      <c r="C85" s="7">
        <v>5452</v>
      </c>
      <c r="D85" s="7">
        <v>2720</v>
      </c>
      <c r="E85" s="7">
        <v>716</v>
      </c>
      <c r="F85" s="7">
        <v>56</v>
      </c>
      <c r="G85" s="7">
        <v>3</v>
      </c>
      <c r="I85" s="9">
        <f>(B85*'Ore Index'!E2)+(C85*'Ore Index'!F2)+(D85*'Ore Index'!G2)+(E85*'Ore Index'!H2)+(F85*'Ore Index'!I2)+(G85*'Ore Index'!J2)+(H85*'Ore Index'!K2)</f>
        <v>481346.89999999997</v>
      </c>
      <c r="K85" s="9">
        <f t="shared" si="11"/>
        <v>293.8</v>
      </c>
    </row>
    <row r="86" spans="1:17" x14ac:dyDescent="0.2">
      <c r="A86" s="7" t="s">
        <v>284</v>
      </c>
      <c r="B86" s="7">
        <v>20433</v>
      </c>
      <c r="C86" s="7">
        <v>5452</v>
      </c>
      <c r="D86" s="7">
        <v>2720</v>
      </c>
      <c r="E86" s="7">
        <v>716</v>
      </c>
      <c r="F86" s="7">
        <v>56</v>
      </c>
      <c r="G86" s="7">
        <v>3</v>
      </c>
      <c r="I86" s="9">
        <f>(B86*'Ore Index'!E2)+(C86*'Ore Index'!F2)+(D86*'Ore Index'!G2)+(E86*'Ore Index'!H2)+(F86*'Ore Index'!I2)+(G86*'Ore Index'!J2)+(H86*'Ore Index'!K2)</f>
        <v>481346.89999999997</v>
      </c>
      <c r="K86" s="9">
        <f t="shared" si="11"/>
        <v>293.8</v>
      </c>
      <c r="L86" s="7">
        <f>B86/C86</f>
        <v>3.7477989728539987</v>
      </c>
    </row>
    <row r="87" spans="1:17" x14ac:dyDescent="0.2">
      <c r="A87" s="7" t="s">
        <v>283</v>
      </c>
      <c r="B87" s="7">
        <v>20433</v>
      </c>
      <c r="C87" s="7">
        <v>5452</v>
      </c>
      <c r="D87" s="7">
        <v>2720</v>
      </c>
      <c r="E87" s="7">
        <v>716</v>
      </c>
      <c r="F87" s="7">
        <v>56</v>
      </c>
      <c r="G87" s="7">
        <v>3</v>
      </c>
      <c r="I87" s="9">
        <f>(B87*'Ore Index'!E2)+(C87*'Ore Index'!F2)+(D87*'Ore Index'!G2)+(E87*'Ore Index'!H2)+(F87*'Ore Index'!I2)+(G87*'Ore Index'!J2)+(H87*'Ore Index'!K2)</f>
        <v>481346.89999999997</v>
      </c>
      <c r="K87" s="9">
        <f t="shared" si="11"/>
        <v>293.8</v>
      </c>
      <c r="L87" s="7">
        <f>B87/C87</f>
        <v>3.7477989728539987</v>
      </c>
    </row>
    <row r="88" spans="1:17" x14ac:dyDescent="0.2">
      <c r="A88" s="7" t="s">
        <v>282</v>
      </c>
      <c r="B88" s="7">
        <v>20433</v>
      </c>
      <c r="C88" s="7">
        <v>5452</v>
      </c>
      <c r="D88" s="7">
        <v>2720</v>
      </c>
      <c r="E88" s="7">
        <v>716</v>
      </c>
      <c r="F88" s="7">
        <v>56</v>
      </c>
      <c r="G88" s="7">
        <v>3</v>
      </c>
      <c r="I88" s="9">
        <f>(B88*'Ore Index'!E2)+(C88*'Ore Index'!F2)+(D88*'Ore Index'!G2)+(E88*'Ore Index'!H2)+(F88*'Ore Index'!I2)+(G88*'Ore Index'!J2)+(H88*'Ore Index'!K2)</f>
        <v>481346.89999999997</v>
      </c>
      <c r="K88" s="9">
        <f t="shared" si="11"/>
        <v>293.8</v>
      </c>
    </row>
    <row r="89" spans="1:17" x14ac:dyDescent="0.2">
      <c r="A89" s="7" t="s">
        <v>281</v>
      </c>
      <c r="B89" s="7">
        <v>20433</v>
      </c>
      <c r="C89" s="7">
        <v>5452</v>
      </c>
      <c r="D89" s="7">
        <v>2720</v>
      </c>
      <c r="E89" s="7">
        <v>716</v>
      </c>
      <c r="F89" s="7">
        <v>56</v>
      </c>
      <c r="G89" s="7">
        <v>3</v>
      </c>
      <c r="I89" s="9">
        <f>(B89*'Ore Index'!E2)+(C89*'Ore Index'!F2)+(D89*'Ore Index'!G2)+(E89*'Ore Index'!H2)+(F89*'Ore Index'!I2)+(G89*'Ore Index'!J2)+(H89*'Ore Index'!K2)</f>
        <v>481346.89999999997</v>
      </c>
      <c r="K89" s="9">
        <f t="shared" si="11"/>
        <v>293.8</v>
      </c>
      <c r="L89" s="7">
        <f>B89/C89</f>
        <v>3.7477989728539987</v>
      </c>
      <c r="M89" s="8">
        <f>(B89*N89)</f>
        <v>20984.690999999999</v>
      </c>
      <c r="N89" s="7">
        <v>1.0269999999999999</v>
      </c>
      <c r="O89" s="7">
        <v>1.0269999999999999</v>
      </c>
      <c r="P89" s="7">
        <v>20251</v>
      </c>
      <c r="Q89" s="7">
        <f>M89/P89</f>
        <v>1.0362298651918422</v>
      </c>
    </row>
    <row r="90" spans="1:17" x14ac:dyDescent="0.2">
      <c r="A90" s="7" t="s">
        <v>280</v>
      </c>
      <c r="B90" s="7">
        <v>20433</v>
      </c>
      <c r="C90" s="7">
        <v>5452</v>
      </c>
      <c r="D90" s="7">
        <v>2720</v>
      </c>
      <c r="E90" s="7">
        <v>716</v>
      </c>
      <c r="F90" s="7">
        <v>56</v>
      </c>
      <c r="G90" s="7">
        <v>3</v>
      </c>
      <c r="I90" s="9">
        <f>(B90*'Ore Index'!E2)+(C90*'Ore Index'!F2)+(D90*'Ore Index'!G2)+(E90*'Ore Index'!H2)+(F90*'Ore Index'!I2)+(G90*'Ore Index'!J2)+(H90*'Ore Index'!K2)</f>
        <v>481346.89999999997</v>
      </c>
      <c r="K90" s="9">
        <f t="shared" si="11"/>
        <v>293.8</v>
      </c>
      <c r="L90" s="7">
        <f>B90/C90</f>
        <v>3.7477989728539987</v>
      </c>
      <c r="M90" s="8">
        <f>(B90*N90)</f>
        <v>20984.690999999999</v>
      </c>
      <c r="N90" s="7">
        <v>1.0269999999999999</v>
      </c>
      <c r="O90" s="7">
        <v>1.0269999999999999</v>
      </c>
      <c r="P90" s="7">
        <v>20251</v>
      </c>
      <c r="Q90" s="7">
        <f>M90/P90</f>
        <v>1.0362298651918422</v>
      </c>
    </row>
    <row r="91" spans="1:17" x14ac:dyDescent="0.2">
      <c r="A91" s="7" t="s">
        <v>279</v>
      </c>
      <c r="B91" s="7">
        <v>6143</v>
      </c>
      <c r="C91" s="7">
        <v>1848</v>
      </c>
      <c r="D91" s="7">
        <v>1729</v>
      </c>
      <c r="H91" s="7">
        <v>2</v>
      </c>
      <c r="I91" s="9">
        <f>(B91*'Ore Index'!E2)+(C91*'Ore Index'!F2)+(D91*'Ore Index'!G2)+(E91*'Ore Index'!H2)+(F91*'Ore Index'!I2)+(G91*'Ore Index'!J2)+(H91*'Ore Index'!K2)</f>
        <v>151477.24000000002</v>
      </c>
      <c r="K91" s="9">
        <f t="shared" si="11"/>
        <v>97.22</v>
      </c>
      <c r="L91" s="7">
        <f>B91/C91</f>
        <v>3.3241341991341993</v>
      </c>
      <c r="M91" s="8">
        <f>(B91*N91)</f>
        <v>6308.8609999999999</v>
      </c>
      <c r="N91" s="7">
        <v>1.0269999999999999</v>
      </c>
      <c r="O91" s="7">
        <v>1.0269999999999999</v>
      </c>
      <c r="P91" s="7">
        <v>6084</v>
      </c>
      <c r="Q91" s="7">
        <f>M91/P91</f>
        <v>1.0369594017094017</v>
      </c>
    </row>
    <row r="92" spans="1:17" x14ac:dyDescent="0.2">
      <c r="A92" s="7" t="s">
        <v>278</v>
      </c>
      <c r="B92" s="7">
        <v>6143</v>
      </c>
      <c r="C92" s="7">
        <v>1848</v>
      </c>
      <c r="D92" s="7">
        <v>1729</v>
      </c>
      <c r="H92" s="7">
        <v>2</v>
      </c>
      <c r="I92" s="9">
        <f>(B92*'Ore Index'!E2)+(C92*'Ore Index'!F2)+(D92*'Ore Index'!G2)+(E92*'Ore Index'!H2)+(F92*'Ore Index'!I2)+(G92*'Ore Index'!J2)+(H92*'Ore Index'!K2)</f>
        <v>151477.24000000002</v>
      </c>
      <c r="K92" s="9">
        <f t="shared" si="11"/>
        <v>97.22</v>
      </c>
      <c r="L92" s="7">
        <f>B92/C92</f>
        <v>3.3241341991341993</v>
      </c>
      <c r="M92" s="8">
        <f>(B92*N92)</f>
        <v>6308.8609999999999</v>
      </c>
      <c r="N92" s="7">
        <v>1.0269999999999999</v>
      </c>
      <c r="O92" s="7">
        <v>1.0269999999999999</v>
      </c>
      <c r="P92" s="7">
        <v>6084</v>
      </c>
      <c r="Q92" s="7">
        <f>M92/P92</f>
        <v>1.0369594017094017</v>
      </c>
    </row>
    <row r="93" spans="1:17" x14ac:dyDescent="0.2">
      <c r="A93" s="7" t="s">
        <v>277</v>
      </c>
      <c r="B93" s="7">
        <v>40885</v>
      </c>
      <c r="C93" s="7">
        <v>10905</v>
      </c>
      <c r="D93" s="7">
        <v>5439</v>
      </c>
      <c r="E93" s="7">
        <v>1432</v>
      </c>
      <c r="F93" s="7">
        <v>113</v>
      </c>
      <c r="G93" s="7">
        <v>7</v>
      </c>
      <c r="I93" s="9">
        <f>(B93*'Ore Index'!E2)+(C93*'Ore Index'!F2)+(D93*'Ore Index'!G2)+(E93*'Ore Index'!H2)+(F93*'Ore Index'!I2)+(G93*'Ore Index'!J2)+(H93*'Ore Index'!K2)</f>
        <v>964367.11</v>
      </c>
      <c r="K93" s="9">
        <f t="shared" si="11"/>
        <v>587.81000000000006</v>
      </c>
    </row>
    <row r="94" spans="1:17" x14ac:dyDescent="0.2">
      <c r="A94" s="7" t="s">
        <v>276</v>
      </c>
      <c r="B94" s="7">
        <v>6143</v>
      </c>
      <c r="C94" s="7">
        <v>1848</v>
      </c>
      <c r="D94" s="7">
        <v>1729</v>
      </c>
      <c r="H94" s="7">
        <v>2</v>
      </c>
      <c r="I94" s="9">
        <f>(B94*'Ore Index'!E2)+(C94*'Ore Index'!F2)+(D94*'Ore Index'!G2)+(E94*'Ore Index'!H2)+(F94*'Ore Index'!I2)+(G94*'Ore Index'!J2)+(H94*'Ore Index'!K2)</f>
        <v>151477.24000000002</v>
      </c>
      <c r="K94" s="9">
        <f t="shared" si="11"/>
        <v>97.22</v>
      </c>
      <c r="L94" s="7">
        <f>B94/C94</f>
        <v>3.3241341991341993</v>
      </c>
      <c r="M94" s="8">
        <f>(B94*N94)</f>
        <v>6308.8609999999999</v>
      </c>
      <c r="N94" s="7">
        <v>1.0269999999999999</v>
      </c>
      <c r="O94" s="7">
        <v>1.0269999999999999</v>
      </c>
      <c r="P94" s="7">
        <v>6084</v>
      </c>
      <c r="Q94" s="7">
        <f>M94/P94</f>
        <v>1.0369594017094017</v>
      </c>
    </row>
    <row r="95" spans="1:17" x14ac:dyDescent="0.2">
      <c r="A95" s="7" t="s">
        <v>275</v>
      </c>
      <c r="B95" s="7">
        <v>6143</v>
      </c>
      <c r="C95" s="7">
        <v>1848</v>
      </c>
      <c r="D95" s="7">
        <v>1729</v>
      </c>
      <c r="H95" s="7">
        <v>2</v>
      </c>
      <c r="I95" s="9">
        <f>(B95*'Ore Index'!E2)+(C95*'Ore Index'!F2)+(D95*'Ore Index'!G2)+(E95*'Ore Index'!H2)+(F95*'Ore Index'!I2)+(G95*'Ore Index'!J2)+(H95*'Ore Index'!K2)</f>
        <v>151477.24000000002</v>
      </c>
      <c r="K95" s="9">
        <f t="shared" si="11"/>
        <v>97.22</v>
      </c>
      <c r="L95" s="7">
        <f>B95/C95</f>
        <v>3.3241341991341993</v>
      </c>
      <c r="M95" s="8">
        <f>(B95*N95)</f>
        <v>6308.8609999999999</v>
      </c>
      <c r="N95" s="7">
        <v>1.0269999999999999</v>
      </c>
      <c r="O95" s="7">
        <v>1.0269999999999999</v>
      </c>
      <c r="P95" s="7">
        <v>6084</v>
      </c>
      <c r="Q95" s="7">
        <f>M95/P95</f>
        <v>1.0369594017094017</v>
      </c>
    </row>
    <row r="96" spans="1:17" x14ac:dyDescent="0.2">
      <c r="A96" s="7" t="s">
        <v>274</v>
      </c>
      <c r="B96" s="7">
        <v>12168</v>
      </c>
      <c r="C96" s="7">
        <v>3564</v>
      </c>
      <c r="D96" s="7">
        <v>3334</v>
      </c>
      <c r="G96" s="7">
        <v>1</v>
      </c>
      <c r="H96" s="7">
        <v>4</v>
      </c>
      <c r="I96" s="9">
        <f>(B96*'Ore Index'!E2)+(C96*'Ore Index'!F2)+(D96*'Ore Index'!G2)+(E96*'Ore Index'!H2)+(F96*'Ore Index'!I2)+(G96*'Ore Index'!J2)+(H96*'Ore Index'!K2)</f>
        <v>295109.72000000003</v>
      </c>
      <c r="K96" s="9">
        <f t="shared" si="11"/>
        <v>190.71</v>
      </c>
      <c r="L96" s="7">
        <f>B96/C96</f>
        <v>3.4141414141414139</v>
      </c>
      <c r="M96" s="8">
        <f>(B96*N96)</f>
        <v>12496.535999999998</v>
      </c>
      <c r="N96" s="7">
        <v>1.0269999999999999</v>
      </c>
      <c r="O96" s="7">
        <v>1.0269999999999999</v>
      </c>
      <c r="P96" s="7">
        <v>12168</v>
      </c>
      <c r="Q96" s="7">
        <f>M96/P96</f>
        <v>1.0269999999999999</v>
      </c>
    </row>
    <row r="97" spans="1:17" x14ac:dyDescent="0.2">
      <c r="A97" s="7" t="s">
        <v>273</v>
      </c>
      <c r="B97" s="7">
        <v>1564</v>
      </c>
      <c r="C97" s="7">
        <v>5</v>
      </c>
      <c r="D97" s="7">
        <v>70</v>
      </c>
      <c r="E97" s="7">
        <v>12</v>
      </c>
      <c r="G97" s="7">
        <v>1</v>
      </c>
      <c r="I97" s="9">
        <f>(B97*'Ore Index'!E2)+(C97*'Ore Index'!F2)+(D97*'Ore Index'!G2)+(E97*'Ore Index'!H2)+(F97*'Ore Index'!I2)+(G97*'Ore Index'!J2)+(H97*'Ore Index'!K2)</f>
        <v>14932.660000000002</v>
      </c>
      <c r="K97" s="9">
        <f t="shared" si="11"/>
        <v>16.52</v>
      </c>
    </row>
    <row r="98" spans="1:17" x14ac:dyDescent="0.2">
      <c r="A98" s="7" t="s">
        <v>272</v>
      </c>
      <c r="B98" s="7">
        <v>20251</v>
      </c>
      <c r="C98" s="7">
        <v>5259</v>
      </c>
      <c r="D98" s="7">
        <v>2623</v>
      </c>
      <c r="E98" s="7">
        <v>691</v>
      </c>
      <c r="F98" s="7">
        <v>54</v>
      </c>
      <c r="G98" s="7">
        <v>3</v>
      </c>
      <c r="I98" s="9">
        <f>(B98*'Ore Index'!E2)+(C98*'Ore Index'!F2)+(D98*'Ore Index'!G2)+(E98*'Ore Index'!H2)+(F98*'Ore Index'!I2)+(G98*'Ore Index'!J2)+(H98*'Ore Index'!K2)</f>
        <v>467478.66</v>
      </c>
      <c r="K98" s="9">
        <f t="shared" si="11"/>
        <v>288.81</v>
      </c>
      <c r="L98" s="7">
        <f>B98/C98</f>
        <v>3.8507320783418901</v>
      </c>
      <c r="M98" s="8">
        <f>(B98*N98)</f>
        <v>20797.776999999998</v>
      </c>
      <c r="N98" s="7">
        <v>1.0269999999999999</v>
      </c>
      <c r="O98" s="7">
        <v>1.0269999999999999</v>
      </c>
      <c r="P98" s="7">
        <v>20251</v>
      </c>
      <c r="Q98" s="7">
        <f>M98/P98</f>
        <v>1.0269999999999999</v>
      </c>
    </row>
    <row r="99" spans="1:17" x14ac:dyDescent="0.2">
      <c r="A99" s="7" t="s">
        <v>271</v>
      </c>
      <c r="B99" s="7">
        <v>6143</v>
      </c>
      <c r="C99" s="7">
        <v>1848</v>
      </c>
      <c r="D99" s="7">
        <v>1729</v>
      </c>
      <c r="H99" s="7">
        <v>2</v>
      </c>
      <c r="I99" s="9">
        <f>(B99*'Ore Index'!E2)+(C99*'Ore Index'!F2)+(D99*'Ore Index'!G2)+(E99*'Ore Index'!H2)+(F99*'Ore Index'!I2)+(G99*'Ore Index'!J2)+(H99*'Ore Index'!K2)</f>
        <v>151477.24000000002</v>
      </c>
      <c r="K99" s="9">
        <f t="shared" si="11"/>
        <v>97.22</v>
      </c>
    </row>
    <row r="100" spans="1:17" x14ac:dyDescent="0.2">
      <c r="A100" s="7" t="s">
        <v>270</v>
      </c>
      <c r="B100" s="7">
        <v>20251</v>
      </c>
      <c r="C100" s="7">
        <v>5259</v>
      </c>
      <c r="D100" s="7">
        <v>2623</v>
      </c>
      <c r="E100" s="7">
        <v>691</v>
      </c>
      <c r="F100" s="7">
        <v>54</v>
      </c>
      <c r="G100" s="7">
        <v>3</v>
      </c>
      <c r="I100" s="9">
        <f>(B100*'Ore Index'!E2)+(C100*'Ore Index'!F2)+(D100*'Ore Index'!G2)+(E100*'Ore Index'!H2)+(F100*'Ore Index'!I2)+(G100*'Ore Index'!J2)+(H100*'Ore Index'!K2)</f>
        <v>467478.66</v>
      </c>
      <c r="K100" s="9">
        <f t="shared" ref="K100:K131" si="12">(B100+C100+D100+E100+F100+G100+H100)*0.01</f>
        <v>288.81</v>
      </c>
      <c r="L100" s="7">
        <f t="shared" ref="L100:L114" si="13">B100/C100</f>
        <v>3.8507320783418901</v>
      </c>
      <c r="M100" s="8">
        <f>(B100*N100)</f>
        <v>20797.776999999998</v>
      </c>
      <c r="N100" s="7">
        <v>1.0269999999999999</v>
      </c>
      <c r="O100" s="7">
        <v>1.0269999999999999</v>
      </c>
      <c r="P100" s="7">
        <v>20251</v>
      </c>
      <c r="Q100" s="7">
        <f>M100/P100</f>
        <v>1.0269999999999999</v>
      </c>
    </row>
    <row r="101" spans="1:17" x14ac:dyDescent="0.2">
      <c r="A101" s="7" t="s">
        <v>269</v>
      </c>
      <c r="B101" s="7">
        <v>10922</v>
      </c>
      <c r="C101" s="7">
        <v>6084</v>
      </c>
      <c r="D101" s="7">
        <v>986</v>
      </c>
      <c r="E101" s="7">
        <v>2940</v>
      </c>
      <c r="H101" s="7">
        <v>62</v>
      </c>
      <c r="I101" s="9">
        <f>(B101*'Ore Index'!E2)+(C101*'Ore Index'!F2)+(D101*'Ore Index'!G2)+(E101*'Ore Index'!H2)+(F101*'Ore Index'!I2)+(G101*'Ore Index'!J2)+(H101*'Ore Index'!K2)</f>
        <v>795703.22</v>
      </c>
      <c r="K101" s="9">
        <f t="shared" si="12"/>
        <v>209.94</v>
      </c>
      <c r="L101" s="7">
        <f t="shared" si="13"/>
        <v>1.7952005259697568</v>
      </c>
    </row>
    <row r="102" spans="1:17" x14ac:dyDescent="0.2">
      <c r="A102" s="7" t="s">
        <v>268</v>
      </c>
      <c r="B102" s="7">
        <v>1890</v>
      </c>
      <c r="C102" s="7">
        <v>1864</v>
      </c>
      <c r="I102" s="9">
        <f>(B102*'Ore Index'!E2)+(C102*'Ore Index'!F2)+(D102*'Ore Index'!G2)+(E102*'Ore Index'!H2)+(F102*'Ore Index'!I2)+(G102*'Ore Index'!J2)+(H102*'Ore Index'!K2)</f>
        <v>38248.36</v>
      </c>
      <c r="K102" s="9">
        <f t="shared" si="12"/>
        <v>37.54</v>
      </c>
      <c r="L102" s="7">
        <f t="shared" si="13"/>
        <v>1.0139484978540771</v>
      </c>
    </row>
    <row r="103" spans="1:17" x14ac:dyDescent="0.2">
      <c r="A103" s="7" t="s">
        <v>267</v>
      </c>
      <c r="B103" s="7">
        <v>7177</v>
      </c>
      <c r="C103" s="7">
        <v>6483</v>
      </c>
      <c r="D103" s="7">
        <v>190</v>
      </c>
      <c r="E103" s="7">
        <v>2</v>
      </c>
      <c r="I103" s="9">
        <f>(B103*'Ore Index'!E2)+(C103*'Ore Index'!F2)+(D103*'Ore Index'!G2)+(E103*'Ore Index'!H2)+(F103*'Ore Index'!I2)+(G103*'Ore Index'!J2)+(H103*'Ore Index'!K2)</f>
        <v>145980.07999999999</v>
      </c>
      <c r="J103" s="7">
        <v>20</v>
      </c>
      <c r="K103" s="9">
        <f t="shared" si="12"/>
        <v>138.52000000000001</v>
      </c>
      <c r="L103" s="7">
        <f t="shared" si="13"/>
        <v>1.1070492056146846</v>
      </c>
      <c r="M103" s="8">
        <f>(B103*N103)</f>
        <v>7370.7789999999995</v>
      </c>
      <c r="N103" s="7">
        <v>1.0269999999999999</v>
      </c>
      <c r="O103" s="7">
        <v>1.0269999999999999</v>
      </c>
      <c r="P103" s="7">
        <v>7177</v>
      </c>
      <c r="Q103" s="7">
        <f>M103/P103</f>
        <v>1.0269999999999999</v>
      </c>
    </row>
    <row r="104" spans="1:17" x14ac:dyDescent="0.2">
      <c r="A104" s="7" t="s">
        <v>266</v>
      </c>
      <c r="B104" s="7">
        <v>209</v>
      </c>
      <c r="C104" s="7">
        <v>3035</v>
      </c>
      <c r="I104" s="9">
        <f>(B104*'Ore Index'!E2)+(C104*'Ore Index'!F2)+(D104*'Ore Index'!G2)+(E104*'Ore Index'!H2)+(F104*'Ore Index'!I2)+(G104*'Ore Index'!J2)+(H104*'Ore Index'!K2)</f>
        <v>45927.200000000004</v>
      </c>
      <c r="K104" s="9">
        <f t="shared" si="12"/>
        <v>32.44</v>
      </c>
      <c r="L104" s="7">
        <f t="shared" si="13"/>
        <v>6.8863261943986814E-2</v>
      </c>
      <c r="M104" s="8">
        <f>(B104*N104)</f>
        <v>214.64299999999997</v>
      </c>
      <c r="N104" s="7">
        <v>1.0269999999999999</v>
      </c>
      <c r="O104" s="7">
        <v>1.0269999999999999</v>
      </c>
      <c r="P104" s="7">
        <v>210</v>
      </c>
      <c r="Q104" s="7">
        <f>M104/P104</f>
        <v>1.0221095238095237</v>
      </c>
    </row>
    <row r="105" spans="1:17" x14ac:dyDescent="0.2">
      <c r="A105" s="7" t="s">
        <v>265</v>
      </c>
      <c r="B105" s="7">
        <v>209</v>
      </c>
      <c r="C105" s="7">
        <v>3035</v>
      </c>
      <c r="I105" s="9">
        <f>(B105*'Ore Index'!E2)+(C105*'Ore Index'!F2)+(D105*'Ore Index'!G2)+(E105*'Ore Index'!H2)+(F105*'Ore Index'!I2)+(G105*'Ore Index'!J2)+(H105*'Ore Index'!K2)</f>
        <v>45927.200000000004</v>
      </c>
      <c r="K105" s="9">
        <f t="shared" si="12"/>
        <v>32.44</v>
      </c>
      <c r="L105" s="7">
        <f t="shared" si="13"/>
        <v>6.8863261943986814E-2</v>
      </c>
      <c r="M105" s="8">
        <f>(B105*N105)</f>
        <v>214.64299999999997</v>
      </c>
      <c r="N105" s="7">
        <v>1.0269999999999999</v>
      </c>
      <c r="O105" s="7">
        <v>1.0269999999999999</v>
      </c>
      <c r="P105" s="7">
        <v>210</v>
      </c>
      <c r="Q105" s="7">
        <f>M105/P105</f>
        <v>1.0221095238095237</v>
      </c>
    </row>
    <row r="106" spans="1:17" x14ac:dyDescent="0.2">
      <c r="A106" s="7" t="s">
        <v>264</v>
      </c>
      <c r="B106" s="7">
        <v>209</v>
      </c>
      <c r="C106" s="7">
        <v>3035</v>
      </c>
      <c r="I106" s="9">
        <f>(B106*'Ore Index'!E2)+(C106*'Ore Index'!F2)+(D106*'Ore Index'!G2)+(E106*'Ore Index'!H2)+(F106*'Ore Index'!I2)+(G106*'Ore Index'!J2)+(H106*'Ore Index'!K2)</f>
        <v>45927.200000000004</v>
      </c>
      <c r="K106" s="9">
        <f t="shared" si="12"/>
        <v>32.44</v>
      </c>
      <c r="L106" s="7">
        <f t="shared" si="13"/>
        <v>6.8863261943986814E-2</v>
      </c>
      <c r="M106" s="8">
        <f>(B106*N106)</f>
        <v>214.64299999999997</v>
      </c>
      <c r="N106" s="7">
        <v>1.0269999999999999</v>
      </c>
      <c r="O106" s="7">
        <v>1.0269999999999999</v>
      </c>
      <c r="P106" s="7">
        <v>210</v>
      </c>
      <c r="Q106" s="7">
        <f>M106/P106</f>
        <v>1.0221095238095237</v>
      </c>
    </row>
    <row r="107" spans="1:17" x14ac:dyDescent="0.2">
      <c r="A107" s="7" t="s">
        <v>263</v>
      </c>
      <c r="B107" s="7">
        <v>5034</v>
      </c>
      <c r="C107" s="7">
        <v>3461</v>
      </c>
      <c r="D107" s="7">
        <v>30</v>
      </c>
      <c r="I107" s="9">
        <f>(B107*'Ore Index'!E2)+(C107*'Ore Index'!F2)+(D107*'Ore Index'!G2)+(E107*'Ore Index'!H2)+(F107*'Ore Index'!I2)+(G107*'Ore Index'!J2)+(H107*'Ore Index'!K2)</f>
        <v>81164.540000000008</v>
      </c>
      <c r="J107" s="7">
        <v>20</v>
      </c>
      <c r="K107" s="9">
        <f t="shared" si="12"/>
        <v>85.25</v>
      </c>
      <c r="L107" s="7">
        <f t="shared" si="13"/>
        <v>1.4544929211210633</v>
      </c>
      <c r="M107" s="8">
        <f>(B107*N107)</f>
        <v>5169.9179999999997</v>
      </c>
      <c r="N107" s="7">
        <v>1.0269999999999999</v>
      </c>
      <c r="O107" s="7">
        <v>1.0269999999999999</v>
      </c>
      <c r="P107" s="7">
        <v>5034</v>
      </c>
      <c r="Q107" s="7">
        <f>M107/P107</f>
        <v>1.0269999999999999</v>
      </c>
    </row>
    <row r="108" spans="1:17" x14ac:dyDescent="0.2">
      <c r="A108" s="7" t="s">
        <v>262</v>
      </c>
      <c r="B108" s="7">
        <v>478</v>
      </c>
      <c r="C108" s="7">
        <v>46</v>
      </c>
      <c r="D108" s="7">
        <v>265</v>
      </c>
      <c r="E108" s="7">
        <v>8</v>
      </c>
      <c r="F108" s="7">
        <v>4</v>
      </c>
      <c r="G108" s="7">
        <v>2</v>
      </c>
      <c r="H108" s="7">
        <v>3</v>
      </c>
      <c r="I108" s="9">
        <f>(B108*'Ore Index'!E2)+(C108*'Ore Index'!F2)+(D108*'Ore Index'!G2)+(E108*'Ore Index'!H2)+(F108*'Ore Index'!I2)+(G108*'Ore Index'!J2)+(H108*'Ore Index'!K2)</f>
        <v>30244.75</v>
      </c>
      <c r="K108" s="9">
        <f t="shared" si="12"/>
        <v>8.06</v>
      </c>
      <c r="L108" s="7">
        <f t="shared" si="13"/>
        <v>10.391304347826088</v>
      </c>
    </row>
    <row r="109" spans="1:17" x14ac:dyDescent="0.2">
      <c r="A109" s="7" t="s">
        <v>261</v>
      </c>
      <c r="B109" s="7">
        <v>49</v>
      </c>
      <c r="C109" s="7">
        <v>126</v>
      </c>
      <c r="D109" s="7">
        <v>395</v>
      </c>
      <c r="E109" s="7">
        <v>148</v>
      </c>
      <c r="F109" s="7">
        <v>8</v>
      </c>
      <c r="H109" s="7">
        <v>1</v>
      </c>
      <c r="I109" s="9">
        <f>(B109*'Ore Index'!E2)+(C109*'Ore Index'!F2)+(D109*'Ore Index'!G2)+(E109*'Ore Index'!H2)+(F109*'Ore Index'!I2)+(G109*'Ore Index'!J2)+(H109*'Ore Index'!K2)</f>
        <v>52117.069999999992</v>
      </c>
      <c r="K109" s="9">
        <f t="shared" si="12"/>
        <v>7.2700000000000005</v>
      </c>
      <c r="L109" s="7">
        <f t="shared" si="13"/>
        <v>0.3888888888888889</v>
      </c>
    </row>
    <row r="110" spans="1:17" x14ac:dyDescent="0.2">
      <c r="A110" s="7" t="s">
        <v>260</v>
      </c>
      <c r="B110" s="7">
        <v>2014</v>
      </c>
      <c r="C110" s="7">
        <v>711</v>
      </c>
      <c r="D110" s="7">
        <v>1045</v>
      </c>
      <c r="I110" s="9">
        <f>(B110*'Ore Index'!E2)+(C110*'Ore Index'!F2)+(D110*'Ore Index'!G2)+(E110*'Ore Index'!H2)+(F110*'Ore Index'!I2)+(G110*'Ore Index'!J2)+(H110*'Ore Index'!K2)</f>
        <v>72663.34</v>
      </c>
      <c r="K110" s="9">
        <f t="shared" si="12"/>
        <v>37.700000000000003</v>
      </c>
      <c r="L110" s="7">
        <f t="shared" si="13"/>
        <v>2.8326300984528832</v>
      </c>
      <c r="M110" s="8">
        <f>(B110*N110)</f>
        <v>2068.3779999999997</v>
      </c>
      <c r="N110" s="7">
        <v>1.0269999999999999</v>
      </c>
      <c r="O110" s="7">
        <v>1.0269999999999999</v>
      </c>
      <c r="P110" s="7">
        <v>2014</v>
      </c>
      <c r="Q110" s="7">
        <f>M110/P110</f>
        <v>1.0269999999999999</v>
      </c>
    </row>
    <row r="111" spans="1:17" x14ac:dyDescent="0.2">
      <c r="A111" s="7" t="s">
        <v>259</v>
      </c>
      <c r="B111" s="7">
        <v>4027</v>
      </c>
      <c r="C111" s="7">
        <v>1423</v>
      </c>
      <c r="D111" s="7">
        <v>2089</v>
      </c>
      <c r="F111" s="7">
        <v>1</v>
      </c>
      <c r="I111" s="9">
        <f>(B111*'Ore Index'!E2)+(C111*'Ore Index'!F2)+(D111*'Ore Index'!G2)+(E111*'Ore Index'!H2)+(F111*'Ore Index'!I2)+(G111*'Ore Index'!J2)+(H111*'Ore Index'!K2)</f>
        <v>146095.99000000002</v>
      </c>
      <c r="K111" s="9">
        <f t="shared" si="12"/>
        <v>75.400000000000006</v>
      </c>
      <c r="L111" s="7">
        <f t="shared" si="13"/>
        <v>2.8299367533380182</v>
      </c>
      <c r="M111" s="8">
        <f>(B111*N111)</f>
        <v>4135.7289999999994</v>
      </c>
      <c r="N111" s="7">
        <v>1.0269999999999999</v>
      </c>
      <c r="O111" s="7">
        <v>1.0269999999999999</v>
      </c>
      <c r="P111" s="7">
        <v>4027</v>
      </c>
      <c r="Q111" s="7">
        <f>M111/P111</f>
        <v>1.0269999999999999</v>
      </c>
    </row>
    <row r="112" spans="1:17" x14ac:dyDescent="0.2">
      <c r="A112" s="7" t="s">
        <v>258</v>
      </c>
      <c r="B112" s="7">
        <v>3960</v>
      </c>
      <c r="C112" s="7">
        <v>1114</v>
      </c>
      <c r="D112" s="7">
        <v>1038</v>
      </c>
      <c r="H112" s="7">
        <v>1</v>
      </c>
      <c r="I112" s="9">
        <f>(B112*'Ore Index'!E2)+(C112*'Ore Index'!F2)+(D112*'Ore Index'!G2)+(E112*'Ore Index'!H2)+(F112*'Ore Index'!I2)+(G112*'Ore Index'!J2)+(H112*'Ore Index'!K2)</f>
        <v>92021.89</v>
      </c>
      <c r="K112" s="9">
        <f t="shared" si="12"/>
        <v>61.13</v>
      </c>
      <c r="L112" s="7">
        <f t="shared" si="13"/>
        <v>3.5547576301615798</v>
      </c>
      <c r="M112" s="8">
        <f>(B112*N112)</f>
        <v>4066.9199999999996</v>
      </c>
      <c r="N112" s="7">
        <v>1.0269999999999999</v>
      </c>
      <c r="O112" s="7">
        <v>1.0269999999999999</v>
      </c>
      <c r="P112" s="7">
        <v>3960</v>
      </c>
      <c r="Q112" s="7">
        <f>M112/P112</f>
        <v>1.0269999999999999</v>
      </c>
    </row>
    <row r="113" spans="1:17" x14ac:dyDescent="0.2">
      <c r="A113" s="7" t="s">
        <v>257</v>
      </c>
      <c r="B113" s="7">
        <v>76619</v>
      </c>
      <c r="F113" s="7">
        <v>299</v>
      </c>
      <c r="I113" s="9">
        <f>(B113*'Ore Index'!E2)+(C113*'Ore Index'!F2)+(D113*'Ore Index'!G2)+(E113*'Ore Index'!H2)+(F113*'Ore Index'!I2)+(G113*'Ore Index'!J2)+(H113*'Ore Index'!K2)</f>
        <v>678556.51</v>
      </c>
      <c r="K113" s="9">
        <f t="shared" si="12"/>
        <v>769.18000000000006</v>
      </c>
      <c r="L113" s="7" t="e">
        <f t="shared" si="13"/>
        <v>#DIV/0!</v>
      </c>
    </row>
    <row r="114" spans="1:17" x14ac:dyDescent="0.2">
      <c r="A114" s="7" t="s">
        <v>21</v>
      </c>
      <c r="D114" s="7">
        <v>384</v>
      </c>
      <c r="F114" s="7">
        <v>24</v>
      </c>
      <c r="H114" s="7">
        <v>1</v>
      </c>
      <c r="I114" s="9">
        <f>(B114*'Ore Index'!E2)+(C114*'Ore Index'!F2)+(D114*'Ore Index'!G2)+(E114*'Ore Index'!H2)+(F114*'Ore Index'!I2)+(G114*'Ore Index'!J2)+(H114*'Ore Index'!K2)</f>
        <v>40708.409999999996</v>
      </c>
      <c r="J114" s="7">
        <v>1</v>
      </c>
      <c r="K114" s="9">
        <f t="shared" si="12"/>
        <v>4.09</v>
      </c>
      <c r="L114" s="7" t="e">
        <f t="shared" si="13"/>
        <v>#DIV/0!</v>
      </c>
    </row>
    <row r="115" spans="1:17" x14ac:dyDescent="0.2">
      <c r="A115" s="7" t="s">
        <v>256</v>
      </c>
      <c r="B115" s="7">
        <v>1890</v>
      </c>
      <c r="C115" s="7">
        <v>1864</v>
      </c>
      <c r="I115" s="9">
        <f>(B115*'Ore Index'!E2)+(C115*'Ore Index'!F2)+(D115*'Ore Index'!G2)+(E115*'Ore Index'!H2)+(F115*'Ore Index'!I2)+(G115*'Ore Index'!J2)+(H115*'Ore Index'!K2)</f>
        <v>38248.36</v>
      </c>
      <c r="K115" s="9">
        <f t="shared" si="12"/>
        <v>37.54</v>
      </c>
    </row>
    <row r="116" spans="1:17" x14ac:dyDescent="0.2">
      <c r="A116" s="7" t="s">
        <v>255</v>
      </c>
      <c r="B116" s="7">
        <v>7177</v>
      </c>
      <c r="C116" s="7">
        <v>6483</v>
      </c>
      <c r="D116" s="7">
        <v>190</v>
      </c>
      <c r="E116" s="7">
        <v>2</v>
      </c>
      <c r="I116" s="9">
        <f>(B116*'Ore Index'!E2)+(C116*'Ore Index'!F2)+(D116*'Ore Index'!G2)+(E116*'Ore Index'!H2)+(F116*'Ore Index'!I2)+(G116*'Ore Index'!J2)+(H116*'Ore Index'!K2)</f>
        <v>145980.07999999999</v>
      </c>
      <c r="J116" s="7">
        <v>20</v>
      </c>
      <c r="K116" s="9">
        <f t="shared" si="12"/>
        <v>138.52000000000001</v>
      </c>
      <c r="L116" s="7">
        <f t="shared" ref="L116:L142" si="14">B116/C116</f>
        <v>1.1070492056146846</v>
      </c>
      <c r="M116" s="8">
        <f>(B116*N116)</f>
        <v>7370.7789999999995</v>
      </c>
      <c r="N116" s="7">
        <v>1.0269999999999999</v>
      </c>
      <c r="O116" s="7">
        <v>1.0269999999999999</v>
      </c>
      <c r="P116" s="7">
        <v>7177</v>
      </c>
      <c r="Q116" s="7">
        <f>M116/P116</f>
        <v>1.0269999999999999</v>
      </c>
    </row>
    <row r="117" spans="1:17" x14ac:dyDescent="0.2">
      <c r="A117" s="7" t="s">
        <v>254</v>
      </c>
      <c r="B117" s="7">
        <v>4061</v>
      </c>
      <c r="C117" s="7">
        <v>1325</v>
      </c>
      <c r="D117" s="7">
        <v>1600</v>
      </c>
      <c r="E117" s="7">
        <v>1</v>
      </c>
      <c r="F117" s="7">
        <v>8</v>
      </c>
      <c r="I117" s="9">
        <f>(B117*'Ore Index'!E2)+(C117*'Ore Index'!F2)+(D117*'Ore Index'!G2)+(E117*'Ore Index'!H2)+(F117*'Ore Index'!I2)+(G117*'Ore Index'!J2)+(H117*'Ore Index'!K2)</f>
        <v>126927</v>
      </c>
      <c r="K117" s="9">
        <f t="shared" si="12"/>
        <v>69.95</v>
      </c>
      <c r="L117" s="7">
        <f t="shared" si="14"/>
        <v>3.0649056603773586</v>
      </c>
    </row>
    <row r="118" spans="1:17" x14ac:dyDescent="0.2">
      <c r="A118" s="7" t="s">
        <v>253</v>
      </c>
      <c r="B118" s="7">
        <v>4041</v>
      </c>
      <c r="C118" s="7">
        <v>1238</v>
      </c>
      <c r="D118" s="7">
        <v>1257</v>
      </c>
      <c r="E118" s="7">
        <v>6</v>
      </c>
      <c r="H118" s="7">
        <v>1</v>
      </c>
      <c r="I118" s="9">
        <f>(B118*'Ore Index'!E2)+(C118*'Ore Index'!F2)+(D118*'Ore Index'!G2)+(E118*'Ore Index'!H2)+(F118*'Ore Index'!I2)+(G118*'Ore Index'!J2)+(H118*'Ore Index'!K2)</f>
        <v>105816.11000000002</v>
      </c>
      <c r="K118" s="9">
        <f t="shared" si="12"/>
        <v>65.430000000000007</v>
      </c>
      <c r="L118" s="7">
        <f t="shared" si="14"/>
        <v>3.2641357027463651</v>
      </c>
      <c r="M118" s="8">
        <f>(B118*N118)</f>
        <v>4150.107</v>
      </c>
      <c r="N118" s="7">
        <v>1.0269999999999999</v>
      </c>
      <c r="O118" s="7">
        <v>1.0269999999999999</v>
      </c>
      <c r="P118" s="7">
        <v>3960</v>
      </c>
      <c r="Q118" s="7">
        <f>M118/P118</f>
        <v>1.0480068181818181</v>
      </c>
    </row>
    <row r="119" spans="1:17" x14ac:dyDescent="0.2">
      <c r="A119" s="7" t="s">
        <v>252</v>
      </c>
      <c r="B119" s="7">
        <v>4061</v>
      </c>
      <c r="C119" s="7">
        <v>1325</v>
      </c>
      <c r="D119" s="7">
        <v>1600</v>
      </c>
      <c r="E119" s="7">
        <v>1</v>
      </c>
      <c r="F119" s="7">
        <v>8</v>
      </c>
      <c r="I119" s="9">
        <f>(B119*'Ore Index'!E2)+(C119*'Ore Index'!F2)+(D119*'Ore Index'!G2)+(E119*'Ore Index'!H2)+(F119*'Ore Index'!I2)+(G119*'Ore Index'!J2)+(H119*'Ore Index'!K2)</f>
        <v>126927</v>
      </c>
      <c r="K119" s="9">
        <f t="shared" si="12"/>
        <v>69.95</v>
      </c>
      <c r="L119" s="7">
        <f t="shared" si="14"/>
        <v>3.0649056603773586</v>
      </c>
    </row>
    <row r="120" spans="1:17" x14ac:dyDescent="0.2">
      <c r="A120" s="7" t="s">
        <v>251</v>
      </c>
      <c r="B120" s="7">
        <v>10926</v>
      </c>
      <c r="C120" s="7">
        <v>6086</v>
      </c>
      <c r="D120" s="7">
        <v>987</v>
      </c>
      <c r="E120" s="7">
        <v>2941</v>
      </c>
      <c r="H120" s="7">
        <v>62</v>
      </c>
      <c r="I120" s="9">
        <f>(B120*'Ore Index'!E2)+(C120*'Ore Index'!F2)+(D120*'Ore Index'!G2)+(E120*'Ore Index'!H2)+(F120*'Ore Index'!I2)+(G120*'Ore Index'!J2)+(H120*'Ore Index'!K2)</f>
        <v>795950.5</v>
      </c>
      <c r="J120" s="7">
        <v>5</v>
      </c>
      <c r="K120" s="9">
        <f t="shared" si="12"/>
        <v>210.02</v>
      </c>
      <c r="L120" s="7">
        <f t="shared" si="14"/>
        <v>1.7952678278015117</v>
      </c>
      <c r="M120" s="8">
        <f>(B120*N120)</f>
        <v>11221.001999999999</v>
      </c>
      <c r="N120" s="7">
        <v>1.0269999999999999</v>
      </c>
      <c r="O120" s="7">
        <v>1.0269999999999999</v>
      </c>
      <c r="P120" s="7">
        <v>10820</v>
      </c>
      <c r="Q120" s="7">
        <f>M120/P120</f>
        <v>1.0370611829944545</v>
      </c>
    </row>
    <row r="121" spans="1:17" x14ac:dyDescent="0.2">
      <c r="A121" s="7" t="s">
        <v>250</v>
      </c>
      <c r="B121" s="7">
        <v>1334</v>
      </c>
      <c r="C121" s="7">
        <v>1334</v>
      </c>
      <c r="D121" s="7">
        <v>1334</v>
      </c>
      <c r="E121" s="7">
        <v>1334</v>
      </c>
      <c r="G121" s="7">
        <v>45</v>
      </c>
      <c r="H121" s="7">
        <v>22</v>
      </c>
      <c r="I121" s="9">
        <f>(B121*'Ore Index'!E2)+(C121*'Ore Index'!F2)+(D121*'Ore Index'!G2)+(E121*'Ore Index'!H2)+(F121*'Ore Index'!I2)+(G121*'Ore Index'!J2)+(H121*'Ore Index'!K2)</f>
        <v>381593.89999999997</v>
      </c>
      <c r="K121" s="9">
        <f t="shared" si="12"/>
        <v>54.03</v>
      </c>
      <c r="L121" s="7">
        <f t="shared" si="14"/>
        <v>1</v>
      </c>
    </row>
    <row r="122" spans="1:17" x14ac:dyDescent="0.2">
      <c r="A122" s="7" t="s">
        <v>249</v>
      </c>
      <c r="B122" s="7">
        <v>10926</v>
      </c>
      <c r="C122" s="7">
        <v>6086</v>
      </c>
      <c r="D122" s="7">
        <v>987</v>
      </c>
      <c r="E122" s="7">
        <v>2941</v>
      </c>
      <c r="H122" s="7">
        <v>62</v>
      </c>
      <c r="I122" s="9">
        <f>(B122*'Ore Index'!E2)+(C122*'Ore Index'!F2)+(D122*'Ore Index'!G2)+(E122*'Ore Index'!H2)+(F122*'Ore Index'!I2)+(G122*'Ore Index'!J2)+(H122*'Ore Index'!K2)</f>
        <v>795950.5</v>
      </c>
      <c r="J122" s="7">
        <v>5</v>
      </c>
      <c r="K122" s="9">
        <f t="shared" si="12"/>
        <v>210.02</v>
      </c>
      <c r="L122" s="7">
        <f t="shared" si="14"/>
        <v>1.7952678278015117</v>
      </c>
      <c r="M122" s="8">
        <f>(B122*N122)</f>
        <v>11221.001999999999</v>
      </c>
      <c r="N122" s="7">
        <v>1.0269999999999999</v>
      </c>
      <c r="O122" s="7">
        <v>1.0269999999999999</v>
      </c>
      <c r="P122" s="7">
        <v>10820</v>
      </c>
      <c r="Q122" s="7">
        <f>M122/P122</f>
        <v>1.0370611829944545</v>
      </c>
    </row>
    <row r="123" spans="1:17" x14ac:dyDescent="0.2">
      <c r="A123" s="7" t="s">
        <v>248</v>
      </c>
      <c r="B123" s="7">
        <v>8201</v>
      </c>
      <c r="C123" s="7">
        <v>2677</v>
      </c>
      <c r="D123" s="7">
        <v>3231</v>
      </c>
      <c r="E123" s="7">
        <v>2</v>
      </c>
      <c r="F123" s="7">
        <v>16</v>
      </c>
      <c r="I123" s="9">
        <f>(B123*'Ore Index'!E2)+(C123*'Ore Index'!F2)+(D123*'Ore Index'!G2)+(E123*'Ore Index'!H2)+(F123*'Ore Index'!I2)+(G123*'Ore Index'!J2)+(H123*'Ore Index'!K2)</f>
        <v>256206.40000000002</v>
      </c>
      <c r="J123" s="7">
        <v>25</v>
      </c>
      <c r="K123" s="9">
        <f t="shared" si="12"/>
        <v>141.27000000000001</v>
      </c>
      <c r="L123" s="7">
        <f t="shared" si="14"/>
        <v>3.0635039223010834</v>
      </c>
      <c r="M123" s="8">
        <f>(B123*N123)</f>
        <v>8422.4269999999997</v>
      </c>
      <c r="N123" s="7">
        <v>1.0269999999999999</v>
      </c>
      <c r="O123" s="7">
        <v>1.0269999999999999</v>
      </c>
      <c r="P123" s="7">
        <v>8122</v>
      </c>
      <c r="Q123" s="7">
        <f>M123/P123</f>
        <v>1.0369892883526224</v>
      </c>
    </row>
    <row r="124" spans="1:17" x14ac:dyDescent="0.2">
      <c r="A124" s="7" t="s">
        <v>247</v>
      </c>
      <c r="B124" s="7">
        <v>1875</v>
      </c>
      <c r="C124" s="7">
        <v>979</v>
      </c>
      <c r="D124" s="7">
        <v>954</v>
      </c>
      <c r="E124" s="7">
        <v>780</v>
      </c>
      <c r="F124" s="7">
        <v>9</v>
      </c>
      <c r="G124" s="7">
        <v>7</v>
      </c>
      <c r="H124" s="7">
        <v>4</v>
      </c>
      <c r="I124" s="9">
        <f>(B124*'Ore Index'!E2)+(C124*'Ore Index'!F2)+(D124*'Ore Index'!G2)+(E124*'Ore Index'!H2)+(F124*'Ore Index'!I2)+(G124*'Ore Index'!J2)+(H124*'Ore Index'!K2)</f>
        <v>209132.62999999998</v>
      </c>
      <c r="K124" s="9">
        <f t="shared" si="12"/>
        <v>46.08</v>
      </c>
      <c r="L124" s="7">
        <f t="shared" si="14"/>
        <v>1.9152196118488254</v>
      </c>
    </row>
    <row r="125" spans="1:17" x14ac:dyDescent="0.2">
      <c r="A125" s="7" t="s">
        <v>246</v>
      </c>
      <c r="B125" s="7">
        <v>1491</v>
      </c>
      <c r="C125" s="7">
        <v>486</v>
      </c>
      <c r="D125" s="7">
        <v>422</v>
      </c>
      <c r="E125" s="7">
        <v>350</v>
      </c>
      <c r="F125" s="7">
        <v>5</v>
      </c>
      <c r="I125" s="9">
        <f>(B125*'Ore Index'!E2)+(C125*'Ore Index'!F2)+(D125*'Ore Index'!G2)+(E125*'Ore Index'!H2)+(F125*'Ore Index'!I2)+(G125*'Ore Index'!J2)+(H125*'Ore Index'!K2)</f>
        <v>91449.73</v>
      </c>
      <c r="J125" s="7">
        <v>20</v>
      </c>
      <c r="K125" s="9">
        <f t="shared" si="12"/>
        <v>27.54</v>
      </c>
      <c r="L125" s="7">
        <f t="shared" si="14"/>
        <v>3.0679012345679011</v>
      </c>
      <c r="M125" s="8">
        <f>(B125*N125)</f>
        <v>1531.2569999999998</v>
      </c>
      <c r="N125" s="7">
        <v>1.0269999999999999</v>
      </c>
      <c r="O125" s="7">
        <v>1.0269999999999999</v>
      </c>
      <c r="P125" s="7">
        <v>1491</v>
      </c>
      <c r="Q125" s="7">
        <f>M125/P125</f>
        <v>1.0269999999999999</v>
      </c>
    </row>
    <row r="126" spans="1:17" x14ac:dyDescent="0.2">
      <c r="A126" s="7" t="s">
        <v>245</v>
      </c>
      <c r="B126" s="7">
        <v>10922</v>
      </c>
      <c r="C126" s="7">
        <v>6084</v>
      </c>
      <c r="D126" s="7">
        <v>986</v>
      </c>
      <c r="E126" s="7">
        <v>2940</v>
      </c>
      <c r="H126" s="7">
        <v>62</v>
      </c>
      <c r="I126" s="9">
        <f>(B126*'Ore Index'!E2)+(C126*'Ore Index'!F2)+(D126*'Ore Index'!G2)+(E126*'Ore Index'!H2)+(F126*'Ore Index'!I2)+(G126*'Ore Index'!J2)+(H126*'Ore Index'!K2)</f>
        <v>795703.22</v>
      </c>
      <c r="K126" s="9">
        <f t="shared" si="12"/>
        <v>209.94</v>
      </c>
      <c r="L126" s="7">
        <f t="shared" si="14"/>
        <v>1.7952005259697568</v>
      </c>
    </row>
    <row r="127" spans="1:17" x14ac:dyDescent="0.2">
      <c r="A127" s="7" t="s">
        <v>244</v>
      </c>
      <c r="B127" s="7">
        <v>1875</v>
      </c>
      <c r="C127" s="7">
        <v>979</v>
      </c>
      <c r="D127" s="7">
        <v>954</v>
      </c>
      <c r="E127" s="7">
        <v>780</v>
      </c>
      <c r="F127" s="7">
        <v>9</v>
      </c>
      <c r="G127" s="7">
        <v>7</v>
      </c>
      <c r="H127" s="7">
        <v>4</v>
      </c>
      <c r="I127" s="9">
        <f>(B127*'Ore Index'!E2)+(C127*'Ore Index'!F2)+(D127*'Ore Index'!G2)+(E127*'Ore Index'!H2)+(F127*'Ore Index'!I2)+(G127*'Ore Index'!J2)+(H127*'Ore Index'!K2)</f>
        <v>209132.62999999998</v>
      </c>
      <c r="K127" s="9">
        <f t="shared" si="12"/>
        <v>46.08</v>
      </c>
      <c r="L127" s="7">
        <f t="shared" si="14"/>
        <v>1.9152196118488254</v>
      </c>
    </row>
    <row r="128" spans="1:17" x14ac:dyDescent="0.2">
      <c r="A128" s="7" t="s">
        <v>243</v>
      </c>
      <c r="B128" s="7">
        <v>3999</v>
      </c>
      <c r="C128" s="7">
        <v>1155</v>
      </c>
      <c r="D128" s="7">
        <v>1076</v>
      </c>
      <c r="H128" s="7">
        <v>1</v>
      </c>
      <c r="I128" s="9">
        <f>(B128*'Ore Index'!E2)+(C128*'Ore Index'!F2)+(D128*'Ore Index'!G2)+(E128*'Ore Index'!H2)+(F128*'Ore Index'!I2)+(G128*'Ore Index'!J2)+(H128*'Ore Index'!K2)</f>
        <v>94692.290000000008</v>
      </c>
      <c r="J128" s="7">
        <v>10</v>
      </c>
      <c r="K128" s="9">
        <f t="shared" si="12"/>
        <v>62.31</v>
      </c>
      <c r="L128" s="7">
        <f t="shared" si="14"/>
        <v>3.4623376623376623</v>
      </c>
      <c r="M128" s="8">
        <f>(B128*N128)</f>
        <v>4106.973</v>
      </c>
      <c r="N128" s="7">
        <v>1.0269999999999999</v>
      </c>
      <c r="O128" s="7">
        <v>1.0269999999999999</v>
      </c>
      <c r="P128" s="7">
        <v>3960</v>
      </c>
      <c r="Q128" s="7">
        <f>M128/P128</f>
        <v>1.0371143939393939</v>
      </c>
    </row>
    <row r="129" spans="1:17" x14ac:dyDescent="0.2">
      <c r="A129" s="7" t="s">
        <v>242</v>
      </c>
      <c r="B129" s="7">
        <v>1875</v>
      </c>
      <c r="C129" s="7">
        <v>979</v>
      </c>
      <c r="D129" s="7">
        <v>954</v>
      </c>
      <c r="E129" s="7">
        <v>780</v>
      </c>
      <c r="F129" s="7">
        <v>9</v>
      </c>
      <c r="G129" s="7">
        <v>7</v>
      </c>
      <c r="H129" s="7">
        <v>4</v>
      </c>
      <c r="I129" s="9">
        <f>(B129*'Ore Index'!E2)+(C129*'Ore Index'!F2)+(D129*'Ore Index'!G2)+(E129*'Ore Index'!H2)+(F129*'Ore Index'!I2)+(G129*'Ore Index'!J2)+(H129*'Ore Index'!K2)</f>
        <v>209132.62999999998</v>
      </c>
      <c r="K129" s="9">
        <f t="shared" si="12"/>
        <v>46.08</v>
      </c>
      <c r="L129" s="7">
        <f t="shared" si="14"/>
        <v>1.9152196118488254</v>
      </c>
    </row>
    <row r="130" spans="1:17" x14ac:dyDescent="0.2">
      <c r="A130" s="7" t="s">
        <v>241</v>
      </c>
      <c r="B130" s="7">
        <v>4027</v>
      </c>
      <c r="C130" s="7">
        <v>1423</v>
      </c>
      <c r="D130" s="7">
        <v>2089</v>
      </c>
      <c r="F130" s="7">
        <v>1</v>
      </c>
      <c r="I130" s="9">
        <f>(B130*'Ore Index'!E2)+(C130*'Ore Index'!F2)+(D130*'Ore Index'!G2)+(E130*'Ore Index'!H2)+(F130*'Ore Index'!I2)+(G130*'Ore Index'!J2)+(H130*'Ore Index'!K2)</f>
        <v>146095.99000000002</v>
      </c>
      <c r="J130" s="7">
        <v>10</v>
      </c>
      <c r="K130" s="9">
        <f t="shared" si="12"/>
        <v>75.400000000000006</v>
      </c>
      <c r="L130" s="7">
        <f t="shared" si="14"/>
        <v>2.8299367533380182</v>
      </c>
      <c r="M130" s="8">
        <f t="shared" ref="M130:M139" si="15">(B130*N130)</f>
        <v>4135.7289999999994</v>
      </c>
      <c r="N130" s="7">
        <v>1.0269999999999999</v>
      </c>
      <c r="O130" s="7">
        <v>1.0269999999999999</v>
      </c>
      <c r="P130" s="7">
        <v>4027</v>
      </c>
      <c r="Q130" s="7">
        <f t="shared" ref="Q130:Q139" si="16">M130/P130</f>
        <v>1.0269999999999999</v>
      </c>
    </row>
    <row r="131" spans="1:17" x14ac:dyDescent="0.2">
      <c r="A131" s="7" t="s">
        <v>240</v>
      </c>
      <c r="B131" s="7">
        <v>2925</v>
      </c>
      <c r="C131" s="7">
        <v>2627</v>
      </c>
      <c r="F131" s="7">
        <v>6</v>
      </c>
      <c r="G131" s="7">
        <v>2</v>
      </c>
      <c r="I131" s="9">
        <f>(B131*'Ore Index'!E2)+(C131*'Ore Index'!F2)+(D131*'Ore Index'!G2)+(E131*'Ore Index'!H2)+(F131*'Ore Index'!I2)+(G131*'Ore Index'!J2)+(H131*'Ore Index'!K2)</f>
        <v>61827.22</v>
      </c>
      <c r="K131" s="9">
        <f t="shared" si="12"/>
        <v>55.6</v>
      </c>
      <c r="L131" s="7">
        <f t="shared" si="14"/>
        <v>1.1134373810430149</v>
      </c>
      <c r="M131" s="8">
        <f t="shared" si="15"/>
        <v>3003.9749999999999</v>
      </c>
      <c r="N131" s="7">
        <v>1.0269999999999999</v>
      </c>
      <c r="O131" s="7">
        <v>1.0269999999999999</v>
      </c>
      <c r="P131" s="7">
        <v>2897</v>
      </c>
      <c r="Q131" s="7">
        <f t="shared" si="16"/>
        <v>1.0369261304798068</v>
      </c>
    </row>
    <row r="132" spans="1:17" x14ac:dyDescent="0.2">
      <c r="A132" s="7" t="s">
        <v>239</v>
      </c>
      <c r="B132" s="7">
        <v>2925</v>
      </c>
      <c r="C132" s="7">
        <v>2627</v>
      </c>
      <c r="D132" s="7">
        <v>95</v>
      </c>
      <c r="I132" s="9">
        <f>(B132*'Ore Index'!E2)+(C132*'Ore Index'!F2)+(D132*'Ore Index'!G2)+(E132*'Ore Index'!H2)+(F132*'Ore Index'!I2)+(G132*'Ore Index'!J2)+(H132*'Ore Index'!K2)</f>
        <v>60003.880000000005</v>
      </c>
      <c r="K132" s="9">
        <f t="shared" ref="K132:K158" si="17">(B132+C132+D132+E132+F132+G132+H132)*0.01</f>
        <v>56.47</v>
      </c>
      <c r="L132" s="7">
        <f t="shared" si="14"/>
        <v>1.1134373810430149</v>
      </c>
      <c r="M132" s="8">
        <f t="shared" si="15"/>
        <v>3003.9749999999999</v>
      </c>
      <c r="N132" s="7">
        <v>1.0269999999999999</v>
      </c>
      <c r="O132" s="7">
        <v>1.0269999999999999</v>
      </c>
      <c r="P132" s="7">
        <v>2897</v>
      </c>
      <c r="Q132" s="7">
        <f t="shared" si="16"/>
        <v>1.0369261304798068</v>
      </c>
    </row>
    <row r="133" spans="1:17" x14ac:dyDescent="0.2">
      <c r="A133" s="7" t="s">
        <v>238</v>
      </c>
      <c r="B133" s="7">
        <v>4061</v>
      </c>
      <c r="C133" s="7">
        <v>1290</v>
      </c>
      <c r="D133" s="7">
        <v>1557</v>
      </c>
      <c r="E133" s="7">
        <v>1</v>
      </c>
      <c r="F133" s="7">
        <v>8</v>
      </c>
      <c r="I133" s="9">
        <f>(B133*'Ore Index'!E2)+(C133*'Ore Index'!F2)+(D133*'Ore Index'!G2)+(E133*'Ore Index'!H2)+(F133*'Ore Index'!I2)+(G133*'Ore Index'!J2)+(H133*'Ore Index'!K2)</f>
        <v>124324.73999999999</v>
      </c>
      <c r="K133" s="9">
        <f t="shared" si="17"/>
        <v>69.17</v>
      </c>
      <c r="L133" s="7">
        <f t="shared" si="14"/>
        <v>3.1480620155038759</v>
      </c>
      <c r="M133" s="8">
        <f t="shared" si="15"/>
        <v>4170.6469999999999</v>
      </c>
      <c r="N133" s="7">
        <v>1.0269999999999999</v>
      </c>
      <c r="O133" s="7">
        <v>1.0269999999999999</v>
      </c>
      <c r="P133" s="7">
        <v>4061</v>
      </c>
      <c r="Q133" s="7">
        <f t="shared" si="16"/>
        <v>1.0269999999999999</v>
      </c>
    </row>
    <row r="134" spans="1:17" x14ac:dyDescent="0.2">
      <c r="A134" s="7" t="s">
        <v>237</v>
      </c>
      <c r="B134" s="7">
        <v>4041</v>
      </c>
      <c r="C134" s="7">
        <v>1205</v>
      </c>
      <c r="D134" s="7">
        <v>1224</v>
      </c>
      <c r="E134" s="7">
        <v>6</v>
      </c>
      <c r="I134" s="9">
        <f>(B134*'Ore Index'!E2)+(C134*'Ore Index'!F2)+(D134*'Ore Index'!G2)+(E134*'Ore Index'!H2)+(F134*'Ore Index'!I2)+(G134*'Ore Index'!J2)+(H134*'Ore Index'!K2)</f>
        <v>101062.76000000001</v>
      </c>
      <c r="K134" s="9">
        <f t="shared" si="17"/>
        <v>64.760000000000005</v>
      </c>
      <c r="L134" s="7">
        <f t="shared" si="14"/>
        <v>3.3535269709543569</v>
      </c>
      <c r="M134" s="8">
        <f t="shared" si="15"/>
        <v>4150.107</v>
      </c>
      <c r="N134" s="7">
        <v>1.0269999999999999</v>
      </c>
      <c r="O134" s="7">
        <v>1.0269999999999999</v>
      </c>
      <c r="P134" s="7">
        <v>4041</v>
      </c>
      <c r="Q134" s="7">
        <f t="shared" si="16"/>
        <v>1.0269999999999999</v>
      </c>
    </row>
    <row r="135" spans="1:17" x14ac:dyDescent="0.2">
      <c r="A135" s="7" t="s">
        <v>236</v>
      </c>
      <c r="B135" s="7">
        <v>8081</v>
      </c>
      <c r="C135" s="7">
        <v>2412</v>
      </c>
      <c r="D135" s="7">
        <v>2447</v>
      </c>
      <c r="E135" s="7">
        <v>13</v>
      </c>
      <c r="F135" s="7">
        <v>1</v>
      </c>
      <c r="I135" s="9">
        <f>(B135*'Ore Index'!E2)+(C135*'Ore Index'!F2)+(D135*'Ore Index'!G2)+(E135*'Ore Index'!H2)+(F135*'Ore Index'!I2)+(G135*'Ore Index'!J2)+(H135*'Ore Index'!K2)</f>
        <v>203056.05000000002</v>
      </c>
      <c r="J135" s="7">
        <v>25</v>
      </c>
      <c r="K135" s="9">
        <f t="shared" si="17"/>
        <v>129.54</v>
      </c>
      <c r="L135" s="7">
        <f t="shared" si="14"/>
        <v>3.3503316749585408</v>
      </c>
      <c r="M135" s="8">
        <f t="shared" si="15"/>
        <v>8299.1869999999999</v>
      </c>
      <c r="N135" s="7">
        <v>1.0269999999999999</v>
      </c>
      <c r="O135" s="7">
        <v>1.0269999999999999</v>
      </c>
      <c r="P135" s="7">
        <v>8081</v>
      </c>
      <c r="Q135" s="7">
        <f t="shared" si="16"/>
        <v>1.0269999999999999</v>
      </c>
    </row>
    <row r="136" spans="1:17" x14ac:dyDescent="0.2">
      <c r="A136" s="7" t="s">
        <v>235</v>
      </c>
      <c r="B136" s="7">
        <v>8081</v>
      </c>
      <c r="C136" s="7">
        <v>2412</v>
      </c>
      <c r="D136" s="7">
        <v>2447</v>
      </c>
      <c r="E136" s="7">
        <v>13</v>
      </c>
      <c r="F136" s="7">
        <v>1</v>
      </c>
      <c r="I136" s="9">
        <f>(B136*'Ore Index'!E2)+(C136*'Ore Index'!F2)+(D136*'Ore Index'!G2)+(E136*'Ore Index'!H2)+(F136*'Ore Index'!I2)+(G136*'Ore Index'!J2)+(H136*'Ore Index'!K2)</f>
        <v>203056.05000000002</v>
      </c>
      <c r="J136" s="7">
        <v>25</v>
      </c>
      <c r="K136" s="9">
        <f t="shared" si="17"/>
        <v>129.54</v>
      </c>
      <c r="L136" s="7">
        <f t="shared" si="14"/>
        <v>3.3503316749585408</v>
      </c>
      <c r="M136" s="8">
        <f t="shared" si="15"/>
        <v>8299.1869999999999</v>
      </c>
      <c r="N136" s="7">
        <v>1.0269999999999999</v>
      </c>
      <c r="O136" s="7">
        <v>1.0269999999999999</v>
      </c>
      <c r="P136" s="7">
        <v>8081</v>
      </c>
      <c r="Q136" s="7">
        <f t="shared" si="16"/>
        <v>1.0269999999999999</v>
      </c>
    </row>
    <row r="137" spans="1:17" x14ac:dyDescent="0.2">
      <c r="A137" s="7" t="s">
        <v>234</v>
      </c>
      <c r="B137" s="7">
        <v>1334</v>
      </c>
      <c r="C137" s="7">
        <v>1334</v>
      </c>
      <c r="D137" s="7">
        <v>1334</v>
      </c>
      <c r="E137" s="7">
        <v>1334</v>
      </c>
      <c r="G137" s="7">
        <v>45</v>
      </c>
      <c r="H137" s="7">
        <v>22</v>
      </c>
      <c r="I137" s="9">
        <f>(B137*'Ore Index'!E2)+(C137*'Ore Index'!F2)+(D137*'Ore Index'!G2)+(E137*'Ore Index'!H2)+(F137*'Ore Index'!I2)+(G137*'Ore Index'!J2)+(H137*'Ore Index'!K2)</f>
        <v>381593.89999999997</v>
      </c>
      <c r="J137" s="7">
        <v>5</v>
      </c>
      <c r="K137" s="9">
        <f t="shared" si="17"/>
        <v>54.03</v>
      </c>
      <c r="L137" s="7">
        <f t="shared" si="14"/>
        <v>1</v>
      </c>
      <c r="M137" s="8">
        <f t="shared" si="15"/>
        <v>1370.0179999999998</v>
      </c>
      <c r="N137" s="7">
        <v>1.0269999999999999</v>
      </c>
      <c r="O137" s="7">
        <v>1.0269999999999999</v>
      </c>
      <c r="P137" s="7">
        <v>1321</v>
      </c>
      <c r="Q137" s="7">
        <f t="shared" si="16"/>
        <v>1.0371067373202119</v>
      </c>
    </row>
    <row r="138" spans="1:17" x14ac:dyDescent="0.2">
      <c r="A138" s="7" t="s">
        <v>233</v>
      </c>
      <c r="B138" s="7">
        <v>1875</v>
      </c>
      <c r="C138" s="7">
        <v>953</v>
      </c>
      <c r="D138" s="7">
        <v>928</v>
      </c>
      <c r="E138" s="7">
        <v>759</v>
      </c>
      <c r="F138" s="7">
        <v>9</v>
      </c>
      <c r="G138" s="7">
        <v>7</v>
      </c>
      <c r="H138" s="7">
        <v>4</v>
      </c>
      <c r="I138" s="9">
        <f>(B138*'Ore Index'!E2)+(C138*'Ore Index'!F2)+(D138*'Ore Index'!G2)+(E138*'Ore Index'!H2)+(F138*'Ore Index'!I2)+(G138*'Ore Index'!J2)+(H138*'Ore Index'!K2)</f>
        <v>204411.78999999995</v>
      </c>
      <c r="K138" s="9">
        <f t="shared" si="17"/>
        <v>45.35</v>
      </c>
      <c r="L138" s="7">
        <f t="shared" si="14"/>
        <v>1.9674711437565582</v>
      </c>
      <c r="M138" s="8">
        <f t="shared" si="15"/>
        <v>1925.6249999999998</v>
      </c>
      <c r="N138" s="7">
        <v>1.0269999999999999</v>
      </c>
      <c r="O138" s="7">
        <v>1.0269999999999999</v>
      </c>
      <c r="P138" s="7">
        <v>1875</v>
      </c>
      <c r="Q138" s="7">
        <f t="shared" si="16"/>
        <v>1.0269999999999999</v>
      </c>
    </row>
    <row r="139" spans="1:17" x14ac:dyDescent="0.2">
      <c r="A139" s="7" t="s">
        <v>232</v>
      </c>
      <c r="B139" s="7">
        <v>396</v>
      </c>
      <c r="D139" s="7">
        <v>773</v>
      </c>
      <c r="E139" s="7">
        <v>386</v>
      </c>
      <c r="I139" s="9">
        <f>(B139*'Ore Index'!E2)+(C139*'Ore Index'!F2)+(D139*'Ore Index'!G2)+(E139*'Ore Index'!H2)+(F139*'Ore Index'!I2)+(G139*'Ore Index'!J2)+(H139*'Ore Index'!K2)</f>
        <v>96304.44</v>
      </c>
      <c r="K139" s="9">
        <f t="shared" si="17"/>
        <v>15.55</v>
      </c>
      <c r="L139" s="7" t="e">
        <f t="shared" si="14"/>
        <v>#DIV/0!</v>
      </c>
      <c r="M139" s="8">
        <f t="shared" si="15"/>
        <v>406.69199999999995</v>
      </c>
      <c r="N139" s="7">
        <v>1.0269999999999999</v>
      </c>
      <c r="O139" s="7">
        <v>1.0269999999999999</v>
      </c>
      <c r="P139" s="7">
        <v>396</v>
      </c>
      <c r="Q139" s="7">
        <f t="shared" si="16"/>
        <v>1.0269999999999999</v>
      </c>
    </row>
    <row r="140" spans="1:17" x14ac:dyDescent="0.2">
      <c r="A140" s="7" t="s">
        <v>231</v>
      </c>
      <c r="B140" s="7">
        <v>2121</v>
      </c>
      <c r="C140" s="7">
        <v>127</v>
      </c>
      <c r="D140" s="7">
        <v>221</v>
      </c>
      <c r="I140" s="9">
        <f>(B140*'Ore Index'!E2)+(C140*'Ore Index'!F2)+(D140*'Ore Index'!G2)+(E140*'Ore Index'!H2)+(F140*'Ore Index'!I2)+(G140*'Ore Index'!J2)+(H140*'Ore Index'!K2)</f>
        <v>24684.6</v>
      </c>
      <c r="K140" s="9">
        <f t="shared" si="17"/>
        <v>24.69</v>
      </c>
      <c r="L140" s="7">
        <f t="shared" si="14"/>
        <v>16.700787401574804</v>
      </c>
    </row>
    <row r="141" spans="1:17" x14ac:dyDescent="0.2">
      <c r="A141" s="7" t="s">
        <v>230</v>
      </c>
      <c r="B141" s="7">
        <v>2073</v>
      </c>
      <c r="C141" s="7">
        <v>825</v>
      </c>
      <c r="D141" s="7">
        <v>457</v>
      </c>
      <c r="E141" s="7">
        <v>20</v>
      </c>
      <c r="F141" s="7">
        <v>23</v>
      </c>
      <c r="I141" s="9">
        <f>(B141*'Ore Index'!E2)+(C141*'Ore Index'!F2)+(D141*'Ore Index'!G2)+(E141*'Ore Index'!H2)+(F141*'Ore Index'!I2)+(G141*'Ore Index'!J2)+(H141*'Ore Index'!K2)</f>
        <v>67682.010000000009</v>
      </c>
      <c r="K141" s="9">
        <f t="shared" si="17"/>
        <v>33.980000000000004</v>
      </c>
      <c r="L141" s="7">
        <f t="shared" si="14"/>
        <v>2.5127272727272727</v>
      </c>
    </row>
    <row r="142" spans="1:17" x14ac:dyDescent="0.2">
      <c r="A142" s="7" t="s">
        <v>229</v>
      </c>
      <c r="B142" s="7">
        <v>2049</v>
      </c>
      <c r="C142" s="7">
        <v>2083</v>
      </c>
      <c r="D142" s="7">
        <v>1787</v>
      </c>
      <c r="E142" s="7">
        <v>1855</v>
      </c>
      <c r="F142" s="7">
        <v>490</v>
      </c>
      <c r="H142" s="7">
        <v>1</v>
      </c>
      <c r="I142" s="9">
        <f>(B142*'Ore Index'!E2)+(C142*'Ore Index'!F2)+(D142*'Ore Index'!G2)+(E142*'Ore Index'!H2)+(F142*'Ore Index'!I2)+(G142*'Ore Index'!J2)+(H142*'Ore Index'!K2)</f>
        <v>799781.23</v>
      </c>
      <c r="K142" s="9">
        <f t="shared" si="17"/>
        <v>82.65</v>
      </c>
      <c r="L142" s="7">
        <f t="shared" si="14"/>
        <v>0.98367738838214114</v>
      </c>
    </row>
    <row r="143" spans="1:17" x14ac:dyDescent="0.2">
      <c r="A143" s="7" t="s">
        <v>228</v>
      </c>
      <c r="B143" s="7">
        <v>1073</v>
      </c>
      <c r="C143" s="7">
        <v>942</v>
      </c>
      <c r="D143" s="7">
        <v>868</v>
      </c>
      <c r="E143" s="7">
        <v>846</v>
      </c>
      <c r="F143" s="7">
        <v>1007</v>
      </c>
      <c r="G143" s="7">
        <v>52</v>
      </c>
      <c r="I143" s="9">
        <f>(B143*'Ore Index'!E2)+(C143*'Ore Index'!F2)+(D143*'Ore Index'!G2)+(E143*'Ore Index'!H2)+(F143*'Ore Index'!I2)+(G143*'Ore Index'!J2)+(H143*'Ore Index'!K2)</f>
        <v>1041570.1499999999</v>
      </c>
      <c r="K143" s="9">
        <f t="shared" si="17"/>
        <v>47.88</v>
      </c>
    </row>
    <row r="144" spans="1:17" x14ac:dyDescent="0.2">
      <c r="A144" s="7" t="s">
        <v>227</v>
      </c>
      <c r="B144" s="7">
        <v>2049</v>
      </c>
      <c r="C144" s="7">
        <v>2083</v>
      </c>
      <c r="D144" s="7">
        <v>1787</v>
      </c>
      <c r="E144" s="7">
        <v>1855</v>
      </c>
      <c r="F144" s="7">
        <v>490</v>
      </c>
      <c r="H144" s="7">
        <v>1</v>
      </c>
      <c r="I144" s="9">
        <f>(B144*'Ore Index'!E2)+(C144*'Ore Index'!F2)+(D144*'Ore Index'!G2)+(E144*'Ore Index'!H2)+(F144*'Ore Index'!I2)+(G144*'Ore Index'!J2)+(H144*'Ore Index'!K2)</f>
        <v>799781.23</v>
      </c>
      <c r="K144" s="9">
        <f t="shared" si="17"/>
        <v>82.65</v>
      </c>
      <c r="L144" s="7">
        <f t="shared" ref="L144:L155" si="18">B144/C144</f>
        <v>0.98367738838214114</v>
      </c>
      <c r="M144" s="8">
        <f>(B144*N144)</f>
        <v>2104.3229999999999</v>
      </c>
      <c r="N144" s="7">
        <v>1.0269999999999999</v>
      </c>
      <c r="O144" s="7">
        <v>1.0269999999999999</v>
      </c>
      <c r="P144" s="7">
        <v>2029</v>
      </c>
      <c r="Q144" s="7">
        <f>M144/P144</f>
        <v>1.0371232134056185</v>
      </c>
    </row>
    <row r="145" spans="1:17" x14ac:dyDescent="0.2">
      <c r="A145" s="7" t="s">
        <v>226</v>
      </c>
      <c r="B145" s="7">
        <v>16442</v>
      </c>
      <c r="C145" s="7">
        <v>2149</v>
      </c>
      <c r="F145" s="7">
        <v>7</v>
      </c>
      <c r="H145" s="7">
        <v>3</v>
      </c>
      <c r="I145" s="9">
        <f>(B145*'Ore Index'!E2)+(C145*'Ore Index'!F2)+(D145*'Ore Index'!G2)+(E145*'Ore Index'!H2)+(F145*'Ore Index'!I2)+(G145*'Ore Index'!J2)+(H145*'Ore Index'!K2)</f>
        <v>139054.5</v>
      </c>
      <c r="K145" s="9">
        <f t="shared" si="17"/>
        <v>186.01</v>
      </c>
      <c r="L145" s="7">
        <f t="shared" si="18"/>
        <v>7.6510004653327126</v>
      </c>
    </row>
    <row r="146" spans="1:17" x14ac:dyDescent="0.2">
      <c r="A146" s="7" t="s">
        <v>225</v>
      </c>
      <c r="B146" s="7">
        <v>2073</v>
      </c>
      <c r="C146" s="7">
        <v>825</v>
      </c>
      <c r="D146" s="7">
        <v>457</v>
      </c>
      <c r="E146" s="7">
        <v>20</v>
      </c>
      <c r="F146" s="7">
        <v>23</v>
      </c>
      <c r="I146" s="9">
        <f>(B146*'Ore Index'!E2)+(C146*'Ore Index'!F2)+(D146*'Ore Index'!G2)+(E146*'Ore Index'!H2)+(F146*'Ore Index'!I2)+(G146*'Ore Index'!J2)+(H146*'Ore Index'!K2)</f>
        <v>67682.010000000009</v>
      </c>
      <c r="K146" s="9">
        <f t="shared" si="17"/>
        <v>33.980000000000004</v>
      </c>
      <c r="L146" s="7">
        <f t="shared" si="18"/>
        <v>2.5127272727272727</v>
      </c>
    </row>
    <row r="147" spans="1:17" x14ac:dyDescent="0.2">
      <c r="A147" s="7" t="s">
        <v>224</v>
      </c>
      <c r="B147" s="7">
        <v>5</v>
      </c>
      <c r="D147" s="7">
        <v>634</v>
      </c>
      <c r="F147" s="7">
        <v>4</v>
      </c>
      <c r="G147" s="7">
        <v>4</v>
      </c>
      <c r="H147" s="7">
        <v>6</v>
      </c>
      <c r="I147" s="9">
        <f>(B147*'Ore Index'!E2)+(C147*'Ore Index'!F2)+(D147*'Ore Index'!G2)+(E147*'Ore Index'!H2)+(F147*'Ore Index'!I2)+(G147*'Ore Index'!J2)+(H147*'Ore Index'!K2)</f>
        <v>53179.959999999992</v>
      </c>
      <c r="K147" s="9">
        <f t="shared" si="17"/>
        <v>6.53</v>
      </c>
      <c r="L147" s="7" t="e">
        <f t="shared" si="18"/>
        <v>#DIV/0!</v>
      </c>
    </row>
    <row r="148" spans="1:17" x14ac:dyDescent="0.2">
      <c r="A148" s="7" t="s">
        <v>223</v>
      </c>
      <c r="D148" s="7">
        <v>590</v>
      </c>
      <c r="E148" s="7">
        <v>213</v>
      </c>
      <c r="F148" s="7">
        <v>50</v>
      </c>
      <c r="I148" s="9">
        <f>(B148*'Ore Index'!E2)+(C148*'Ore Index'!F2)+(D148*'Ore Index'!G2)+(E148*'Ore Index'!H2)+(F148*'Ore Index'!I2)+(G148*'Ore Index'!J2)+(H148*'Ore Index'!K2)</f>
        <v>100266.54000000001</v>
      </c>
      <c r="K148" s="9">
        <f t="shared" si="17"/>
        <v>8.5299999999999994</v>
      </c>
      <c r="L148" s="7" t="e">
        <f t="shared" si="18"/>
        <v>#DIV/0!</v>
      </c>
    </row>
    <row r="149" spans="1:17" x14ac:dyDescent="0.2">
      <c r="A149" s="7" t="s">
        <v>222</v>
      </c>
      <c r="B149" s="7">
        <v>4068</v>
      </c>
      <c r="C149" s="7">
        <v>1502</v>
      </c>
      <c r="D149" s="7">
        <v>1131</v>
      </c>
      <c r="G149" s="7">
        <v>2</v>
      </c>
      <c r="I149" s="9">
        <f>(B149*'Ore Index'!E2)+(C149*'Ore Index'!F2)+(D149*'Ore Index'!G2)+(E149*'Ore Index'!H2)+(F149*'Ore Index'!I2)+(G149*'Ore Index'!J2)+(H149*'Ore Index'!K2)</f>
        <v>101783.20000000001</v>
      </c>
      <c r="J149" s="7">
        <v>15</v>
      </c>
      <c r="K149" s="9">
        <f t="shared" si="17"/>
        <v>67.03</v>
      </c>
      <c r="L149" s="7">
        <f t="shared" si="18"/>
        <v>2.7083888149134485</v>
      </c>
      <c r="M149" s="8">
        <f>(B149*N149)</f>
        <v>4177.8359999999993</v>
      </c>
      <c r="N149" s="7">
        <v>1.0269999999999999</v>
      </c>
      <c r="O149" s="7">
        <v>1.0269999999999999</v>
      </c>
      <c r="P149" s="7">
        <v>4068</v>
      </c>
      <c r="Q149" s="7">
        <f>M149/P149</f>
        <v>1.0269999999999999</v>
      </c>
    </row>
    <row r="150" spans="1:17" x14ac:dyDescent="0.2">
      <c r="A150" s="7" t="s">
        <v>221</v>
      </c>
      <c r="D150" s="7">
        <v>590</v>
      </c>
      <c r="E150" s="7">
        <v>213</v>
      </c>
      <c r="F150" s="7">
        <v>50</v>
      </c>
      <c r="I150" s="9">
        <f>(B150*'Ore Index'!E2)+(C150*'Ore Index'!F2)+(D150*'Ore Index'!G2)+(E150*'Ore Index'!H2)+(F150*'Ore Index'!I2)+(G150*'Ore Index'!J2)+(H150*'Ore Index'!K2)</f>
        <v>100266.54000000001</v>
      </c>
      <c r="K150" s="9">
        <f t="shared" si="17"/>
        <v>8.5299999999999994</v>
      </c>
      <c r="L150" s="7" t="e">
        <f t="shared" si="18"/>
        <v>#DIV/0!</v>
      </c>
    </row>
    <row r="151" spans="1:17" x14ac:dyDescent="0.2">
      <c r="A151" s="7" t="s">
        <v>220</v>
      </c>
      <c r="B151" s="7">
        <v>2034</v>
      </c>
      <c r="C151" s="7">
        <v>771</v>
      </c>
      <c r="D151" s="7">
        <v>581</v>
      </c>
      <c r="G151" s="7">
        <v>1</v>
      </c>
      <c r="I151" s="9">
        <f>(B151*'Ore Index'!E2)+(C151*'Ore Index'!F2)+(D151*'Ore Index'!G2)+(E151*'Ore Index'!H2)+(F151*'Ore Index'!I2)+(G151*'Ore Index'!J2)+(H151*'Ore Index'!K2)</f>
        <v>51938.460000000006</v>
      </c>
      <c r="K151" s="9">
        <f t="shared" si="17"/>
        <v>33.869999999999997</v>
      </c>
      <c r="L151" s="7">
        <f t="shared" si="18"/>
        <v>2.6381322957198443</v>
      </c>
    </row>
    <row r="152" spans="1:17" x14ac:dyDescent="0.2">
      <c r="A152" s="7" t="s">
        <v>219</v>
      </c>
      <c r="B152" s="7">
        <v>2073</v>
      </c>
      <c r="C152" s="7">
        <v>825</v>
      </c>
      <c r="D152" s="7">
        <v>457</v>
      </c>
      <c r="E152" s="7">
        <v>20</v>
      </c>
      <c r="F152" s="7">
        <v>23</v>
      </c>
      <c r="I152" s="9">
        <f>(B152*'Ore Index'!E2)+(C152*'Ore Index'!F2)+(D152*'Ore Index'!G2)+(E152*'Ore Index'!H2)+(F152*'Ore Index'!I2)+(G152*'Ore Index'!J2)+(H152*'Ore Index'!K2)</f>
        <v>67682.010000000009</v>
      </c>
      <c r="K152" s="9">
        <f t="shared" si="17"/>
        <v>33.980000000000004</v>
      </c>
      <c r="L152" s="7">
        <f t="shared" si="18"/>
        <v>2.5127272727272727</v>
      </c>
    </row>
    <row r="153" spans="1:17" x14ac:dyDescent="0.2">
      <c r="A153" s="7" t="s">
        <v>218</v>
      </c>
      <c r="B153" s="7">
        <v>2073</v>
      </c>
      <c r="C153" s="7">
        <v>825</v>
      </c>
      <c r="D153" s="7">
        <v>457</v>
      </c>
      <c r="E153" s="7">
        <v>20</v>
      </c>
      <c r="F153" s="7">
        <v>23</v>
      </c>
      <c r="I153" s="9">
        <f>(B153*'Ore Index'!E2)+(C153*'Ore Index'!F2)+(D153*'Ore Index'!G2)+(E153*'Ore Index'!H2)+(F153*'Ore Index'!I2)+(G153*'Ore Index'!J2)+(H153*'Ore Index'!K2)</f>
        <v>67682.010000000009</v>
      </c>
      <c r="K153" s="9">
        <f t="shared" si="17"/>
        <v>33.980000000000004</v>
      </c>
      <c r="L153" s="7">
        <f t="shared" si="18"/>
        <v>2.5127272727272727</v>
      </c>
    </row>
    <row r="154" spans="1:17" x14ac:dyDescent="0.2">
      <c r="A154" s="7" t="s">
        <v>217</v>
      </c>
      <c r="B154" s="7">
        <v>2034</v>
      </c>
      <c r="C154" s="7">
        <v>771</v>
      </c>
      <c r="D154" s="7">
        <v>581</v>
      </c>
      <c r="F154" s="7">
        <v>1</v>
      </c>
      <c r="I154" s="9">
        <f>(B154*'Ore Index'!E2)+(C154*'Ore Index'!F2)+(D154*'Ore Index'!G2)+(E154*'Ore Index'!H2)+(F154*'Ore Index'!I2)+(G154*'Ore Index'!J2)+(H154*'Ore Index'!K2)</f>
        <v>51957.250000000007</v>
      </c>
      <c r="K154" s="9">
        <f t="shared" si="17"/>
        <v>33.869999999999997</v>
      </c>
      <c r="L154" s="7">
        <f t="shared" si="18"/>
        <v>2.6381322957198443</v>
      </c>
    </row>
    <row r="155" spans="1:17" x14ac:dyDescent="0.2">
      <c r="A155" s="7" t="s">
        <v>216</v>
      </c>
      <c r="B155" s="7">
        <v>1073</v>
      </c>
      <c r="C155" s="7">
        <v>942</v>
      </c>
      <c r="D155" s="7">
        <v>868</v>
      </c>
      <c r="E155" s="7">
        <v>846</v>
      </c>
      <c r="F155" s="7">
        <v>1007</v>
      </c>
      <c r="G155" s="7">
        <v>52</v>
      </c>
      <c r="I155" s="9">
        <f>(B155*'Ore Index'!E2)+(C155*'Ore Index'!F2)+(D155*'Ore Index'!G2)+(E155*'Ore Index'!H2)+(F155*'Ore Index'!I2)+(G155*'Ore Index'!J2)+(H155*'Ore Index'!K2)</f>
        <v>1041570.1499999999</v>
      </c>
      <c r="J155" s="7">
        <v>50</v>
      </c>
      <c r="K155" s="9">
        <f t="shared" si="17"/>
        <v>47.88</v>
      </c>
      <c r="L155" s="7">
        <f t="shared" si="18"/>
        <v>1.1390658174097665</v>
      </c>
      <c r="M155" s="8">
        <f>(B155*N155)</f>
        <v>1101.971</v>
      </c>
      <c r="N155" s="7">
        <v>1.0269999999999999</v>
      </c>
      <c r="O155" s="7">
        <v>1.0269999999999999</v>
      </c>
      <c r="P155" s="7">
        <v>1063</v>
      </c>
      <c r="Q155" s="7">
        <f>M155/P155</f>
        <v>1.0366613358419567</v>
      </c>
    </row>
    <row r="156" spans="1:17" x14ac:dyDescent="0.2">
      <c r="A156" s="7" t="s">
        <v>215</v>
      </c>
      <c r="B156" s="7">
        <v>16595</v>
      </c>
      <c r="C156" s="7">
        <v>2169</v>
      </c>
      <c r="F156" s="7">
        <v>7</v>
      </c>
      <c r="H156" s="7">
        <v>3</v>
      </c>
      <c r="I156" s="9">
        <f>(B156*'Ore Index'!E2)+(C156*'Ore Index'!F2)+(D156*'Ore Index'!G2)+(E156*'Ore Index'!H2)+(F156*'Ore Index'!I2)+(G156*'Ore Index'!J2)+(H156*'Ore Index'!K2)</f>
        <v>140221.4</v>
      </c>
      <c r="K156" s="9">
        <f t="shared" si="17"/>
        <v>187.74</v>
      </c>
    </row>
    <row r="157" spans="1:17" x14ac:dyDescent="0.2">
      <c r="A157" s="7" t="s">
        <v>214</v>
      </c>
      <c r="B157" s="7">
        <v>2049</v>
      </c>
      <c r="C157" s="7">
        <v>2083</v>
      </c>
      <c r="D157" s="7">
        <v>1787</v>
      </c>
      <c r="E157" s="7">
        <v>1855</v>
      </c>
      <c r="F157" s="7">
        <v>490</v>
      </c>
      <c r="H157" s="7">
        <v>1</v>
      </c>
      <c r="I157" s="9">
        <f>(B157*'Ore Index'!E2)+(C157*'Ore Index'!F2)+(D157*'Ore Index'!G2)+(E157*'Ore Index'!H2)+(F157*'Ore Index'!I2)+(G157*'Ore Index'!J2)+(H157*'Ore Index'!K2)</f>
        <v>799781.23</v>
      </c>
      <c r="K157" s="9">
        <f t="shared" si="17"/>
        <v>82.65</v>
      </c>
      <c r="L157" s="7">
        <f>B157/C157</f>
        <v>0.98367738838214114</v>
      </c>
      <c r="M157" s="8">
        <f>(B157*N157)</f>
        <v>2104.3229999999999</v>
      </c>
      <c r="N157" s="7">
        <v>1.0269999999999999</v>
      </c>
      <c r="O157" s="7">
        <v>1.0269999999999999</v>
      </c>
      <c r="P157" s="7">
        <v>2029</v>
      </c>
      <c r="Q157" s="7">
        <f>M157/P157</f>
        <v>1.0371232134056185</v>
      </c>
    </row>
    <row r="158" spans="1:17" x14ac:dyDescent="0.2">
      <c r="A158" s="7" t="s">
        <v>213</v>
      </c>
      <c r="B158" s="7">
        <v>2034</v>
      </c>
      <c r="C158" s="7">
        <v>771</v>
      </c>
      <c r="D158" s="7">
        <v>581</v>
      </c>
      <c r="G158" s="7">
        <v>1</v>
      </c>
      <c r="I158" s="9">
        <f>(B158*'Ore Index'!E2)+(C158*'Ore Index'!F2)+(D158*'Ore Index'!G2)+(E158*'Ore Index'!H2)+(F158*'Ore Index'!I2)+(G158*'Ore Index'!J2)+(H158*'Ore Index'!K2)</f>
        <v>51938.460000000006</v>
      </c>
      <c r="K158" s="9">
        <f t="shared" si="17"/>
        <v>33.869999999999997</v>
      </c>
      <c r="L158" s="7">
        <f>B158/C158</f>
        <v>2.6381322957198443</v>
      </c>
    </row>
    <row r="159" spans="1:17" x14ac:dyDescent="0.2">
      <c r="A159" s="7" t="s">
        <v>212</v>
      </c>
      <c r="D159" s="7">
        <v>595</v>
      </c>
      <c r="E159" s="7">
        <v>215</v>
      </c>
      <c r="F159" s="7">
        <v>51</v>
      </c>
      <c r="I159" s="9">
        <f>(B159*'Ore Index'!E2)+(C159*'Ore Index'!F2)+(D159*'Ore Index'!G2)+(E159*'Ore Index'!H2)+(F159*'Ore Index'!I2)+(G159*'Ore Index'!J2)+(H159*'Ore Index'!K2)</f>
        <v>101610.89</v>
      </c>
    </row>
    <row r="160" spans="1:17" x14ac:dyDescent="0.2">
      <c r="A160" s="7" t="s">
        <v>211</v>
      </c>
      <c r="B160" s="7">
        <v>3840</v>
      </c>
      <c r="C160" s="7">
        <v>2895</v>
      </c>
      <c r="D160" s="7">
        <v>1</v>
      </c>
      <c r="I160" s="9">
        <f>(B160*'Ore Index'!E2)+(C160*'Ore Index'!F2)+(D160*'Ore Index'!G2)+(E160*'Ore Index'!H2)+(F160*'Ore Index'!I2)+(G160*'Ore Index'!J2)+(H160*'Ore Index'!K2)</f>
        <v>64608.82</v>
      </c>
      <c r="K160" s="9">
        <f t="shared" ref="K160:K191" si="19">(B160+C160+D160+E160+F160+G160+H160)*0.01</f>
        <v>67.36</v>
      </c>
      <c r="L160" s="7">
        <f t="shared" ref="L160:L171" si="20">B160/C160</f>
        <v>1.3264248704663213</v>
      </c>
    </row>
    <row r="161" spans="1:17" x14ac:dyDescent="0.2">
      <c r="A161" s="7" t="s">
        <v>210</v>
      </c>
      <c r="B161" s="7">
        <v>1073</v>
      </c>
      <c r="C161" s="7">
        <v>942</v>
      </c>
      <c r="D161" s="7">
        <v>868</v>
      </c>
      <c r="E161" s="7">
        <v>846</v>
      </c>
      <c r="F161" s="7">
        <v>1007</v>
      </c>
      <c r="G161" s="7">
        <v>52</v>
      </c>
      <c r="I161" s="9">
        <f>(B161*'Ore Index'!E2)+(C161*'Ore Index'!F2)+(D161*'Ore Index'!G2)+(E161*'Ore Index'!H2)+(F161*'Ore Index'!I2)+(G161*'Ore Index'!J2)+(H161*'Ore Index'!K2)</f>
        <v>1041570.1499999999</v>
      </c>
      <c r="J161" s="7">
        <v>50</v>
      </c>
      <c r="K161" s="9">
        <f t="shared" si="19"/>
        <v>47.88</v>
      </c>
      <c r="L161" s="7">
        <f t="shared" si="20"/>
        <v>1.1390658174097665</v>
      </c>
      <c r="M161" s="8">
        <f>(B161*N161)</f>
        <v>1101.971</v>
      </c>
      <c r="N161" s="7">
        <v>1.0269999999999999</v>
      </c>
      <c r="O161" s="7">
        <v>1.0269999999999999</v>
      </c>
      <c r="P161" s="7">
        <v>1063</v>
      </c>
      <c r="Q161" s="7">
        <f>M161/P161</f>
        <v>1.0366613358419567</v>
      </c>
    </row>
    <row r="162" spans="1:17" x14ac:dyDescent="0.2">
      <c r="A162" s="7" t="s">
        <v>209</v>
      </c>
      <c r="B162" s="7">
        <v>2049</v>
      </c>
      <c r="C162" s="7">
        <v>2083</v>
      </c>
      <c r="D162" s="7">
        <v>1787</v>
      </c>
      <c r="E162" s="7">
        <v>1855</v>
      </c>
      <c r="F162" s="7">
        <v>490</v>
      </c>
      <c r="H162" s="7">
        <v>1</v>
      </c>
      <c r="I162" s="9">
        <f>(B162*'Ore Index'!E2)+(C162*'Ore Index'!F2)+(D162*'Ore Index'!G2)+(E162*'Ore Index'!H2)+(F162*'Ore Index'!I2)+(G162*'Ore Index'!J2)+(H162*'Ore Index'!K2)</f>
        <v>799781.23</v>
      </c>
      <c r="K162" s="9">
        <f t="shared" si="19"/>
        <v>82.65</v>
      </c>
      <c r="L162" s="7">
        <f t="shared" si="20"/>
        <v>0.98367738838214114</v>
      </c>
      <c r="M162" s="8">
        <f>(B162*N162)</f>
        <v>2104.3229999999999</v>
      </c>
      <c r="N162" s="7">
        <v>1.0269999999999999</v>
      </c>
      <c r="O162" s="7">
        <v>1.0269999999999999</v>
      </c>
      <c r="P162" s="7">
        <v>2029</v>
      </c>
      <c r="Q162" s="7">
        <f>M162/P162</f>
        <v>1.0371232134056185</v>
      </c>
    </row>
    <row r="163" spans="1:17" x14ac:dyDescent="0.2">
      <c r="A163" s="7" t="s">
        <v>208</v>
      </c>
      <c r="D163" s="7">
        <v>1149</v>
      </c>
      <c r="E163" s="7">
        <v>417</v>
      </c>
      <c r="F163" s="7">
        <v>98</v>
      </c>
      <c r="I163" s="9">
        <f>(B163*'Ore Index'!E2)+(C163*'Ore Index'!F2)+(D163*'Ore Index'!G2)+(E163*'Ore Index'!H2)+(F163*'Ore Index'!I2)+(G163*'Ore Index'!J2)+(H163*'Ore Index'!K2)</f>
        <v>196093.06</v>
      </c>
      <c r="K163" s="9">
        <f t="shared" si="19"/>
        <v>16.64</v>
      </c>
      <c r="L163" s="7" t="e">
        <f t="shared" si="20"/>
        <v>#DIV/0!</v>
      </c>
      <c r="M163" s="8">
        <f>(B163*N163)</f>
        <v>0</v>
      </c>
      <c r="N163" s="7">
        <v>1.0269999999999999</v>
      </c>
      <c r="O163" s="7">
        <v>1.0269999999999999</v>
      </c>
      <c r="Q163" s="7" t="e">
        <f>M163/P163</f>
        <v>#DIV/0!</v>
      </c>
    </row>
    <row r="164" spans="1:17" x14ac:dyDescent="0.2">
      <c r="A164" s="7" t="s">
        <v>207</v>
      </c>
      <c r="B164" s="7">
        <v>3037</v>
      </c>
      <c r="C164" s="7">
        <v>2485</v>
      </c>
      <c r="D164" s="7">
        <v>163</v>
      </c>
      <c r="I164" s="9">
        <f>(B164*'Ore Index'!E2)+(C164*'Ore Index'!F2)+(D164*'Ore Index'!G2)+(E164*'Ore Index'!H2)+(F164*'Ore Index'!I2)+(G164*'Ore Index'!J2)+(H164*'Ore Index'!K2)</f>
        <v>61848.560000000005</v>
      </c>
      <c r="K164" s="9">
        <f t="shared" si="19"/>
        <v>56.85</v>
      </c>
      <c r="L164" s="7">
        <f t="shared" si="20"/>
        <v>1.2221327967806841</v>
      </c>
    </row>
    <row r="165" spans="1:17" x14ac:dyDescent="0.2">
      <c r="A165" s="7" t="s">
        <v>206</v>
      </c>
      <c r="B165" s="7">
        <v>5</v>
      </c>
      <c r="D165" s="7">
        <v>640</v>
      </c>
      <c r="F165" s="7">
        <v>4</v>
      </c>
      <c r="G165" s="7">
        <v>4</v>
      </c>
      <c r="H165" s="7">
        <v>6</v>
      </c>
      <c r="I165" s="9">
        <f>(B165*'Ore Index'!E2)+(C165*'Ore Index'!F2)+(D165*'Ore Index'!G2)+(E165*'Ore Index'!H2)+(F165*'Ore Index'!I2)+(G165*'Ore Index'!J2)+(H165*'Ore Index'!K2)</f>
        <v>53471.08</v>
      </c>
      <c r="K165" s="9">
        <f t="shared" si="19"/>
        <v>6.59</v>
      </c>
      <c r="L165" s="7" t="e">
        <f t="shared" si="20"/>
        <v>#DIV/0!</v>
      </c>
    </row>
    <row r="166" spans="1:17" x14ac:dyDescent="0.2">
      <c r="A166" s="7" t="s">
        <v>205</v>
      </c>
      <c r="B166" s="7">
        <v>5</v>
      </c>
      <c r="D166" s="7">
        <v>640</v>
      </c>
      <c r="F166" s="7">
        <v>4</v>
      </c>
      <c r="G166" s="7">
        <v>4</v>
      </c>
      <c r="H166" s="7">
        <v>6</v>
      </c>
      <c r="I166" s="9">
        <f>(B166*'Ore Index'!E2)+(C166*'Ore Index'!F2)+(D166*'Ore Index'!G2)+(E166*'Ore Index'!H2)+(F166*'Ore Index'!I2)+(G166*'Ore Index'!J2)+(H166*'Ore Index'!K2)</f>
        <v>53471.08</v>
      </c>
      <c r="K166" s="9">
        <f t="shared" si="19"/>
        <v>6.59</v>
      </c>
      <c r="L166" s="7" t="e">
        <f t="shared" si="20"/>
        <v>#DIV/0!</v>
      </c>
    </row>
    <row r="167" spans="1:17" x14ac:dyDescent="0.2">
      <c r="A167" s="7" t="s">
        <v>204</v>
      </c>
      <c r="B167" s="7">
        <v>1073</v>
      </c>
      <c r="C167" s="7">
        <v>942</v>
      </c>
      <c r="D167" s="7">
        <v>868</v>
      </c>
      <c r="E167" s="7">
        <v>846</v>
      </c>
      <c r="F167" s="7">
        <v>1007</v>
      </c>
      <c r="G167" s="7">
        <v>52</v>
      </c>
      <c r="I167" s="9">
        <f>(B167*'Ore Index'!E2)+(C167*'Ore Index'!F2)+(D167*'Ore Index'!G2)+(E167*'Ore Index'!H2)+(F167*'Ore Index'!I2)+(G167*'Ore Index'!J2)+(H167*'Ore Index'!K2)</f>
        <v>1041570.1499999999</v>
      </c>
      <c r="J167" s="7">
        <v>50</v>
      </c>
      <c r="K167" s="9">
        <f t="shared" si="19"/>
        <v>47.88</v>
      </c>
      <c r="L167" s="7">
        <f t="shared" si="20"/>
        <v>1.1390658174097665</v>
      </c>
      <c r="M167" s="8">
        <f>(B167*N167)</f>
        <v>1101.971</v>
      </c>
      <c r="N167" s="7">
        <v>1.0269999999999999</v>
      </c>
      <c r="O167" s="7">
        <v>1.0269999999999999</v>
      </c>
      <c r="P167" s="7">
        <v>1105</v>
      </c>
      <c r="Q167" s="7">
        <f>M167/P167</f>
        <v>0.99725882352941175</v>
      </c>
    </row>
    <row r="168" spans="1:17" x14ac:dyDescent="0.2">
      <c r="A168" s="7" t="s">
        <v>203</v>
      </c>
      <c r="B168" s="7">
        <v>17853.759999999998</v>
      </c>
      <c r="C168" s="7">
        <v>8011.04</v>
      </c>
      <c r="D168" s="7">
        <v>999.63</v>
      </c>
      <c r="E168" s="7">
        <v>43.89</v>
      </c>
      <c r="F168" s="7">
        <v>21.95</v>
      </c>
      <c r="G168" s="7">
        <v>2</v>
      </c>
      <c r="H168" s="7">
        <v>1</v>
      </c>
      <c r="I168" s="9">
        <f>(B168*'Ore Index'!E2)+(C168*'Ore Index'!F2)+(D168*'Ore Index'!G2)+(E168*'Ore Index'!H2)+(F168*'Ore Index'!I2)+(G168*'Ore Index'!J2)+(H168*'Ore Index'!K2)</f>
        <v>296778.92689999996</v>
      </c>
      <c r="K168" s="9">
        <f t="shared" si="19"/>
        <v>269.33269999999999</v>
      </c>
      <c r="L168" s="7">
        <f t="shared" si="20"/>
        <v>2.2286444706305297</v>
      </c>
      <c r="M168" s="8">
        <f>(B168*N168)</f>
        <v>18335.811519999996</v>
      </c>
      <c r="N168" s="7">
        <v>1.0269999999999999</v>
      </c>
      <c r="O168" s="7">
        <v>1.0269999999999999</v>
      </c>
      <c r="P168" s="7">
        <v>17681</v>
      </c>
      <c r="Q168" s="7">
        <f>M168/P168</f>
        <v>1.0370347559527173</v>
      </c>
    </row>
    <row r="169" spans="1:17" x14ac:dyDescent="0.2">
      <c r="A169" s="7" t="s">
        <v>202</v>
      </c>
      <c r="B169" s="7">
        <v>20251</v>
      </c>
      <c r="C169" s="7">
        <v>5259</v>
      </c>
      <c r="D169" s="7">
        <v>2623</v>
      </c>
      <c r="E169" s="7">
        <v>691</v>
      </c>
      <c r="F169" s="7">
        <v>54</v>
      </c>
      <c r="G169" s="7">
        <v>3</v>
      </c>
      <c r="I169" s="9">
        <f>(B169*'Ore Index'!E2)+(C169*'Ore Index'!F2)+(D169*'Ore Index'!G2)+(E169*'Ore Index'!H2)+(F169*'Ore Index'!I2)+(G169*'Ore Index'!J2)+(H169*'Ore Index'!K2)</f>
        <v>467478.66</v>
      </c>
      <c r="K169" s="9">
        <f t="shared" si="19"/>
        <v>288.81</v>
      </c>
      <c r="L169" s="7">
        <f t="shared" si="20"/>
        <v>3.8507320783418901</v>
      </c>
      <c r="M169" s="8">
        <f>(B169*N169)</f>
        <v>20797.776999999998</v>
      </c>
      <c r="N169" s="7">
        <v>1.0269999999999999</v>
      </c>
      <c r="O169" s="7">
        <v>1.0269999999999999</v>
      </c>
      <c r="P169" s="7">
        <v>20251</v>
      </c>
      <c r="Q169" s="7">
        <f>M169/P169</f>
        <v>1.0269999999999999</v>
      </c>
    </row>
    <row r="170" spans="1:17" x14ac:dyDescent="0.2">
      <c r="A170" s="7" t="s">
        <v>201</v>
      </c>
      <c r="B170" s="7">
        <v>40492</v>
      </c>
      <c r="C170" s="7">
        <v>10461</v>
      </c>
      <c r="D170" s="7">
        <v>3830</v>
      </c>
      <c r="E170" s="7">
        <v>1020</v>
      </c>
      <c r="F170" s="7">
        <v>144</v>
      </c>
      <c r="G170" s="7">
        <v>4</v>
      </c>
      <c r="H170" s="7">
        <v>11</v>
      </c>
      <c r="I170" s="9">
        <f>(B170*'Ore Index'!E2)+(C170*'Ore Index'!F2)+(D170*'Ore Index'!G2)+(E170*'Ore Index'!H2)+(F170*'Ore Index'!I2)+(G170*'Ore Index'!J2)+(H170*'Ore Index'!K2)</f>
        <v>869189.97</v>
      </c>
      <c r="K170" s="9">
        <f t="shared" si="19"/>
        <v>559.62</v>
      </c>
      <c r="L170" s="7">
        <f t="shared" si="20"/>
        <v>3.8707580537233532</v>
      </c>
    </row>
    <row r="171" spans="1:17" x14ac:dyDescent="0.2">
      <c r="A171" s="7" t="s">
        <v>200</v>
      </c>
      <c r="B171" s="7">
        <v>4041</v>
      </c>
      <c r="C171" s="7">
        <v>1238</v>
      </c>
      <c r="D171" s="7">
        <v>1257</v>
      </c>
      <c r="E171" s="7">
        <v>6</v>
      </c>
      <c r="I171" s="9">
        <f>(B171*'Ore Index'!E2)+(C171*'Ore Index'!F2)+(D171*'Ore Index'!G2)+(E171*'Ore Index'!H2)+(F171*'Ore Index'!I2)+(G171*'Ore Index'!J2)+(H171*'Ore Index'!K2)</f>
        <v>103150.34000000001</v>
      </c>
      <c r="K171" s="9">
        <f t="shared" si="19"/>
        <v>65.42</v>
      </c>
      <c r="L171" s="7">
        <f t="shared" si="20"/>
        <v>3.2641357027463651</v>
      </c>
    </row>
    <row r="172" spans="1:17" x14ac:dyDescent="0.2">
      <c r="A172" s="7" t="s">
        <v>199</v>
      </c>
      <c r="C172" s="7">
        <v>19155</v>
      </c>
      <c r="D172" s="7">
        <v>4789</v>
      </c>
      <c r="E172" s="7">
        <v>1197</v>
      </c>
      <c r="F172" s="7">
        <v>299</v>
      </c>
      <c r="I172" s="9">
        <f>(B172*'Ore Index'!E2)+(C172*'Ore Index'!F2)+(D172*'Ore Index'!G2)+(E172*'Ore Index'!H2)+(F172*'Ore Index'!I2)+(G172*'Ore Index'!J2)+(H172*'Ore Index'!K2)</f>
        <v>931871.75</v>
      </c>
      <c r="K172" s="9">
        <f t="shared" si="19"/>
        <v>254.4</v>
      </c>
    </row>
    <row r="173" spans="1:17" x14ac:dyDescent="0.2">
      <c r="A173" s="7" t="s">
        <v>198</v>
      </c>
      <c r="D173" s="7">
        <v>19155</v>
      </c>
      <c r="E173" s="7">
        <v>4789</v>
      </c>
      <c r="F173" s="7">
        <v>1197</v>
      </c>
      <c r="G173" s="7">
        <v>299</v>
      </c>
      <c r="I173" s="9">
        <f>(B173*'Ore Index'!E2)+(C173*'Ore Index'!F2)+(D173*'Ore Index'!G2)+(E173*'Ore Index'!H2)+(F173*'Ore Index'!I2)+(G173*'Ore Index'!J2)+(H173*'Ore Index'!K2)</f>
        <v>2835224.95</v>
      </c>
      <c r="K173" s="9">
        <f t="shared" si="19"/>
        <v>254.4</v>
      </c>
    </row>
    <row r="174" spans="1:17" x14ac:dyDescent="0.2">
      <c r="A174" s="7" t="s">
        <v>197</v>
      </c>
      <c r="B174" s="7">
        <v>7159</v>
      </c>
      <c r="C174" s="7">
        <v>1297</v>
      </c>
      <c r="I174" s="9">
        <f>(B174*'Ore Index'!E2)+(C174*'Ore Index'!F2)+(D174*'Ore Index'!G2)+(E174*'Ore Index'!H2)+(F174*'Ore Index'!I2)+(G174*'Ore Index'!J2)+(H174*'Ore Index'!K2)</f>
        <v>59924.08</v>
      </c>
      <c r="K174" s="9">
        <f t="shared" si="19"/>
        <v>84.56</v>
      </c>
      <c r="L174" s="7">
        <f t="shared" ref="L174:L188" si="21">B174/C174</f>
        <v>5.5196607555898227</v>
      </c>
    </row>
    <row r="175" spans="1:17" x14ac:dyDescent="0.2">
      <c r="A175" s="7" t="s">
        <v>196</v>
      </c>
      <c r="B175" s="7">
        <v>1063</v>
      </c>
      <c r="C175" s="7">
        <v>934</v>
      </c>
      <c r="D175" s="7">
        <v>861</v>
      </c>
      <c r="E175" s="7">
        <v>838</v>
      </c>
      <c r="F175" s="7">
        <v>998</v>
      </c>
      <c r="G175" s="7">
        <v>51</v>
      </c>
      <c r="I175" s="9">
        <f>(B175*'Ore Index'!E2)+(C175*'Ore Index'!F2)+(D175*'Ore Index'!G2)+(E175*'Ore Index'!H2)+(F175*'Ore Index'!I2)+(G175*'Ore Index'!J2)+(H175*'Ore Index'!K2)</f>
        <v>1031814.6399999999</v>
      </c>
      <c r="K175" s="9">
        <f t="shared" si="19"/>
        <v>47.45</v>
      </c>
      <c r="L175" s="7">
        <f t="shared" si="21"/>
        <v>1.1381156316916488</v>
      </c>
    </row>
    <row r="176" spans="1:17" x14ac:dyDescent="0.2">
      <c r="A176" s="7" t="s">
        <v>195</v>
      </c>
      <c r="B176" s="7">
        <v>2039.18</v>
      </c>
      <c r="C176" s="7">
        <v>954.75</v>
      </c>
      <c r="D176" s="7">
        <v>813.06</v>
      </c>
      <c r="E176" s="7">
        <v>1</v>
      </c>
      <c r="F176" s="7">
        <v>4</v>
      </c>
      <c r="I176" s="9">
        <f>(B176*'Ore Index'!E2)+(C176*'Ore Index'!F2)+(D176*'Ore Index'!G2)+(E176*'Ore Index'!H2)+(F176*'Ore Index'!I2)+(G176*'Ore Index'!J2)+(H176*'Ore Index'!K2)</f>
        <v>68527.652199999997</v>
      </c>
      <c r="J176" s="7">
        <v>10</v>
      </c>
      <c r="K176" s="9">
        <f t="shared" si="19"/>
        <v>38.119900000000001</v>
      </c>
      <c r="L176" s="7">
        <f t="shared" si="21"/>
        <v>2.1358261324954175</v>
      </c>
      <c r="M176" s="8">
        <f>(B176*N176)</f>
        <v>2094.2378599999997</v>
      </c>
      <c r="N176" s="7">
        <v>1.0269999999999999</v>
      </c>
      <c r="O176" s="7">
        <v>1.0269999999999999</v>
      </c>
      <c r="P176" s="7">
        <v>2019</v>
      </c>
      <c r="Q176" s="7">
        <f>M176/P176</f>
        <v>1.0372649133234273</v>
      </c>
    </row>
    <row r="177" spans="1:17" x14ac:dyDescent="0.2">
      <c r="A177" s="7" t="s">
        <v>194</v>
      </c>
      <c r="B177" s="7">
        <v>1956</v>
      </c>
      <c r="C177" s="7">
        <v>700</v>
      </c>
      <c r="D177" s="7">
        <v>18</v>
      </c>
      <c r="E177" s="7">
        <v>4</v>
      </c>
      <c r="G177" s="7">
        <v>2</v>
      </c>
      <c r="I177" s="9">
        <f>(B177*'Ore Index'!E2)+(C177*'Ore Index'!F2)+(D177*'Ore Index'!G2)+(E177*'Ore Index'!H2)+(F177*'Ore Index'!I2)+(G177*'Ore Index'!J2)+(H177*'Ore Index'!K2)</f>
        <v>24506.48</v>
      </c>
      <c r="K177" s="9">
        <f t="shared" si="19"/>
        <v>26.8</v>
      </c>
      <c r="L177" s="7">
        <f t="shared" si="21"/>
        <v>2.7942857142857145</v>
      </c>
      <c r="M177" s="8">
        <f>(B177*N177)</f>
        <v>2008.8119999999999</v>
      </c>
      <c r="N177" s="7">
        <v>1.0269999999999999</v>
      </c>
      <c r="O177" s="7">
        <v>1.0269999999999999</v>
      </c>
      <c r="P177" s="7">
        <v>1956</v>
      </c>
      <c r="Q177" s="7">
        <f>M177/P177</f>
        <v>1.0269999999999999</v>
      </c>
    </row>
    <row r="178" spans="1:17" x14ac:dyDescent="0.2">
      <c r="A178" s="7" t="s">
        <v>193</v>
      </c>
      <c r="B178" s="7">
        <v>1189</v>
      </c>
      <c r="C178" s="7">
        <v>916</v>
      </c>
      <c r="D178" s="7">
        <v>427</v>
      </c>
      <c r="E178" s="7">
        <v>2</v>
      </c>
      <c r="F178" s="7">
        <v>1</v>
      </c>
      <c r="I178" s="9">
        <f>(B178*'Ore Index'!E2)+(C178*'Ore Index'!F2)+(D178*'Ore Index'!G2)+(E178*'Ore Index'!H2)+(F178*'Ore Index'!I2)+(G178*'Ore Index'!J2)+(H178*'Ore Index'!K2)</f>
        <v>42098.93</v>
      </c>
      <c r="J178" s="7">
        <v>10</v>
      </c>
      <c r="K178" s="9">
        <f t="shared" si="19"/>
        <v>25.35</v>
      </c>
      <c r="L178" s="7">
        <f t="shared" si="21"/>
        <v>1.2980349344978166</v>
      </c>
      <c r="M178" s="8">
        <f>(B178*N178)</f>
        <v>1221.1029999999998</v>
      </c>
      <c r="N178" s="7">
        <v>1.0269999999999999</v>
      </c>
      <c r="O178" s="7">
        <v>1.0269999999999999</v>
      </c>
      <c r="P178" s="7">
        <v>1189</v>
      </c>
      <c r="Q178" s="7">
        <f>M178/P178</f>
        <v>1.0269999999999999</v>
      </c>
    </row>
    <row r="179" spans="1:17" x14ac:dyDescent="0.2">
      <c r="A179" s="7" t="s">
        <v>192</v>
      </c>
      <c r="B179" s="7">
        <v>216</v>
      </c>
      <c r="C179" s="7">
        <v>128</v>
      </c>
      <c r="D179" s="7">
        <v>493</v>
      </c>
      <c r="G179" s="7">
        <v>1</v>
      </c>
      <c r="H179" s="7">
        <v>1</v>
      </c>
      <c r="I179" s="9">
        <f>(B179*'Ore Index'!E2)+(C179*'Ore Index'!F2)+(D179*'Ore Index'!G2)+(E179*'Ore Index'!H2)+(F179*'Ore Index'!I2)+(G179*'Ore Index'!J2)+(H179*'Ore Index'!K2)</f>
        <v>30494.05</v>
      </c>
      <c r="J179" s="7">
        <v>10</v>
      </c>
      <c r="K179" s="9">
        <f t="shared" si="19"/>
        <v>8.39</v>
      </c>
      <c r="L179" s="7">
        <f t="shared" si="21"/>
        <v>1.6875</v>
      </c>
      <c r="M179" s="8">
        <f>(B179*N179)</f>
        <v>221.83199999999999</v>
      </c>
      <c r="N179" s="7">
        <v>1.0269999999999999</v>
      </c>
      <c r="O179" s="7">
        <v>1.0269999999999999</v>
      </c>
      <c r="P179" s="7">
        <v>216</v>
      </c>
      <c r="Q179" s="7">
        <f>M179/P179</f>
        <v>1.0269999999999999</v>
      </c>
    </row>
    <row r="180" spans="1:17" x14ac:dyDescent="0.2">
      <c r="A180" s="7" t="s">
        <v>191</v>
      </c>
      <c r="B180" s="7">
        <v>20244</v>
      </c>
      <c r="C180" s="7">
        <v>16313</v>
      </c>
      <c r="D180" s="7">
        <v>25</v>
      </c>
      <c r="G180" s="7">
        <v>3</v>
      </c>
      <c r="I180" s="9">
        <f>(B180*'Ore Index'!E2)+(C180*'Ore Index'!F2)+(D180*'Ore Index'!G2)+(E180*'Ore Index'!H2)+(F180*'Ore Index'!I2)+(G180*'Ore Index'!J2)+(H180*'Ore Index'!K2)</f>
        <v>359427.42</v>
      </c>
      <c r="K180" s="9">
        <f t="shared" si="19"/>
        <v>365.85</v>
      </c>
      <c r="L180" s="7">
        <f t="shared" si="21"/>
        <v>1.2409734567522834</v>
      </c>
    </row>
    <row r="181" spans="1:17" x14ac:dyDescent="0.2">
      <c r="A181" s="7" t="s">
        <v>190</v>
      </c>
      <c r="B181" s="7">
        <v>1320</v>
      </c>
      <c r="C181" s="7">
        <v>188</v>
      </c>
      <c r="D181" s="7">
        <v>353</v>
      </c>
      <c r="E181" s="7">
        <v>176</v>
      </c>
      <c r="G181" s="7">
        <v>18</v>
      </c>
      <c r="H181" s="7">
        <v>3</v>
      </c>
      <c r="I181" s="9">
        <f>(B181*'Ore Index'!E2)+(C181*'Ore Index'!F2)+(D181*'Ore Index'!G2)+(E181*'Ore Index'!H2)+(F181*'Ore Index'!I2)+(G181*'Ore Index'!J2)+(H181*'Ore Index'!K2)</f>
        <v>75420.47</v>
      </c>
      <c r="K181" s="9">
        <f t="shared" si="19"/>
        <v>20.580000000000002</v>
      </c>
      <c r="L181" s="7">
        <f t="shared" si="21"/>
        <v>7.0212765957446805</v>
      </c>
    </row>
    <row r="182" spans="1:17" x14ac:dyDescent="0.2">
      <c r="A182" s="7" t="s">
        <v>189</v>
      </c>
      <c r="B182" s="7">
        <v>14470</v>
      </c>
      <c r="C182" s="7">
        <v>1891</v>
      </c>
      <c r="F182" s="7">
        <v>7</v>
      </c>
      <c r="H182" s="7">
        <v>3</v>
      </c>
      <c r="I182" s="9">
        <f>(B182*'Ore Index'!E2)+(C182*'Ore Index'!F2)+(D182*'Ore Index'!G2)+(E182*'Ore Index'!H2)+(F182*'Ore Index'!I2)+(G182*'Ore Index'!J2)+(H182*'Ore Index'!K2)</f>
        <v>124011.18</v>
      </c>
      <c r="K182" s="9">
        <f t="shared" si="19"/>
        <v>163.71</v>
      </c>
      <c r="L182" s="7">
        <f t="shared" si="21"/>
        <v>7.6520359598096244</v>
      </c>
    </row>
    <row r="183" spans="1:17" x14ac:dyDescent="0.2">
      <c r="A183" s="7" t="s">
        <v>188</v>
      </c>
      <c r="B183" s="7">
        <v>16914</v>
      </c>
      <c r="C183" s="7">
        <v>11675</v>
      </c>
      <c r="F183" s="7">
        <v>23</v>
      </c>
      <c r="G183" s="7">
        <v>4</v>
      </c>
      <c r="H183" s="7">
        <v>1</v>
      </c>
      <c r="I183" s="9">
        <f>(B183*'Ore Index'!E2)+(C183*'Ore Index'!F2)+(D183*'Ore Index'!G2)+(E183*'Ore Index'!H2)+(F183*'Ore Index'!I2)+(G183*'Ore Index'!J2)+(H183*'Ore Index'!K2)</f>
        <v>292927.24</v>
      </c>
      <c r="J183" s="7">
        <v>25</v>
      </c>
      <c r="K183" s="9">
        <f t="shared" si="19"/>
        <v>286.17</v>
      </c>
      <c r="L183" s="7">
        <f t="shared" si="21"/>
        <v>1.4487366167023554</v>
      </c>
      <c r="M183" s="8">
        <f>(B183*N183)</f>
        <v>17370.678</v>
      </c>
      <c r="N183" s="7">
        <v>1.0269999999999999</v>
      </c>
      <c r="O183" s="7">
        <v>1.0269999999999999</v>
      </c>
      <c r="P183" s="7">
        <v>16914</v>
      </c>
      <c r="Q183" s="7">
        <f>M183/P183</f>
        <v>1.0269999999999999</v>
      </c>
    </row>
    <row r="184" spans="1:17" x14ac:dyDescent="0.2">
      <c r="A184" s="7" t="s">
        <v>187</v>
      </c>
      <c r="B184" s="7">
        <v>459</v>
      </c>
      <c r="C184" s="7">
        <v>6279.14</v>
      </c>
      <c r="G184" s="7">
        <v>4</v>
      </c>
      <c r="H184" s="7">
        <v>8</v>
      </c>
      <c r="I184" s="9">
        <f>(B184*'Ore Index'!E2)+(C184*'Ore Index'!F2)+(D184*'Ore Index'!G2)+(E184*'Ore Index'!H2)+(F184*'Ore Index'!I2)+(G184*'Ore Index'!J2)+(H184*'Ore Index'!K2)</f>
        <v>119656.98360000001</v>
      </c>
      <c r="J184" s="7">
        <v>25</v>
      </c>
      <c r="K184" s="9">
        <f t="shared" si="19"/>
        <v>67.501400000000004</v>
      </c>
      <c r="L184" s="7">
        <f t="shared" si="21"/>
        <v>7.3099182372108273E-2</v>
      </c>
      <c r="M184" s="8">
        <f>(B184*N184)</f>
        <v>471.39299999999997</v>
      </c>
      <c r="N184" s="7">
        <v>1.0269999999999999</v>
      </c>
      <c r="O184" s="7">
        <v>1.0269999999999999</v>
      </c>
      <c r="P184" s="7">
        <v>455</v>
      </c>
      <c r="Q184" s="7">
        <f>M184/P184</f>
        <v>1.0360285714285713</v>
      </c>
    </row>
    <row r="185" spans="1:17" x14ac:dyDescent="0.2">
      <c r="A185" s="7" t="s">
        <v>186</v>
      </c>
      <c r="B185" s="7">
        <v>4043</v>
      </c>
      <c r="C185" s="7">
        <v>2853</v>
      </c>
      <c r="D185" s="7">
        <v>244</v>
      </c>
      <c r="E185" s="7">
        <v>527</v>
      </c>
      <c r="H185" s="7">
        <v>11</v>
      </c>
      <c r="I185" s="9">
        <f>(B185*'Ore Index'!E2)+(C185*'Ore Index'!F2)+(D185*'Ore Index'!G2)+(E185*'Ore Index'!H2)+(F185*'Ore Index'!I2)+(G185*'Ore Index'!J2)+(H185*'Ore Index'!K2)</f>
        <v>183455.63</v>
      </c>
      <c r="K185" s="9">
        <f t="shared" si="19"/>
        <v>76.78</v>
      </c>
      <c r="L185" s="7">
        <f t="shared" si="21"/>
        <v>1.4171048019628461</v>
      </c>
    </row>
    <row r="186" spans="1:17" x14ac:dyDescent="0.2">
      <c r="A186" s="7" t="s">
        <v>185</v>
      </c>
      <c r="B186" s="7">
        <v>19706</v>
      </c>
      <c r="D186" s="7">
        <v>2136</v>
      </c>
      <c r="F186" s="7">
        <v>54</v>
      </c>
      <c r="H186" s="7">
        <v>4</v>
      </c>
      <c r="I186" s="9">
        <f>(B186*'Ore Index'!E2)+(C186*'Ore Index'!F2)+(D186*'Ore Index'!G2)+(E186*'Ore Index'!H2)+(F186*'Ore Index'!I2)+(G186*'Ore Index'!J2)+(H186*'Ore Index'!K2)</f>
        <v>270300.65999999997</v>
      </c>
      <c r="K186" s="9">
        <f t="shared" si="19"/>
        <v>219</v>
      </c>
      <c r="L186" s="7" t="e">
        <f t="shared" si="21"/>
        <v>#DIV/0!</v>
      </c>
    </row>
    <row r="187" spans="1:17" x14ac:dyDescent="0.2">
      <c r="A187" s="7" t="s">
        <v>184</v>
      </c>
      <c r="B187" s="7">
        <v>16744</v>
      </c>
      <c r="C187" s="7">
        <v>13515</v>
      </c>
      <c r="D187" s="7">
        <v>4</v>
      </c>
      <c r="F187" s="7">
        <v>3</v>
      </c>
      <c r="G187" s="7">
        <v>1</v>
      </c>
      <c r="I187" s="9">
        <f>(B187*'Ore Index'!E2)+(C187*'Ore Index'!F2)+(D187*'Ore Index'!G2)+(E187*'Ore Index'!H2)+(F187*'Ore Index'!I2)+(G187*'Ore Index'!J2)+(H187*'Ore Index'!K2)</f>
        <v>298062.35000000003</v>
      </c>
      <c r="J187" s="7">
        <v>25</v>
      </c>
      <c r="K187" s="9">
        <f t="shared" si="19"/>
        <v>302.67</v>
      </c>
      <c r="L187" s="7">
        <f t="shared" si="21"/>
        <v>1.2389197188309287</v>
      </c>
      <c r="M187" s="8">
        <f>(B187*N187)</f>
        <v>17196.088</v>
      </c>
      <c r="N187" s="7">
        <v>1.0269999999999999</v>
      </c>
      <c r="O187" s="7">
        <v>1.0269999999999999</v>
      </c>
      <c r="P187" s="7">
        <v>16744</v>
      </c>
      <c r="Q187" s="7">
        <f>M187/P187</f>
        <v>1.0269999999999999</v>
      </c>
    </row>
    <row r="188" spans="1:17" x14ac:dyDescent="0.2">
      <c r="A188" s="7" t="s">
        <v>183</v>
      </c>
      <c r="B188" s="7">
        <v>1383</v>
      </c>
      <c r="C188" s="7">
        <v>1002</v>
      </c>
      <c r="D188" s="7">
        <v>3</v>
      </c>
      <c r="E188" s="7">
        <v>6</v>
      </c>
      <c r="I188" s="9">
        <f>(B188*'Ore Index'!E2)+(C188*'Ore Index'!F2)+(D188*'Ore Index'!G2)+(E188*'Ore Index'!H2)+(F188*'Ore Index'!I2)+(G188*'Ore Index'!J2)+(H188*'Ore Index'!K2)</f>
        <v>23677.020000000004</v>
      </c>
      <c r="K188" s="9">
        <f t="shared" si="19"/>
        <v>23.94</v>
      </c>
      <c r="L188" s="7">
        <f t="shared" si="21"/>
        <v>1.3802395209580838</v>
      </c>
      <c r="M188" s="8">
        <f>(B188*N188)</f>
        <v>1420.3409999999999</v>
      </c>
      <c r="N188" s="7">
        <v>1.0269999999999999</v>
      </c>
      <c r="O188" s="7">
        <v>1.0269999999999999</v>
      </c>
      <c r="P188" s="7">
        <v>1383</v>
      </c>
      <c r="Q188" s="7">
        <f>M188/P188</f>
        <v>1.0269999999999999</v>
      </c>
    </row>
    <row r="189" spans="1:17" x14ac:dyDescent="0.2">
      <c r="A189" s="7" t="s">
        <v>182</v>
      </c>
      <c r="B189" s="7">
        <v>1351</v>
      </c>
      <c r="C189" s="7">
        <v>830</v>
      </c>
      <c r="D189" s="7">
        <v>97</v>
      </c>
      <c r="I189" s="9">
        <f>(B189*'Ore Index'!E2)+(C189*'Ore Index'!F2)+(D189*'Ore Index'!G2)+(E189*'Ore Index'!H2)+(F189*'Ore Index'!I2)+(G189*'Ore Index'!J2)+(H189*'Ore Index'!K2)</f>
        <v>24641.340000000004</v>
      </c>
      <c r="K189" s="9">
        <f t="shared" si="19"/>
        <v>22.78</v>
      </c>
    </row>
    <row r="190" spans="1:17" x14ac:dyDescent="0.2">
      <c r="A190" s="7" t="s">
        <v>181</v>
      </c>
      <c r="B190" s="7">
        <v>1073</v>
      </c>
      <c r="C190" s="7">
        <v>843</v>
      </c>
      <c r="D190" s="7">
        <v>869</v>
      </c>
      <c r="E190" s="7">
        <v>846</v>
      </c>
      <c r="F190" s="7">
        <v>1008</v>
      </c>
      <c r="G190" s="7">
        <v>52</v>
      </c>
      <c r="I190" s="9">
        <f>(B190*'Ore Index'!E2)+(C190*'Ore Index'!F2)+(D190*'Ore Index'!G2)+(E190*'Ore Index'!H2)+(F190*'Ore Index'!I2)+(G190*'Ore Index'!J2)+(H190*'Ore Index'!K2)</f>
        <v>1040968.2</v>
      </c>
      <c r="J190" s="7">
        <v>10</v>
      </c>
      <c r="K190" s="9">
        <f t="shared" si="19"/>
        <v>46.910000000000004</v>
      </c>
      <c r="L190" s="7">
        <f>B190/C190</f>
        <v>1.2728351126927639</v>
      </c>
      <c r="M190" s="8">
        <f>(B190*N190)</f>
        <v>1101.971</v>
      </c>
      <c r="N190" s="7">
        <v>1.0269999999999999</v>
      </c>
      <c r="O190" s="7">
        <v>1.0269999999999999</v>
      </c>
      <c r="P190" s="7">
        <v>1063</v>
      </c>
      <c r="Q190" s="7">
        <f>M190/P190</f>
        <v>1.0366613358419567</v>
      </c>
    </row>
    <row r="191" spans="1:17" x14ac:dyDescent="0.2">
      <c r="A191" s="7" t="s">
        <v>180</v>
      </c>
      <c r="C191" s="7">
        <v>1149</v>
      </c>
      <c r="D191" s="7">
        <v>417</v>
      </c>
      <c r="E191" s="7">
        <v>98</v>
      </c>
      <c r="I191" s="9">
        <f>(B191*'Ore Index'!E2)+(C191*'Ore Index'!F2)+(D191*'Ore Index'!G2)+(E191*'Ore Index'!H2)+(F191*'Ore Index'!I2)+(G191*'Ore Index'!J2)+(H191*'Ore Index'!K2)</f>
        <v>51524.140000000007</v>
      </c>
      <c r="J191" s="7">
        <v>10</v>
      </c>
      <c r="K191" s="9">
        <f t="shared" si="19"/>
        <v>16.64</v>
      </c>
      <c r="L191" s="7">
        <f>B191/C191</f>
        <v>0</v>
      </c>
      <c r="M191" s="8">
        <f>(B191*N191)</f>
        <v>0</v>
      </c>
      <c r="N191" s="7">
        <v>1.0269999999999999</v>
      </c>
      <c r="O191" s="7">
        <v>1.0269999999999999</v>
      </c>
      <c r="Q191" s="7" t="e">
        <f>M191/P191</f>
        <v>#DIV/0!</v>
      </c>
    </row>
    <row r="192" spans="1:17" x14ac:dyDescent="0.2">
      <c r="A192" s="7" t="s">
        <v>179</v>
      </c>
      <c r="B192" s="7">
        <v>1680</v>
      </c>
      <c r="C192" s="7">
        <v>394</v>
      </c>
      <c r="D192" s="7">
        <v>155</v>
      </c>
      <c r="E192" s="7">
        <v>5</v>
      </c>
      <c r="I192" s="9">
        <f>(B192*'Ore Index'!E2)+(C192*'Ore Index'!F2)+(D192*'Ore Index'!G2)+(E192*'Ore Index'!H2)+(F192*'Ore Index'!I2)+(G192*'Ore Index'!J2)+(H192*'Ore Index'!K2)</f>
        <v>23636.560000000005</v>
      </c>
      <c r="K192" s="9">
        <f t="shared" ref="K192:K223" si="22">(B192+C192+D192+E192+F192+G192+H192)*0.01</f>
        <v>22.34</v>
      </c>
      <c r="L192" s="7">
        <f>B192/C192</f>
        <v>4.2639593908629445</v>
      </c>
      <c r="M192" s="8">
        <f>(B192*N192)</f>
        <v>1725.36</v>
      </c>
      <c r="N192" s="7">
        <v>1.0269999999999999</v>
      </c>
      <c r="O192" s="7">
        <v>1.0269999999999999</v>
      </c>
      <c r="P192" s="7">
        <v>1680</v>
      </c>
      <c r="Q192" s="7">
        <f>M192/P192</f>
        <v>1.0269999999999999</v>
      </c>
    </row>
    <row r="193" spans="1:17" x14ac:dyDescent="0.2">
      <c r="A193" s="7" t="s">
        <v>178</v>
      </c>
      <c r="B193" s="7">
        <v>1351</v>
      </c>
      <c r="C193" s="7">
        <v>830</v>
      </c>
      <c r="D193" s="7">
        <v>97</v>
      </c>
      <c r="I193" s="9">
        <f>(B193*'Ore Index'!E2)+(C193*'Ore Index'!F2)+(D193*'Ore Index'!G2)+(E193*'Ore Index'!H2)+(F193*'Ore Index'!I2)+(G193*'Ore Index'!J2)+(H193*'Ore Index'!K2)</f>
        <v>24641.340000000004</v>
      </c>
      <c r="K193" s="9">
        <f t="shared" si="22"/>
        <v>22.78</v>
      </c>
    </row>
    <row r="194" spans="1:17" x14ac:dyDescent="0.2">
      <c r="A194" s="7" t="s">
        <v>177</v>
      </c>
      <c r="B194" s="7">
        <v>1063</v>
      </c>
      <c r="C194" s="7">
        <v>934</v>
      </c>
      <c r="D194" s="7">
        <v>861</v>
      </c>
      <c r="E194" s="7">
        <v>838</v>
      </c>
      <c r="F194" s="7">
        <v>998</v>
      </c>
      <c r="G194" s="7">
        <v>52</v>
      </c>
      <c r="I194" s="9">
        <f>(B194*'Ore Index'!E2)+(C194*'Ore Index'!F2)+(D194*'Ore Index'!G2)+(E194*'Ore Index'!H2)+(F194*'Ore Index'!I2)+(G194*'Ore Index'!J2)+(H194*'Ore Index'!K2)</f>
        <v>1032604.6399999999</v>
      </c>
      <c r="K194" s="9">
        <f t="shared" si="22"/>
        <v>47.46</v>
      </c>
      <c r="L194" s="7">
        <f t="shared" ref="L194:L207" si="23">B194/C194</f>
        <v>1.1381156316916488</v>
      </c>
    </row>
    <row r="195" spans="1:17" x14ac:dyDescent="0.2">
      <c r="A195" s="7" t="s">
        <v>176</v>
      </c>
      <c r="B195" s="7">
        <v>40883</v>
      </c>
      <c r="C195" s="7">
        <v>10562</v>
      </c>
      <c r="D195" s="7">
        <v>3837</v>
      </c>
      <c r="E195" s="7">
        <v>1030</v>
      </c>
      <c r="F195" s="7">
        <v>146</v>
      </c>
      <c r="G195" s="7">
        <v>4</v>
      </c>
      <c r="H195" s="7">
        <v>11</v>
      </c>
      <c r="I195" s="9">
        <f>(B195*'Ore Index'!E2)+(C195*'Ore Index'!F2)+(D195*'Ore Index'!G2)+(E195*'Ore Index'!H2)+(F195*'Ore Index'!I2)+(G195*'Ore Index'!J2)+(H195*'Ore Index'!K2)</f>
        <v>876329.42999999993</v>
      </c>
      <c r="J195" s="7">
        <v>20</v>
      </c>
      <c r="K195" s="9">
        <f t="shared" si="22"/>
        <v>564.73</v>
      </c>
      <c r="L195" s="7">
        <f t="shared" si="23"/>
        <v>3.8707631130467712</v>
      </c>
      <c r="M195" s="8">
        <f>(B195*N195)</f>
        <v>41986.840999999993</v>
      </c>
      <c r="N195" s="7">
        <v>1.0269999999999999</v>
      </c>
      <c r="O195" s="7">
        <v>1.0269999999999999</v>
      </c>
      <c r="P195" s="7">
        <v>40487</v>
      </c>
      <c r="Q195" s="7">
        <f>M195/P195</f>
        <v>1.0370450020994391</v>
      </c>
    </row>
    <row r="196" spans="1:17" x14ac:dyDescent="0.2">
      <c r="A196" s="7" t="s">
        <v>175</v>
      </c>
      <c r="B196" s="7">
        <v>30368</v>
      </c>
      <c r="C196" s="7">
        <v>7722</v>
      </c>
      <c r="D196" s="7">
        <v>3115</v>
      </c>
      <c r="E196" s="7">
        <v>845</v>
      </c>
      <c r="F196" s="7">
        <v>101</v>
      </c>
      <c r="G196" s="7">
        <v>2</v>
      </c>
      <c r="H196" s="7">
        <v>6</v>
      </c>
      <c r="I196" s="9">
        <f>(B196*'Ore Index'!E2)+(C196*'Ore Index'!F2)+(D196*'Ore Index'!G2)+(E196*'Ore Index'!H2)+(F196*'Ore Index'!I2)+(G196*'Ore Index'!J2)+(H196*'Ore Index'!K2)</f>
        <v>661097.69000000006</v>
      </c>
      <c r="J196" s="7">
        <v>20</v>
      </c>
      <c r="K196" s="9">
        <f t="shared" si="22"/>
        <v>421.59000000000003</v>
      </c>
      <c r="L196" s="7">
        <f t="shared" si="23"/>
        <v>3.9326599326599325</v>
      </c>
      <c r="M196" s="8">
        <f>(B196*N196)</f>
        <v>31187.935999999998</v>
      </c>
      <c r="N196" s="7">
        <v>1.0269999999999999</v>
      </c>
      <c r="O196" s="7">
        <v>1.0269999999999999</v>
      </c>
      <c r="P196" s="7">
        <v>30368</v>
      </c>
      <c r="Q196" s="7">
        <f>M196/P196</f>
        <v>1.0269999999999999</v>
      </c>
    </row>
    <row r="197" spans="1:17" x14ac:dyDescent="0.2">
      <c r="A197" s="7" t="s">
        <v>174</v>
      </c>
      <c r="B197" s="7">
        <v>40883</v>
      </c>
      <c r="C197" s="7">
        <v>10562</v>
      </c>
      <c r="D197" s="7">
        <v>3837</v>
      </c>
      <c r="E197" s="7">
        <v>1030</v>
      </c>
      <c r="F197" s="7">
        <v>146</v>
      </c>
      <c r="G197" s="7">
        <v>4</v>
      </c>
      <c r="H197" s="7">
        <v>11</v>
      </c>
      <c r="I197" s="9">
        <f>(B197*'Ore Index'!E2)+(C197*'Ore Index'!F2)+(D197*'Ore Index'!G2)+(E197*'Ore Index'!H2)+(F197*'Ore Index'!I2)+(G197*'Ore Index'!J2)+(H197*'Ore Index'!K2)</f>
        <v>876329.42999999993</v>
      </c>
      <c r="J197" s="7">
        <v>20</v>
      </c>
      <c r="K197" s="9">
        <f t="shared" si="22"/>
        <v>564.73</v>
      </c>
      <c r="L197" s="7">
        <f t="shared" si="23"/>
        <v>3.8707631130467712</v>
      </c>
      <c r="M197" s="8">
        <f>(B197*N197)</f>
        <v>41986.840999999993</v>
      </c>
      <c r="N197" s="7">
        <v>1.0269999999999999</v>
      </c>
      <c r="O197" s="7">
        <v>1.0269999999999999</v>
      </c>
      <c r="P197" s="7">
        <v>40487</v>
      </c>
      <c r="Q197" s="7">
        <f>M197/P197</f>
        <v>1.0370450020994391</v>
      </c>
    </row>
    <row r="198" spans="1:17" x14ac:dyDescent="0.2">
      <c r="A198" s="7" t="s">
        <v>173</v>
      </c>
      <c r="B198" s="7">
        <v>40883</v>
      </c>
      <c r="C198" s="7">
        <v>10532</v>
      </c>
      <c r="D198" s="7">
        <v>3867</v>
      </c>
      <c r="E198" s="7">
        <v>1030</v>
      </c>
      <c r="F198" s="7">
        <v>146</v>
      </c>
      <c r="G198" s="7">
        <v>4</v>
      </c>
      <c r="H198" s="7">
        <v>11</v>
      </c>
      <c r="I198" s="9">
        <f>(B198*'Ore Index'!E2)+(C198*'Ore Index'!F2)+(D198*'Ore Index'!G2)+(E198*'Ore Index'!H2)+(F198*'Ore Index'!I2)+(G198*'Ore Index'!J2)+(H198*'Ore Index'!K2)</f>
        <v>877342.83000000007</v>
      </c>
      <c r="K198" s="9">
        <f t="shared" si="22"/>
        <v>564.73</v>
      </c>
      <c r="L198" s="7">
        <f t="shared" si="23"/>
        <v>3.8817888340296238</v>
      </c>
      <c r="M198" s="8">
        <f>(B198*N198)</f>
        <v>41986.840999999993</v>
      </c>
      <c r="N198" s="7">
        <v>1.0269999999999999</v>
      </c>
      <c r="O198" s="7">
        <v>1.0269999999999999</v>
      </c>
      <c r="P198" s="7">
        <v>39155</v>
      </c>
      <c r="Q198" s="7">
        <f>M198/P198</f>
        <v>1.0723238666836927</v>
      </c>
    </row>
    <row r="199" spans="1:17" x14ac:dyDescent="0.2">
      <c r="A199" s="7" t="s">
        <v>172</v>
      </c>
      <c r="B199" s="7">
        <v>40883</v>
      </c>
      <c r="C199" s="7">
        <v>10532</v>
      </c>
      <c r="D199" s="7">
        <v>3837</v>
      </c>
      <c r="E199" s="7">
        <v>1030</v>
      </c>
      <c r="F199" s="7">
        <v>146</v>
      </c>
      <c r="G199" s="7">
        <v>4</v>
      </c>
      <c r="H199" s="7">
        <v>11</v>
      </c>
      <c r="I199" s="9">
        <f>(B199*'Ore Index'!E2)+(C199*'Ore Index'!F2)+(D199*'Ore Index'!G2)+(E199*'Ore Index'!H2)+(F199*'Ore Index'!I2)+(G199*'Ore Index'!J2)+(H199*'Ore Index'!K2)</f>
        <v>875887.23</v>
      </c>
      <c r="K199" s="9">
        <f t="shared" si="22"/>
        <v>564.43000000000006</v>
      </c>
      <c r="L199" s="7">
        <f t="shared" si="23"/>
        <v>3.8817888340296238</v>
      </c>
    </row>
    <row r="200" spans="1:17" x14ac:dyDescent="0.2">
      <c r="A200" s="7" t="s">
        <v>171</v>
      </c>
      <c r="B200" s="7">
        <v>60737</v>
      </c>
      <c r="C200" s="7">
        <v>15445</v>
      </c>
      <c r="D200" s="7">
        <v>6231</v>
      </c>
      <c r="E200" s="7">
        <v>1689</v>
      </c>
      <c r="F200" s="7">
        <v>203</v>
      </c>
      <c r="G200" s="7">
        <v>5</v>
      </c>
      <c r="H200" s="7">
        <v>12</v>
      </c>
      <c r="I200" s="9">
        <f>(B200*'Ore Index'!E2)+(C200*'Ore Index'!F2)+(D200*'Ore Index'!G2)+(E200*'Ore Index'!H2)+(F200*'Ore Index'!I2)+(G200*'Ore Index'!J2)+(H200*'Ore Index'!K2)</f>
        <v>1323716.6500000001</v>
      </c>
      <c r="K200" s="9">
        <f t="shared" si="22"/>
        <v>843.22</v>
      </c>
      <c r="L200" s="7">
        <f t="shared" si="23"/>
        <v>3.9324700550339915</v>
      </c>
      <c r="M200" s="8">
        <f t="shared" ref="M200:M205" si="24">(B200*N200)</f>
        <v>62376.898999999998</v>
      </c>
      <c r="N200" s="7">
        <v>1.0269999999999999</v>
      </c>
      <c r="O200" s="7">
        <v>1.0269999999999999</v>
      </c>
      <c r="P200" s="7">
        <v>60737</v>
      </c>
      <c r="Q200" s="7">
        <f t="shared" ref="Q200:Q205" si="25">M200/P200</f>
        <v>1.0269999999999999</v>
      </c>
    </row>
    <row r="201" spans="1:17" x14ac:dyDescent="0.2">
      <c r="A201" s="7" t="s">
        <v>170</v>
      </c>
      <c r="B201" s="7">
        <v>22807</v>
      </c>
      <c r="C201" s="7">
        <v>17821</v>
      </c>
      <c r="D201" s="7">
        <v>0</v>
      </c>
      <c r="E201" s="7">
        <v>0</v>
      </c>
      <c r="F201" s="7">
        <v>3</v>
      </c>
      <c r="G201" s="7">
        <v>2</v>
      </c>
      <c r="H201" s="7">
        <v>0</v>
      </c>
      <c r="I201" s="9">
        <f>(B201*'Ore Index'!E2)+(C201*'Ore Index'!F2)+(D201*'Ore Index'!G2)+(E201*'Ore Index'!H2)+(F201*'Ore Index'!I2)+(G201*'Ore Index'!J2)+(H201*'Ore Index'!K2)</f>
        <v>396687.81</v>
      </c>
      <c r="J201" s="7">
        <v>5</v>
      </c>
      <c r="K201" s="9">
        <f t="shared" si="22"/>
        <v>406.33</v>
      </c>
      <c r="L201" s="7">
        <f t="shared" si="23"/>
        <v>1.2797822793333706</v>
      </c>
      <c r="M201" s="8">
        <f t="shared" si="24"/>
        <v>23422.788999999997</v>
      </c>
      <c r="N201" s="7">
        <v>1.0269999999999999</v>
      </c>
      <c r="O201" s="7">
        <v>1.0269999999999999</v>
      </c>
      <c r="P201" s="7">
        <v>22807</v>
      </c>
      <c r="Q201" s="7">
        <f t="shared" si="25"/>
        <v>1.0269999999999999</v>
      </c>
    </row>
    <row r="202" spans="1:17" x14ac:dyDescent="0.2">
      <c r="A202" s="7" t="s">
        <v>169</v>
      </c>
      <c r="B202" s="7">
        <v>39538</v>
      </c>
      <c r="C202" s="7">
        <v>30362</v>
      </c>
      <c r="D202" s="7">
        <v>0</v>
      </c>
      <c r="E202" s="7">
        <v>85</v>
      </c>
      <c r="F202" s="7">
        <v>12</v>
      </c>
      <c r="G202" s="7">
        <v>1</v>
      </c>
      <c r="H202" s="7">
        <v>1</v>
      </c>
      <c r="I202" s="9">
        <f>(B202*'Ore Index'!E2)+(C202*'Ore Index'!F2)+(D202*'Ore Index'!G2)+(E202*'Ore Index'!H2)+(F202*'Ore Index'!I2)+(G202*'Ore Index'!J2)+(H202*'Ore Index'!K2)</f>
        <v>698514.53</v>
      </c>
      <c r="J202" s="7">
        <v>5</v>
      </c>
      <c r="K202" s="9">
        <f t="shared" si="22"/>
        <v>699.99</v>
      </c>
      <c r="L202" s="7">
        <f t="shared" si="23"/>
        <v>1.3022198801132996</v>
      </c>
      <c r="M202" s="8">
        <f t="shared" si="24"/>
        <v>40605.525999999998</v>
      </c>
      <c r="N202" s="7">
        <v>1.0269999999999999</v>
      </c>
      <c r="O202" s="7">
        <v>1.0269999999999999</v>
      </c>
      <c r="P202" s="7">
        <v>39155</v>
      </c>
      <c r="Q202" s="7">
        <f t="shared" si="25"/>
        <v>1.0370457412846379</v>
      </c>
    </row>
    <row r="203" spans="1:17" x14ac:dyDescent="0.2">
      <c r="A203" s="7" t="s">
        <v>168</v>
      </c>
      <c r="B203" s="7">
        <v>34426.57</v>
      </c>
      <c r="C203" s="7">
        <v>27368.23</v>
      </c>
      <c r="E203" s="7">
        <v>2</v>
      </c>
      <c r="F203" s="7">
        <v>6</v>
      </c>
      <c r="H203" s="7">
        <v>1</v>
      </c>
      <c r="I203" s="9">
        <f>(B203*'Ore Index'!E2)+(C203*'Ore Index'!F2)+(D203*'Ore Index'!G2)+(E203*'Ore Index'!H2)+(F203*'Ore Index'!I2)+(G203*'Ore Index'!J2)+(H203*'Ore Index'!K2)</f>
        <v>607450.62919999997</v>
      </c>
      <c r="J203" s="7">
        <v>5</v>
      </c>
      <c r="K203" s="9">
        <f t="shared" si="22"/>
        <v>618.03800000000001</v>
      </c>
      <c r="L203" s="7">
        <f t="shared" si="23"/>
        <v>1.2579026849745125</v>
      </c>
      <c r="M203" s="8">
        <f t="shared" si="24"/>
        <v>35356.087389999993</v>
      </c>
      <c r="N203" s="7">
        <v>1.0269999999999999</v>
      </c>
      <c r="O203" s="7">
        <v>1.0269999999999999</v>
      </c>
      <c r="P203" s="7">
        <v>34093</v>
      </c>
      <c r="Q203" s="7">
        <f t="shared" si="25"/>
        <v>1.0370482911448096</v>
      </c>
    </row>
    <row r="204" spans="1:17" x14ac:dyDescent="0.2">
      <c r="A204" s="7" t="s">
        <v>167</v>
      </c>
      <c r="B204" s="7">
        <v>27738.36</v>
      </c>
      <c r="C204" s="7">
        <v>21747.56</v>
      </c>
      <c r="D204" s="7">
        <v>511.8</v>
      </c>
      <c r="E204" s="7">
        <v>16</v>
      </c>
      <c r="F204" s="7">
        <v>3</v>
      </c>
      <c r="I204" s="9">
        <f>(B204*'Ore Index'!E2)+(C204*'Ore Index'!F2)+(D204*'Ore Index'!G2)+(E204*'Ore Index'!H2)+(F204*'Ore Index'!I2)+(G204*'Ore Index'!J2)+(H204*'Ore Index'!K2)</f>
        <v>508270.27240000002</v>
      </c>
      <c r="J204" s="7">
        <v>5</v>
      </c>
      <c r="K204" s="9">
        <f t="shared" si="22"/>
        <v>500.16720000000004</v>
      </c>
      <c r="L204" s="7">
        <f t="shared" si="23"/>
        <v>1.2754699837590975</v>
      </c>
      <c r="M204" s="8">
        <f t="shared" si="24"/>
        <v>28487.295719999998</v>
      </c>
      <c r="N204" s="7">
        <v>1.0269999999999999</v>
      </c>
      <c r="O204" s="7">
        <v>1.0269999999999999</v>
      </c>
      <c r="P204" s="7">
        <v>27469</v>
      </c>
      <c r="Q204" s="7">
        <f t="shared" si="25"/>
        <v>1.0370707240889729</v>
      </c>
    </row>
    <row r="205" spans="1:17" x14ac:dyDescent="0.2">
      <c r="A205" s="7" t="s">
        <v>166</v>
      </c>
      <c r="B205" s="7">
        <v>1178</v>
      </c>
      <c r="C205" s="7">
        <v>417</v>
      </c>
      <c r="D205" s="7">
        <v>103</v>
      </c>
      <c r="I205" s="9">
        <f>(B205*'Ore Index'!E2)+(C205*'Ore Index'!F2)+(D205*'Ore Index'!G2)+(E205*'Ore Index'!H2)+(F205*'Ore Index'!I2)+(G205*'Ore Index'!J2)+(H205*'Ore Index'!K2)</f>
        <v>17858.740000000002</v>
      </c>
      <c r="K205" s="9">
        <f t="shared" si="22"/>
        <v>16.98</v>
      </c>
      <c r="L205" s="7">
        <f t="shared" si="23"/>
        <v>2.8249400479616309</v>
      </c>
      <c r="M205" s="8">
        <f t="shared" si="24"/>
        <v>1209.8059999999998</v>
      </c>
      <c r="N205" s="7">
        <v>1.0269999999999999</v>
      </c>
      <c r="O205" s="7">
        <v>1.0269999999999999</v>
      </c>
      <c r="P205" s="7">
        <v>1178</v>
      </c>
      <c r="Q205" s="7">
        <f t="shared" si="25"/>
        <v>1.0269999999999999</v>
      </c>
    </row>
    <row r="206" spans="1:17" x14ac:dyDescent="0.2">
      <c r="A206" s="7" t="s">
        <v>165</v>
      </c>
      <c r="B206" s="7">
        <v>20254</v>
      </c>
      <c r="C206" s="7">
        <v>5402</v>
      </c>
      <c r="D206" s="7">
        <v>2695</v>
      </c>
      <c r="E206" s="7">
        <v>709</v>
      </c>
      <c r="F206" s="7">
        <v>55</v>
      </c>
      <c r="G206" s="7">
        <v>3</v>
      </c>
      <c r="I206" s="9">
        <f>(B206*'Ore Index'!E2)+(C206*'Ore Index'!F2)+(D206*'Ore Index'!G2)+(E206*'Ore Index'!H2)+(F206*'Ore Index'!I2)+(G206*'Ore Index'!J2)+(H206*'Ore Index'!K2)</f>
        <v>476542.45</v>
      </c>
      <c r="K206" s="9">
        <f t="shared" si="22"/>
        <v>291.18</v>
      </c>
      <c r="L206" s="7">
        <f t="shared" si="23"/>
        <v>3.7493520918178453</v>
      </c>
    </row>
    <row r="207" spans="1:17" x14ac:dyDescent="0.2">
      <c r="A207" s="7" t="s">
        <v>164</v>
      </c>
      <c r="B207" s="7">
        <v>40492</v>
      </c>
      <c r="C207" s="7">
        <v>10461</v>
      </c>
      <c r="D207" s="7">
        <v>3830</v>
      </c>
      <c r="E207" s="7">
        <v>1020</v>
      </c>
      <c r="F207" s="7">
        <v>144</v>
      </c>
      <c r="G207" s="7">
        <v>4</v>
      </c>
      <c r="H207" s="7">
        <v>11</v>
      </c>
      <c r="I207" s="9">
        <f>(B207*'Ore Index'!E2)+(C207*'Ore Index'!F2)+(D207*'Ore Index'!G2)+(E207*'Ore Index'!H2)+(F207*'Ore Index'!I2)+(G207*'Ore Index'!J2)+(H207*'Ore Index'!K2)</f>
        <v>869189.97</v>
      </c>
      <c r="K207" s="9">
        <f t="shared" si="22"/>
        <v>559.62</v>
      </c>
      <c r="L207" s="7">
        <f t="shared" si="23"/>
        <v>3.8707580537233532</v>
      </c>
    </row>
    <row r="208" spans="1:17" x14ac:dyDescent="0.2">
      <c r="A208" s="7" t="s">
        <v>163</v>
      </c>
      <c r="E208" s="7">
        <v>3991</v>
      </c>
      <c r="F208" s="7">
        <v>998</v>
      </c>
      <c r="I208" s="9">
        <f>(B208*'Ore Index'!E2)+(C208*'Ore Index'!F2)+(D208*'Ore Index'!G2)+(E208*'Ore Index'!H2)+(F208*'Ore Index'!I2)+(G208*'Ore Index'!J2)+(H208*'Ore Index'!K2)</f>
        <v>1391774.0999999999</v>
      </c>
      <c r="K208" s="9">
        <f t="shared" si="22"/>
        <v>49.89</v>
      </c>
    </row>
    <row r="209" spans="1:17" x14ac:dyDescent="0.2">
      <c r="A209" s="7" t="s">
        <v>162</v>
      </c>
      <c r="B209" s="7">
        <v>22807</v>
      </c>
      <c r="C209" s="7">
        <v>17821</v>
      </c>
      <c r="D209" s="7">
        <v>0</v>
      </c>
      <c r="E209" s="7">
        <v>0</v>
      </c>
      <c r="F209" s="7">
        <v>3</v>
      </c>
      <c r="G209" s="7">
        <v>2</v>
      </c>
      <c r="H209" s="7">
        <v>0</v>
      </c>
      <c r="I209" s="9">
        <f>(B209*'Ore Index'!E2)+(C209*'Ore Index'!F2)+(D209*'Ore Index'!G2)+(E209*'Ore Index'!H2)+(F209*'Ore Index'!I2)+(G209*'Ore Index'!J2)+(H209*'Ore Index'!K2)</f>
        <v>396687.81</v>
      </c>
      <c r="K209" s="9">
        <f t="shared" si="22"/>
        <v>406.33</v>
      </c>
      <c r="L209" s="7">
        <f t="shared" ref="L209:L219" si="26">B209/C209</f>
        <v>1.2797822793333706</v>
      </c>
      <c r="M209" s="8">
        <f>(B209*N209)</f>
        <v>23422.788999999997</v>
      </c>
      <c r="N209" s="7">
        <v>1.0269999999999999</v>
      </c>
      <c r="O209" s="7">
        <v>1.0269999999999999</v>
      </c>
      <c r="P209" s="7">
        <v>22807</v>
      </c>
      <c r="Q209" s="7">
        <f>M209/P209</f>
        <v>1.0269999999999999</v>
      </c>
    </row>
    <row r="210" spans="1:17" x14ac:dyDescent="0.2">
      <c r="A210" s="7" t="s">
        <v>161</v>
      </c>
      <c r="B210" s="7">
        <v>39155</v>
      </c>
      <c r="C210" s="7">
        <v>29278</v>
      </c>
      <c r="E210" s="7">
        <v>82</v>
      </c>
      <c r="F210" s="7">
        <v>12</v>
      </c>
      <c r="G210" s="7">
        <v>1</v>
      </c>
      <c r="H210" s="7">
        <v>1</v>
      </c>
      <c r="I210" s="9">
        <f>(B210*'Ore Index'!E2)+(C210*'Ore Index'!F2)+(D210*'Ore Index'!G2)+(E210*'Ore Index'!H2)+(F210*'Ore Index'!I2)+(G210*'Ore Index'!J2)+(H210*'Ore Index'!K2)</f>
        <v>679913.83</v>
      </c>
      <c r="K210" s="9">
        <f t="shared" si="22"/>
        <v>685.29</v>
      </c>
      <c r="L210" s="7">
        <f t="shared" si="26"/>
        <v>1.3373522781610765</v>
      </c>
      <c r="M210" s="8">
        <f>(B210*N210)</f>
        <v>40212.184999999998</v>
      </c>
      <c r="N210" s="7">
        <v>1.0269999999999999</v>
      </c>
      <c r="O210" s="7">
        <v>1.0269999999999999</v>
      </c>
      <c r="P210" s="7">
        <v>39155</v>
      </c>
      <c r="Q210" s="7">
        <f>M210/P210</f>
        <v>1.0269999999999999</v>
      </c>
    </row>
    <row r="211" spans="1:17" x14ac:dyDescent="0.2">
      <c r="A211" s="7" t="s">
        <v>160</v>
      </c>
      <c r="B211" s="7">
        <v>34426.57</v>
      </c>
      <c r="C211" s="7">
        <v>27368.23</v>
      </c>
      <c r="E211" s="7">
        <v>2</v>
      </c>
      <c r="F211" s="7">
        <v>6</v>
      </c>
      <c r="H211" s="7">
        <v>1</v>
      </c>
      <c r="I211" s="9">
        <f>(B211*'Ore Index'!E2)+(C211*'Ore Index'!F2)+(D211*'Ore Index'!G2)+(E211*'Ore Index'!H2)+(F211*'Ore Index'!I2)+(G211*'Ore Index'!J2)+(H211*'Ore Index'!K2)</f>
        <v>607450.62919999997</v>
      </c>
      <c r="K211" s="9">
        <f t="shared" si="22"/>
        <v>618.03800000000001</v>
      </c>
      <c r="L211" s="7">
        <f t="shared" si="26"/>
        <v>1.2579026849745125</v>
      </c>
      <c r="M211" s="8">
        <f>(B211*N211)</f>
        <v>35356.087389999993</v>
      </c>
      <c r="N211" s="7">
        <v>1.0269999999999999</v>
      </c>
      <c r="O211" s="7">
        <v>1.0269999999999999</v>
      </c>
      <c r="P211" s="7">
        <v>34093</v>
      </c>
      <c r="Q211" s="7">
        <f>M211/P211</f>
        <v>1.0370482911448096</v>
      </c>
    </row>
    <row r="212" spans="1:17" x14ac:dyDescent="0.2">
      <c r="A212" s="7" t="s">
        <v>159</v>
      </c>
      <c r="B212" s="7">
        <v>27738.36</v>
      </c>
      <c r="C212" s="7">
        <v>21747.56</v>
      </c>
      <c r="D212" s="7">
        <v>511.8</v>
      </c>
      <c r="E212" s="7">
        <v>16</v>
      </c>
      <c r="F212" s="7">
        <v>3</v>
      </c>
      <c r="I212" s="9">
        <f>(B212*'Ore Index'!E2)+(C212*'Ore Index'!F2)+(D212*'Ore Index'!G2)+(E212*'Ore Index'!H2)+(F212*'Ore Index'!I2)+(G212*'Ore Index'!J2)+(H212*'Ore Index'!K2)</f>
        <v>508270.27240000002</v>
      </c>
      <c r="K212" s="9">
        <f t="shared" si="22"/>
        <v>500.16720000000004</v>
      </c>
      <c r="L212" s="7">
        <f t="shared" si="26"/>
        <v>1.2754699837590975</v>
      </c>
    </row>
    <row r="213" spans="1:17" x14ac:dyDescent="0.2">
      <c r="A213" s="7" t="s">
        <v>158</v>
      </c>
      <c r="B213" s="7">
        <v>80985</v>
      </c>
      <c r="C213" s="7">
        <v>20922</v>
      </c>
      <c r="D213" s="7">
        <v>7660</v>
      </c>
      <c r="E213" s="7">
        <v>2040</v>
      </c>
      <c r="F213" s="7">
        <v>289</v>
      </c>
      <c r="G213" s="7">
        <v>8</v>
      </c>
      <c r="H213" s="7">
        <v>23</v>
      </c>
      <c r="I213" s="9">
        <f>(B213*'Ore Index'!E2)+(C213*'Ore Index'!F2)+(D213*'Ore Index'!G2)+(E213*'Ore Index'!H2)+(F213*'Ore Index'!I2)+(G213*'Ore Index'!J2)+(H213*'Ore Index'!K2)</f>
        <v>1741860.2</v>
      </c>
      <c r="K213" s="9">
        <f t="shared" si="22"/>
        <v>1119.27</v>
      </c>
      <c r="L213" s="7">
        <f t="shared" si="26"/>
        <v>3.8708058503011182</v>
      </c>
    </row>
    <row r="214" spans="1:17" x14ac:dyDescent="0.2">
      <c r="A214" s="7" t="s">
        <v>157</v>
      </c>
      <c r="B214" s="7">
        <v>315</v>
      </c>
      <c r="C214" s="7">
        <v>123</v>
      </c>
      <c r="E214" s="7">
        <v>307</v>
      </c>
      <c r="I214" s="9">
        <f>(B214*'Ore Index'!E2)+(C214*'Ore Index'!F2)+(D214*'Ore Index'!G2)+(E214*'Ore Index'!H2)+(F214*'Ore Index'!I2)+(G214*'Ore Index'!J2)+(H214*'Ore Index'!K2)</f>
        <v>48577.87999999999</v>
      </c>
      <c r="K214" s="9">
        <f t="shared" si="22"/>
        <v>7.45</v>
      </c>
      <c r="L214" s="7">
        <f t="shared" si="26"/>
        <v>2.5609756097560976</v>
      </c>
      <c r="M214" s="8">
        <f>(B214*N214)</f>
        <v>323.505</v>
      </c>
      <c r="N214" s="7">
        <v>1.0269999999999999</v>
      </c>
      <c r="O214" s="7">
        <v>1.0269999999999999</v>
      </c>
      <c r="P214" s="7">
        <v>315</v>
      </c>
      <c r="Q214" s="7">
        <f>M214/P214</f>
        <v>1.0269999999999999</v>
      </c>
    </row>
    <row r="215" spans="1:17" x14ac:dyDescent="0.2">
      <c r="A215" s="7" t="s">
        <v>156</v>
      </c>
      <c r="B215" s="7">
        <v>208</v>
      </c>
      <c r="C215" s="7">
        <v>2955</v>
      </c>
      <c r="I215" s="9">
        <f>(B215*'Ore Index'!E2)+(C215*'Ore Index'!F2)+(D215*'Ore Index'!G2)+(E215*'Ore Index'!H2)+(F215*'Ore Index'!I2)+(G215*'Ore Index'!J2)+(H215*'Ore Index'!K2)</f>
        <v>44742.299999999996</v>
      </c>
      <c r="J215" s="7">
        <v>5</v>
      </c>
      <c r="K215" s="9">
        <f t="shared" si="22"/>
        <v>31.63</v>
      </c>
      <c r="L215" s="7">
        <f t="shared" si="26"/>
        <v>7.0389170896785105E-2</v>
      </c>
      <c r="M215" s="8">
        <f>(B215*N215)</f>
        <v>213.61599999999999</v>
      </c>
      <c r="N215" s="7">
        <v>1.0269999999999999</v>
      </c>
      <c r="O215" s="7">
        <v>1.0269999999999999</v>
      </c>
      <c r="P215" s="7">
        <v>208</v>
      </c>
      <c r="Q215" s="7">
        <f>M215/P215</f>
        <v>1.0269999999999999</v>
      </c>
    </row>
    <row r="216" spans="1:17" x14ac:dyDescent="0.2">
      <c r="A216" s="7" t="s">
        <v>155</v>
      </c>
      <c r="B216" s="7">
        <v>12350</v>
      </c>
      <c r="I216" s="9">
        <f>(B216*'Ore Index'!E2)+(C216*'Ore Index'!F2)+(D216*'Ore Index'!G2)+(E216*'Ore Index'!H2)+(F216*'Ore Index'!I2)+(G216*'Ore Index'!J2)+(H216*'Ore Index'!K2)</f>
        <v>70395</v>
      </c>
      <c r="J216" s="7">
        <v>25</v>
      </c>
      <c r="K216" s="9">
        <f t="shared" si="22"/>
        <v>123.5</v>
      </c>
      <c r="L216" s="7" t="e">
        <f t="shared" si="26"/>
        <v>#DIV/0!</v>
      </c>
      <c r="M216" s="8">
        <f>(B216*N216)</f>
        <v>12683.449999999999</v>
      </c>
      <c r="N216" s="7">
        <v>1.0269999999999999</v>
      </c>
      <c r="O216" s="7">
        <v>1.0269999999999999</v>
      </c>
      <c r="P216" s="7">
        <v>12350</v>
      </c>
      <c r="Q216" s="7">
        <f>M216/P216</f>
        <v>1.0269999999999999</v>
      </c>
    </row>
    <row r="217" spans="1:17" x14ac:dyDescent="0.2">
      <c r="A217" s="7" t="s">
        <v>154</v>
      </c>
      <c r="B217" s="7">
        <v>132</v>
      </c>
      <c r="C217" s="7">
        <v>21</v>
      </c>
      <c r="D217" s="7">
        <v>42</v>
      </c>
      <c r="E217" s="7">
        <v>9</v>
      </c>
      <c r="G217" s="7">
        <v>1</v>
      </c>
      <c r="H217" s="7">
        <v>4</v>
      </c>
      <c r="I217" s="9">
        <f>(B217*'Ore Index'!E2)+(C217*'Ore Index'!F2)+(D217*'Ore Index'!G2)+(E217*'Ore Index'!H2)+(F217*'Ore Index'!I2)+(G217*'Ore Index'!J2)+(H217*'Ore Index'!K2)</f>
        <v>15871.18</v>
      </c>
      <c r="K217" s="9">
        <f t="shared" si="22"/>
        <v>2.09</v>
      </c>
      <c r="L217" s="7">
        <f t="shared" si="26"/>
        <v>6.2857142857142856</v>
      </c>
    </row>
    <row r="218" spans="1:17" x14ac:dyDescent="0.2">
      <c r="A218" s="7" t="s">
        <v>153</v>
      </c>
      <c r="B218" s="7">
        <v>7177</v>
      </c>
      <c r="C218" s="7">
        <v>6483</v>
      </c>
      <c r="D218" s="7">
        <v>190</v>
      </c>
      <c r="E218" s="7">
        <v>2</v>
      </c>
      <c r="I218" s="9">
        <f>(B218*'Ore Index'!E2)+(C218*'Ore Index'!F2)+(D218*'Ore Index'!G2)+(E218*'Ore Index'!H2)+(F218*'Ore Index'!I2)+(G218*'Ore Index'!J2)+(H218*'Ore Index'!K2)</f>
        <v>145980.07999999999</v>
      </c>
      <c r="J218" s="7">
        <v>20</v>
      </c>
      <c r="K218" s="9">
        <f t="shared" si="22"/>
        <v>138.52000000000001</v>
      </c>
      <c r="L218" s="7">
        <f t="shared" si="26"/>
        <v>1.1070492056146846</v>
      </c>
      <c r="M218" s="8">
        <f>(B218*N218)</f>
        <v>7370.7789999999995</v>
      </c>
      <c r="N218" s="7">
        <v>1.0269999999999999</v>
      </c>
      <c r="O218" s="7">
        <v>1.0269999999999999</v>
      </c>
      <c r="P218" s="7">
        <v>7177</v>
      </c>
      <c r="Q218" s="7">
        <f>M218/P218</f>
        <v>1.0269999999999999</v>
      </c>
    </row>
    <row r="219" spans="1:17" x14ac:dyDescent="0.2">
      <c r="A219" s="7" t="s">
        <v>152</v>
      </c>
      <c r="B219" s="7">
        <v>263</v>
      </c>
      <c r="C219" s="7">
        <v>512</v>
      </c>
      <c r="D219" s="7">
        <v>256</v>
      </c>
      <c r="I219" s="9">
        <f>(B219*'Ore Index'!E2)+(C219*'Ore Index'!F2)+(D219*'Ore Index'!G2)+(E219*'Ore Index'!H2)+(F219*'Ore Index'!I2)+(G219*'Ore Index'!J2)+(H219*'Ore Index'!K2)</f>
        <v>21467.1</v>
      </c>
      <c r="K219" s="9">
        <f t="shared" si="22"/>
        <v>10.31</v>
      </c>
      <c r="L219" s="7">
        <f t="shared" si="26"/>
        <v>0.513671875</v>
      </c>
      <c r="M219" s="8">
        <f>(B219*N219)</f>
        <v>270.101</v>
      </c>
      <c r="N219" s="7">
        <v>1.0269999999999999</v>
      </c>
      <c r="O219" s="7">
        <v>1.0269999999999999</v>
      </c>
      <c r="P219" s="7">
        <v>263</v>
      </c>
      <c r="Q219" s="7">
        <f>M219/P219</f>
        <v>1.0269999999999999</v>
      </c>
    </row>
    <row r="220" spans="1:17" x14ac:dyDescent="0.2">
      <c r="A220" s="7" t="s">
        <v>151</v>
      </c>
      <c r="B220" s="7">
        <v>4096</v>
      </c>
      <c r="C220" s="7">
        <v>1024</v>
      </c>
      <c r="E220" s="7">
        <v>64</v>
      </c>
      <c r="G220" s="7">
        <v>4</v>
      </c>
      <c r="I220" s="9">
        <f>(B220*'Ore Index'!E2)+(C220*'Ore Index'!F2)+(D220*'Ore Index'!G2)+(E220*'Ore Index'!H2)+(F220*'Ore Index'!I2)+(G220*'Ore Index'!J2)+(H220*'Ore Index'!K2)</f>
        <v>50975.68</v>
      </c>
      <c r="K220" s="9">
        <f t="shared" si="22"/>
        <v>51.88</v>
      </c>
    </row>
    <row r="221" spans="1:17" x14ac:dyDescent="0.2">
      <c r="A221" s="7" t="s">
        <v>150</v>
      </c>
      <c r="C221" s="7">
        <v>12770</v>
      </c>
      <c r="E221" s="7">
        <v>798</v>
      </c>
      <c r="I221" s="9">
        <f>(B221*'Ore Index'!E2)+(C221*'Ore Index'!F2)+(D221*'Ore Index'!G2)+(E221*'Ore Index'!H2)+(F221*'Ore Index'!I2)+(G221*'Ore Index'!J2)+(H221*'Ore Index'!K2)</f>
        <v>305120.83999999997</v>
      </c>
      <c r="K221" s="9">
        <f t="shared" si="22"/>
        <v>135.68</v>
      </c>
    </row>
    <row r="222" spans="1:17" x14ac:dyDescent="0.2">
      <c r="A222" s="7" t="s">
        <v>149</v>
      </c>
      <c r="B222" s="7">
        <v>867</v>
      </c>
      <c r="C222" s="7">
        <v>59</v>
      </c>
      <c r="D222" s="7">
        <v>120</v>
      </c>
      <c r="I222" s="9">
        <f>(B222*'Ore Index'!E2)+(C222*'Ore Index'!F2)+(D222*'Ore Index'!G2)+(E222*'Ore Index'!H2)+(F222*'Ore Index'!I2)+(G222*'Ore Index'!J2)+(H222*'Ore Index'!K2)</f>
        <v>11633.960000000001</v>
      </c>
      <c r="K222" s="9">
        <f t="shared" si="22"/>
        <v>10.46</v>
      </c>
      <c r="L222" s="7">
        <f t="shared" ref="L222:L232" si="27">B222/C222</f>
        <v>14.694915254237289</v>
      </c>
      <c r="M222" s="8">
        <f t="shared" ref="M222:M228" si="28">(B222*N222)</f>
        <v>890.40899999999988</v>
      </c>
      <c r="N222" s="7">
        <v>1.0269999999999999</v>
      </c>
      <c r="O222" s="7">
        <v>1.0269999999999999</v>
      </c>
      <c r="P222" s="7">
        <v>867</v>
      </c>
      <c r="Q222" s="7">
        <f t="shared" ref="Q222:Q228" si="29">M222/P222</f>
        <v>1.0269999999999999</v>
      </c>
    </row>
    <row r="223" spans="1:17" x14ac:dyDescent="0.2">
      <c r="A223" s="7" t="s">
        <v>148</v>
      </c>
      <c r="B223" s="7">
        <v>57243</v>
      </c>
      <c r="C223" s="7">
        <v>14708</v>
      </c>
      <c r="D223" s="7">
        <v>3880</v>
      </c>
      <c r="E223" s="7">
        <v>903</v>
      </c>
      <c r="F223" s="7">
        <v>276</v>
      </c>
      <c r="G223" s="7">
        <v>50</v>
      </c>
      <c r="H223" s="7">
        <v>9</v>
      </c>
      <c r="I223" s="9">
        <f>(B223*'Ore Index'!E2)+(C223*'Ore Index'!F2)+(D223*'Ore Index'!G2)+(E223*'Ore Index'!H2)+(F223*'Ore Index'!I2)+(G223*'Ore Index'!J2)+(H223*'Ore Index'!K2)</f>
        <v>1150328.03</v>
      </c>
      <c r="J223" s="7">
        <v>10</v>
      </c>
      <c r="K223" s="9">
        <f t="shared" si="22"/>
        <v>770.69</v>
      </c>
      <c r="L223" s="7">
        <f t="shared" si="27"/>
        <v>3.8919635572477564</v>
      </c>
      <c r="M223" s="8">
        <f t="shared" si="28"/>
        <v>58788.560999999994</v>
      </c>
      <c r="N223" s="7">
        <v>1.0269999999999999</v>
      </c>
      <c r="O223" s="7">
        <v>1.0269999999999999</v>
      </c>
      <c r="P223" s="7">
        <v>57668</v>
      </c>
      <c r="Q223" s="7">
        <f t="shared" si="29"/>
        <v>1.0194312443642921</v>
      </c>
    </row>
    <row r="224" spans="1:17" x14ac:dyDescent="0.2">
      <c r="A224" s="7" t="s">
        <v>147</v>
      </c>
      <c r="B224" s="7">
        <v>2122</v>
      </c>
      <c r="C224" s="7">
        <v>124</v>
      </c>
      <c r="D224" s="7">
        <v>215</v>
      </c>
      <c r="I224" s="9">
        <f>(B224*'Ore Index'!E2)+(C224*'Ore Index'!F2)+(D224*'Ore Index'!G2)+(E224*'Ore Index'!H2)+(F224*'Ore Index'!I2)+(G224*'Ore Index'!J2)+(H224*'Ore Index'!K2)</f>
        <v>24354.959999999999</v>
      </c>
      <c r="K224" s="9">
        <f t="shared" ref="K224:K255" si="30">(B224+C224+D224+E224+F224+G224+H224)*0.01</f>
        <v>24.61</v>
      </c>
      <c r="L224" s="7">
        <f t="shared" si="27"/>
        <v>17.112903225806452</v>
      </c>
      <c r="M224" s="8">
        <f t="shared" si="28"/>
        <v>2179.2939999999999</v>
      </c>
      <c r="N224" s="7">
        <v>1.0269999999999999</v>
      </c>
      <c r="O224" s="7">
        <v>1.0269999999999999</v>
      </c>
      <c r="P224" s="7">
        <v>2122</v>
      </c>
      <c r="Q224" s="7">
        <f t="shared" si="29"/>
        <v>1.0269999999999999</v>
      </c>
    </row>
    <row r="225" spans="1:17" x14ac:dyDescent="0.2">
      <c r="A225" s="7" t="s">
        <v>146</v>
      </c>
      <c r="B225" s="7">
        <v>22807</v>
      </c>
      <c r="C225" s="7">
        <v>17821</v>
      </c>
      <c r="D225" s="7">
        <v>0</v>
      </c>
      <c r="E225" s="7">
        <v>0</v>
      </c>
      <c r="F225" s="7">
        <v>3</v>
      </c>
      <c r="G225" s="7">
        <v>2</v>
      </c>
      <c r="H225" s="7">
        <v>0</v>
      </c>
      <c r="I225" s="9">
        <f>(B225*'Ore Index'!E2)+(C225*'Ore Index'!F2)+(D225*'Ore Index'!G2)+(E225*'Ore Index'!H2)+(F225*'Ore Index'!I2)+(G225*'Ore Index'!J2)+(H225*'Ore Index'!K2)</f>
        <v>396687.81</v>
      </c>
      <c r="J225" s="7">
        <v>5</v>
      </c>
      <c r="K225" s="9">
        <f t="shared" si="30"/>
        <v>406.33</v>
      </c>
      <c r="L225" s="7">
        <f t="shared" si="27"/>
        <v>1.2797822793333706</v>
      </c>
      <c r="M225" s="8">
        <f t="shared" si="28"/>
        <v>23422.788999999997</v>
      </c>
      <c r="N225" s="7">
        <v>1.0269999999999999</v>
      </c>
      <c r="O225" s="7">
        <v>1.0269999999999999</v>
      </c>
      <c r="P225" s="7">
        <v>22807</v>
      </c>
      <c r="Q225" s="7">
        <f t="shared" si="29"/>
        <v>1.0269999999999999</v>
      </c>
    </row>
    <row r="226" spans="1:17" x14ac:dyDescent="0.2">
      <c r="A226" s="7" t="s">
        <v>145</v>
      </c>
      <c r="B226" s="7">
        <v>39538</v>
      </c>
      <c r="C226" s="7">
        <v>30362</v>
      </c>
      <c r="E226" s="7">
        <v>85</v>
      </c>
      <c r="F226" s="7">
        <v>12</v>
      </c>
      <c r="G226" s="7">
        <v>1</v>
      </c>
      <c r="H226" s="7">
        <v>1</v>
      </c>
      <c r="I226" s="9">
        <f>(B226*'Ore Index'!E2)+(C226*'Ore Index'!F2)+(D226*'Ore Index'!G2)+(E226*'Ore Index'!H2)+(F226*'Ore Index'!I2)+(G226*'Ore Index'!J2)+(H226*'Ore Index'!K2)</f>
        <v>698514.53</v>
      </c>
      <c r="J226" s="7">
        <v>5</v>
      </c>
      <c r="K226" s="9">
        <f t="shared" si="30"/>
        <v>699.99</v>
      </c>
      <c r="L226" s="7">
        <f t="shared" si="27"/>
        <v>1.3022198801132996</v>
      </c>
      <c r="M226" s="8">
        <f t="shared" si="28"/>
        <v>40605.525999999998</v>
      </c>
      <c r="N226" s="7">
        <v>1.0269999999999999</v>
      </c>
      <c r="O226" s="7">
        <v>1.0269999999999999</v>
      </c>
      <c r="P226" s="7">
        <v>39155</v>
      </c>
      <c r="Q226" s="7">
        <f t="shared" si="29"/>
        <v>1.0370457412846379</v>
      </c>
    </row>
    <row r="227" spans="1:17" x14ac:dyDescent="0.2">
      <c r="A227" s="7" t="s">
        <v>144</v>
      </c>
      <c r="B227" s="7">
        <v>34426.57</v>
      </c>
      <c r="C227" s="7">
        <v>27368.23</v>
      </c>
      <c r="E227" s="7">
        <v>2</v>
      </c>
      <c r="F227" s="7">
        <v>6</v>
      </c>
      <c r="H227" s="7">
        <v>1</v>
      </c>
      <c r="I227" s="9">
        <f>(B227*'Ore Index'!E2)+(C227*'Ore Index'!F2)+(D227*'Ore Index'!G2)+(E227*'Ore Index'!H2)+(F227*'Ore Index'!I2)+(G227*'Ore Index'!J2)+(H227*'Ore Index'!K2)</f>
        <v>607450.62919999997</v>
      </c>
      <c r="J227" s="7">
        <v>5</v>
      </c>
      <c r="K227" s="9">
        <f t="shared" si="30"/>
        <v>618.03800000000001</v>
      </c>
      <c r="L227" s="7">
        <f t="shared" si="27"/>
        <v>1.2579026849745125</v>
      </c>
      <c r="M227" s="8">
        <f t="shared" si="28"/>
        <v>35356.087389999993</v>
      </c>
      <c r="N227" s="7">
        <v>1.0269999999999999</v>
      </c>
      <c r="O227" s="7">
        <v>1.0269999999999999</v>
      </c>
      <c r="P227" s="7">
        <v>34093</v>
      </c>
      <c r="Q227" s="7">
        <f t="shared" si="29"/>
        <v>1.0370482911448096</v>
      </c>
    </row>
    <row r="228" spans="1:17" x14ac:dyDescent="0.2">
      <c r="A228" s="7" t="s">
        <v>143</v>
      </c>
      <c r="B228" s="7">
        <v>27738.36</v>
      </c>
      <c r="C228" s="7">
        <v>21747.56</v>
      </c>
      <c r="D228" s="7">
        <v>511.8</v>
      </c>
      <c r="E228" s="7">
        <v>16</v>
      </c>
      <c r="F228" s="7">
        <v>3</v>
      </c>
      <c r="I228" s="9">
        <f>(B228*'Ore Index'!E2)+(C228*'Ore Index'!F2)+(D228*'Ore Index'!G2)+(E228*'Ore Index'!H2)+(F228*'Ore Index'!I2)+(G228*'Ore Index'!J2)+(H228*'Ore Index'!K2)</f>
        <v>508270.27240000002</v>
      </c>
      <c r="J228" s="7">
        <v>5</v>
      </c>
      <c r="K228" s="9">
        <f t="shared" si="30"/>
        <v>500.16720000000004</v>
      </c>
      <c r="L228" s="7">
        <f t="shared" si="27"/>
        <v>1.2754699837590975</v>
      </c>
      <c r="M228" s="8">
        <f t="shared" si="28"/>
        <v>28487.295719999998</v>
      </c>
      <c r="N228" s="7">
        <v>1.0269999999999999</v>
      </c>
      <c r="O228" s="7">
        <v>1.0269999999999999</v>
      </c>
      <c r="P228" s="7">
        <v>27469</v>
      </c>
      <c r="Q228" s="7">
        <f t="shared" si="29"/>
        <v>1.0370707240889729</v>
      </c>
    </row>
    <row r="229" spans="1:17" x14ac:dyDescent="0.2">
      <c r="A229" s="7" t="s">
        <v>142</v>
      </c>
      <c r="B229" s="7">
        <v>20254</v>
      </c>
      <c r="C229" s="7">
        <v>5402</v>
      </c>
      <c r="D229" s="7">
        <v>2695</v>
      </c>
      <c r="E229" s="7">
        <v>709</v>
      </c>
      <c r="F229" s="7">
        <v>55</v>
      </c>
      <c r="G229" s="7">
        <v>3</v>
      </c>
      <c r="I229" s="9">
        <f>(B229*'Ore Index'!E2)+(C229*'Ore Index'!F2)+(D229*'Ore Index'!G2)+(E229*'Ore Index'!H2)+(F229*'Ore Index'!I2)+(G229*'Ore Index'!J2)+(H229*'Ore Index'!K2)</f>
        <v>476542.45</v>
      </c>
      <c r="K229" s="9">
        <f t="shared" si="30"/>
        <v>291.18</v>
      </c>
      <c r="L229" s="7">
        <f t="shared" si="27"/>
        <v>3.7493520918178453</v>
      </c>
    </row>
    <row r="230" spans="1:17" x14ac:dyDescent="0.2">
      <c r="A230" s="7" t="s">
        <v>141</v>
      </c>
      <c r="B230" s="7">
        <v>40492</v>
      </c>
      <c r="C230" s="7">
        <v>10461</v>
      </c>
      <c r="D230" s="7">
        <v>3830</v>
      </c>
      <c r="E230" s="7">
        <v>1020</v>
      </c>
      <c r="F230" s="7">
        <v>144</v>
      </c>
      <c r="G230" s="7">
        <v>4</v>
      </c>
      <c r="H230" s="7">
        <v>11</v>
      </c>
      <c r="I230" s="9">
        <f>(B230*'Ore Index'!E2)+(C230*'Ore Index'!F2)+(D230*'Ore Index'!G2)+(E230*'Ore Index'!H2)+(F230*'Ore Index'!I2)+(G230*'Ore Index'!J2)+(H230*'Ore Index'!K2)</f>
        <v>869189.97</v>
      </c>
      <c r="K230" s="9">
        <f t="shared" si="30"/>
        <v>559.62</v>
      </c>
      <c r="L230" s="7">
        <f t="shared" si="27"/>
        <v>3.8707580537233532</v>
      </c>
    </row>
    <row r="231" spans="1:17" x14ac:dyDescent="0.2">
      <c r="A231" s="7" t="s">
        <v>140</v>
      </c>
      <c r="B231" s="7">
        <v>224</v>
      </c>
      <c r="C231" s="7">
        <v>663</v>
      </c>
      <c r="D231" s="7">
        <v>912</v>
      </c>
      <c r="E231" s="7">
        <v>103</v>
      </c>
      <c r="I231" s="9">
        <f>(B231*'Ore Index'!E2)+(C231*'Ore Index'!F2)+(D231*'Ore Index'!G2)+(E231*'Ore Index'!H2)+(F231*'Ore Index'!I2)+(G231*'Ore Index'!J2)+(H231*'Ore Index'!K2)</f>
        <v>70387.100000000006</v>
      </c>
      <c r="J231" s="7">
        <v>5</v>
      </c>
      <c r="K231" s="9">
        <f t="shared" si="30"/>
        <v>19.02</v>
      </c>
      <c r="L231" s="7">
        <f t="shared" si="27"/>
        <v>0.33785822021116141</v>
      </c>
      <c r="M231" s="8">
        <f>(B231*N231)</f>
        <v>230.04799999999997</v>
      </c>
      <c r="N231" s="7">
        <v>1.0269999999999999</v>
      </c>
      <c r="O231" s="7">
        <v>1.0269999999999999</v>
      </c>
      <c r="P231" s="7">
        <v>224</v>
      </c>
      <c r="Q231" s="7">
        <f>M231/P231</f>
        <v>1.0269999999999999</v>
      </c>
    </row>
    <row r="232" spans="1:17" x14ac:dyDescent="0.2">
      <c r="A232" s="7" t="s">
        <v>139</v>
      </c>
      <c r="B232" s="7">
        <v>833</v>
      </c>
      <c r="C232" s="7">
        <v>416</v>
      </c>
      <c r="I232" s="9">
        <f>(B232*'Ore Index'!E2)+(C232*'Ore Index'!F2)+(D232*'Ore Index'!G2)+(E232*'Ore Index'!H2)+(F232*'Ore Index'!I2)+(G232*'Ore Index'!J2)+(H232*'Ore Index'!K2)</f>
        <v>10879.94</v>
      </c>
      <c r="K232" s="9">
        <f t="shared" si="30"/>
        <v>12.49</v>
      </c>
      <c r="L232" s="7">
        <f t="shared" si="27"/>
        <v>2.0024038461538463</v>
      </c>
      <c r="M232" s="8">
        <f>(B232*N232)</f>
        <v>855.49099999999987</v>
      </c>
      <c r="N232" s="7">
        <v>1.0269999999999999</v>
      </c>
      <c r="O232" s="7">
        <v>1.0269999999999999</v>
      </c>
      <c r="P232" s="7">
        <v>855</v>
      </c>
      <c r="Q232" s="7">
        <f>M232/P232</f>
        <v>1.0005742690058479</v>
      </c>
    </row>
    <row r="233" spans="1:17" x14ac:dyDescent="0.2">
      <c r="A233" s="7" t="s">
        <v>138</v>
      </c>
      <c r="B233" s="7">
        <v>51079</v>
      </c>
      <c r="C233" s="7">
        <v>12770</v>
      </c>
      <c r="E233" s="7">
        <v>798</v>
      </c>
      <c r="F233" s="7">
        <v>200</v>
      </c>
      <c r="I233" s="9">
        <f>(B233*'Ore Index'!E2)+(C233*'Ore Index'!F2)+(D233*'Ore Index'!G2)+(E233*'Ore Index'!H2)+(F233*'Ore Index'!I2)+(G233*'Ore Index'!J2)+(H233*'Ore Index'!K2)</f>
        <v>758029.14</v>
      </c>
      <c r="K233" s="9">
        <f t="shared" si="30"/>
        <v>648.47</v>
      </c>
    </row>
    <row r="234" spans="1:17" x14ac:dyDescent="0.2">
      <c r="A234" s="7" t="s">
        <v>129</v>
      </c>
      <c r="B234" s="7">
        <v>1001</v>
      </c>
      <c r="C234" s="7">
        <v>773</v>
      </c>
      <c r="F234" s="7">
        <v>3</v>
      </c>
      <c r="I234" s="9">
        <f>(B234*'Ore Index'!E2)+(C234*'Ore Index'!F2)+(D234*'Ore Index'!G2)+(E234*'Ore Index'!H2)+(F234*'Ore Index'!I2)+(G234*'Ore Index'!J2)+(H234*'Ore Index'!K2)</f>
        <v>19526.09</v>
      </c>
      <c r="K234" s="9">
        <f t="shared" si="30"/>
        <v>17.77</v>
      </c>
      <c r="L234" s="7">
        <f t="shared" ref="L234:L246" si="31">B234/C234</f>
        <v>1.2949547218628719</v>
      </c>
    </row>
    <row r="235" spans="1:17" x14ac:dyDescent="0.2">
      <c r="A235" s="7" t="s">
        <v>127</v>
      </c>
      <c r="B235" s="7">
        <v>407</v>
      </c>
      <c r="C235" s="7">
        <v>542</v>
      </c>
      <c r="D235" s="7">
        <v>45</v>
      </c>
      <c r="E235" s="7">
        <v>4</v>
      </c>
      <c r="F235" s="7">
        <v>3</v>
      </c>
      <c r="I235" s="9">
        <f>(B235*'Ore Index'!E2)+(C235*'Ore Index'!F2)+(D235*'Ore Index'!G2)+(E235*'Ore Index'!H2)+(F235*'Ore Index'!I2)+(G235*'Ore Index'!J2)+(H235*'Ore Index'!K2)</f>
        <v>15504.669999999998</v>
      </c>
      <c r="K235" s="9">
        <f t="shared" si="30"/>
        <v>10.01</v>
      </c>
      <c r="L235" s="7">
        <f t="shared" si="31"/>
        <v>0.75092250922509229</v>
      </c>
    </row>
    <row r="236" spans="1:17" x14ac:dyDescent="0.2">
      <c r="A236" s="7" t="s">
        <v>137</v>
      </c>
      <c r="B236" s="7">
        <v>609</v>
      </c>
      <c r="C236" s="7">
        <v>379</v>
      </c>
      <c r="D236" s="7">
        <v>136</v>
      </c>
      <c r="E236" s="7">
        <v>2</v>
      </c>
      <c r="F236" s="7">
        <v>2</v>
      </c>
      <c r="I236" s="9">
        <f>(B236*'Ore Index'!E2)+(C236*'Ore Index'!F2)+(D236*'Ore Index'!G2)+(E236*'Ore Index'!H2)+(F236*'Ore Index'!I2)+(G236*'Ore Index'!J2)+(H236*'Ore Index'!K2)</f>
        <v>17567.019999999997</v>
      </c>
      <c r="K236" s="9">
        <f t="shared" si="30"/>
        <v>11.28</v>
      </c>
      <c r="L236" s="7">
        <f t="shared" si="31"/>
        <v>1.6068601583113455</v>
      </c>
    </row>
    <row r="237" spans="1:17" x14ac:dyDescent="0.2">
      <c r="A237" s="7" t="s">
        <v>136</v>
      </c>
      <c r="B237" s="7">
        <v>246</v>
      </c>
      <c r="F237" s="7">
        <v>5</v>
      </c>
      <c r="H237" s="7">
        <v>1</v>
      </c>
      <c r="I237" s="9">
        <f>(B237*'Ore Index'!E2)+(C237*'Ore Index'!F2)+(D237*'Ore Index'!G2)+(E237*'Ore Index'!H2)+(F237*'Ore Index'!I2)+(G237*'Ore Index'!J2)+(H237*'Ore Index'!K2)</f>
        <v>8111.92</v>
      </c>
      <c r="K237" s="9">
        <f t="shared" si="30"/>
        <v>2.52</v>
      </c>
      <c r="L237" s="7" t="e">
        <f t="shared" si="31"/>
        <v>#DIV/0!</v>
      </c>
    </row>
    <row r="238" spans="1:17" x14ac:dyDescent="0.2">
      <c r="A238" s="7" t="s">
        <v>135</v>
      </c>
      <c r="B238" s="7">
        <v>7010</v>
      </c>
      <c r="C238" s="7">
        <v>4574</v>
      </c>
      <c r="D238" s="7">
        <v>14</v>
      </c>
      <c r="G238" s="7">
        <v>2</v>
      </c>
      <c r="H238" s="7">
        <v>1</v>
      </c>
      <c r="I238" s="9">
        <f>(B238*'Ore Index'!E2)+(C238*'Ore Index'!F2)+(D238*'Ore Index'!G2)+(E238*'Ore Index'!H2)+(F238*'Ore Index'!I2)+(G238*'Ore Index'!J2)+(H238*'Ore Index'!K2)</f>
        <v>112302.81</v>
      </c>
      <c r="K238" s="9">
        <f t="shared" si="30"/>
        <v>116.01</v>
      </c>
      <c r="L238" s="7">
        <f t="shared" si="31"/>
        <v>1.5325754263226934</v>
      </c>
      <c r="M238" s="8">
        <f t="shared" ref="M238:M243" si="32">(B238*N238)</f>
        <v>7199.2699999999995</v>
      </c>
      <c r="N238" s="7">
        <v>1.0269999999999999</v>
      </c>
      <c r="O238" s="7">
        <v>1.0269999999999999</v>
      </c>
      <c r="P238" s="7">
        <v>7010</v>
      </c>
      <c r="Q238" s="7">
        <f t="shared" ref="Q238:Q243" si="33">M238/P238</f>
        <v>1.0269999999999999</v>
      </c>
    </row>
    <row r="239" spans="1:17" x14ac:dyDescent="0.2">
      <c r="A239" s="7" t="s">
        <v>134</v>
      </c>
      <c r="B239" s="7">
        <v>466.88</v>
      </c>
      <c r="C239" s="7">
        <v>34.909999999999997</v>
      </c>
      <c r="D239" s="7">
        <v>177.58</v>
      </c>
      <c r="E239" s="7">
        <v>85.79</v>
      </c>
      <c r="G239" s="7">
        <v>1</v>
      </c>
      <c r="H239" s="7">
        <v>1</v>
      </c>
      <c r="I239" s="9">
        <f>(B239*'Ore Index'!E2)+(C239*'Ore Index'!F2)+(D239*'Ore Index'!G2)+(E239*'Ore Index'!H2)+(F239*'Ore Index'!I2)+(G239*'Ore Index'!J2)+(H239*'Ore Index'!K2)</f>
        <v>27814.260200000001</v>
      </c>
      <c r="J239" s="7">
        <v>5</v>
      </c>
      <c r="K239" s="9">
        <f t="shared" si="30"/>
        <v>7.6715999999999998</v>
      </c>
      <c r="L239" s="7">
        <f t="shared" si="31"/>
        <v>13.373818390146091</v>
      </c>
      <c r="M239" s="8">
        <f t="shared" si="32"/>
        <v>479.48575999999997</v>
      </c>
      <c r="N239" s="7">
        <v>1.0269999999999999</v>
      </c>
      <c r="O239" s="7">
        <v>1.0269999999999999</v>
      </c>
      <c r="P239" s="7">
        <v>462</v>
      </c>
      <c r="Q239" s="7">
        <f t="shared" si="33"/>
        <v>1.0378479653679653</v>
      </c>
    </row>
    <row r="240" spans="1:17" x14ac:dyDescent="0.2">
      <c r="A240" s="7" t="s">
        <v>133</v>
      </c>
      <c r="B240" s="7">
        <v>6640</v>
      </c>
      <c r="C240" s="7">
        <v>868</v>
      </c>
      <c r="F240" s="7">
        <v>3</v>
      </c>
      <c r="H240" s="7">
        <v>1</v>
      </c>
      <c r="I240" s="9">
        <f>(B240*'Ore Index'!E2)+(C240*'Ore Index'!F2)+(D240*'Ore Index'!G2)+(E240*'Ore Index'!H2)+(F240*'Ore Index'!I2)+(G240*'Ore Index'!J2)+(H240*'Ore Index'!K2)</f>
        <v>55734.46</v>
      </c>
      <c r="J240" s="7">
        <v>25</v>
      </c>
      <c r="K240" s="9">
        <f t="shared" si="30"/>
        <v>75.12</v>
      </c>
      <c r="L240" s="7">
        <f t="shared" si="31"/>
        <v>7.6497695852534564</v>
      </c>
      <c r="M240" s="8">
        <f t="shared" si="32"/>
        <v>6819.28</v>
      </c>
      <c r="N240" s="7">
        <v>1.0269999999999999</v>
      </c>
      <c r="O240" s="7">
        <v>1.0269999999999999</v>
      </c>
      <c r="P240" s="7">
        <v>6576</v>
      </c>
      <c r="Q240" s="7">
        <f t="shared" si="33"/>
        <v>1.0369951338199512</v>
      </c>
    </row>
    <row r="241" spans="1:17" x14ac:dyDescent="0.2">
      <c r="A241" s="7" t="s">
        <v>132</v>
      </c>
      <c r="B241" s="7">
        <v>5912</v>
      </c>
      <c r="C241" s="7">
        <v>3793</v>
      </c>
      <c r="D241" s="7">
        <v>84</v>
      </c>
      <c r="F241" s="7">
        <v>1</v>
      </c>
      <c r="H241" s="7">
        <v>1</v>
      </c>
      <c r="I241" s="9">
        <f>(B241*'Ore Index'!E2)+(C241*'Ore Index'!F2)+(D241*'Ore Index'!G2)+(E241*'Ore Index'!H2)+(F241*'Ore Index'!I2)+(G241*'Ore Index'!J2)+(H241*'Ore Index'!K2)</f>
        <v>97157.459999999992</v>
      </c>
      <c r="J241" s="7">
        <v>12.5</v>
      </c>
      <c r="K241" s="9">
        <f t="shared" si="30"/>
        <v>97.91</v>
      </c>
      <c r="L241" s="7">
        <f t="shared" si="31"/>
        <v>1.5586606907461114</v>
      </c>
      <c r="M241" s="8">
        <f t="shared" si="32"/>
        <v>6071.6239999999998</v>
      </c>
      <c r="N241" s="7">
        <v>1.0269999999999999</v>
      </c>
      <c r="O241" s="7">
        <v>1.0269999999999999</v>
      </c>
      <c r="P241" s="7">
        <v>5912</v>
      </c>
      <c r="Q241" s="7">
        <f t="shared" si="33"/>
        <v>1.0269999999999999</v>
      </c>
    </row>
    <row r="242" spans="1:17" x14ac:dyDescent="0.2">
      <c r="A242" s="7" t="s">
        <v>131</v>
      </c>
      <c r="B242" s="7">
        <v>1861</v>
      </c>
      <c r="C242" s="7">
        <v>1327</v>
      </c>
      <c r="D242" s="7">
        <v>19</v>
      </c>
      <c r="E242" s="7">
        <v>119</v>
      </c>
      <c r="H242" s="7">
        <v>1</v>
      </c>
      <c r="I242" s="9">
        <f>(B242*'Ore Index'!E2)+(C242*'Ore Index'!F2)+(D242*'Ore Index'!G2)+(E242*'Ore Index'!H2)+(F242*'Ore Index'!I2)+(G242*'Ore Index'!J2)+(H242*'Ore Index'!K2)</f>
        <v>51186.45</v>
      </c>
      <c r="J242" s="7">
        <v>5</v>
      </c>
      <c r="K242" s="9">
        <f t="shared" si="30"/>
        <v>33.270000000000003</v>
      </c>
      <c r="L242" s="7">
        <f t="shared" si="31"/>
        <v>1.4024114544084401</v>
      </c>
      <c r="M242" s="8">
        <f t="shared" si="32"/>
        <v>1911.2469999999998</v>
      </c>
      <c r="N242" s="7">
        <v>1.0269999999999999</v>
      </c>
      <c r="O242" s="7">
        <v>1.0269999999999999</v>
      </c>
      <c r="P242" s="7">
        <v>1861</v>
      </c>
      <c r="Q242" s="7">
        <f t="shared" si="33"/>
        <v>1.0269999999999999</v>
      </c>
    </row>
    <row r="243" spans="1:17" x14ac:dyDescent="0.2">
      <c r="A243" s="7" t="s">
        <v>130</v>
      </c>
      <c r="B243" s="7">
        <v>418</v>
      </c>
      <c r="C243" s="7">
        <v>5911</v>
      </c>
      <c r="I243" s="9">
        <f>(B243*'Ore Index'!E2)+(C243*'Ore Index'!F2)+(D243*'Ore Index'!G2)+(E243*'Ore Index'!H2)+(F243*'Ore Index'!I2)+(G243*'Ore Index'!J2)+(H243*'Ore Index'!K2)</f>
        <v>89510.74</v>
      </c>
      <c r="K243" s="9">
        <f t="shared" si="30"/>
        <v>63.29</v>
      </c>
      <c r="L243" s="7">
        <f t="shared" si="31"/>
        <v>7.0715614955168329E-2</v>
      </c>
      <c r="M243" s="8">
        <f t="shared" si="32"/>
        <v>429.28599999999994</v>
      </c>
      <c r="N243" s="7">
        <v>1.0269999999999999</v>
      </c>
      <c r="O243" s="7">
        <v>1.0269999999999999</v>
      </c>
      <c r="P243" s="7">
        <v>418</v>
      </c>
      <c r="Q243" s="7">
        <f t="shared" si="33"/>
        <v>1.0269999999999999</v>
      </c>
    </row>
    <row r="244" spans="1:17" x14ac:dyDescent="0.2">
      <c r="A244" s="7" t="s">
        <v>129</v>
      </c>
      <c r="B244" s="7">
        <v>1001</v>
      </c>
      <c r="C244" s="7">
        <v>773</v>
      </c>
      <c r="F244" s="7">
        <v>3</v>
      </c>
      <c r="I244" s="9">
        <f>(B244*'Ore Index'!E2)+(C244*'Ore Index'!F2)+(D244*'Ore Index'!G2)+(E244*'Ore Index'!H2)+(F244*'Ore Index'!I2)+(G244*'Ore Index'!J2)+(H244*'Ore Index'!K2)</f>
        <v>19526.09</v>
      </c>
      <c r="K244" s="9">
        <f t="shared" si="30"/>
        <v>17.77</v>
      </c>
      <c r="L244" s="7">
        <f t="shared" si="31"/>
        <v>1.2949547218628719</v>
      </c>
    </row>
    <row r="245" spans="1:17" x14ac:dyDescent="0.2">
      <c r="A245" s="7" t="s">
        <v>128</v>
      </c>
      <c r="B245" s="7">
        <v>5814</v>
      </c>
      <c r="C245" s="7">
        <v>3813</v>
      </c>
      <c r="D245" s="7">
        <v>6</v>
      </c>
      <c r="F245" s="7">
        <v>2</v>
      </c>
      <c r="G245" s="7">
        <v>3</v>
      </c>
      <c r="I245" s="9">
        <f>(B245*'Ore Index'!E2)+(C245*'Ore Index'!F2)+(D245*'Ore Index'!G2)+(E245*'Ore Index'!H2)+(F245*'Ore Index'!I2)+(G245*'Ore Index'!J2)+(H245*'Ore Index'!K2)</f>
        <v>93622.12000000001</v>
      </c>
      <c r="K245" s="9">
        <f t="shared" si="30"/>
        <v>96.38</v>
      </c>
      <c r="L245" s="7">
        <f t="shared" si="31"/>
        <v>1.5247836349331236</v>
      </c>
    </row>
    <row r="246" spans="1:17" x14ac:dyDescent="0.2">
      <c r="A246" s="7" t="s">
        <v>127</v>
      </c>
      <c r="B246" s="7">
        <v>411</v>
      </c>
      <c r="C246" s="7">
        <v>548</v>
      </c>
      <c r="D246" s="7">
        <v>46</v>
      </c>
      <c r="E246" s="7">
        <v>4</v>
      </c>
      <c r="F246" s="7">
        <v>3</v>
      </c>
      <c r="I246" s="9">
        <f>(B246*'Ore Index'!E2)+(C246*'Ore Index'!F2)+(D246*'Ore Index'!G2)+(E246*'Ore Index'!H2)+(F246*'Ore Index'!I2)+(G246*'Ore Index'!J2)+(H246*'Ore Index'!K2)</f>
        <v>15664.43</v>
      </c>
      <c r="K246" s="9">
        <f t="shared" si="30"/>
        <v>10.120000000000001</v>
      </c>
      <c r="L246" s="7">
        <f t="shared" si="31"/>
        <v>0.75</v>
      </c>
    </row>
    <row r="247" spans="1:17" x14ac:dyDescent="0.2">
      <c r="A247" s="7" t="s">
        <v>126</v>
      </c>
      <c r="B247" s="7">
        <v>804</v>
      </c>
      <c r="C247" s="7">
        <v>3</v>
      </c>
      <c r="D247" s="7">
        <v>101</v>
      </c>
      <c r="E247" s="7">
        <v>1</v>
      </c>
      <c r="I247" s="9">
        <f>(B247*'Ore Index'!E2)+(C247*'Ore Index'!F2)+(D247*'Ore Index'!G2)+(E247*'Ore Index'!H2)+(F247*'Ore Index'!I2)+(G247*'Ore Index'!J2)+(H247*'Ore Index'!K2)</f>
        <v>9674.02</v>
      </c>
      <c r="K247" s="9">
        <f t="shared" si="30"/>
        <v>9.09</v>
      </c>
    </row>
    <row r="248" spans="1:17" x14ac:dyDescent="0.2">
      <c r="A248" s="7" t="s">
        <v>125</v>
      </c>
      <c r="B248" s="7">
        <v>231</v>
      </c>
      <c r="C248" s="7">
        <v>16</v>
      </c>
      <c r="D248" s="7">
        <v>86</v>
      </c>
      <c r="E248" s="7">
        <v>41</v>
      </c>
      <c r="I248" s="9">
        <f>(B248*'Ore Index'!E2)+(C248*'Ore Index'!F2)+(D248*'Ore Index'!G2)+(E248*'Ore Index'!H2)+(F248*'Ore Index'!I2)+(G248*'Ore Index'!J2)+(H248*'Ore Index'!K2)</f>
        <v>11730.939999999999</v>
      </c>
      <c r="K248" s="9">
        <f t="shared" si="30"/>
        <v>3.74</v>
      </c>
      <c r="L248" s="7">
        <f t="shared" ref="L248:L270" si="34">B248/C248</f>
        <v>14.4375</v>
      </c>
      <c r="M248" s="8">
        <f>(B248*N248)</f>
        <v>237.23699999999997</v>
      </c>
      <c r="N248" s="7">
        <v>1.0269999999999999</v>
      </c>
      <c r="O248" s="7">
        <v>1.0269999999999999</v>
      </c>
      <c r="P248" s="7">
        <v>231</v>
      </c>
      <c r="Q248" s="7">
        <f>M248/P248</f>
        <v>1.0269999999999999</v>
      </c>
    </row>
    <row r="249" spans="1:17" x14ac:dyDescent="0.2">
      <c r="A249" s="7" t="s">
        <v>124</v>
      </c>
      <c r="B249" s="7">
        <v>1180</v>
      </c>
      <c r="C249" s="7">
        <v>417</v>
      </c>
      <c r="D249" s="7">
        <v>98</v>
      </c>
      <c r="I249" s="9">
        <f>(B249*'Ore Index'!E2)+(C249*'Ore Index'!F2)+(D249*'Ore Index'!G2)+(E249*'Ore Index'!H2)+(F249*'Ore Index'!I2)+(G249*'Ore Index'!J2)+(H249*'Ore Index'!K2)</f>
        <v>17627.54</v>
      </c>
      <c r="J249" s="7">
        <v>5</v>
      </c>
      <c r="K249" s="9">
        <f t="shared" si="30"/>
        <v>16.95</v>
      </c>
      <c r="L249" s="7">
        <f t="shared" si="34"/>
        <v>2.8297362110311752</v>
      </c>
      <c r="M249" s="8">
        <f>(B249*N249)</f>
        <v>1211.8599999999999</v>
      </c>
      <c r="N249" s="7">
        <v>1.0269999999999999</v>
      </c>
      <c r="O249" s="7">
        <v>1.0269999999999999</v>
      </c>
      <c r="P249" s="7">
        <v>1180</v>
      </c>
      <c r="Q249" s="7">
        <f>M249/P249</f>
        <v>1.0269999999999999</v>
      </c>
    </row>
    <row r="250" spans="1:17" x14ac:dyDescent="0.2">
      <c r="A250" s="7" t="s">
        <v>123</v>
      </c>
      <c r="B250" s="7">
        <v>804</v>
      </c>
      <c r="C250" s="7">
        <v>3</v>
      </c>
      <c r="D250" s="7">
        <v>101</v>
      </c>
      <c r="E250" s="7">
        <v>1</v>
      </c>
      <c r="I250" s="9">
        <f>(B250*'Ore Index'!E2)+(C250*'Ore Index'!F2)+(D250*'Ore Index'!G2)+(E250*'Ore Index'!H2)+(F250*'Ore Index'!I2)+(G250*'Ore Index'!J2)+(H250*'Ore Index'!K2)</f>
        <v>9674.02</v>
      </c>
      <c r="K250" s="9">
        <f t="shared" si="30"/>
        <v>9.09</v>
      </c>
      <c r="L250" s="7">
        <f t="shared" si="34"/>
        <v>268</v>
      </c>
    </row>
    <row r="251" spans="1:17" x14ac:dyDescent="0.2">
      <c r="A251" s="7" t="s">
        <v>122</v>
      </c>
      <c r="B251" s="7">
        <v>767</v>
      </c>
      <c r="C251" s="7">
        <v>686</v>
      </c>
      <c r="D251" s="7">
        <v>458</v>
      </c>
      <c r="I251" s="9">
        <f>(B251*'Ore Index'!E2)+(C251*'Ore Index'!F2)+(D251*'Ore Index'!G2)+(E251*'Ore Index'!H2)+(F251*'Ore Index'!I2)+(G251*'Ore Index'!J2)+(H251*'Ore Index'!K2)</f>
        <v>36705.699999999997</v>
      </c>
      <c r="J251" s="7">
        <v>5</v>
      </c>
      <c r="K251" s="9">
        <f t="shared" si="30"/>
        <v>19.11</v>
      </c>
      <c r="L251" s="7">
        <f t="shared" si="34"/>
        <v>1.1180758017492711</v>
      </c>
      <c r="M251" s="8">
        <f>(B251*N251)</f>
        <v>787.70899999999995</v>
      </c>
      <c r="N251" s="7">
        <v>1.0269999999999999</v>
      </c>
      <c r="O251" s="7">
        <v>1.0269999999999999</v>
      </c>
      <c r="P251" s="7">
        <v>767</v>
      </c>
      <c r="Q251" s="7">
        <f>M251/P251</f>
        <v>1.0269999999999999</v>
      </c>
    </row>
    <row r="252" spans="1:17" x14ac:dyDescent="0.2">
      <c r="A252" s="7" t="s">
        <v>121</v>
      </c>
      <c r="B252" s="7">
        <v>50636</v>
      </c>
      <c r="C252" s="7">
        <v>12990</v>
      </c>
      <c r="D252" s="7">
        <v>4334</v>
      </c>
      <c r="E252" s="7">
        <v>1178</v>
      </c>
      <c r="F252" s="7">
        <v>183</v>
      </c>
      <c r="G252" s="7">
        <v>9</v>
      </c>
      <c r="H252" s="7">
        <v>16</v>
      </c>
      <c r="I252" s="9">
        <f>(B252*'Ore Index'!E2)+(C252*'Ore Index'!F2)+(D252*'Ore Index'!G2)+(E252*'Ore Index'!H2)+(F252*'Ore Index'!I2)+(G252*'Ore Index'!J2)+(H252*'Ore Index'!K2)</f>
        <v>1060707.8100000003</v>
      </c>
      <c r="K252" s="9">
        <f t="shared" si="30"/>
        <v>693.46</v>
      </c>
      <c r="L252" s="7">
        <f t="shared" si="34"/>
        <v>3.8980754426481909</v>
      </c>
    </row>
    <row r="253" spans="1:17" x14ac:dyDescent="0.2">
      <c r="A253" s="7" t="s">
        <v>120</v>
      </c>
      <c r="B253" s="7">
        <v>50636</v>
      </c>
      <c r="C253" s="7">
        <v>12990</v>
      </c>
      <c r="D253" s="7">
        <v>4334</v>
      </c>
      <c r="E253" s="7">
        <v>1178</v>
      </c>
      <c r="F253" s="7">
        <v>183</v>
      </c>
      <c r="G253" s="7">
        <v>9</v>
      </c>
      <c r="H253" s="7">
        <v>16</v>
      </c>
      <c r="I253" s="9">
        <f>(B253*'Ore Index'!E2)+(C253*'Ore Index'!F2)+(D253*'Ore Index'!G2)+(E253*'Ore Index'!H2)+(F253*'Ore Index'!I2)+(G253*'Ore Index'!J2)+(H253*'Ore Index'!K2)</f>
        <v>1060707.8100000003</v>
      </c>
      <c r="K253" s="9">
        <f t="shared" si="30"/>
        <v>693.46</v>
      </c>
      <c r="L253" s="7">
        <f t="shared" si="34"/>
        <v>3.8980754426481909</v>
      </c>
      <c r="M253" s="8">
        <f>(B253*N253)</f>
        <v>52003.171999999999</v>
      </c>
      <c r="N253" s="7">
        <v>1.0269999999999999</v>
      </c>
      <c r="O253" s="7">
        <v>1.0269999999999999</v>
      </c>
      <c r="P253" s="7">
        <v>50630</v>
      </c>
      <c r="Q253" s="7">
        <f>M253/P253</f>
        <v>1.0271217064981235</v>
      </c>
    </row>
    <row r="254" spans="1:17" x14ac:dyDescent="0.2">
      <c r="A254" s="7" t="s">
        <v>119</v>
      </c>
      <c r="B254" s="7">
        <v>50636</v>
      </c>
      <c r="C254" s="7">
        <v>12990</v>
      </c>
      <c r="D254" s="7">
        <v>4334</v>
      </c>
      <c r="E254" s="7">
        <v>1178</v>
      </c>
      <c r="F254" s="7">
        <v>183</v>
      </c>
      <c r="G254" s="7">
        <v>9</v>
      </c>
      <c r="H254" s="7">
        <v>16</v>
      </c>
      <c r="I254" s="9">
        <f>(B254*'Ore Index'!E2)+(C254*'Ore Index'!F2)+(D254*'Ore Index'!G2)+(E254*'Ore Index'!H2)+(F254*'Ore Index'!I2)+(G254*'Ore Index'!J2)+(H254*'Ore Index'!K2)</f>
        <v>1060707.8100000003</v>
      </c>
      <c r="K254" s="9">
        <f t="shared" si="30"/>
        <v>693.46</v>
      </c>
      <c r="L254" s="7">
        <f t="shared" si="34"/>
        <v>3.8980754426481909</v>
      </c>
    </row>
    <row r="255" spans="1:17" x14ac:dyDescent="0.2">
      <c r="A255" s="7" t="s">
        <v>118</v>
      </c>
      <c r="B255" s="7">
        <v>747</v>
      </c>
      <c r="C255" s="7">
        <v>163</v>
      </c>
      <c r="D255" s="7">
        <v>418</v>
      </c>
      <c r="E255" s="7">
        <v>4</v>
      </c>
      <c r="H255" s="7">
        <v>2</v>
      </c>
      <c r="I255" s="9">
        <f>(B255*'Ore Index'!E2)+(C255*'Ore Index'!F2)+(D255*'Ore Index'!G2)+(E255*'Ore Index'!H2)+(F255*'Ore Index'!I2)+(G255*'Ore Index'!J2)+(H255*'Ore Index'!K2)</f>
        <v>32859.339999999997</v>
      </c>
      <c r="K255" s="9">
        <f t="shared" si="30"/>
        <v>13.34</v>
      </c>
      <c r="L255" s="7">
        <f t="shared" si="34"/>
        <v>4.5828220858895703</v>
      </c>
    </row>
    <row r="256" spans="1:17" x14ac:dyDescent="0.2">
      <c r="A256" s="7" t="s">
        <v>117</v>
      </c>
      <c r="B256" s="7">
        <v>636</v>
      </c>
      <c r="C256" s="7">
        <v>137</v>
      </c>
      <c r="D256" s="7">
        <v>329</v>
      </c>
      <c r="E256" s="7">
        <v>3</v>
      </c>
      <c r="H256" s="7">
        <v>2</v>
      </c>
      <c r="I256" s="9">
        <f>(B256*'Ore Index'!E2)+(C256*'Ore Index'!F2)+(D256*'Ore Index'!G2)+(E256*'Ore Index'!H2)+(F256*'Ore Index'!I2)+(G256*'Ore Index'!J2)+(H256*'Ore Index'!K2)</f>
        <v>27378.640000000003</v>
      </c>
      <c r="K256" s="9">
        <f t="shared" ref="K256:K272" si="35">(B256+C256+D256+E256+F256+G256+H256)*0.01</f>
        <v>11.07</v>
      </c>
      <c r="L256" s="7">
        <f t="shared" si="34"/>
        <v>4.6423357664233578</v>
      </c>
    </row>
    <row r="257" spans="1:17" x14ac:dyDescent="0.2">
      <c r="A257" s="7" t="s">
        <v>116</v>
      </c>
      <c r="B257" s="7">
        <v>2713</v>
      </c>
      <c r="C257" s="7">
        <v>2250</v>
      </c>
      <c r="D257" s="7">
        <v>2</v>
      </c>
      <c r="E257" s="7">
        <v>1</v>
      </c>
      <c r="I257" s="9">
        <f>(B257*'Ore Index'!E2)+(C257*'Ore Index'!F2)+(D257*'Ore Index'!G2)+(E257*'Ore Index'!H2)+(F257*'Ore Index'!I2)+(G257*'Ore Index'!J2)+(H257*'Ore Index'!K2)</f>
        <v>48872.62</v>
      </c>
      <c r="K257" s="9">
        <f t="shared" si="35"/>
        <v>49.660000000000004</v>
      </c>
      <c r="L257" s="7">
        <f t="shared" si="34"/>
        <v>1.2057777777777778</v>
      </c>
    </row>
    <row r="258" spans="1:17" x14ac:dyDescent="0.2">
      <c r="A258" s="7" t="s">
        <v>115</v>
      </c>
      <c r="B258" s="7">
        <v>1027</v>
      </c>
      <c r="I258" s="9">
        <f>(B258*'Ore Index'!E2)+(C258*'Ore Index'!F2)+(D258*'Ore Index'!G2)+(E258*'Ore Index'!H2)+(F258*'Ore Index'!I2)+(G258*'Ore Index'!J2)+(H258*'Ore Index'!K2)</f>
        <v>5853.9000000000005</v>
      </c>
      <c r="K258" s="9">
        <f t="shared" si="35"/>
        <v>10.27</v>
      </c>
      <c r="L258" s="7" t="e">
        <f t="shared" si="34"/>
        <v>#DIV/0!</v>
      </c>
      <c r="M258" s="8">
        <f t="shared" ref="M258:M265" si="36">(B258*N258)</f>
        <v>1054.7289999999998</v>
      </c>
      <c r="N258" s="7">
        <v>1.0269999999999999</v>
      </c>
      <c r="O258" s="7">
        <v>1.0269999999999999</v>
      </c>
      <c r="P258" s="7">
        <v>1027</v>
      </c>
      <c r="Q258" s="7">
        <f t="shared" ref="Q258:Q264" si="37">M258/P258</f>
        <v>1.0269999999999999</v>
      </c>
    </row>
    <row r="259" spans="1:17" x14ac:dyDescent="0.2">
      <c r="A259" s="7" t="s">
        <v>114</v>
      </c>
      <c r="B259" s="7">
        <v>22807</v>
      </c>
      <c r="C259" s="7">
        <v>17821</v>
      </c>
      <c r="F259" s="7">
        <v>3</v>
      </c>
      <c r="G259" s="7">
        <v>2</v>
      </c>
      <c r="I259" s="9">
        <f>(B259*'Ore Index'!E2)+(C259*'Ore Index'!F2)+(D259*'Ore Index'!G2)+(E259*'Ore Index'!H2)+(F259*'Ore Index'!I2)+(G259*'Ore Index'!J2)+(H259*'Ore Index'!K2)</f>
        <v>396687.81</v>
      </c>
      <c r="J259" s="7">
        <v>5</v>
      </c>
      <c r="K259" s="9">
        <f t="shared" si="35"/>
        <v>406.33</v>
      </c>
      <c r="L259" s="7">
        <f t="shared" si="34"/>
        <v>1.2797822793333706</v>
      </c>
      <c r="M259" s="8">
        <f t="shared" si="36"/>
        <v>23422.788999999997</v>
      </c>
      <c r="N259" s="7">
        <v>1.0269999999999999</v>
      </c>
      <c r="O259" s="7">
        <v>1.0269999999999999</v>
      </c>
      <c r="P259" s="7">
        <v>22807</v>
      </c>
      <c r="Q259" s="7">
        <f t="shared" si="37"/>
        <v>1.0269999999999999</v>
      </c>
    </row>
    <row r="260" spans="1:17" x14ac:dyDescent="0.2">
      <c r="A260" s="7" t="s">
        <v>113</v>
      </c>
      <c r="B260" s="7">
        <v>39538</v>
      </c>
      <c r="C260" s="7">
        <v>30362</v>
      </c>
      <c r="D260" s="7">
        <v>0</v>
      </c>
      <c r="E260" s="7">
        <v>85</v>
      </c>
      <c r="F260" s="7">
        <v>12</v>
      </c>
      <c r="G260" s="7">
        <v>1</v>
      </c>
      <c r="H260" s="7">
        <v>1</v>
      </c>
      <c r="I260" s="9">
        <f>(B260*'Ore Index'!E2)+(C260*'Ore Index'!F2)+(D260*'Ore Index'!G2)+(E260*'Ore Index'!H2)+(F260*'Ore Index'!I2)+(G260*'Ore Index'!J2)+(H260*'Ore Index'!K2)</f>
        <v>698514.53</v>
      </c>
      <c r="J260" s="7">
        <v>5</v>
      </c>
      <c r="K260" s="9">
        <f t="shared" si="35"/>
        <v>699.99</v>
      </c>
      <c r="L260" s="7">
        <f t="shared" si="34"/>
        <v>1.3022198801132996</v>
      </c>
      <c r="M260" s="8">
        <f t="shared" si="36"/>
        <v>40605.525999999998</v>
      </c>
      <c r="N260" s="7">
        <v>1.0269999999999999</v>
      </c>
      <c r="O260" s="7">
        <v>1.0269999999999999</v>
      </c>
      <c r="P260" s="7">
        <v>39155</v>
      </c>
      <c r="Q260" s="7">
        <f t="shared" si="37"/>
        <v>1.0370457412846379</v>
      </c>
    </row>
    <row r="261" spans="1:17" x14ac:dyDescent="0.2">
      <c r="A261" s="7" t="s">
        <v>112</v>
      </c>
      <c r="B261" s="7">
        <v>34426.57</v>
      </c>
      <c r="C261" s="7">
        <v>27368.23</v>
      </c>
      <c r="E261" s="7">
        <v>2</v>
      </c>
      <c r="F261" s="7">
        <v>6</v>
      </c>
      <c r="H261" s="7">
        <v>1</v>
      </c>
      <c r="I261" s="9">
        <f>(B261*'Ore Index'!E2)+(C261*'Ore Index'!F2)+(D261*'Ore Index'!G2)+(E261*'Ore Index'!H2)+(F261*'Ore Index'!I2)+(G261*'Ore Index'!J2)+(H261*'Ore Index'!K2)</f>
        <v>607450.62919999997</v>
      </c>
      <c r="J261" s="7">
        <v>5</v>
      </c>
      <c r="K261" s="9">
        <f t="shared" si="35"/>
        <v>618.03800000000001</v>
      </c>
      <c r="L261" s="7">
        <f t="shared" si="34"/>
        <v>1.2579026849745125</v>
      </c>
      <c r="M261" s="8">
        <f t="shared" si="36"/>
        <v>35356.087389999993</v>
      </c>
      <c r="N261" s="7">
        <v>1.0269999999999999</v>
      </c>
      <c r="O261" s="7">
        <v>1.0269999999999999</v>
      </c>
      <c r="P261" s="7">
        <v>34093</v>
      </c>
      <c r="Q261" s="7">
        <f t="shared" si="37"/>
        <v>1.0370482911448096</v>
      </c>
    </row>
    <row r="262" spans="1:17" x14ac:dyDescent="0.2">
      <c r="A262" s="7" t="s">
        <v>111</v>
      </c>
      <c r="B262" s="7">
        <v>27738.36</v>
      </c>
      <c r="C262" s="7">
        <v>21747.56</v>
      </c>
      <c r="D262" s="7">
        <v>511.8</v>
      </c>
      <c r="E262" s="7">
        <v>16</v>
      </c>
      <c r="F262" s="7">
        <v>3</v>
      </c>
      <c r="I262" s="9">
        <f>(B262*'Ore Index'!E2)+(C262*'Ore Index'!F2)+(D262*'Ore Index'!G2)+(E262*'Ore Index'!H2)+(F262*'Ore Index'!I2)+(G262*'Ore Index'!J2)+(H262*'Ore Index'!K2)</f>
        <v>508270.27240000002</v>
      </c>
      <c r="J262" s="7">
        <v>5</v>
      </c>
      <c r="K262" s="9">
        <f t="shared" si="35"/>
        <v>500.16720000000004</v>
      </c>
      <c r="L262" s="7">
        <f t="shared" si="34"/>
        <v>1.2754699837590975</v>
      </c>
      <c r="M262" s="8">
        <f t="shared" si="36"/>
        <v>28487.295719999998</v>
      </c>
      <c r="N262" s="7">
        <v>1.0269999999999999</v>
      </c>
      <c r="O262" s="7">
        <v>1.0269999999999999</v>
      </c>
      <c r="P262" s="7">
        <v>27469</v>
      </c>
      <c r="Q262" s="7">
        <f t="shared" si="37"/>
        <v>1.0370707240889729</v>
      </c>
    </row>
    <row r="263" spans="1:17" x14ac:dyDescent="0.2">
      <c r="A263" s="7" t="s">
        <v>110</v>
      </c>
      <c r="B263" s="7">
        <v>451</v>
      </c>
      <c r="C263" s="7">
        <v>266</v>
      </c>
      <c r="D263" s="7">
        <v>300</v>
      </c>
      <c r="E263" s="7">
        <v>177</v>
      </c>
      <c r="G263" s="7">
        <v>2</v>
      </c>
      <c r="I263" s="9">
        <f>(B263*'Ore Index'!E2)+(C263*'Ore Index'!F2)+(D263*'Ore Index'!G2)+(E263*'Ore Index'!H2)+(F263*'Ore Index'!I2)+(G263*'Ore Index'!J2)+(H263*'Ore Index'!K2)</f>
        <v>48554.5</v>
      </c>
      <c r="J263" s="7">
        <v>5</v>
      </c>
      <c r="K263" s="9">
        <f t="shared" si="35"/>
        <v>11.96</v>
      </c>
      <c r="L263" s="7">
        <f t="shared" si="34"/>
        <v>1.6954887218045114</v>
      </c>
      <c r="M263" s="8">
        <f t="shared" si="36"/>
        <v>463.17699999999996</v>
      </c>
      <c r="N263" s="7">
        <v>1.0269999999999999</v>
      </c>
      <c r="O263" s="7">
        <v>1.0269999999999999</v>
      </c>
      <c r="P263" s="7">
        <v>447</v>
      </c>
      <c r="Q263" s="7">
        <f t="shared" si="37"/>
        <v>1.0361901565995526</v>
      </c>
    </row>
    <row r="264" spans="1:17" x14ac:dyDescent="0.2">
      <c r="A264" s="7" t="s">
        <v>109</v>
      </c>
      <c r="B264" s="7">
        <v>451</v>
      </c>
      <c r="C264" s="7">
        <v>266</v>
      </c>
      <c r="D264" s="7">
        <v>300</v>
      </c>
      <c r="E264" s="7">
        <v>177</v>
      </c>
      <c r="G264" s="7">
        <v>2</v>
      </c>
      <c r="I264" s="9">
        <f>(B264*'Ore Index'!E2)+(C264*'Ore Index'!F2)+(D264*'Ore Index'!G2)+(E264*'Ore Index'!H2)+(F264*'Ore Index'!I2)+(G264*'Ore Index'!J2)+(H264*'Ore Index'!K2)</f>
        <v>48554.5</v>
      </c>
      <c r="J264" s="7">
        <v>5</v>
      </c>
      <c r="K264" s="9">
        <f t="shared" si="35"/>
        <v>11.96</v>
      </c>
      <c r="L264" s="7">
        <f t="shared" si="34"/>
        <v>1.6954887218045114</v>
      </c>
      <c r="M264" s="8">
        <f t="shared" si="36"/>
        <v>463.17699999999996</v>
      </c>
      <c r="N264" s="7">
        <v>1.0269999999999999</v>
      </c>
      <c r="O264" s="7">
        <v>1.0269999999999999</v>
      </c>
      <c r="P264" s="7">
        <v>447</v>
      </c>
      <c r="Q264" s="7">
        <f t="shared" si="37"/>
        <v>1.0361901565995526</v>
      </c>
    </row>
    <row r="265" spans="1:17" x14ac:dyDescent="0.2">
      <c r="A265" s="7" t="s">
        <v>108</v>
      </c>
      <c r="E265" s="7">
        <v>595</v>
      </c>
      <c r="F265" s="7">
        <v>215</v>
      </c>
      <c r="G265" s="7">
        <v>51</v>
      </c>
      <c r="I265" s="9">
        <f>(B265*'Ore Index'!E2)+(C265*'Ore Index'!F2)+(D265*'Ore Index'!G2)+(E265*'Ore Index'!H2)+(F265*'Ore Index'!I2)+(G265*'Ore Index'!J2)+(H265*'Ore Index'!K2)</f>
        <v>301335.45</v>
      </c>
      <c r="K265" s="9">
        <f t="shared" si="35"/>
        <v>8.61</v>
      </c>
      <c r="L265" s="7" t="e">
        <f t="shared" si="34"/>
        <v>#DIV/0!</v>
      </c>
      <c r="M265" s="8">
        <f t="shared" si="36"/>
        <v>0</v>
      </c>
      <c r="N265" s="7">
        <v>1.0269999999999999</v>
      </c>
      <c r="O265" s="7">
        <v>1.0269999999999999</v>
      </c>
    </row>
    <row r="266" spans="1:17" x14ac:dyDescent="0.2">
      <c r="A266" s="7" t="s">
        <v>107</v>
      </c>
      <c r="E266" s="7">
        <v>595</v>
      </c>
      <c r="F266" s="7">
        <v>215</v>
      </c>
      <c r="G266" s="7">
        <v>51</v>
      </c>
      <c r="I266" s="9">
        <f>(B266*'Ore Index'!E2)+(C266*'Ore Index'!F2)+(D266*'Ore Index'!G2)+(E266*'Ore Index'!H2)+(F266*'Ore Index'!I2)+(G266*'Ore Index'!J2)+(H266*'Ore Index'!K2)</f>
        <v>301335.45</v>
      </c>
      <c r="K266" s="9">
        <f t="shared" si="35"/>
        <v>8.61</v>
      </c>
      <c r="L266" s="7" t="e">
        <f t="shared" si="34"/>
        <v>#DIV/0!</v>
      </c>
    </row>
    <row r="267" spans="1:17" x14ac:dyDescent="0.2">
      <c r="A267" s="7" t="s">
        <v>106</v>
      </c>
      <c r="E267" s="7">
        <v>595</v>
      </c>
      <c r="F267" s="7">
        <v>215</v>
      </c>
      <c r="G267" s="7">
        <v>51</v>
      </c>
      <c r="I267" s="9">
        <f>(B267*'Ore Index'!E2)+(C267*'Ore Index'!F2)+(D267*'Ore Index'!G2)+(E267*'Ore Index'!H2)+(F267*'Ore Index'!I2)+(G267*'Ore Index'!J2)+(H267*'Ore Index'!K2)</f>
        <v>301335.45</v>
      </c>
      <c r="K267" s="9">
        <f t="shared" si="35"/>
        <v>8.61</v>
      </c>
      <c r="L267" s="7" t="e">
        <f t="shared" si="34"/>
        <v>#DIV/0!</v>
      </c>
    </row>
    <row r="268" spans="1:17" x14ac:dyDescent="0.2">
      <c r="A268" s="7" t="s">
        <v>105</v>
      </c>
      <c r="E268" s="7">
        <v>595</v>
      </c>
      <c r="F268" s="7">
        <v>215</v>
      </c>
      <c r="G268" s="7">
        <v>51</v>
      </c>
      <c r="I268" s="9">
        <f>(B268*'Ore Index'!E2)+(C268*'Ore Index'!F2)+(D268*'Ore Index'!G2)+(E268*'Ore Index'!H2)+(F268*'Ore Index'!I2)+(G268*'Ore Index'!J2)+(H268*'Ore Index'!K2)</f>
        <v>301335.45</v>
      </c>
      <c r="K268" s="9">
        <f t="shared" si="35"/>
        <v>8.61</v>
      </c>
      <c r="L268" s="7" t="e">
        <f t="shared" si="34"/>
        <v>#DIV/0!</v>
      </c>
      <c r="M268" s="8">
        <f>(B268*N268)</f>
        <v>0</v>
      </c>
      <c r="N268" s="7">
        <v>1.0269999999999999</v>
      </c>
      <c r="O268" s="7">
        <v>1.0269999999999999</v>
      </c>
    </row>
    <row r="269" spans="1:17" x14ac:dyDescent="0.2">
      <c r="A269" s="7" t="s">
        <v>104</v>
      </c>
      <c r="B269" s="7">
        <v>82</v>
      </c>
      <c r="C269" s="7">
        <v>895</v>
      </c>
      <c r="F269" s="7">
        <v>6</v>
      </c>
      <c r="G269" s="7">
        <v>2</v>
      </c>
      <c r="H269" s="7">
        <v>8</v>
      </c>
      <c r="I269" s="9">
        <f>(B269*'Ore Index'!E2)+(C269*'Ore Index'!F2)+(D269*'Ore Index'!G2)+(E269*'Ore Index'!H2)+(F269*'Ore Index'!I2)+(G269*'Ore Index'!J2)+(H269*'Ore Index'!K2)</f>
        <v>41418.600000000006</v>
      </c>
      <c r="K269" s="9">
        <f t="shared" si="35"/>
        <v>9.93</v>
      </c>
      <c r="L269" s="7">
        <f t="shared" si="34"/>
        <v>9.1620111731843576E-2</v>
      </c>
    </row>
    <row r="270" spans="1:17" x14ac:dyDescent="0.2">
      <c r="A270" s="7" t="s">
        <v>103</v>
      </c>
      <c r="C270" s="7">
        <v>109</v>
      </c>
      <c r="E270" s="7">
        <v>8</v>
      </c>
      <c r="G270" s="7">
        <v>1</v>
      </c>
      <c r="I270" s="9">
        <f>(B270*'Ore Index'!E2)+(C270*'Ore Index'!F2)+(D270*'Ore Index'!G2)+(E270*'Ore Index'!H2)+(F270*'Ore Index'!I2)+(G270*'Ore Index'!J2)+(H270*'Ore Index'!K2)</f>
        <v>3568.5</v>
      </c>
      <c r="K270" s="9">
        <f t="shared" si="35"/>
        <v>1.18</v>
      </c>
      <c r="L270" s="7">
        <f t="shared" si="34"/>
        <v>0</v>
      </c>
    </row>
    <row r="271" spans="1:17" x14ac:dyDescent="0.2">
      <c r="A271" s="7" t="s">
        <v>102</v>
      </c>
      <c r="B271" s="7">
        <v>134</v>
      </c>
      <c r="C271" s="7">
        <v>21</v>
      </c>
      <c r="D271" s="7">
        <v>42</v>
      </c>
      <c r="E271" s="7">
        <v>9</v>
      </c>
      <c r="G271" s="7">
        <v>1</v>
      </c>
      <c r="H271" s="7">
        <v>4</v>
      </c>
      <c r="I271" s="9">
        <f>(B271*'Ore Index'!E2)+(C271*'Ore Index'!F2)+(D271*'Ore Index'!G2)+(E271*'Ore Index'!H2)+(F271*'Ore Index'!I2)+(G271*'Ore Index'!J2)+(H271*'Ore Index'!K2)</f>
        <v>15882.58</v>
      </c>
      <c r="K271" s="9">
        <f t="shared" si="35"/>
        <v>2.11</v>
      </c>
    </row>
    <row r="272" spans="1:17" x14ac:dyDescent="0.2">
      <c r="A272" s="7" t="s">
        <v>101</v>
      </c>
      <c r="B272" s="7">
        <v>3239</v>
      </c>
      <c r="C272" s="7">
        <v>1704</v>
      </c>
      <c r="D272" s="7">
        <v>7</v>
      </c>
      <c r="I272" s="9">
        <f>(B272*'Ore Index'!E2)+(C272*'Ore Index'!F2)+(D272*'Ore Index'!G2)+(E272*'Ore Index'!H2)+(F272*'Ore Index'!I2)+(G272*'Ore Index'!J2)+(H272*'Ore Index'!K2)</f>
        <v>43918.899999999994</v>
      </c>
      <c r="K272" s="9">
        <f t="shared" si="35"/>
        <v>49.5</v>
      </c>
      <c r="L272" s="7">
        <f>B272/C272</f>
        <v>1.9008215962441315</v>
      </c>
    </row>
    <row r="274" spans="1:15" x14ac:dyDescent="0.2">
      <c r="I274" s="9">
        <f>(B274*B4)+(C274*C4)+(D274*D4)+(E274*E4)+(F274*F4)+(G274*G4)+(H274*H4)</f>
        <v>0</v>
      </c>
      <c r="L274" s="7" t="e">
        <f>B274/C274</f>
        <v>#DIV/0!</v>
      </c>
      <c r="M274" s="8">
        <f>(B274*N274)</f>
        <v>0</v>
      </c>
      <c r="N274" s="7">
        <v>1.0269999999999999</v>
      </c>
      <c r="O274" s="7">
        <v>1.0269999999999999</v>
      </c>
    </row>
    <row r="275" spans="1:15" x14ac:dyDescent="0.2">
      <c r="I275" s="9">
        <f>(B275*B5)+(C275*C5)+(D275*D5)+(E275*E5)+(F275*F5)+(G275*G5)+(H275*H5)</f>
        <v>0</v>
      </c>
      <c r="N275" s="7">
        <v>1.0269999999999999</v>
      </c>
      <c r="O275" s="7">
        <v>1.0269999999999999</v>
      </c>
    </row>
    <row r="276" spans="1:15" x14ac:dyDescent="0.2">
      <c r="I276" s="9">
        <f>(B276*B6)+(C276*C6)+(D276*D6)+(E276*E6)+(F276*F6)+(G276*G6)+(H276*H6)</f>
        <v>0</v>
      </c>
      <c r="N276" s="7">
        <v>1.0269999999999999</v>
      </c>
      <c r="O276" s="7">
        <v>1.0269999999999999</v>
      </c>
    </row>
    <row r="277" spans="1:15" x14ac:dyDescent="0.2">
      <c r="I277" s="9">
        <f>(B277*B7)+(C277*C7)+(D277*D7)+(E277*E7)+(F277*F7)+(G277*G7)+(H277*H7)</f>
        <v>0</v>
      </c>
      <c r="N277" s="7">
        <v>1.0269999999999999</v>
      </c>
      <c r="O277" s="7">
        <v>1.0269999999999999</v>
      </c>
    </row>
    <row r="278" spans="1:15" x14ac:dyDescent="0.2">
      <c r="I278" s="9">
        <f>(B278*B8)+(C278*C8)+(D278*D8)+(E278*E8)+(F278*F8)+(G278*G8)+(H278*H8)</f>
        <v>0</v>
      </c>
      <c r="N278" s="7">
        <v>1.0269999999999999</v>
      </c>
      <c r="O278" s="7">
        <v>1.0269999999999999</v>
      </c>
    </row>
    <row r="279" spans="1:15" x14ac:dyDescent="0.2">
      <c r="I279" s="9" t="e">
        <f>#N/A</f>
        <v>#N/A</v>
      </c>
      <c r="N279" s="7">
        <v>1.0269999999999999</v>
      </c>
      <c r="O279" s="7">
        <v>1.0269999999999999</v>
      </c>
    </row>
    <row r="280" spans="1:15" x14ac:dyDescent="0.2">
      <c r="I280" s="9">
        <f>(B280*B9)+(C280*C9)+(D280*D9)+(E280*E9)+(F280*F9)+(G280*G9)+(H280*H9)</f>
        <v>0</v>
      </c>
      <c r="N280" s="7">
        <v>1.0269999999999999</v>
      </c>
      <c r="O280" s="7">
        <v>1.0269999999999999</v>
      </c>
    </row>
    <row r="281" spans="1:15" x14ac:dyDescent="0.2">
      <c r="I281" s="9">
        <f>(B281*B10)+(C281*C10)+(D281*D10)+(E281*E10)+(F281*F10)+(G281*G10)+(H281*H10)</f>
        <v>0</v>
      </c>
      <c r="N281" s="7">
        <v>1.0269999999999999</v>
      </c>
      <c r="O281" s="7">
        <v>1.0269999999999999</v>
      </c>
    </row>
    <row r="282" spans="1:15" x14ac:dyDescent="0.2">
      <c r="A282" s="7" t="s">
        <v>100</v>
      </c>
      <c r="B282" s="7">
        <f>739*1500</f>
        <v>1108500</v>
      </c>
      <c r="F282" s="7">
        <f>2*1500</f>
        <v>3000</v>
      </c>
      <c r="I282" s="9">
        <f>(B282*'Ore Index'!E2)+(C282*'Ore Index'!F2)+(D282*'Ore Index'!G2)+(E282*'Ore Index'!H2)+(F282*'Ore Index'!I2)+(G282*'Ore Index'!J2)+(H282*'Ore Index'!K2)</f>
        <v>8744820</v>
      </c>
      <c r="K282" s="9">
        <f>I282*J282</f>
        <v>0</v>
      </c>
      <c r="N282" s="7">
        <v>1.0269999999999999</v>
      </c>
      <c r="O282" s="7">
        <v>1.0269999999999999</v>
      </c>
    </row>
    <row r="283" spans="1:15" x14ac:dyDescent="0.2">
      <c r="A283" s="7" t="s">
        <v>99</v>
      </c>
      <c r="B283" s="7">
        <f>644*1500</f>
        <v>966000</v>
      </c>
      <c r="C283" s="7">
        <v>3000</v>
      </c>
      <c r="D283" s="7">
        <v>6000</v>
      </c>
      <c r="E283" s="7">
        <v>4500</v>
      </c>
      <c r="I283" s="9">
        <f>(B283*'Ore Index'!E2)+(C283*'Ore Index'!F2)+(D283*'Ore Index'!G2)+(E283*'Ore Index'!H2)+(F283*'Ore Index'!I2)+(G283*'Ore Index'!J2)+(H283*'Ore Index'!K2)</f>
        <v>6500700</v>
      </c>
      <c r="N283" s="7">
        <v>1.0269999999999999</v>
      </c>
      <c r="O283" s="7">
        <v>1.0269999999999999</v>
      </c>
    </row>
    <row r="285" spans="1:15" x14ac:dyDescent="0.2">
      <c r="A285" s="7" t="s">
        <v>98</v>
      </c>
      <c r="B285" s="7">
        <v>2736000</v>
      </c>
      <c r="C285" s="7">
        <v>1050000</v>
      </c>
      <c r="G285" s="7">
        <v>3000</v>
      </c>
      <c r="I285" s="9">
        <f>(B285*'Ore Index'!E2)+(C285*'Ore Index'!F2)+(D285*'Ore Index'!G2)+(E285*'Ore Index'!H2)+(F285*'Ore Index'!I2)+(G285*'Ore Index'!J2)+(H285*'Ore Index'!K2)</f>
        <v>33442200</v>
      </c>
      <c r="N285" s="7">
        <v>1.0269999999999999</v>
      </c>
      <c r="O285" s="7">
        <v>1.0269999999999999</v>
      </c>
    </row>
    <row r="286" spans="1:15" x14ac:dyDescent="0.2">
      <c r="A286" s="7" t="s">
        <v>97</v>
      </c>
      <c r="B286" s="7">
        <v>2148000</v>
      </c>
      <c r="D286" s="7">
        <v>120000</v>
      </c>
      <c r="E286" s="7">
        <v>6000</v>
      </c>
      <c r="G286" s="7">
        <v>1500</v>
      </c>
      <c r="I286" s="9">
        <f>(B286*'Ore Index'!E2)+(C286*'Ore Index'!F2)+(D286*'Ore Index'!G2)+(E286*'Ore Index'!H2)+(F286*'Ore Index'!I2)+(G286*'Ore Index'!J2)+(H286*'Ore Index'!K2)</f>
        <v>20129880</v>
      </c>
      <c r="N286" s="7">
        <v>1.0269999999999999</v>
      </c>
      <c r="O286" s="7">
        <v>1.0269999999999999</v>
      </c>
    </row>
    <row r="287" spans="1:15" x14ac:dyDescent="0.2">
      <c r="A287" s="7" t="s">
        <v>96</v>
      </c>
      <c r="B287" s="7">
        <v>4581000</v>
      </c>
      <c r="C287" s="7">
        <v>702000</v>
      </c>
      <c r="D287" s="7">
        <v>100500</v>
      </c>
      <c r="G287" s="7">
        <v>3000</v>
      </c>
    </row>
    <row r="288" spans="1:15" x14ac:dyDescent="0.2">
      <c r="A288" s="7" t="s">
        <v>95</v>
      </c>
      <c r="B288" s="7">
        <v>2772000</v>
      </c>
      <c r="C288" s="7">
        <v>214500</v>
      </c>
      <c r="D288" s="7">
        <v>25500</v>
      </c>
      <c r="F288" s="7">
        <v>3000</v>
      </c>
      <c r="G288" s="7">
        <v>3000</v>
      </c>
    </row>
    <row r="289" spans="1:15" x14ac:dyDescent="0.2">
      <c r="B289" s="7">
        <f t="shared" ref="B289:G289" si="38">B285+B286+B287+B288</f>
        <v>12237000</v>
      </c>
      <c r="C289" s="7">
        <f t="shared" si="38"/>
        <v>1966500</v>
      </c>
      <c r="D289" s="7">
        <f t="shared" si="38"/>
        <v>246000</v>
      </c>
      <c r="E289" s="7">
        <f t="shared" si="38"/>
        <v>6000</v>
      </c>
      <c r="F289" s="7">
        <f t="shared" si="38"/>
        <v>3000</v>
      </c>
      <c r="G289" s="7">
        <f t="shared" si="38"/>
        <v>10500</v>
      </c>
    </row>
    <row r="290" spans="1:15" x14ac:dyDescent="0.2">
      <c r="C290" s="7">
        <f>B289/C289</f>
        <v>6.222730739893211</v>
      </c>
    </row>
    <row r="291" spans="1:15" x14ac:dyDescent="0.2">
      <c r="I291" s="9">
        <f>(B291*B5)+(C291*C5)+(D291*D5)+(E291*E5)+(F291*F5)+(G291*G5)+(H291*H5)</f>
        <v>0</v>
      </c>
      <c r="N291" s="7">
        <v>1.0269999999999999</v>
      </c>
      <c r="O291" s="7">
        <v>1.0269999999999999</v>
      </c>
    </row>
    <row r="292" spans="1:15" x14ac:dyDescent="0.2">
      <c r="A292" s="7" t="s">
        <v>94</v>
      </c>
      <c r="B292" s="7">
        <v>7602076</v>
      </c>
      <c r="C292" s="7">
        <v>1900914</v>
      </c>
      <c r="D292" s="7">
        <v>476206</v>
      </c>
      <c r="E292" s="7">
        <v>118901</v>
      </c>
      <c r="F292" s="7">
        <v>29690</v>
      </c>
      <c r="G292" s="7">
        <v>7083</v>
      </c>
      <c r="H292" s="7">
        <v>2261</v>
      </c>
      <c r="I292" s="9">
        <f>(B292*'Ore Index'!E2)+(C292*'Ore Index'!F2)+(D292*'Ore Index'!G2)+(E292*'Ore Index'!H2)+(F292*'Ore Index'!I2)+(G292*'Ore Index'!J2)+(H292*'Ore Index'!K2)</f>
        <v>147509290.23000002</v>
      </c>
      <c r="N292" s="7">
        <v>1.0269999999999999</v>
      </c>
      <c r="O292" s="7">
        <v>1.0269999999999999</v>
      </c>
    </row>
    <row r="293" spans="1:15" x14ac:dyDescent="0.2">
      <c r="I293" s="9">
        <f>(B293*B7)+(C293*C7)+(D293*D7)+(E293*E7)+(F293*F7)+(G293*G7)+(H293*H7)</f>
        <v>0</v>
      </c>
      <c r="N293" s="7">
        <v>1.0269999999999999</v>
      </c>
      <c r="O293" s="7">
        <v>1.0269999999999999</v>
      </c>
    </row>
    <row r="294" spans="1:15" x14ac:dyDescent="0.2">
      <c r="I294" s="9">
        <f>(B294*B276)+(C294*C276)+(D294*D276)+(E294*E276)+(F294*F276)+(G294*G276)+(H294*H276)</f>
        <v>0</v>
      </c>
      <c r="N294" s="7">
        <v>1.0269999999999999</v>
      </c>
      <c r="O294" s="7">
        <v>1.0269999999999999</v>
      </c>
    </row>
    <row r="295" spans="1:15" x14ac:dyDescent="0.2">
      <c r="I295" s="9">
        <f>(B295*B276)+(C295*C276)+(D295*D276)+(E295*E276)+(F295*F276)+(G295*G276)+(H295*H276)</f>
        <v>0</v>
      </c>
      <c r="N295" s="7">
        <v>1.0269999999999999</v>
      </c>
      <c r="O295" s="7">
        <v>1.0269999999999999</v>
      </c>
    </row>
    <row r="296" spans="1:15" x14ac:dyDescent="0.2">
      <c r="B296" s="7">
        <v>6.4</v>
      </c>
      <c r="C296" s="7">
        <v>1.27</v>
      </c>
      <c r="D296" s="7">
        <v>10.7</v>
      </c>
      <c r="E296" s="7">
        <v>11.4</v>
      </c>
      <c r="F296" s="7">
        <v>30</v>
      </c>
      <c r="G296" s="7">
        <v>21</v>
      </c>
      <c r="I296" s="9">
        <f>(B296*B276)+(C296*C276)+(D296*D276)+(E296*E276)+(F296*F276)+(G296*G276)+(H296*H276)</f>
        <v>0</v>
      </c>
      <c r="N296" s="7">
        <v>1.0269999999999999</v>
      </c>
      <c r="O296" s="7">
        <v>1.0269999999999999</v>
      </c>
    </row>
    <row r="297" spans="1:15" x14ac:dyDescent="0.2">
      <c r="B297" s="7">
        <v>8.3000000000000007</v>
      </c>
      <c r="C297" s="7">
        <v>0.5</v>
      </c>
      <c r="I297" s="9">
        <f>(B297*B276)+(C297*C276)+(D297*D276)+(E297*E276)+(F297*F276)+(G297*G276)+(H297*H276)</f>
        <v>0</v>
      </c>
      <c r="N297" s="7">
        <v>1.0269999999999999</v>
      </c>
      <c r="O297" s="7">
        <v>1.0269999999999999</v>
      </c>
    </row>
    <row r="298" spans="1:15" x14ac:dyDescent="0.2">
      <c r="I298" s="9">
        <f>(B298*B276)+(C298*C276)+(D298*D276)+(E298*E276)+(F298*F276)+(G298*G276)+(H298*H276)</f>
        <v>0</v>
      </c>
      <c r="N298" s="7">
        <v>1.0269999999999999</v>
      </c>
      <c r="O298" s="7">
        <v>1.0269999999999999</v>
      </c>
    </row>
    <row r="299" spans="1:15" x14ac:dyDescent="0.2">
      <c r="I299" s="9">
        <f>(B299*B276)+(C299*C276)+(D299*D276)+(E299*E276)+(F299*F276)+(G299*G276)+(H299*H276)</f>
        <v>0</v>
      </c>
      <c r="N299" s="7">
        <v>1.0269999999999999</v>
      </c>
      <c r="O299" s="7">
        <v>1.0269999999999999</v>
      </c>
    </row>
    <row r="300" spans="1:15" x14ac:dyDescent="0.2">
      <c r="I300" s="9">
        <f>(B300*B276)+(C300*C276)+(D300*D276)+(E300*E276)+(F300*F276)+(G300*G276)+(H300*H276)</f>
        <v>0</v>
      </c>
      <c r="N300" s="7">
        <v>1.0269999999999999</v>
      </c>
      <c r="O300" s="7">
        <v>1.0269999999999999</v>
      </c>
    </row>
    <row r="301" spans="1:15" x14ac:dyDescent="0.2">
      <c r="I301" s="9">
        <f>(B301*B276)+(C301*C276)+(D301*D276)+(E301*E276)+(F301*F276)+(G301*G276)+(H301*H276)</f>
        <v>0</v>
      </c>
      <c r="N301" s="7">
        <v>1.0269999999999999</v>
      </c>
      <c r="O301" s="7">
        <v>1.0269999999999999</v>
      </c>
    </row>
    <row r="302" spans="1:15" x14ac:dyDescent="0.2">
      <c r="I302" s="9">
        <f>(B302*B276)+(C302*C276)+(D302*D276)+(E302*E276)+(F302*F276)+(G302*G276)+(H302*H276)</f>
        <v>0</v>
      </c>
      <c r="N302" s="7">
        <v>1.0269999999999999</v>
      </c>
      <c r="O302" s="7">
        <v>1.0269999999999999</v>
      </c>
    </row>
    <row r="303" spans="1:15" x14ac:dyDescent="0.2">
      <c r="I303" s="9">
        <f>(B303*B276)+(C303*C276)+(D303*D276)+(E303*E276)+(F303*F276)+(G303*G276)+(H303*H276)</f>
        <v>0</v>
      </c>
      <c r="N303" s="7">
        <v>1.0269999999999999</v>
      </c>
      <c r="O303" s="7">
        <v>1.0269999999999999</v>
      </c>
    </row>
    <row r="304" spans="1:15" x14ac:dyDescent="0.2">
      <c r="I304" s="9">
        <f>(B304*B276)+(C304*C276)+(D304*D276)+(E304*E276)+(F304*F276)+(G304*G276)+(H304*H276)</f>
        <v>0</v>
      </c>
      <c r="N304" s="7">
        <v>1.0269999999999999</v>
      </c>
      <c r="O304" s="7">
        <v>1.0269999999999999</v>
      </c>
    </row>
    <row r="305" spans="9:15" x14ac:dyDescent="0.2">
      <c r="I305" s="9">
        <f>(B305*B276)+(C305*C276)+(D305*D276)+(E305*E276)+(F305*F276)+(G305*G276)+(H305*H276)</f>
        <v>0</v>
      </c>
      <c r="N305" s="7">
        <v>1.0269999999999999</v>
      </c>
      <c r="O305" s="7">
        <v>1.0269999999999999</v>
      </c>
    </row>
    <row r="306" spans="9:15" x14ac:dyDescent="0.2">
      <c r="I306" s="9">
        <f>(B306*B303)+(C306*C303)+(D306*D303)+(E306*E303)+(F306*F303)+(G306*G303)+(H306*H303)</f>
        <v>0</v>
      </c>
      <c r="N306" s="7">
        <v>1.0269999999999999</v>
      </c>
      <c r="O306" s="7">
        <v>1.0269999999999999</v>
      </c>
    </row>
    <row r="307" spans="9:15" x14ac:dyDescent="0.2">
      <c r="I307" s="9">
        <f>(B307*B303)+(C307*C303)+(D307*D303)+(E307*E303)+(F307*F303)+(G307*G303)+(H307*H303)</f>
        <v>0</v>
      </c>
      <c r="N307" s="7">
        <v>1.0269999999999999</v>
      </c>
      <c r="O307" s="7">
        <v>1.0269999999999999</v>
      </c>
    </row>
    <row r="308" spans="9:15" x14ac:dyDescent="0.2">
      <c r="I308" s="9">
        <f>(B308*B303)+(C308*C303)+(D308*D303)+(E308*E303)+(F308*F303)+(G308*G303)+(H308*H303)</f>
        <v>0</v>
      </c>
      <c r="N308" s="7">
        <v>1.0269999999999999</v>
      </c>
      <c r="O308" s="7">
        <v>1.0269999999999999</v>
      </c>
    </row>
    <row r="309" spans="9:15" x14ac:dyDescent="0.2">
      <c r="I309" s="9">
        <f>(B309*B303)+(C309*C303)+(D309*D303)+(E309*E303)+(F309*F303)+(G309*G303)+(H309*H303)</f>
        <v>0</v>
      </c>
      <c r="N309" s="7">
        <v>1.0269999999999999</v>
      </c>
      <c r="O309" s="7">
        <v>1.0269999999999999</v>
      </c>
    </row>
    <row r="310" spans="9:15" x14ac:dyDescent="0.2">
      <c r="I310" s="9">
        <f>(B310*B303)+(C310*C303)+(D310*D303)+(E310*E303)+(F310*F303)+(G310*G303)+(H310*H303)</f>
        <v>0</v>
      </c>
      <c r="N310" s="7">
        <v>1.0269999999999999</v>
      </c>
      <c r="O310" s="7">
        <v>1.0269999999999999</v>
      </c>
    </row>
    <row r="311" spans="9:15" x14ac:dyDescent="0.2">
      <c r="I311" s="9">
        <f>(B311*B306)+(C311*C306)+(D311*D306)+(E311*E306)+(F311*F306)+(G311*G306)+(H311*H306)</f>
        <v>0</v>
      </c>
      <c r="N311" s="7">
        <v>1.0269999999999999</v>
      </c>
      <c r="O311" s="7">
        <v>1.0269999999999999</v>
      </c>
    </row>
    <row r="312" spans="9:15" x14ac:dyDescent="0.2">
      <c r="I312" s="9">
        <f>(B312*B303)+(C312*C303)+(D312*D303)+(E312*E303)+(F312*F303)+(G312*G303)+(H312*H303)</f>
        <v>0</v>
      </c>
      <c r="N312" s="7">
        <v>1.0269999999999999</v>
      </c>
      <c r="O312" s="7">
        <v>1.0269999999999999</v>
      </c>
    </row>
    <row r="313" spans="9:15" x14ac:dyDescent="0.2">
      <c r="I313" s="9">
        <f>(B313*B303)+(C313*C303)+(D313*D303)+(E313*E303)+(F313*F303)+(G313*G303)+(H313*H303)</f>
        <v>0</v>
      </c>
      <c r="N313" s="7">
        <v>1.0269999999999999</v>
      </c>
      <c r="O313" s="7">
        <v>1.0269999999999999</v>
      </c>
    </row>
    <row r="314" spans="9:15" x14ac:dyDescent="0.2">
      <c r="I314" s="9">
        <f>(B314*B303)+(C314*C303)+(D314*D303)+(E314*E303)+(F314*F303)+(G314*G303)+(H314*H303)</f>
        <v>0</v>
      </c>
      <c r="N314" s="7">
        <v>1.0269999999999999</v>
      </c>
      <c r="O314" s="7">
        <v>1.0269999999999999</v>
      </c>
    </row>
    <row r="315" spans="9:15" x14ac:dyDescent="0.2">
      <c r="I315" s="9">
        <f>(B315*B303)+(C315*C303)+(D315*D303)+(E315*E303)+(F315*F303)+(G315*G303)+(H315*H303)</f>
        <v>0</v>
      </c>
      <c r="N315" s="7">
        <v>1.0269999999999999</v>
      </c>
      <c r="O315" s="7">
        <v>1.0269999999999999</v>
      </c>
    </row>
    <row r="316" spans="9:15" x14ac:dyDescent="0.2">
      <c r="I316" s="9">
        <f>(B316*B303)+(C316*C303)+(D316*D303)+(E316*E303)+(F316*F303)+(G316*G303)+(H316*H303)</f>
        <v>0</v>
      </c>
      <c r="N316" s="7">
        <v>1.0269999999999999</v>
      </c>
      <c r="O316" s="7">
        <v>1.0269999999999999</v>
      </c>
    </row>
    <row r="317" spans="9:15" x14ac:dyDescent="0.2">
      <c r="I317" s="9">
        <f>(B317*B303)+(C317*C303)+(D317*D303)+(E317*E303)+(F317*F303)+(G317*G303)+(H317*H303)</f>
        <v>0</v>
      </c>
      <c r="N317" s="7">
        <v>1.0269999999999999</v>
      </c>
      <c r="O317" s="7">
        <v>1.0269999999999999</v>
      </c>
    </row>
    <row r="318" spans="9:15" x14ac:dyDescent="0.2">
      <c r="I318" s="9">
        <f>(B318*B303)+(C318*C303)+(D318*D303)+(E318*E303)+(F318*F303)+(G318*G303)+(H318*H303)</f>
        <v>0</v>
      </c>
      <c r="N318" s="7">
        <v>1.0269999999999999</v>
      </c>
      <c r="O318" s="7">
        <v>1.0269999999999999</v>
      </c>
    </row>
    <row r="319" spans="9:15" x14ac:dyDescent="0.2">
      <c r="I319" s="9">
        <f>(B319*B303)+(C319*C303)+(D319*D303)+(E319*E303)+(F319*F303)+(G319*G303)+(H319*H303)</f>
        <v>0</v>
      </c>
      <c r="N319" s="7">
        <v>1.0269999999999999</v>
      </c>
      <c r="O319" s="7">
        <v>1.0269999999999999</v>
      </c>
    </row>
    <row r="320" spans="9:15" x14ac:dyDescent="0.2">
      <c r="I320" s="9">
        <f>(B320*B303)+(C320*C303)+(D320*D303)+(E320*E303)+(F320*F303)+(G320*G303)+(H320*H303)</f>
        <v>0</v>
      </c>
      <c r="N320" s="7">
        <v>1.0261</v>
      </c>
      <c r="O320" s="7">
        <v>1.0261</v>
      </c>
    </row>
    <row r="321" spans="9:15" x14ac:dyDescent="0.2">
      <c r="I321" s="9">
        <f>(B321*B303)+(C321*C303)+(D321*D303)+(E321*E303)+(F321*F303)+(G321*G303)+(H321*H303)</f>
        <v>0</v>
      </c>
      <c r="N321" s="7">
        <v>1.0261</v>
      </c>
      <c r="O321" s="7">
        <v>1.0261</v>
      </c>
    </row>
    <row r="322" spans="9:15" x14ac:dyDescent="0.2">
      <c r="N322" s="7">
        <v>1.0261</v>
      </c>
      <c r="O322" s="7">
        <v>1.0261</v>
      </c>
    </row>
    <row r="323" spans="9:15" x14ac:dyDescent="0.2">
      <c r="N323" s="7">
        <v>1.0261</v>
      </c>
      <c r="O323" s="7">
        <v>1.0261</v>
      </c>
    </row>
    <row r="324" spans="9:15" x14ac:dyDescent="0.2">
      <c r="N324" s="7">
        <v>1.0261</v>
      </c>
      <c r="O324" s="7">
        <v>1.0261</v>
      </c>
    </row>
    <row r="325" spans="9:15" x14ac:dyDescent="0.2">
      <c r="N325" s="7">
        <v>1.0261</v>
      </c>
      <c r="O325" s="7">
        <v>1.0261</v>
      </c>
    </row>
    <row r="326" spans="9:15" x14ac:dyDescent="0.2">
      <c r="N326" s="7">
        <v>1.0261</v>
      </c>
      <c r="O326" s="7">
        <v>1.0261</v>
      </c>
    </row>
    <row r="327" spans="9:15" x14ac:dyDescent="0.2">
      <c r="N327" s="7">
        <v>1.0261</v>
      </c>
      <c r="O327" s="7">
        <v>1.0261</v>
      </c>
    </row>
    <row r="328" spans="9:15" x14ac:dyDescent="0.2">
      <c r="N328" s="7">
        <v>1.0261</v>
      </c>
      <c r="O328" s="7">
        <v>1.0261</v>
      </c>
    </row>
    <row r="329" spans="9:15" x14ac:dyDescent="0.2">
      <c r="N329" s="7">
        <v>1.0261</v>
      </c>
      <c r="O329" s="7">
        <v>1.0261</v>
      </c>
    </row>
    <row r="330" spans="9:15" x14ac:dyDescent="0.2">
      <c r="N330" s="7">
        <v>1.0261</v>
      </c>
      <c r="O330" s="7">
        <v>1.0261</v>
      </c>
    </row>
    <row r="331" spans="9:15" x14ac:dyDescent="0.2">
      <c r="N331" s="7">
        <v>1.0261</v>
      </c>
      <c r="O331" s="7">
        <v>1.0261</v>
      </c>
    </row>
    <row r="332" spans="9:15" x14ac:dyDescent="0.2">
      <c r="N332" s="7">
        <v>1.0261</v>
      </c>
      <c r="O332" s="7">
        <v>1.0261</v>
      </c>
    </row>
    <row r="333" spans="9:15" x14ac:dyDescent="0.2">
      <c r="N333" s="7">
        <v>1.0261</v>
      </c>
      <c r="O333" s="7">
        <v>1.0261</v>
      </c>
    </row>
    <row r="334" spans="9:15" x14ac:dyDescent="0.2">
      <c r="N334" s="7">
        <v>1.0261</v>
      </c>
      <c r="O334" s="7">
        <v>1.0261</v>
      </c>
    </row>
    <row r="335" spans="9:15" x14ac:dyDescent="0.2">
      <c r="N335" s="7">
        <v>1.0261</v>
      </c>
      <c r="O335" s="7">
        <v>1.0261</v>
      </c>
    </row>
    <row r="336" spans="9:15" x14ac:dyDescent="0.2">
      <c r="N336" s="7">
        <v>1.0261</v>
      </c>
      <c r="O336" s="7">
        <v>1.0261</v>
      </c>
    </row>
    <row r="337" spans="14:15" s="7" customFormat="1" x14ac:dyDescent="0.2">
      <c r="N337" s="7">
        <v>1.0261</v>
      </c>
      <c r="O337" s="7">
        <v>1.0261</v>
      </c>
    </row>
    <row r="338" spans="14:15" s="7" customFormat="1" x14ac:dyDescent="0.2">
      <c r="N338" s="7">
        <v>1.0261</v>
      </c>
      <c r="O338" s="7">
        <v>1.0261</v>
      </c>
    </row>
    <row r="339" spans="14:15" s="7" customFormat="1" x14ac:dyDescent="0.2">
      <c r="N339" s="7">
        <v>1.0261</v>
      </c>
      <c r="O339" s="7">
        <v>1.0261</v>
      </c>
    </row>
    <row r="340" spans="14:15" s="7" customFormat="1" x14ac:dyDescent="0.2">
      <c r="N340" s="7">
        <v>1.0261</v>
      </c>
      <c r="O340" s="7">
        <v>1.0261</v>
      </c>
    </row>
    <row r="341" spans="14:15" s="7" customFormat="1" x14ac:dyDescent="0.2">
      <c r="N341" s="7">
        <v>1.0261</v>
      </c>
      <c r="O341" s="7">
        <v>1.0261</v>
      </c>
    </row>
    <row r="342" spans="14:15" s="7" customFormat="1" x14ac:dyDescent="0.2">
      <c r="N342" s="7">
        <v>1.0261</v>
      </c>
      <c r="O342" s="7">
        <v>1.0261</v>
      </c>
    </row>
    <row r="343" spans="14:15" s="7" customFormat="1" x14ac:dyDescent="0.2">
      <c r="N343" s="7">
        <v>1.0261</v>
      </c>
      <c r="O343" s="7">
        <v>1.0261</v>
      </c>
    </row>
    <row r="344" spans="14:15" s="7" customFormat="1" x14ac:dyDescent="0.2">
      <c r="N344" s="7">
        <v>1.0261</v>
      </c>
      <c r="O344" s="7">
        <v>1.0261</v>
      </c>
    </row>
    <row r="345" spans="14:15" s="7" customFormat="1" x14ac:dyDescent="0.2">
      <c r="N345" s="7">
        <v>1.0261</v>
      </c>
      <c r="O345" s="7">
        <v>1.0261</v>
      </c>
    </row>
    <row r="346" spans="14:15" s="7" customFormat="1" x14ac:dyDescent="0.2">
      <c r="N346" s="7">
        <v>1.0261</v>
      </c>
      <c r="O346" s="7">
        <v>1.0261</v>
      </c>
    </row>
    <row r="347" spans="14:15" s="7" customFormat="1" x14ac:dyDescent="0.2">
      <c r="N347" s="7">
        <v>1.0261</v>
      </c>
      <c r="O347" s="7">
        <v>1.0261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 alignWithMargins="0">
    <oddHeader>&amp;C&amp;A</oddHeader>
    <oddFooter>&amp;CPage &amp;P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6"/>
  <sheetViews>
    <sheetView workbookViewId="0">
      <selection activeCell="M19" sqref="M19"/>
    </sheetView>
  </sheetViews>
  <sheetFormatPr defaultRowHeight="12.75" x14ac:dyDescent="0.2"/>
  <cols>
    <col min="1" max="4" width="9.140625" style="7"/>
    <col min="5" max="5" width="10.5703125" style="7" customWidth="1"/>
    <col min="6" max="6" width="9.140625" style="7"/>
    <col min="7" max="7" width="10.42578125" style="7" customWidth="1"/>
    <col min="8" max="8" width="9.140625" style="7"/>
    <col min="9" max="9" width="10.28515625" style="7" customWidth="1"/>
    <col min="10" max="10" width="9.140625" style="7"/>
    <col min="11" max="11" width="11.140625" style="7" customWidth="1"/>
    <col min="12" max="16384" width="9.140625" style="7"/>
  </cols>
  <sheetData>
    <row r="1" spans="1:14" x14ac:dyDescent="0.2">
      <c r="E1" s="7" t="s">
        <v>8</v>
      </c>
      <c r="F1" s="7" t="s">
        <v>383</v>
      </c>
      <c r="G1" s="7" t="s">
        <v>5</v>
      </c>
      <c r="H1" s="7" t="s">
        <v>3</v>
      </c>
      <c r="I1" s="7" t="s">
        <v>6</v>
      </c>
      <c r="J1" s="7" t="s">
        <v>9</v>
      </c>
      <c r="K1" s="7" t="s">
        <v>4</v>
      </c>
      <c r="L1" s="9"/>
      <c r="N1" s="8"/>
    </row>
    <row r="2" spans="1:14" x14ac:dyDescent="0.2">
      <c r="E2" s="10">
        <f>OVERVIEW!E7</f>
        <v>5.7</v>
      </c>
      <c r="F2" s="10">
        <f>OVERVIEW!E6</f>
        <v>14.74</v>
      </c>
      <c r="G2" s="10">
        <f>OVERVIEW!E4</f>
        <v>48.52</v>
      </c>
      <c r="H2" s="10">
        <f>OVERVIEW!E2</f>
        <v>146.47999999999999</v>
      </c>
      <c r="I2" s="10">
        <f>OVERVIEW!E5</f>
        <v>808.79</v>
      </c>
      <c r="J2" s="10">
        <f>OVERVIEW!E8</f>
        <v>790</v>
      </c>
      <c r="K2" s="10">
        <f>OVERVIEW!E3</f>
        <v>2665.77</v>
      </c>
      <c r="L2" s="9"/>
      <c r="N2" s="8"/>
    </row>
    <row r="5" spans="1:14" x14ac:dyDescent="0.2">
      <c r="A5" s="12" t="s">
        <v>382</v>
      </c>
      <c r="C5" s="7">
        <v>333</v>
      </c>
      <c r="D5" s="7">
        <f>C5*0.1</f>
        <v>33.300000000000004</v>
      </c>
      <c r="E5" s="7">
        <v>1000</v>
      </c>
      <c r="F5" s="7">
        <v>0</v>
      </c>
      <c r="G5" s="7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7">
        <f>((E5*Table24[Tritanium])+(F5*Table24[Pyrite])+(G5*Table24[Mexallon])+(H5*Table24[Isogen])+(I5*Table24[Nocxium])+(J5*Table24[Zydrine])+(K5*Table24[Megacyte]))/D5</f>
        <v>171.17117117117115</v>
      </c>
    </row>
    <row r="6" spans="1:14" x14ac:dyDescent="0.2">
      <c r="A6" s="12" t="s">
        <v>381</v>
      </c>
      <c r="C6" s="7">
        <v>333</v>
      </c>
      <c r="D6" s="7">
        <f>C6*0.15</f>
        <v>49.949999999999996</v>
      </c>
      <c r="E6" s="7">
        <v>833</v>
      </c>
      <c r="F6" s="13">
        <v>416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7">
        <f>((E6*Table24[Tritanium])+(F6*Table24[Pyrite])+(G6*Table24[Mexallon])+(H6*Table24[Isogen])+(I6*Table24[Nocxium])+(J6*Table24[Zydrine])+(K6*Table24[Megacyte]))/D6</f>
        <v>217.81661661661664</v>
      </c>
    </row>
    <row r="7" spans="1:14" x14ac:dyDescent="0.2">
      <c r="A7" s="12" t="s">
        <v>380</v>
      </c>
      <c r="C7" s="7">
        <v>333</v>
      </c>
      <c r="D7" s="7">
        <f>C7*0.3</f>
        <v>99.899999999999991</v>
      </c>
      <c r="E7" s="7">
        <v>844</v>
      </c>
      <c r="F7" s="7">
        <v>59</v>
      </c>
      <c r="G7" s="7">
        <v>120</v>
      </c>
      <c r="H7" s="11">
        <v>0</v>
      </c>
      <c r="I7" s="7">
        <v>11</v>
      </c>
      <c r="J7" s="11">
        <v>0</v>
      </c>
      <c r="K7" s="11">
        <v>0</v>
      </c>
      <c r="L7" s="11">
        <v>0</v>
      </c>
      <c r="M7" s="7">
        <f>((E7*Table24[Tritanium])+(F7*Table24[Pyrite])+(G7*Table24[Mexallon])+(H7*Table24[Isogen])+(I7*Table24[Nocxium])+(J7*Table24[Zydrine])+(K7*Table24[Megacyte]))/D7</f>
        <v>204.19969969969972</v>
      </c>
    </row>
    <row r="8" spans="1:14" x14ac:dyDescent="0.2">
      <c r="A8" s="12" t="s">
        <v>379</v>
      </c>
      <c r="C8" s="7">
        <v>333</v>
      </c>
      <c r="D8" s="7">
        <f>C8*0.35</f>
        <v>116.55</v>
      </c>
      <c r="E8" s="7">
        <v>256</v>
      </c>
      <c r="F8" s="7">
        <v>512</v>
      </c>
      <c r="G8" s="13">
        <v>256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7">
        <f>((E8*Table24[Tritanium])+(F8*Table24[Pyrite])+(G8*Table24[Mexallon])+(H8*Table24[Isogen])+(I8*Table24[Nocxium])+(J8*Table24[Zydrine])+(K8*Table24[Megacyte]))/D8</f>
        <v>183.84555984555985</v>
      </c>
    </row>
    <row r="9" spans="1:14" x14ac:dyDescent="0.2">
      <c r="A9" s="12" t="s">
        <v>378</v>
      </c>
      <c r="C9" s="7">
        <v>500</v>
      </c>
      <c r="D9" s="7">
        <f>C9*0.6</f>
        <v>300</v>
      </c>
      <c r="E9" s="7">
        <v>307</v>
      </c>
      <c r="F9" s="7">
        <v>123</v>
      </c>
      <c r="G9" s="11">
        <v>0</v>
      </c>
      <c r="H9" s="13">
        <v>307</v>
      </c>
      <c r="I9" s="11">
        <v>0</v>
      </c>
      <c r="J9" s="11">
        <v>0</v>
      </c>
      <c r="K9" s="11">
        <v>0</v>
      </c>
      <c r="L9" s="11">
        <v>0</v>
      </c>
      <c r="M9" s="7">
        <f>((E9*Table24[Tritanium])+(F9*Table24[Pyrite])+(G9*Table24[Mexallon])+(H9*Table24[Isogen])+(I9*Table24[Nocxium])+(J9*Table24[Zydrine])+(K9*Table24[Megacyte]))/D9</f>
        <v>161.77426666666665</v>
      </c>
    </row>
    <row r="10" spans="1:14" x14ac:dyDescent="0.2">
      <c r="A10" s="12" t="s">
        <v>377</v>
      </c>
      <c r="C10" s="7">
        <v>400</v>
      </c>
      <c r="D10" s="7">
        <f>C10*1.2</f>
        <v>480</v>
      </c>
      <c r="E10" s="7">
        <v>386</v>
      </c>
      <c r="F10" s="11">
        <v>0</v>
      </c>
      <c r="G10" s="7">
        <v>773</v>
      </c>
      <c r="H10" s="7">
        <v>386</v>
      </c>
      <c r="I10" s="11">
        <v>0</v>
      </c>
      <c r="J10" s="11">
        <v>0</v>
      </c>
      <c r="K10" s="11">
        <v>0</v>
      </c>
      <c r="L10" s="11">
        <v>0</v>
      </c>
      <c r="M10" s="7">
        <f>((E10*Table24[Tritanium])+(F10*Table24[Pyrite])+(G10*Table24[Mexallon])+(H10*Table24[Isogen])+(I10*Table24[Nocxium])+(J10*Table24[Zydrine])+(K10*Table24[Megacyte]))/D10</f>
        <v>200.5155</v>
      </c>
    </row>
    <row r="11" spans="1:14" x14ac:dyDescent="0.2">
      <c r="A11" s="12"/>
      <c r="F11" s="11"/>
      <c r="I11" s="11"/>
      <c r="J11" s="11"/>
      <c r="K11" s="11"/>
      <c r="L11" s="11"/>
    </row>
    <row r="12" spans="1:14" x14ac:dyDescent="0.2">
      <c r="A12" s="12" t="s">
        <v>376</v>
      </c>
      <c r="C12" s="7">
        <v>500</v>
      </c>
      <c r="D12" s="7">
        <f>C12*2</f>
        <v>1000</v>
      </c>
      <c r="E12" s="7">
        <v>259</v>
      </c>
      <c r="F12" s="7">
        <v>259</v>
      </c>
      <c r="G12" s="7">
        <v>518</v>
      </c>
      <c r="H12" s="11">
        <v>0</v>
      </c>
      <c r="I12" s="7">
        <v>259</v>
      </c>
      <c r="J12" s="7">
        <v>8</v>
      </c>
      <c r="K12" s="11">
        <v>0</v>
      </c>
      <c r="L12" s="11">
        <v>0</v>
      </c>
      <c r="M12" s="7">
        <f>((E12*Table24[Tritanium])+(F12*Table24[Pyrite])+(G12*Table24[Mexallon])+(H12*Table24[Isogen])+(I12*Table24[Nocxium])+(J12*Table24[Zydrine])+(K12*Table24[Megacyte]))/D12</f>
        <v>246.22393</v>
      </c>
    </row>
    <row r="13" spans="1:14" x14ac:dyDescent="0.2">
      <c r="A13" s="12" t="s">
        <v>375</v>
      </c>
      <c r="C13" s="7">
        <v>500</v>
      </c>
      <c r="D13" s="7">
        <f>C13*3</f>
        <v>1500</v>
      </c>
      <c r="E13" s="7">
        <v>212</v>
      </c>
      <c r="F13" s="11">
        <v>0</v>
      </c>
      <c r="G13" s="11">
        <v>0</v>
      </c>
      <c r="H13" s="7">
        <v>212</v>
      </c>
      <c r="I13" s="13">
        <v>424</v>
      </c>
      <c r="J13" s="7">
        <v>28</v>
      </c>
      <c r="K13" s="11">
        <v>0</v>
      </c>
      <c r="L13" s="11">
        <v>0</v>
      </c>
      <c r="M13" s="7">
        <f>((E13*Table24[Tritanium])+(F13*Table24[Pyrite])+(G13*Table24[Mexallon])+(H13*Table24[Isogen])+(I13*Table24[Nocxium])+(J13*Table24[Zydrine])+(K13*Table24[Megacyte]))/D13</f>
        <v>264.87274666666661</v>
      </c>
    </row>
    <row r="14" spans="1:14" x14ac:dyDescent="0.2">
      <c r="A14" s="12" t="s">
        <v>374</v>
      </c>
      <c r="C14" s="7">
        <v>500</v>
      </c>
      <c r="D14" s="7">
        <f>C14*3</f>
        <v>1500</v>
      </c>
      <c r="E14" s="11">
        <v>0</v>
      </c>
      <c r="F14" s="11">
        <v>0</v>
      </c>
      <c r="G14" s="11">
        <v>0</v>
      </c>
      <c r="H14" s="7">
        <v>708</v>
      </c>
      <c r="I14" s="7">
        <v>354</v>
      </c>
      <c r="J14" s="7">
        <v>32</v>
      </c>
      <c r="K14" s="11">
        <v>0</v>
      </c>
      <c r="L14" s="11">
        <v>0</v>
      </c>
      <c r="M14" s="7">
        <f>((E14*Table24[Tritanium])+(F14*Table24[Pyrite])+(G14*Table24[Mexallon])+(H14*Table24[Isogen])+(I14*Table24[Nocxium])+(J14*Table24[Zydrine])+(K14*Table24[Megacyte]))/D14</f>
        <v>276.86633333333333</v>
      </c>
    </row>
    <row r="15" spans="1:14" x14ac:dyDescent="0.2">
      <c r="A15" s="12"/>
      <c r="E15" s="11"/>
      <c r="F15" s="11"/>
      <c r="G15" s="11"/>
      <c r="K15" s="11"/>
      <c r="L15" s="11"/>
    </row>
    <row r="16" spans="1:14" x14ac:dyDescent="0.2">
      <c r="A16" s="12" t="s">
        <v>373</v>
      </c>
      <c r="C16" s="7">
        <v>400</v>
      </c>
      <c r="D16" s="7">
        <f>C16*5</f>
        <v>2000</v>
      </c>
      <c r="E16" s="7">
        <v>171</v>
      </c>
      <c r="F16" s="11">
        <v>0</v>
      </c>
      <c r="G16" s="7">
        <v>171</v>
      </c>
      <c r="H16" s="7">
        <v>343</v>
      </c>
      <c r="I16" s="11">
        <v>0</v>
      </c>
      <c r="J16" s="7">
        <v>171</v>
      </c>
      <c r="K16" s="11">
        <v>0</v>
      </c>
      <c r="L16" s="11">
        <v>0</v>
      </c>
      <c r="M16" s="7">
        <f>((E16*Table24[Tritanium])+(F16*Table24[Pyrite])+(G16*Table24[Mexallon])+(H16*Table24[Isogen])+(I16*Table24[Nocxium])+(J16*Table24[Zydrine])+(K16*Table24[Megacyte]))/D16</f>
        <v>97.302130000000005</v>
      </c>
    </row>
    <row r="17" spans="1:13" x14ac:dyDescent="0.2">
      <c r="A17" s="12" t="s">
        <v>372</v>
      </c>
      <c r="C17" s="7">
        <v>400</v>
      </c>
      <c r="D17" s="7">
        <f>C17*8</f>
        <v>3200</v>
      </c>
      <c r="E17" s="7">
        <v>250</v>
      </c>
      <c r="F17" s="11">
        <v>0</v>
      </c>
      <c r="G17" s="11">
        <v>0</v>
      </c>
      <c r="H17" s="11">
        <v>0</v>
      </c>
      <c r="I17" s="7">
        <v>500</v>
      </c>
      <c r="J17" s="7">
        <v>250</v>
      </c>
      <c r="K17" s="11">
        <v>0</v>
      </c>
      <c r="L17" s="11">
        <v>0</v>
      </c>
      <c r="M17" s="7">
        <f>((E17*Table24[Tritanium])+(F17*Table24[Pyrite])+(G17*Table24[Mexallon])+(H17*Table24[Isogen])+(I17*Table24[Nocxium])+(J17*Table24[Zydrine])+(K17*Table24[Megacyte]))/D17</f>
        <v>188.53749999999999</v>
      </c>
    </row>
    <row r="18" spans="1:13" x14ac:dyDescent="0.2">
      <c r="A18" s="12" t="s">
        <v>371</v>
      </c>
      <c r="C18" s="7">
        <v>250</v>
      </c>
      <c r="D18" s="7">
        <f>C18*16</f>
        <v>4000</v>
      </c>
      <c r="E18" s="7">
        <v>331</v>
      </c>
      <c r="F18" s="11">
        <v>0</v>
      </c>
      <c r="G18" s="11">
        <v>0</v>
      </c>
      <c r="H18" s="11">
        <v>0</v>
      </c>
      <c r="I18" s="7">
        <v>331</v>
      </c>
      <c r="J18" s="13">
        <v>663</v>
      </c>
      <c r="K18" s="11">
        <v>0</v>
      </c>
      <c r="L18" s="11">
        <v>0</v>
      </c>
      <c r="M18" s="7">
        <f>((E18*Table24[Tritanium])+(F18*Table24[Pyrite])+(G18*Table24[Mexallon])+(H18*Table24[Isogen])+(I18*Table24[Nocxium])+(J18*Table24[Zydrine])+(K18*Table24[Megacyte]))/D18</f>
        <v>198.34154749999999</v>
      </c>
    </row>
    <row r="19" spans="1:13" x14ac:dyDescent="0.2">
      <c r="A19" s="12" t="s">
        <v>370</v>
      </c>
      <c r="C19" s="7">
        <v>250</v>
      </c>
      <c r="D19" s="7">
        <f>C19*16</f>
        <v>4000</v>
      </c>
      <c r="E19" s="7">
        <v>700</v>
      </c>
      <c r="F19" s="7">
        <v>140</v>
      </c>
      <c r="G19" s="11">
        <v>0</v>
      </c>
      <c r="H19" s="11">
        <v>0</v>
      </c>
      <c r="I19" s="11">
        <v>0</v>
      </c>
      <c r="J19" s="11">
        <v>0</v>
      </c>
      <c r="K19" s="7">
        <v>140</v>
      </c>
      <c r="L19" s="11">
        <v>0</v>
      </c>
      <c r="M19" s="7">
        <f>((E19*Table24[Tritanium])+(F19*Table24[Pyrite])+(G19*Table24[Mexallon])+(H19*Table24[Isogen])+(I19*Table24[Nocxium])+(J19*Table24[Zydrine])+(K19*Table24[Megacyte]))/D19</f>
        <v>94.815349999999995</v>
      </c>
    </row>
    <row r="20" spans="1:13" x14ac:dyDescent="0.2">
      <c r="A20" s="12" t="s">
        <v>369</v>
      </c>
      <c r="C20" s="7">
        <v>200</v>
      </c>
      <c r="D20" s="7">
        <f>C20*16</f>
        <v>3200</v>
      </c>
      <c r="E20" s="11">
        <v>0</v>
      </c>
      <c r="F20" s="7">
        <v>170</v>
      </c>
      <c r="G20" s="11">
        <v>0</v>
      </c>
      <c r="H20" s="11">
        <v>0</v>
      </c>
      <c r="I20" s="11">
        <v>0</v>
      </c>
      <c r="J20" s="7">
        <v>341</v>
      </c>
      <c r="K20" s="7">
        <v>170</v>
      </c>
      <c r="L20" s="11">
        <v>0</v>
      </c>
      <c r="M20" s="7">
        <f>((E20*Table24[Tritanium])+(F20*Table24[Pyrite])+(G20*Table24[Mexallon])+(H20*Table24[Isogen])+(I20*Table24[Nocxium])+(J20*Table24[Zydrine])+(K20*Table24[Megacyte]))/D20</f>
        <v>226.58646874999999</v>
      </c>
    </row>
    <row r="21" spans="1:13" x14ac:dyDescent="0.2">
      <c r="A21" s="12" t="s">
        <v>368</v>
      </c>
      <c r="C21" s="7">
        <v>200</v>
      </c>
      <c r="D21" s="7">
        <f>C21*16</f>
        <v>3200</v>
      </c>
      <c r="E21" s="7">
        <v>300</v>
      </c>
      <c r="F21" s="11">
        <v>0</v>
      </c>
      <c r="G21" s="11">
        <v>0</v>
      </c>
      <c r="H21" s="11">
        <v>0</v>
      </c>
      <c r="I21" s="11">
        <v>0</v>
      </c>
      <c r="J21" s="7">
        <v>166</v>
      </c>
      <c r="K21" s="13">
        <v>333</v>
      </c>
      <c r="L21" s="11">
        <v>0</v>
      </c>
      <c r="M21" s="7">
        <f>((E21*Table24[Tritanium])+(F21*Table24[Pyrite])+(G21*Table24[Mexallon])+(H21*Table24[Isogen])+(I21*Table24[Nocxium])+(J21*Table24[Zydrine])+(K21*Table24[Megacyte]))/D21</f>
        <v>318.92231562500001</v>
      </c>
    </row>
    <row r="22" spans="1:13" x14ac:dyDescent="0.2">
      <c r="A22" s="12" t="s">
        <v>367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7">
        <v>530</v>
      </c>
    </row>
    <row r="25" spans="1:13" x14ac:dyDescent="0.2">
      <c r="A25" s="12"/>
    </row>
    <row r="26" spans="1:13" x14ac:dyDescent="0.2">
      <c r="A26" s="12"/>
    </row>
    <row r="27" spans="1:13" x14ac:dyDescent="0.2">
      <c r="A27" s="12"/>
    </row>
    <row r="28" spans="1:13" x14ac:dyDescent="0.2">
      <c r="A28" s="12"/>
    </row>
    <row r="29" spans="1:13" x14ac:dyDescent="0.2">
      <c r="A29" s="12"/>
    </row>
    <row r="30" spans="1:13" x14ac:dyDescent="0.2">
      <c r="A30" s="12"/>
    </row>
    <row r="31" spans="1:13" x14ac:dyDescent="0.2">
      <c r="A31" s="12"/>
    </row>
    <row r="32" spans="1:13" x14ac:dyDescent="0.2">
      <c r="A32" s="12"/>
    </row>
    <row r="33" spans="1:1" x14ac:dyDescent="0.2">
      <c r="A33" s="12"/>
    </row>
    <row r="34" spans="1:1" x14ac:dyDescent="0.2">
      <c r="A34" s="12"/>
    </row>
    <row r="35" spans="1:1" x14ac:dyDescent="0.2">
      <c r="A35" s="12"/>
    </row>
    <row r="36" spans="1:1" x14ac:dyDescent="0.2">
      <c r="A36" s="12"/>
    </row>
    <row r="84" spans="1:1" x14ac:dyDescent="0.2">
      <c r="A84" s="11"/>
    </row>
    <row r="85" spans="1:1" x14ac:dyDescent="0.2">
      <c r="A85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4" spans="1:1" x14ac:dyDescent="0.2">
      <c r="A94" s="11"/>
    </row>
    <row r="113" spans="1:1" x14ac:dyDescent="0.2">
      <c r="A113" s="11"/>
    </row>
    <row r="116" spans="1:1" x14ac:dyDescent="0.2">
      <c r="A116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3" spans="1:1" x14ac:dyDescent="0.2">
      <c r="A123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7" spans="1:1" x14ac:dyDescent="0.2">
      <c r="A147" s="11"/>
    </row>
    <row r="148" spans="1:1" x14ac:dyDescent="0.2">
      <c r="A148" s="11"/>
    </row>
    <row r="151" spans="1:1" x14ac:dyDescent="0.2">
      <c r="A151" s="11"/>
    </row>
    <row r="170" spans="1:1" x14ac:dyDescent="0.2">
      <c r="A170" s="11"/>
    </row>
    <row r="174" spans="1:1" x14ac:dyDescent="0.2">
      <c r="A174" s="11"/>
    </row>
    <row r="179" spans="1:1" x14ac:dyDescent="0.2">
      <c r="A179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9" spans="1:1" x14ac:dyDescent="0.2">
      <c r="A209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7" spans="1:1" x14ac:dyDescent="0.2">
      <c r="A237" s="11"/>
    </row>
    <row r="257" spans="1:1" x14ac:dyDescent="0.2">
      <c r="A257" s="11"/>
    </row>
    <row r="258" spans="1:1" x14ac:dyDescent="0.2">
      <c r="A258" s="11"/>
    </row>
    <row r="259" spans="1:1" x14ac:dyDescent="0.2">
      <c r="A259" s="11"/>
    </row>
    <row r="260" spans="1:1" x14ac:dyDescent="0.2">
      <c r="A260" s="11"/>
    </row>
    <row r="261" spans="1:1" x14ac:dyDescent="0.2">
      <c r="A261" s="11"/>
    </row>
    <row r="262" spans="1:1" x14ac:dyDescent="0.2">
      <c r="A262" s="11"/>
    </row>
    <row r="263" spans="1:1" x14ac:dyDescent="0.2">
      <c r="A263" s="11"/>
    </row>
    <row r="264" spans="1:1" x14ac:dyDescent="0.2">
      <c r="A264" s="11"/>
    </row>
    <row r="265" spans="1:1" x14ac:dyDescent="0.2">
      <c r="A265" s="11"/>
    </row>
    <row r="267" spans="1:1" x14ac:dyDescent="0.2">
      <c r="A267" s="11"/>
    </row>
    <row r="286" spans="1:1" x14ac:dyDescent="0.2">
      <c r="A286" s="11"/>
    </row>
    <row r="287" spans="1:1" x14ac:dyDescent="0.2">
      <c r="A287" s="11"/>
    </row>
    <row r="288" spans="1:1" x14ac:dyDescent="0.2">
      <c r="A288" s="11"/>
    </row>
    <row r="289" spans="1:1" x14ac:dyDescent="0.2">
      <c r="A289" s="11"/>
    </row>
    <row r="290" spans="1:1" x14ac:dyDescent="0.2">
      <c r="A290" s="11"/>
    </row>
    <row r="291" spans="1:1" x14ac:dyDescent="0.2">
      <c r="A291" s="11"/>
    </row>
    <row r="292" spans="1:1" x14ac:dyDescent="0.2">
      <c r="A292" s="11"/>
    </row>
    <row r="293" spans="1:1" x14ac:dyDescent="0.2">
      <c r="A293" s="11"/>
    </row>
    <row r="294" spans="1:1" x14ac:dyDescent="0.2">
      <c r="A294" s="11"/>
    </row>
    <row r="295" spans="1:1" x14ac:dyDescent="0.2">
      <c r="A295" s="11"/>
    </row>
    <row r="296" spans="1:1" x14ac:dyDescent="0.2">
      <c r="A296" s="11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"/>
    </sheetView>
  </sheetViews>
  <sheetFormatPr defaultRowHeight="15" x14ac:dyDescent="0.25"/>
  <sheetData>
    <row r="1" spans="1:1" x14ac:dyDescent="0.25">
      <c r="A1" t="s">
        <v>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OVERVIEW</vt:lpstr>
      <vt:lpstr>CACHEDATA</vt:lpstr>
      <vt:lpstr>Record</vt:lpstr>
      <vt:lpstr>Refine Index</vt:lpstr>
      <vt:lpstr>Ore Index</vt:lpstr>
      <vt:lpstr>Manufacture</vt:lpstr>
      <vt:lpstr>OVERVIEW!ExternalData_1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Titanium</cp:lastModifiedBy>
  <dcterms:created xsi:type="dcterms:W3CDTF">2011-12-25T03:10:37Z</dcterms:created>
  <dcterms:modified xsi:type="dcterms:W3CDTF">2013-03-22T01:07:55Z</dcterms:modified>
</cp:coreProperties>
</file>